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omments1.xml" ContentType="application/vnd.openxmlformats-officedocument.spreadsheetml.comment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drawings/drawing1.xml" ContentType="application/vnd.openxmlformats-officedocument.drawing+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codeName="ThisWorkbook" defaultThemeVersion="124226"/>
  <mc:AlternateContent xmlns:mc="http://schemas.openxmlformats.org/markup-compatibility/2006">
    <mc:Choice Requires="x15">
      <x15ac:absPath xmlns:x15ac="http://schemas.microsoft.com/office/spreadsheetml/2010/11/ac" url="https://massgov.sharepoint.com/sites/DEP-BAW-Shared/Air/GHG/7.75 Retail Sellers/2024/2024 RSEF/"/>
    </mc:Choice>
  </mc:AlternateContent>
  <xr:revisionPtr revIDLastSave="1913" documentId="8_{22DFE0E0-7A1E-448E-9A25-D97F4075313C}" xr6:coauthVersionLast="47" xr6:coauthVersionMax="47" xr10:uidLastSave="{FD46D53F-0544-431F-8194-83B60E4998BE}"/>
  <bookViews>
    <workbookView xWindow="-28920" yWindow="-120" windowWidth="29040" windowHeight="15720" tabRatio="927" xr2:uid="{00000000-000D-0000-FFFF-FFFF00000000}"/>
  </bookViews>
  <sheets>
    <sheet name="Contents" sheetId="17" r:id="rId1"/>
    <sheet name="Emission Factors" sheetId="8" r:id="rId2"/>
    <sheet name="State and Province Summary" sheetId="16" r:id="rId3"/>
    <sheet name="Generation Load Imports" sheetId="9" r:id="rId4"/>
    <sheet name="EIA and EPA CO2e" sheetId="11" r:id="rId5"/>
    <sheet name="EIA Form 923" sheetId="1" r:id="rId6"/>
    <sheet name="EPA Part 75" sheetId="7" r:id="rId7"/>
    <sheet name="GIS CO2e" sheetId="6" r:id="rId8"/>
    <sheet name="GIS Heat Input" sheetId="13" r:id="rId9"/>
    <sheet name="GIS" sheetId="10" r:id="rId10"/>
    <sheet name="GWPs and Fuel EFs" sheetId="12" r:id="rId11"/>
  </sheets>
  <externalReferences>
    <externalReference r:id="rId12"/>
  </externalReferences>
  <definedNames>
    <definedName name="_xlnm._FilterDatabase" localSheetId="5" hidden="1">'EIA Form 923'!$A$7:$Z$3073</definedName>
    <definedName name="_xlnm._FilterDatabase" localSheetId="6" hidden="1">'EPA Part 75'!$A$6:$J$361</definedName>
    <definedName name="IPCC_Report">[1]GWPs!$B$11:$B$13</definedName>
    <definedName name="MSBprcnt">'EIA Form 923'!$B$3093</definedName>
    <definedName name="MSNprcnt">'EIA Form 923'!$B$3092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7" i="6" l="1"/>
  <c r="C440" i="6"/>
  <c r="C441" i="6"/>
  <c r="C442" i="6"/>
  <c r="C443" i="6"/>
  <c r="C447" i="6"/>
  <c r="C448" i="6"/>
  <c r="C449" i="6"/>
  <c r="C451" i="6"/>
  <c r="B437" i="6"/>
  <c r="B440" i="6"/>
  <c r="B441" i="6"/>
  <c r="B442" i="6"/>
  <c r="B443" i="6"/>
  <c r="B447" i="6"/>
  <c r="B449" i="6"/>
  <c r="B451" i="6"/>
  <c r="D437" i="6"/>
  <c r="D440" i="6"/>
  <c r="D441" i="6"/>
  <c r="D442" i="6"/>
  <c r="D443" i="6"/>
  <c r="D447" i="6"/>
  <c r="D448" i="6"/>
  <c r="D449" i="6"/>
  <c r="D451" i="6"/>
  <c r="E437" i="6"/>
  <c r="E440" i="6"/>
  <c r="E441" i="6"/>
  <c r="E442" i="6"/>
  <c r="E443" i="6"/>
  <c r="E447" i="6"/>
  <c r="E448" i="6"/>
  <c r="E449" i="6"/>
  <c r="E451" i="6"/>
  <c r="F436" i="6"/>
  <c r="F437" i="6"/>
  <c r="F440" i="6"/>
  <c r="F441" i="6"/>
  <c r="F442" i="6"/>
  <c r="F443" i="6"/>
  <c r="F445" i="6"/>
  <c r="F447" i="6"/>
  <c r="F448" i="6"/>
  <c r="F449" i="6"/>
  <c r="F450" i="6"/>
  <c r="F451" i="6"/>
  <c r="F452" i="6"/>
  <c r="G437" i="6"/>
  <c r="G440" i="6"/>
  <c r="G441" i="6"/>
  <c r="G442" i="6"/>
  <c r="G443" i="6"/>
  <c r="G445" i="6"/>
  <c r="G447" i="6"/>
  <c r="G449" i="6"/>
  <c r="G450" i="6"/>
  <c r="G451" i="6"/>
  <c r="B92" i="16"/>
  <c r="B26" i="8" l="1"/>
  <c r="J22" i="10" l="1"/>
  <c r="B28" i="8" l="1"/>
  <c r="B27" i="8"/>
  <c r="T62" i="10" l="1"/>
  <c r="G238" i="13" l="1"/>
  <c r="G240" i="13"/>
  <c r="G241" i="13"/>
  <c r="G242" i="13"/>
  <c r="G243" i="13"/>
  <c r="G244" i="13"/>
  <c r="G245" i="13"/>
  <c r="G246" i="13"/>
  <c r="G248" i="13"/>
  <c r="G249" i="13"/>
  <c r="G250" i="13"/>
  <c r="G251" i="13"/>
  <c r="G252" i="13"/>
  <c r="G253" i="13"/>
  <c r="G254" i="13"/>
  <c r="G255" i="13"/>
  <c r="G256" i="13"/>
  <c r="F238" i="13"/>
  <c r="F240" i="13"/>
  <c r="F241" i="13"/>
  <c r="F242" i="13"/>
  <c r="F243" i="13"/>
  <c r="F244" i="13"/>
  <c r="F245" i="13"/>
  <c r="F246" i="13"/>
  <c r="F248" i="13"/>
  <c r="F249" i="13"/>
  <c r="F250" i="13"/>
  <c r="F251" i="13"/>
  <c r="F252" i="13"/>
  <c r="F253" i="13"/>
  <c r="F254" i="13"/>
  <c r="F255" i="13"/>
  <c r="F256" i="13"/>
  <c r="E238" i="13"/>
  <c r="E240" i="13"/>
  <c r="E241" i="13"/>
  <c r="E242" i="13"/>
  <c r="E243" i="13"/>
  <c r="E244" i="13"/>
  <c r="E245" i="13"/>
  <c r="E246" i="13"/>
  <c r="E248" i="13"/>
  <c r="E249" i="13"/>
  <c r="E250" i="13"/>
  <c r="E251" i="13"/>
  <c r="E252" i="13"/>
  <c r="E253" i="13"/>
  <c r="E254" i="13"/>
  <c r="E255" i="13"/>
  <c r="E256" i="13"/>
  <c r="C238" i="13"/>
  <c r="C240" i="13"/>
  <c r="C241" i="13"/>
  <c r="C242" i="13"/>
  <c r="C243" i="13"/>
  <c r="C244" i="13"/>
  <c r="C245" i="13"/>
  <c r="C246" i="13"/>
  <c r="C248" i="13"/>
  <c r="C249" i="13"/>
  <c r="C250" i="13"/>
  <c r="C251" i="13"/>
  <c r="C252" i="13"/>
  <c r="C253" i="13"/>
  <c r="C254" i="13"/>
  <c r="C255" i="13"/>
  <c r="C256" i="13"/>
  <c r="F196" i="13"/>
  <c r="F199" i="13"/>
  <c r="F200" i="13"/>
  <c r="F201" i="13"/>
  <c r="F202" i="13"/>
  <c r="F206" i="13"/>
  <c r="F207" i="13"/>
  <c r="F208" i="13"/>
  <c r="F210" i="13"/>
  <c r="F211" i="13"/>
  <c r="F212" i="13"/>
  <c r="E196" i="13"/>
  <c r="E199" i="13"/>
  <c r="E200" i="13"/>
  <c r="E201" i="13"/>
  <c r="E202" i="13"/>
  <c r="E206" i="13"/>
  <c r="E207" i="13"/>
  <c r="E208" i="13"/>
  <c r="E210" i="13"/>
  <c r="E211" i="13"/>
  <c r="E212" i="13"/>
  <c r="D196" i="13"/>
  <c r="D199" i="13"/>
  <c r="D200" i="13"/>
  <c r="D201" i="13"/>
  <c r="D202" i="13"/>
  <c r="D206" i="13"/>
  <c r="D207" i="13"/>
  <c r="D208" i="13"/>
  <c r="D210" i="13"/>
  <c r="D211" i="13"/>
  <c r="D212" i="13"/>
  <c r="H29" i="13" l="1"/>
  <c r="K43" i="13"/>
  <c r="B151" i="13"/>
  <c r="C151" i="13"/>
  <c r="D151" i="13"/>
  <c r="E151" i="13"/>
  <c r="F151" i="13"/>
  <c r="G151" i="13"/>
  <c r="H151" i="13"/>
  <c r="I151" i="13"/>
  <c r="L151" i="13"/>
  <c r="M151" i="13"/>
  <c r="B152" i="13"/>
  <c r="C152" i="13"/>
  <c r="D152" i="13"/>
  <c r="E152" i="13"/>
  <c r="F152" i="13"/>
  <c r="G152" i="13"/>
  <c r="H152" i="13"/>
  <c r="I152" i="13"/>
  <c r="L152" i="13"/>
  <c r="M152" i="13"/>
  <c r="B155" i="13"/>
  <c r="C155" i="13"/>
  <c r="D155" i="13"/>
  <c r="E155" i="13"/>
  <c r="F155" i="13"/>
  <c r="G155" i="13"/>
  <c r="H155" i="13"/>
  <c r="I155" i="13"/>
  <c r="L155" i="13"/>
  <c r="M155" i="13"/>
  <c r="B156" i="13"/>
  <c r="C156" i="13"/>
  <c r="D156" i="13"/>
  <c r="E156" i="13"/>
  <c r="F156" i="13"/>
  <c r="G156" i="13"/>
  <c r="H156" i="13"/>
  <c r="I156" i="13"/>
  <c r="L156" i="13"/>
  <c r="M156" i="13"/>
  <c r="B157" i="13"/>
  <c r="C157" i="13"/>
  <c r="D157" i="13"/>
  <c r="E157" i="13"/>
  <c r="F157" i="13"/>
  <c r="G157" i="13"/>
  <c r="H157" i="13"/>
  <c r="I157" i="13"/>
  <c r="L157" i="13"/>
  <c r="M157" i="13"/>
  <c r="B158" i="13"/>
  <c r="C158" i="13"/>
  <c r="D158" i="13"/>
  <c r="E158" i="13"/>
  <c r="F158" i="13"/>
  <c r="G158" i="13"/>
  <c r="H158" i="13"/>
  <c r="I158" i="13"/>
  <c r="L158" i="13"/>
  <c r="M158" i="13"/>
  <c r="B160" i="13"/>
  <c r="C160" i="13"/>
  <c r="D160" i="13"/>
  <c r="E160" i="13"/>
  <c r="F160" i="13"/>
  <c r="G160" i="13"/>
  <c r="H160" i="13"/>
  <c r="I160" i="13"/>
  <c r="L160" i="13"/>
  <c r="M160" i="13"/>
  <c r="B162" i="13"/>
  <c r="C162" i="13"/>
  <c r="D162" i="13"/>
  <c r="E162" i="13"/>
  <c r="F162" i="13"/>
  <c r="G162" i="13"/>
  <c r="H162" i="13"/>
  <c r="I162" i="13"/>
  <c r="L162" i="13"/>
  <c r="M162" i="13"/>
  <c r="B163" i="13"/>
  <c r="C163" i="13"/>
  <c r="D163" i="13"/>
  <c r="E163" i="13"/>
  <c r="F163" i="13"/>
  <c r="G163" i="13"/>
  <c r="H163" i="13"/>
  <c r="I163" i="13"/>
  <c r="L163" i="13"/>
  <c r="M163" i="13"/>
  <c r="B164" i="13"/>
  <c r="C164" i="13"/>
  <c r="D164" i="13"/>
  <c r="E164" i="13"/>
  <c r="F164" i="13"/>
  <c r="G164" i="13"/>
  <c r="H164" i="13"/>
  <c r="I164" i="13"/>
  <c r="L164" i="13"/>
  <c r="M164" i="13"/>
  <c r="B165" i="13"/>
  <c r="C165" i="13"/>
  <c r="D165" i="13"/>
  <c r="E165" i="13"/>
  <c r="F165" i="13"/>
  <c r="G165" i="13"/>
  <c r="H165" i="13"/>
  <c r="I165" i="13"/>
  <c r="L165" i="13"/>
  <c r="M165" i="13"/>
  <c r="B166" i="13"/>
  <c r="C166" i="13"/>
  <c r="D166" i="13"/>
  <c r="E166" i="13"/>
  <c r="F166" i="13"/>
  <c r="G166" i="13"/>
  <c r="H166" i="13"/>
  <c r="I166" i="13"/>
  <c r="L166" i="13"/>
  <c r="M166" i="13"/>
  <c r="B167" i="13"/>
  <c r="C167" i="13"/>
  <c r="D167" i="13"/>
  <c r="E167" i="13"/>
  <c r="F167" i="13"/>
  <c r="G167" i="13"/>
  <c r="H167" i="13"/>
  <c r="I167" i="13"/>
  <c r="L167" i="13"/>
  <c r="M167" i="13"/>
  <c r="B174" i="13"/>
  <c r="C174" i="13"/>
  <c r="D174" i="13"/>
  <c r="E174" i="13"/>
  <c r="F174" i="13"/>
  <c r="G174" i="13"/>
  <c r="H174" i="13"/>
  <c r="I174" i="13"/>
  <c r="J174" i="13"/>
  <c r="K174" i="13"/>
  <c r="B177" i="13"/>
  <c r="C177" i="13"/>
  <c r="D177" i="13"/>
  <c r="E177" i="13"/>
  <c r="F177" i="13"/>
  <c r="G177" i="13"/>
  <c r="H177" i="13"/>
  <c r="I177" i="13"/>
  <c r="J177" i="13"/>
  <c r="K177" i="13"/>
  <c r="B178" i="13"/>
  <c r="C178" i="13"/>
  <c r="D178" i="13"/>
  <c r="E178" i="13"/>
  <c r="F178" i="13"/>
  <c r="G178" i="13"/>
  <c r="H178" i="13"/>
  <c r="I178" i="13"/>
  <c r="J178" i="13"/>
  <c r="K178" i="13"/>
  <c r="B179" i="13"/>
  <c r="C179" i="13"/>
  <c r="D179" i="13"/>
  <c r="E179" i="13"/>
  <c r="F179" i="13"/>
  <c r="G179" i="13"/>
  <c r="H179" i="13"/>
  <c r="I179" i="13"/>
  <c r="J179" i="13"/>
  <c r="K179" i="13"/>
  <c r="B180" i="13"/>
  <c r="C180" i="13"/>
  <c r="D180" i="13"/>
  <c r="E180" i="13"/>
  <c r="F180" i="13"/>
  <c r="G180" i="13"/>
  <c r="H180" i="13"/>
  <c r="I180" i="13"/>
  <c r="J180" i="13"/>
  <c r="K180" i="13"/>
  <c r="B182" i="13"/>
  <c r="C182" i="13"/>
  <c r="D182" i="13"/>
  <c r="E182" i="13"/>
  <c r="F182" i="13"/>
  <c r="G182" i="13"/>
  <c r="H182" i="13"/>
  <c r="I182" i="13"/>
  <c r="J182" i="13"/>
  <c r="K182" i="13"/>
  <c r="B184" i="13"/>
  <c r="C184" i="13"/>
  <c r="D184" i="13"/>
  <c r="E184" i="13"/>
  <c r="F184" i="13"/>
  <c r="G184" i="13"/>
  <c r="H184" i="13"/>
  <c r="I184" i="13"/>
  <c r="J184" i="13"/>
  <c r="K184" i="13"/>
  <c r="B186" i="13"/>
  <c r="C186" i="13"/>
  <c r="D186" i="13"/>
  <c r="E186" i="13"/>
  <c r="F186" i="13"/>
  <c r="G186" i="13"/>
  <c r="H186" i="13"/>
  <c r="I186" i="13"/>
  <c r="J186" i="13"/>
  <c r="K186" i="13"/>
  <c r="B187" i="13"/>
  <c r="C187" i="13"/>
  <c r="D187" i="13"/>
  <c r="E187" i="13"/>
  <c r="F187" i="13"/>
  <c r="G187" i="13"/>
  <c r="H187" i="13"/>
  <c r="I187" i="13"/>
  <c r="J187" i="13"/>
  <c r="K187" i="13"/>
  <c r="B188" i="13"/>
  <c r="C188" i="13"/>
  <c r="D188" i="13"/>
  <c r="E188" i="13"/>
  <c r="F188" i="13"/>
  <c r="G188" i="13"/>
  <c r="H188" i="13"/>
  <c r="I188" i="13"/>
  <c r="J188" i="13"/>
  <c r="K188" i="13"/>
  <c r="B196" i="13"/>
  <c r="C196" i="13"/>
  <c r="G196" i="13"/>
  <c r="B199" i="13"/>
  <c r="C199" i="13"/>
  <c r="G199" i="13"/>
  <c r="B200" i="13"/>
  <c r="C200" i="13"/>
  <c r="G200" i="13"/>
  <c r="B201" i="13"/>
  <c r="C201" i="13"/>
  <c r="G201" i="13"/>
  <c r="B202" i="13"/>
  <c r="C202" i="13"/>
  <c r="G202" i="13"/>
  <c r="B206" i="13"/>
  <c r="C206" i="13"/>
  <c r="G206" i="13"/>
  <c r="B207" i="13"/>
  <c r="C207" i="13"/>
  <c r="G207" i="13"/>
  <c r="B208" i="13"/>
  <c r="C208" i="13"/>
  <c r="G208" i="13"/>
  <c r="B210" i="13"/>
  <c r="C210" i="13"/>
  <c r="G210" i="13"/>
  <c r="B211" i="13"/>
  <c r="C211" i="13"/>
  <c r="G211" i="13"/>
  <c r="B216" i="13"/>
  <c r="C216" i="13"/>
  <c r="D216" i="13"/>
  <c r="E216" i="13"/>
  <c r="F216" i="13"/>
  <c r="G216" i="13"/>
  <c r="B217" i="13"/>
  <c r="C217" i="13"/>
  <c r="D217" i="13"/>
  <c r="E217" i="13"/>
  <c r="F217" i="13"/>
  <c r="G217" i="13"/>
  <c r="B218" i="13"/>
  <c r="C218" i="13"/>
  <c r="D218" i="13"/>
  <c r="E218" i="13"/>
  <c r="F218" i="13"/>
  <c r="G218" i="13"/>
  <c r="B219" i="13"/>
  <c r="C219" i="13"/>
  <c r="D219" i="13"/>
  <c r="E219" i="13"/>
  <c r="F219" i="13"/>
  <c r="G219" i="13"/>
  <c r="B220" i="13"/>
  <c r="C220" i="13"/>
  <c r="D220" i="13"/>
  <c r="E220" i="13"/>
  <c r="F220" i="13"/>
  <c r="G220" i="13"/>
  <c r="B221" i="13"/>
  <c r="C221" i="13"/>
  <c r="D221" i="13"/>
  <c r="E221" i="13"/>
  <c r="F221" i="13"/>
  <c r="G221" i="13"/>
  <c r="B222" i="13"/>
  <c r="C222" i="13"/>
  <c r="D222" i="13"/>
  <c r="E222" i="13"/>
  <c r="F222" i="13"/>
  <c r="G222" i="13"/>
  <c r="B223" i="13"/>
  <c r="C223" i="13"/>
  <c r="D223" i="13"/>
  <c r="E223" i="13"/>
  <c r="F223" i="13"/>
  <c r="G223" i="13"/>
  <c r="B224" i="13"/>
  <c r="C224" i="13"/>
  <c r="D224" i="13"/>
  <c r="E224" i="13"/>
  <c r="F224" i="13"/>
  <c r="G224" i="13"/>
  <c r="B225" i="13"/>
  <c r="C225" i="13"/>
  <c r="D225" i="13"/>
  <c r="E225" i="13"/>
  <c r="F225" i="13"/>
  <c r="G225" i="13"/>
  <c r="B226" i="13"/>
  <c r="C226" i="13"/>
  <c r="D226" i="13"/>
  <c r="E226" i="13"/>
  <c r="F226" i="13"/>
  <c r="G226" i="13"/>
  <c r="B227" i="13"/>
  <c r="C227" i="13"/>
  <c r="D227" i="13"/>
  <c r="E227" i="13"/>
  <c r="F227" i="13"/>
  <c r="G227" i="13"/>
  <c r="B228" i="13"/>
  <c r="C228" i="13"/>
  <c r="D228" i="13"/>
  <c r="E228" i="13"/>
  <c r="F228" i="13"/>
  <c r="G228" i="13"/>
  <c r="B229" i="13"/>
  <c r="C229" i="13"/>
  <c r="D229" i="13"/>
  <c r="E229" i="13"/>
  <c r="F229" i="13"/>
  <c r="G229" i="13"/>
  <c r="B230" i="13"/>
  <c r="C230" i="13"/>
  <c r="D230" i="13"/>
  <c r="E230" i="13"/>
  <c r="F230" i="13"/>
  <c r="G230" i="13"/>
  <c r="B231" i="13"/>
  <c r="C231" i="13"/>
  <c r="D231" i="13"/>
  <c r="E231" i="13"/>
  <c r="F231" i="13"/>
  <c r="G231" i="13"/>
  <c r="B232" i="13"/>
  <c r="C232" i="13"/>
  <c r="D232" i="13"/>
  <c r="E232" i="13"/>
  <c r="F232" i="13"/>
  <c r="G232" i="13"/>
  <c r="B233" i="13"/>
  <c r="C233" i="13"/>
  <c r="D233" i="13"/>
  <c r="E233" i="13"/>
  <c r="F233" i="13"/>
  <c r="G233" i="13"/>
  <c r="B238" i="13"/>
  <c r="D238" i="13"/>
  <c r="B240" i="13"/>
  <c r="D240" i="13"/>
  <c r="B241" i="13"/>
  <c r="D241" i="13"/>
  <c r="B242" i="13"/>
  <c r="D242" i="13"/>
  <c r="B243" i="13"/>
  <c r="D243" i="13"/>
  <c r="B244" i="13"/>
  <c r="D244" i="13"/>
  <c r="B245" i="13"/>
  <c r="D245" i="13"/>
  <c r="B246" i="13"/>
  <c r="D246" i="13"/>
  <c r="B248" i="13"/>
  <c r="D248" i="13"/>
  <c r="B249" i="13"/>
  <c r="D249" i="13"/>
  <c r="B250" i="13"/>
  <c r="D250" i="13"/>
  <c r="B251" i="13"/>
  <c r="D251" i="13"/>
  <c r="B252" i="13"/>
  <c r="D252" i="13"/>
  <c r="B253" i="13"/>
  <c r="D253" i="13"/>
  <c r="B254" i="13"/>
  <c r="D254" i="13"/>
  <c r="B255" i="13"/>
  <c r="D255" i="13"/>
  <c r="B130" i="13"/>
  <c r="C130" i="13"/>
  <c r="D130" i="13"/>
  <c r="E130" i="13"/>
  <c r="F130" i="13"/>
  <c r="G130" i="13"/>
  <c r="J130" i="13"/>
  <c r="K130" i="13"/>
  <c r="L130" i="13"/>
  <c r="M130" i="13"/>
  <c r="B133" i="13"/>
  <c r="C133" i="13"/>
  <c r="D133" i="13"/>
  <c r="E133" i="13"/>
  <c r="F133" i="13"/>
  <c r="G133" i="13"/>
  <c r="J133" i="13"/>
  <c r="K133" i="13"/>
  <c r="L133" i="13"/>
  <c r="M133" i="13"/>
  <c r="B134" i="13"/>
  <c r="C134" i="13"/>
  <c r="D134" i="13"/>
  <c r="E134" i="13"/>
  <c r="F134" i="13"/>
  <c r="G134" i="13"/>
  <c r="J134" i="13"/>
  <c r="K134" i="13"/>
  <c r="L134" i="13"/>
  <c r="M134" i="13"/>
  <c r="B135" i="13"/>
  <c r="C135" i="13"/>
  <c r="D135" i="13"/>
  <c r="E135" i="13"/>
  <c r="F135" i="13"/>
  <c r="G135" i="13"/>
  <c r="J135" i="13"/>
  <c r="K135" i="13"/>
  <c r="L135" i="13"/>
  <c r="M135" i="13"/>
  <c r="B136" i="13"/>
  <c r="C136" i="13"/>
  <c r="D136" i="13"/>
  <c r="E136" i="13"/>
  <c r="F136" i="13"/>
  <c r="G136" i="13"/>
  <c r="J136" i="13"/>
  <c r="K136" i="13"/>
  <c r="L136" i="13"/>
  <c r="M136" i="13"/>
  <c r="B140" i="13"/>
  <c r="C140" i="13"/>
  <c r="D140" i="13"/>
  <c r="E140" i="13"/>
  <c r="F140" i="13"/>
  <c r="G140" i="13"/>
  <c r="J140" i="13"/>
  <c r="K140" i="13"/>
  <c r="L140" i="13"/>
  <c r="M140" i="13"/>
  <c r="B141" i="13"/>
  <c r="C141" i="13"/>
  <c r="D141" i="13"/>
  <c r="E141" i="13"/>
  <c r="F141" i="13"/>
  <c r="G141" i="13"/>
  <c r="J141" i="13"/>
  <c r="K141" i="13"/>
  <c r="L141" i="13"/>
  <c r="M141" i="13"/>
  <c r="B142" i="13"/>
  <c r="C142" i="13"/>
  <c r="D142" i="13"/>
  <c r="E142" i="13"/>
  <c r="F142" i="13"/>
  <c r="G142" i="13"/>
  <c r="J142" i="13"/>
  <c r="K142" i="13"/>
  <c r="L142" i="13"/>
  <c r="M142" i="13"/>
  <c r="B144" i="13"/>
  <c r="C144" i="13"/>
  <c r="D144" i="13"/>
  <c r="E144" i="13"/>
  <c r="F144" i="13"/>
  <c r="G144" i="13"/>
  <c r="J144" i="13"/>
  <c r="K144" i="13"/>
  <c r="L144" i="13"/>
  <c r="M144" i="13"/>
  <c r="B108" i="13"/>
  <c r="C108" i="13"/>
  <c r="D108" i="13"/>
  <c r="E108" i="13"/>
  <c r="H108" i="13"/>
  <c r="I108" i="13"/>
  <c r="J108" i="13"/>
  <c r="K108" i="13"/>
  <c r="L108" i="13"/>
  <c r="M108" i="13"/>
  <c r="B111" i="13"/>
  <c r="C111" i="13"/>
  <c r="D111" i="13"/>
  <c r="E111" i="13"/>
  <c r="H111" i="13"/>
  <c r="I111" i="13"/>
  <c r="J111" i="13"/>
  <c r="K111" i="13"/>
  <c r="L111" i="13"/>
  <c r="M111" i="13"/>
  <c r="B112" i="13"/>
  <c r="C112" i="13"/>
  <c r="D112" i="13"/>
  <c r="E112" i="13"/>
  <c r="H112" i="13"/>
  <c r="I112" i="13"/>
  <c r="J112" i="13"/>
  <c r="K112" i="13"/>
  <c r="L112" i="13"/>
  <c r="M112" i="13"/>
  <c r="B113" i="13"/>
  <c r="C113" i="13"/>
  <c r="D113" i="13"/>
  <c r="E113" i="13"/>
  <c r="H113" i="13"/>
  <c r="I113" i="13"/>
  <c r="J113" i="13"/>
  <c r="K113" i="13"/>
  <c r="L113" i="13"/>
  <c r="M113" i="13"/>
  <c r="B114" i="13"/>
  <c r="C114" i="13"/>
  <c r="D114" i="13"/>
  <c r="E114" i="13"/>
  <c r="H114" i="13"/>
  <c r="I114" i="13"/>
  <c r="J114" i="13"/>
  <c r="K114" i="13"/>
  <c r="L114" i="13"/>
  <c r="M114" i="13"/>
  <c r="B118" i="13"/>
  <c r="C118" i="13"/>
  <c r="D118" i="13"/>
  <c r="E118" i="13"/>
  <c r="H118" i="13"/>
  <c r="I118" i="13"/>
  <c r="J118" i="13"/>
  <c r="K118" i="13"/>
  <c r="L118" i="13"/>
  <c r="M118" i="13"/>
  <c r="B119" i="13"/>
  <c r="C119" i="13"/>
  <c r="D119" i="13"/>
  <c r="E119" i="13"/>
  <c r="H119" i="13"/>
  <c r="I119" i="13"/>
  <c r="J119" i="13"/>
  <c r="K119" i="13"/>
  <c r="L119" i="13"/>
  <c r="M119" i="13"/>
  <c r="B120" i="13"/>
  <c r="C120" i="13"/>
  <c r="D120" i="13"/>
  <c r="E120" i="13"/>
  <c r="H120" i="13"/>
  <c r="I120" i="13"/>
  <c r="J120" i="13"/>
  <c r="K120" i="13"/>
  <c r="L120" i="13"/>
  <c r="M120" i="13"/>
  <c r="B122" i="13"/>
  <c r="C122" i="13"/>
  <c r="D122" i="13"/>
  <c r="E122" i="13"/>
  <c r="H122" i="13"/>
  <c r="I122" i="13"/>
  <c r="J122" i="13"/>
  <c r="K122" i="13"/>
  <c r="L122" i="13"/>
  <c r="M122" i="13"/>
  <c r="B86" i="13"/>
  <c r="C86" i="13"/>
  <c r="F86" i="13"/>
  <c r="G86" i="13"/>
  <c r="H86" i="13"/>
  <c r="I86" i="13"/>
  <c r="J86" i="13"/>
  <c r="K86" i="13"/>
  <c r="L86" i="13"/>
  <c r="M86" i="13"/>
  <c r="B89" i="13"/>
  <c r="C89" i="13"/>
  <c r="F89" i="13"/>
  <c r="G89" i="13"/>
  <c r="H89" i="13"/>
  <c r="I89" i="13"/>
  <c r="J89" i="13"/>
  <c r="K89" i="13"/>
  <c r="L89" i="13"/>
  <c r="M89" i="13"/>
  <c r="B90" i="13"/>
  <c r="C90" i="13"/>
  <c r="F90" i="13"/>
  <c r="G90" i="13"/>
  <c r="H90" i="13"/>
  <c r="I90" i="13"/>
  <c r="J90" i="13"/>
  <c r="K90" i="13"/>
  <c r="L90" i="13"/>
  <c r="M90" i="13"/>
  <c r="B91" i="13"/>
  <c r="C91" i="13"/>
  <c r="F91" i="13"/>
  <c r="G91" i="13"/>
  <c r="H91" i="13"/>
  <c r="I91" i="13"/>
  <c r="J91" i="13"/>
  <c r="K91" i="13"/>
  <c r="L91" i="13"/>
  <c r="M91" i="13"/>
  <c r="B92" i="13"/>
  <c r="C92" i="13"/>
  <c r="F92" i="13"/>
  <c r="G92" i="13"/>
  <c r="H92" i="13"/>
  <c r="I92" i="13"/>
  <c r="J92" i="13"/>
  <c r="K92" i="13"/>
  <c r="L92" i="13"/>
  <c r="M92" i="13"/>
  <c r="B96" i="13"/>
  <c r="C96" i="13"/>
  <c r="F96" i="13"/>
  <c r="G96" i="13"/>
  <c r="H96" i="13"/>
  <c r="I96" i="13"/>
  <c r="J96" i="13"/>
  <c r="K96" i="13"/>
  <c r="L96" i="13"/>
  <c r="M96" i="13"/>
  <c r="B98" i="13"/>
  <c r="C98" i="13"/>
  <c r="F98" i="13"/>
  <c r="G98" i="13"/>
  <c r="H98" i="13"/>
  <c r="I98" i="13"/>
  <c r="J98" i="13"/>
  <c r="K98" i="13"/>
  <c r="L98" i="13"/>
  <c r="M98" i="13"/>
  <c r="B100" i="13"/>
  <c r="C100" i="13"/>
  <c r="F100" i="13"/>
  <c r="G100" i="13"/>
  <c r="H100" i="13"/>
  <c r="I100" i="13"/>
  <c r="J100" i="13"/>
  <c r="K100" i="13"/>
  <c r="L100" i="13"/>
  <c r="M100" i="13"/>
  <c r="D64" i="13"/>
  <c r="E64" i="13"/>
  <c r="F64" i="13"/>
  <c r="G64" i="13"/>
  <c r="H64" i="13"/>
  <c r="I64" i="13"/>
  <c r="J64" i="13"/>
  <c r="K64" i="13"/>
  <c r="L64" i="13"/>
  <c r="M64" i="13"/>
  <c r="D67" i="13"/>
  <c r="E67" i="13"/>
  <c r="F67" i="13"/>
  <c r="G67" i="13"/>
  <c r="H67" i="13"/>
  <c r="I67" i="13"/>
  <c r="J67" i="13"/>
  <c r="K67" i="13"/>
  <c r="L67" i="13"/>
  <c r="M67" i="13"/>
  <c r="D68" i="13"/>
  <c r="E68" i="13"/>
  <c r="F68" i="13"/>
  <c r="G68" i="13"/>
  <c r="H68" i="13"/>
  <c r="I68" i="13"/>
  <c r="J68" i="13"/>
  <c r="K68" i="13"/>
  <c r="L68" i="13"/>
  <c r="M68" i="13"/>
  <c r="D69" i="13"/>
  <c r="E69" i="13"/>
  <c r="F69" i="13"/>
  <c r="G69" i="13"/>
  <c r="H69" i="13"/>
  <c r="I69" i="13"/>
  <c r="J69" i="13"/>
  <c r="K69" i="13"/>
  <c r="L69" i="13"/>
  <c r="M69" i="13"/>
  <c r="D70" i="13"/>
  <c r="E70" i="13"/>
  <c r="F70" i="13"/>
  <c r="G70" i="13"/>
  <c r="H70" i="13"/>
  <c r="I70" i="13"/>
  <c r="J70" i="13"/>
  <c r="K70" i="13"/>
  <c r="L70" i="13"/>
  <c r="M70" i="13"/>
  <c r="D74" i="13"/>
  <c r="E74" i="13"/>
  <c r="F74" i="13"/>
  <c r="G74" i="13"/>
  <c r="H74" i="13"/>
  <c r="I74" i="13"/>
  <c r="J74" i="13"/>
  <c r="K74" i="13"/>
  <c r="L74" i="13"/>
  <c r="M74" i="13"/>
  <c r="D75" i="13"/>
  <c r="E75" i="13"/>
  <c r="F75" i="13"/>
  <c r="G75" i="13"/>
  <c r="H75" i="13"/>
  <c r="I75" i="13"/>
  <c r="J75" i="13"/>
  <c r="K75" i="13"/>
  <c r="L75" i="13"/>
  <c r="M75" i="13"/>
  <c r="D76" i="13"/>
  <c r="E76" i="13"/>
  <c r="F76" i="13"/>
  <c r="G76" i="13"/>
  <c r="H76" i="13"/>
  <c r="I76" i="13"/>
  <c r="J76" i="13"/>
  <c r="K76" i="13"/>
  <c r="L76" i="13"/>
  <c r="M76" i="13"/>
  <c r="D78" i="13"/>
  <c r="E78" i="13"/>
  <c r="F78" i="13"/>
  <c r="G78" i="13"/>
  <c r="H78" i="13"/>
  <c r="I78" i="13"/>
  <c r="J78" i="13"/>
  <c r="K78" i="13"/>
  <c r="L78" i="13"/>
  <c r="M78" i="13"/>
  <c r="B359" i="13" l="1" a="1"/>
  <c r="B359" i="13" s="1"/>
  <c r="D359" i="13" s="1"/>
  <c r="B348" i="13" a="1"/>
  <c r="B348" i="13" s="1"/>
  <c r="D348" i="13" s="1"/>
  <c r="B350" i="13" a="1"/>
  <c r="B350" i="13" s="1"/>
  <c r="D350" i="13" s="1"/>
  <c r="B353" i="13" a="1"/>
  <c r="B353" i="13" s="1"/>
  <c r="D353" i="13" s="1"/>
  <c r="B364" i="13" a="1"/>
  <c r="B364" i="13" s="1"/>
  <c r="D364" i="13" s="1"/>
  <c r="B352" i="13" a="1"/>
  <c r="B352" i="13" s="1"/>
  <c r="D352" i="13" s="1"/>
  <c r="B358" i="13" a="1"/>
  <c r="B358" i="13" s="1"/>
  <c r="D358" i="13" s="1"/>
  <c r="B347" i="13" a="1"/>
  <c r="B347" i="13" s="1"/>
  <c r="D347" i="13" s="1"/>
  <c r="E319" i="13" a="1"/>
  <c r="E319" i="13" s="1"/>
  <c r="B195" i="13"/>
  <c r="D195" i="13"/>
  <c r="E195" i="13"/>
  <c r="F195" i="13"/>
  <c r="G195" i="13"/>
  <c r="C195" i="13"/>
  <c r="B341" i="13" l="1" a="1"/>
  <c r="B341" i="13" s="1"/>
  <c r="D341" i="13" s="1"/>
  <c r="K3133" i="1" l="1"/>
  <c r="J3133" i="1"/>
  <c r="K3104" i="1"/>
  <c r="J3104" i="1"/>
  <c r="K3216" i="1"/>
  <c r="J3216" i="1"/>
  <c r="H3216" i="1"/>
  <c r="G3216" i="1"/>
  <c r="F3216" i="1"/>
  <c r="E3216" i="1"/>
  <c r="D3216" i="1"/>
  <c r="H3133" i="1"/>
  <c r="G3133" i="1"/>
  <c r="F3133" i="1"/>
  <c r="E3133" i="1"/>
  <c r="H3104" i="1"/>
  <c r="G3104" i="1"/>
  <c r="F3104" i="1"/>
  <c r="E3104" i="1"/>
  <c r="D3133" i="1"/>
  <c r="D3104" i="1"/>
  <c r="E258" i="11" l="1"/>
  <c r="E257" i="11"/>
  <c r="E256" i="11" l="1"/>
  <c r="J16" i="11" s="1"/>
  <c r="C21" i="9"/>
  <c r="C20" i="9"/>
  <c r="C22" i="9" s="1"/>
  <c r="J10" i="9"/>
  <c r="D56" i="8" l="1"/>
  <c r="C11" i="9"/>
  <c r="I230" i="7"/>
  <c r="I231" i="7"/>
  <c r="I103" i="7"/>
  <c r="T72" i="10"/>
  <c r="F27" i="12" l="1"/>
  <c r="K3215" i="1"/>
  <c r="J3215" i="1"/>
  <c r="K3132" i="1"/>
  <c r="J3132" i="1"/>
  <c r="K3103" i="1"/>
  <c r="J3103" i="1"/>
  <c r="E3215" i="1"/>
  <c r="F3215" i="1"/>
  <c r="G3215" i="1"/>
  <c r="H3215" i="1"/>
  <c r="D3215" i="1"/>
  <c r="E3132" i="1"/>
  <c r="F3132" i="1"/>
  <c r="G3132" i="1"/>
  <c r="H3132" i="1"/>
  <c r="D3132" i="1"/>
  <c r="E3103" i="1"/>
  <c r="F3103" i="1"/>
  <c r="G3103" i="1"/>
  <c r="H3103" i="1"/>
  <c r="D3103" i="1"/>
  <c r="D3105" i="1"/>
  <c r="H3115" i="1"/>
  <c r="F3115" i="1"/>
  <c r="E3115" i="1"/>
  <c r="D3115" i="1"/>
  <c r="H3105" i="1"/>
  <c r="F3105" i="1"/>
  <c r="E3105" i="1"/>
  <c r="G3115" i="1"/>
  <c r="G3105" i="1"/>
  <c r="A3077" i="1"/>
  <c r="B3077" i="1"/>
  <c r="C3077" i="1"/>
  <c r="D3077" i="1"/>
  <c r="E3077" i="1"/>
  <c r="D3100" i="1"/>
  <c r="E3100" i="1"/>
  <c r="F3100" i="1"/>
  <c r="G3100" i="1"/>
  <c r="D3101" i="1"/>
  <c r="E3101" i="1"/>
  <c r="F3101" i="1"/>
  <c r="G3101" i="1"/>
  <c r="H3101" i="1"/>
  <c r="D3102" i="1"/>
  <c r="E3102" i="1"/>
  <c r="F3102" i="1"/>
  <c r="G3102" i="1"/>
  <c r="H3102" i="1"/>
  <c r="D3106" i="1"/>
  <c r="E3106" i="1"/>
  <c r="F3106" i="1"/>
  <c r="G3106" i="1"/>
  <c r="H3106" i="1"/>
  <c r="D3107" i="1"/>
  <c r="E3107" i="1"/>
  <c r="F3107" i="1"/>
  <c r="G3107" i="1"/>
  <c r="H3107" i="1"/>
  <c r="D3108" i="1"/>
  <c r="E3108" i="1"/>
  <c r="F3108" i="1"/>
  <c r="G3108" i="1"/>
  <c r="H3108" i="1"/>
  <c r="D3109" i="1"/>
  <c r="E3109" i="1"/>
  <c r="F3109" i="1"/>
  <c r="G3109" i="1"/>
  <c r="H3109" i="1"/>
  <c r="D3110" i="1"/>
  <c r="E3110" i="1"/>
  <c r="F3110" i="1"/>
  <c r="G3110" i="1"/>
  <c r="H3110" i="1"/>
  <c r="D3111" i="1"/>
  <c r="E3111" i="1"/>
  <c r="F3111" i="1"/>
  <c r="G3111" i="1"/>
  <c r="H3111" i="1"/>
  <c r="D3112" i="1"/>
  <c r="E3112" i="1"/>
  <c r="F3112" i="1"/>
  <c r="G3112" i="1"/>
  <c r="H3112" i="1"/>
  <c r="D3113" i="1"/>
  <c r="E3113" i="1"/>
  <c r="F3113" i="1"/>
  <c r="G3113" i="1"/>
  <c r="H3113" i="1"/>
  <c r="D3114" i="1"/>
  <c r="E3114" i="1"/>
  <c r="F3114" i="1"/>
  <c r="G3114" i="1"/>
  <c r="H3114" i="1"/>
  <c r="D3116" i="1"/>
  <c r="E3116" i="1"/>
  <c r="F3116" i="1"/>
  <c r="G3116" i="1"/>
  <c r="H3116" i="1"/>
  <c r="D3117" i="1"/>
  <c r="E3117" i="1"/>
  <c r="F3117" i="1"/>
  <c r="G3117" i="1"/>
  <c r="H3117" i="1"/>
  <c r="D3118" i="1"/>
  <c r="E3118" i="1"/>
  <c r="F3118" i="1"/>
  <c r="G3118" i="1"/>
  <c r="H3118" i="1"/>
  <c r="D3119" i="1"/>
  <c r="E3119" i="1"/>
  <c r="F3119" i="1"/>
  <c r="G3119" i="1"/>
  <c r="H3119" i="1"/>
  <c r="D3120" i="1"/>
  <c r="E3120" i="1"/>
  <c r="F3120" i="1"/>
  <c r="G3120" i="1"/>
  <c r="H3120" i="1"/>
  <c r="D3121" i="1"/>
  <c r="E3121" i="1"/>
  <c r="F3121" i="1"/>
  <c r="G3121" i="1"/>
  <c r="H3121" i="1"/>
  <c r="D3129" i="1"/>
  <c r="E3129" i="1"/>
  <c r="F3129" i="1"/>
  <c r="G3129" i="1"/>
  <c r="H3129" i="1"/>
  <c r="D3130" i="1"/>
  <c r="E3130" i="1"/>
  <c r="F3130" i="1"/>
  <c r="G3130" i="1"/>
  <c r="H3130" i="1"/>
  <c r="D3131" i="1"/>
  <c r="E3131" i="1"/>
  <c r="F3131" i="1"/>
  <c r="G3131" i="1"/>
  <c r="H3131" i="1"/>
  <c r="D3134" i="1"/>
  <c r="E3134" i="1"/>
  <c r="F3134" i="1"/>
  <c r="G3134" i="1"/>
  <c r="H3134" i="1"/>
  <c r="D3135" i="1"/>
  <c r="E3135" i="1"/>
  <c r="F3135" i="1"/>
  <c r="G3135" i="1"/>
  <c r="H3135" i="1"/>
  <c r="D3136" i="1"/>
  <c r="E3136" i="1"/>
  <c r="F3136" i="1"/>
  <c r="G3136" i="1"/>
  <c r="H3136" i="1"/>
  <c r="D3137" i="1"/>
  <c r="E3137" i="1"/>
  <c r="F3137" i="1"/>
  <c r="G3137" i="1"/>
  <c r="H3137" i="1"/>
  <c r="D3138" i="1"/>
  <c r="E3138" i="1"/>
  <c r="F3138" i="1"/>
  <c r="G3138" i="1"/>
  <c r="H3138" i="1"/>
  <c r="D3139" i="1"/>
  <c r="E3139" i="1"/>
  <c r="F3139" i="1"/>
  <c r="G3139" i="1"/>
  <c r="H3139" i="1"/>
  <c r="D3140" i="1"/>
  <c r="E3140" i="1"/>
  <c r="F3140" i="1"/>
  <c r="G3140" i="1"/>
  <c r="H3140" i="1"/>
  <c r="D3141" i="1"/>
  <c r="E3141" i="1"/>
  <c r="F3141" i="1"/>
  <c r="G3141" i="1"/>
  <c r="H3141" i="1"/>
  <c r="D3142" i="1"/>
  <c r="E3142" i="1"/>
  <c r="F3142" i="1"/>
  <c r="G3142" i="1"/>
  <c r="H3142" i="1"/>
  <c r="D3143" i="1"/>
  <c r="E3143" i="1"/>
  <c r="F3143" i="1"/>
  <c r="G3143" i="1"/>
  <c r="H3143" i="1"/>
  <c r="D3144" i="1"/>
  <c r="E3144" i="1"/>
  <c r="F3144" i="1"/>
  <c r="G3144" i="1"/>
  <c r="H3144" i="1"/>
  <c r="D3145" i="1"/>
  <c r="E3145" i="1"/>
  <c r="F3145" i="1"/>
  <c r="G3145" i="1"/>
  <c r="H3145" i="1"/>
  <c r="D3146" i="1"/>
  <c r="E3146" i="1"/>
  <c r="F3146" i="1"/>
  <c r="G3146" i="1"/>
  <c r="H3146" i="1"/>
  <c r="D3147" i="1"/>
  <c r="E3147" i="1"/>
  <c r="F3147" i="1"/>
  <c r="G3147" i="1"/>
  <c r="H3147" i="1"/>
  <c r="D3148" i="1"/>
  <c r="E3148" i="1"/>
  <c r="F3148" i="1"/>
  <c r="G3148" i="1"/>
  <c r="H3148" i="1"/>
  <c r="D3149" i="1"/>
  <c r="E3149" i="1"/>
  <c r="F3149" i="1"/>
  <c r="G3149" i="1"/>
  <c r="H3149" i="1"/>
  <c r="D3150" i="1"/>
  <c r="E3150" i="1"/>
  <c r="F3150" i="1"/>
  <c r="G3150" i="1"/>
  <c r="H3150" i="1"/>
  <c r="D3158" i="1"/>
  <c r="E3158" i="1"/>
  <c r="F3158" i="1"/>
  <c r="G3158" i="1"/>
  <c r="H3158" i="1"/>
  <c r="D3159" i="1"/>
  <c r="E3159" i="1"/>
  <c r="F3159" i="1"/>
  <c r="G3159" i="1"/>
  <c r="H3159" i="1"/>
  <c r="D3160" i="1"/>
  <c r="E3160" i="1"/>
  <c r="F3160" i="1"/>
  <c r="G3160" i="1"/>
  <c r="H3160" i="1"/>
  <c r="D3161" i="1"/>
  <c r="E3161" i="1"/>
  <c r="F3161" i="1"/>
  <c r="G3161" i="1"/>
  <c r="H3161" i="1"/>
  <c r="D3162" i="1"/>
  <c r="E3162" i="1"/>
  <c r="F3162" i="1"/>
  <c r="G3162" i="1"/>
  <c r="H3162" i="1"/>
  <c r="D3163" i="1"/>
  <c r="E3163" i="1"/>
  <c r="F3163" i="1"/>
  <c r="G3163" i="1"/>
  <c r="H3163" i="1"/>
  <c r="D3164" i="1"/>
  <c r="E3164" i="1"/>
  <c r="F3164" i="1"/>
  <c r="G3164" i="1"/>
  <c r="H3164" i="1"/>
  <c r="D3165" i="1"/>
  <c r="E3165" i="1"/>
  <c r="F3165" i="1"/>
  <c r="G3165" i="1"/>
  <c r="H3165" i="1"/>
  <c r="D3166" i="1"/>
  <c r="E3166" i="1"/>
  <c r="F3166" i="1"/>
  <c r="G3166" i="1"/>
  <c r="H3166" i="1"/>
  <c r="D3167" i="1"/>
  <c r="E3167" i="1"/>
  <c r="F3167" i="1"/>
  <c r="G3167" i="1"/>
  <c r="H3167" i="1"/>
  <c r="D3168" i="1"/>
  <c r="E3168" i="1"/>
  <c r="F3168" i="1"/>
  <c r="G3168" i="1"/>
  <c r="H3168" i="1"/>
  <c r="D3169" i="1"/>
  <c r="E3169" i="1"/>
  <c r="F3169" i="1"/>
  <c r="G3169" i="1"/>
  <c r="H3169" i="1"/>
  <c r="D3170" i="1"/>
  <c r="E3170" i="1"/>
  <c r="F3170" i="1"/>
  <c r="G3170" i="1"/>
  <c r="H3170" i="1"/>
  <c r="D3171" i="1"/>
  <c r="E3171" i="1"/>
  <c r="F3171" i="1"/>
  <c r="G3171" i="1"/>
  <c r="H3171" i="1"/>
  <c r="D3172" i="1"/>
  <c r="E3172" i="1"/>
  <c r="F3172" i="1"/>
  <c r="G3172" i="1"/>
  <c r="H3172" i="1"/>
  <c r="D3173" i="1"/>
  <c r="E3173" i="1"/>
  <c r="F3173" i="1"/>
  <c r="G3173" i="1"/>
  <c r="H3173" i="1"/>
  <c r="D3174" i="1"/>
  <c r="E3174" i="1"/>
  <c r="F3174" i="1"/>
  <c r="G3174" i="1"/>
  <c r="H3174" i="1"/>
  <c r="D3175" i="1"/>
  <c r="E3175" i="1"/>
  <c r="F3175" i="1"/>
  <c r="G3175" i="1"/>
  <c r="H3175" i="1"/>
  <c r="D3176" i="1"/>
  <c r="E3176" i="1"/>
  <c r="F3176" i="1"/>
  <c r="G3176" i="1"/>
  <c r="H3176" i="1"/>
  <c r="D3177" i="1"/>
  <c r="E3177" i="1"/>
  <c r="F3177" i="1"/>
  <c r="G3177" i="1"/>
  <c r="H3177" i="1"/>
  <c r="D3178" i="1"/>
  <c r="E3178" i="1"/>
  <c r="F3178" i="1"/>
  <c r="G3178" i="1"/>
  <c r="H3178" i="1"/>
  <c r="D3185" i="1"/>
  <c r="E3185" i="1"/>
  <c r="F3185" i="1"/>
  <c r="G3185" i="1"/>
  <c r="H3185" i="1"/>
  <c r="D3186" i="1"/>
  <c r="E3186" i="1"/>
  <c r="F3186" i="1"/>
  <c r="G3186" i="1"/>
  <c r="H3186" i="1"/>
  <c r="D3187" i="1"/>
  <c r="E3187" i="1"/>
  <c r="F3187" i="1"/>
  <c r="G3187" i="1"/>
  <c r="H3187" i="1"/>
  <c r="D3188" i="1"/>
  <c r="E3188" i="1"/>
  <c r="F3188" i="1"/>
  <c r="G3188" i="1"/>
  <c r="H3188" i="1"/>
  <c r="D3189" i="1"/>
  <c r="E3189" i="1"/>
  <c r="F3189" i="1"/>
  <c r="G3189" i="1"/>
  <c r="H3189" i="1"/>
  <c r="D3190" i="1"/>
  <c r="E3190" i="1"/>
  <c r="F3190" i="1"/>
  <c r="G3190" i="1"/>
  <c r="H3190" i="1"/>
  <c r="D3191" i="1"/>
  <c r="E3191" i="1"/>
  <c r="F3191" i="1"/>
  <c r="G3191" i="1"/>
  <c r="H3191" i="1"/>
  <c r="D3192" i="1"/>
  <c r="E3192" i="1"/>
  <c r="F3192" i="1"/>
  <c r="G3192" i="1"/>
  <c r="H3192" i="1"/>
  <c r="D3193" i="1"/>
  <c r="E3193" i="1"/>
  <c r="F3193" i="1"/>
  <c r="G3193" i="1"/>
  <c r="H3193" i="1"/>
  <c r="D3194" i="1"/>
  <c r="E3194" i="1"/>
  <c r="F3194" i="1"/>
  <c r="G3194" i="1"/>
  <c r="H3194" i="1"/>
  <c r="D3195" i="1"/>
  <c r="E3195" i="1"/>
  <c r="F3195" i="1"/>
  <c r="G3195" i="1"/>
  <c r="H3195" i="1"/>
  <c r="D3196" i="1"/>
  <c r="E3196" i="1"/>
  <c r="F3196" i="1"/>
  <c r="G3196" i="1"/>
  <c r="H3196" i="1"/>
  <c r="D3197" i="1"/>
  <c r="E3197" i="1"/>
  <c r="F3197" i="1"/>
  <c r="G3197" i="1"/>
  <c r="H3197" i="1"/>
  <c r="D3198" i="1"/>
  <c r="E3198" i="1"/>
  <c r="F3198" i="1"/>
  <c r="G3198" i="1"/>
  <c r="H3198" i="1"/>
  <c r="D3199" i="1"/>
  <c r="E3199" i="1"/>
  <c r="F3199" i="1"/>
  <c r="G3199" i="1"/>
  <c r="H3199" i="1"/>
  <c r="D3200" i="1"/>
  <c r="E3200" i="1"/>
  <c r="F3200" i="1"/>
  <c r="G3200" i="1"/>
  <c r="H3200" i="1"/>
  <c r="D3201" i="1"/>
  <c r="E3201" i="1"/>
  <c r="F3201" i="1"/>
  <c r="G3201" i="1"/>
  <c r="H3201" i="1"/>
  <c r="D3202" i="1"/>
  <c r="E3202" i="1"/>
  <c r="F3202" i="1"/>
  <c r="G3202" i="1"/>
  <c r="H3202" i="1"/>
  <c r="D3203" i="1"/>
  <c r="E3203" i="1"/>
  <c r="F3203" i="1"/>
  <c r="G3203" i="1"/>
  <c r="H3203" i="1"/>
  <c r="D3204" i="1"/>
  <c r="E3204" i="1"/>
  <c r="F3204" i="1"/>
  <c r="G3204" i="1"/>
  <c r="H3204" i="1"/>
  <c r="D3205" i="1"/>
  <c r="E3205" i="1"/>
  <c r="F3205" i="1"/>
  <c r="G3205" i="1"/>
  <c r="H3205" i="1"/>
  <c r="D3212" i="1"/>
  <c r="E3212" i="1"/>
  <c r="F3212" i="1"/>
  <c r="G3212" i="1"/>
  <c r="H3212" i="1"/>
  <c r="D3213" i="1"/>
  <c r="E3213" i="1"/>
  <c r="F3213" i="1"/>
  <c r="G3213" i="1"/>
  <c r="H3213" i="1"/>
  <c r="D3214" i="1"/>
  <c r="E3214" i="1"/>
  <c r="F3214" i="1"/>
  <c r="G3214" i="1"/>
  <c r="H3214" i="1"/>
  <c r="D3217" i="1"/>
  <c r="E3217" i="1"/>
  <c r="F3217" i="1"/>
  <c r="G3217" i="1"/>
  <c r="H3217" i="1"/>
  <c r="D3218" i="1"/>
  <c r="E3218" i="1"/>
  <c r="F3218" i="1"/>
  <c r="G3218" i="1"/>
  <c r="H3218" i="1"/>
  <c r="D3219" i="1"/>
  <c r="E3219" i="1"/>
  <c r="F3219" i="1"/>
  <c r="G3219" i="1"/>
  <c r="H3219" i="1"/>
  <c r="D3220" i="1"/>
  <c r="E3220" i="1"/>
  <c r="F3220" i="1"/>
  <c r="G3220" i="1"/>
  <c r="H3220" i="1"/>
  <c r="D3221" i="1"/>
  <c r="E3221" i="1"/>
  <c r="F3221" i="1"/>
  <c r="G3221" i="1"/>
  <c r="H3221" i="1"/>
  <c r="D3222" i="1"/>
  <c r="E3222" i="1"/>
  <c r="F3222" i="1"/>
  <c r="G3222" i="1"/>
  <c r="H3222" i="1"/>
  <c r="D3223" i="1"/>
  <c r="E3223" i="1"/>
  <c r="F3223" i="1"/>
  <c r="G3223" i="1"/>
  <c r="H3223" i="1"/>
  <c r="D3224" i="1"/>
  <c r="E3224" i="1"/>
  <c r="F3224" i="1"/>
  <c r="G3224" i="1"/>
  <c r="H3224" i="1"/>
  <c r="D3225" i="1"/>
  <c r="E3225" i="1"/>
  <c r="F3225" i="1"/>
  <c r="G3225" i="1"/>
  <c r="H3225" i="1"/>
  <c r="D3226" i="1"/>
  <c r="E3226" i="1"/>
  <c r="F3226" i="1"/>
  <c r="G3226" i="1"/>
  <c r="H3226" i="1"/>
  <c r="D3227" i="1"/>
  <c r="E3227" i="1"/>
  <c r="F3227" i="1"/>
  <c r="G3227" i="1"/>
  <c r="H3227" i="1"/>
  <c r="D3228" i="1"/>
  <c r="E3228" i="1"/>
  <c r="F3228" i="1"/>
  <c r="G3228" i="1"/>
  <c r="H3228" i="1"/>
  <c r="D3229" i="1"/>
  <c r="E3229" i="1"/>
  <c r="F3229" i="1"/>
  <c r="G3229" i="1"/>
  <c r="H3229" i="1"/>
  <c r="D3230" i="1"/>
  <c r="E3230" i="1"/>
  <c r="F3230" i="1"/>
  <c r="G3230" i="1"/>
  <c r="H3230" i="1"/>
  <c r="D3231" i="1"/>
  <c r="E3231" i="1"/>
  <c r="F3231" i="1"/>
  <c r="G3231" i="1"/>
  <c r="H3231" i="1"/>
  <c r="D3232" i="1"/>
  <c r="E3232" i="1"/>
  <c r="F3232" i="1"/>
  <c r="G3232" i="1"/>
  <c r="H3232" i="1"/>
  <c r="D3233" i="1"/>
  <c r="E3233" i="1"/>
  <c r="F3233" i="1"/>
  <c r="G3233" i="1"/>
  <c r="H3233" i="1"/>
  <c r="D3241" i="1"/>
  <c r="E3241" i="1"/>
  <c r="F3241" i="1"/>
  <c r="G3241" i="1"/>
  <c r="H3241" i="1"/>
  <c r="D3242" i="1"/>
  <c r="E3242" i="1"/>
  <c r="F3242" i="1"/>
  <c r="G3242" i="1"/>
  <c r="H3242" i="1"/>
  <c r="D3243" i="1"/>
  <c r="E3243" i="1"/>
  <c r="F3243" i="1"/>
  <c r="G3243" i="1"/>
  <c r="H3243" i="1"/>
  <c r="D3244" i="1"/>
  <c r="E3244" i="1"/>
  <c r="F3244" i="1"/>
  <c r="G3244" i="1"/>
  <c r="H3244" i="1"/>
  <c r="D3245" i="1"/>
  <c r="E3245" i="1"/>
  <c r="F3245" i="1"/>
  <c r="G3245" i="1"/>
  <c r="H3245" i="1"/>
  <c r="D3246" i="1"/>
  <c r="E3246" i="1"/>
  <c r="F3246" i="1"/>
  <c r="G3246" i="1"/>
  <c r="H3246" i="1"/>
  <c r="D3247" i="1"/>
  <c r="E3247" i="1"/>
  <c r="F3247" i="1"/>
  <c r="G3247" i="1"/>
  <c r="H3247" i="1"/>
  <c r="D3248" i="1"/>
  <c r="E3248" i="1"/>
  <c r="F3248" i="1"/>
  <c r="G3248" i="1"/>
  <c r="H3248" i="1"/>
  <c r="D3249" i="1"/>
  <c r="E3249" i="1"/>
  <c r="F3249" i="1"/>
  <c r="G3249" i="1"/>
  <c r="H3249" i="1"/>
  <c r="D3250" i="1"/>
  <c r="E3250" i="1"/>
  <c r="F3250" i="1"/>
  <c r="G3250" i="1"/>
  <c r="H3250" i="1"/>
  <c r="D3251" i="1"/>
  <c r="E3251" i="1"/>
  <c r="F3251" i="1"/>
  <c r="G3251" i="1"/>
  <c r="H3251" i="1"/>
  <c r="D3252" i="1"/>
  <c r="E3252" i="1"/>
  <c r="F3252" i="1"/>
  <c r="G3252" i="1"/>
  <c r="H3252" i="1"/>
  <c r="D3253" i="1"/>
  <c r="E3253" i="1"/>
  <c r="F3253" i="1"/>
  <c r="G3253" i="1"/>
  <c r="H3253" i="1"/>
  <c r="D3254" i="1"/>
  <c r="E3254" i="1"/>
  <c r="F3254" i="1"/>
  <c r="G3254" i="1"/>
  <c r="H3254" i="1"/>
  <c r="D3255" i="1"/>
  <c r="E3255" i="1"/>
  <c r="F3255" i="1"/>
  <c r="G3255" i="1"/>
  <c r="H3255" i="1"/>
  <c r="D3256" i="1"/>
  <c r="E3256" i="1"/>
  <c r="F3256" i="1"/>
  <c r="G3256" i="1"/>
  <c r="H3256" i="1"/>
  <c r="D3257" i="1"/>
  <c r="E3257" i="1"/>
  <c r="F3257" i="1"/>
  <c r="G3257" i="1"/>
  <c r="H3257" i="1"/>
  <c r="D3258" i="1"/>
  <c r="E3258" i="1"/>
  <c r="F3258" i="1"/>
  <c r="G3258" i="1"/>
  <c r="H3258" i="1"/>
  <c r="D3259" i="1"/>
  <c r="E3259" i="1"/>
  <c r="F3259" i="1"/>
  <c r="G3259" i="1"/>
  <c r="H3259" i="1"/>
  <c r="D3260" i="1"/>
  <c r="E3260" i="1"/>
  <c r="F3260" i="1"/>
  <c r="G3260" i="1"/>
  <c r="H3260" i="1"/>
  <c r="D3261" i="1"/>
  <c r="E3261" i="1"/>
  <c r="F3261" i="1"/>
  <c r="G3261" i="1"/>
  <c r="H3261" i="1"/>
  <c r="D3268" i="1"/>
  <c r="E3268" i="1"/>
  <c r="F3268" i="1"/>
  <c r="G3268" i="1"/>
  <c r="H3268" i="1"/>
  <c r="D3269" i="1"/>
  <c r="E3269" i="1"/>
  <c r="F3269" i="1"/>
  <c r="G3269" i="1"/>
  <c r="H3269" i="1"/>
  <c r="D3270" i="1"/>
  <c r="E3270" i="1"/>
  <c r="F3270" i="1"/>
  <c r="G3270" i="1"/>
  <c r="H3270" i="1"/>
  <c r="D3271" i="1"/>
  <c r="E3271" i="1"/>
  <c r="F3271" i="1"/>
  <c r="G3271" i="1"/>
  <c r="H3271" i="1"/>
  <c r="D3272" i="1"/>
  <c r="E3272" i="1"/>
  <c r="F3272" i="1"/>
  <c r="G3272" i="1"/>
  <c r="H3272" i="1"/>
  <c r="K3280" i="1"/>
  <c r="J3280" i="1"/>
  <c r="K3253" i="1"/>
  <c r="J3253" i="1"/>
  <c r="K3225" i="1"/>
  <c r="J3225" i="1"/>
  <c r="K3197" i="1"/>
  <c r="J3197" i="1"/>
  <c r="I3221" i="1"/>
  <c r="I3270" i="1"/>
  <c r="I3271" i="1"/>
  <c r="I3272" i="1"/>
  <c r="I3273" i="1"/>
  <c r="I3274" i="1"/>
  <c r="I3275" i="1"/>
  <c r="I3276" i="1"/>
  <c r="I3277" i="1"/>
  <c r="I3278" i="1"/>
  <c r="I3279" i="1"/>
  <c r="I3280" i="1"/>
  <c r="I3281" i="1"/>
  <c r="I3282" i="1"/>
  <c r="I3283" i="1"/>
  <c r="I3284" i="1"/>
  <c r="I3285" i="1"/>
  <c r="I3286" i="1"/>
  <c r="I3287" i="1"/>
  <c r="I3288" i="1"/>
  <c r="I3269" i="1"/>
  <c r="I3268" i="1"/>
  <c r="I3243" i="1"/>
  <c r="I3244" i="1"/>
  <c r="I3245" i="1"/>
  <c r="I3246" i="1"/>
  <c r="I3247" i="1"/>
  <c r="I3248" i="1"/>
  <c r="I3249" i="1"/>
  <c r="I3250" i="1"/>
  <c r="I3251" i="1"/>
  <c r="I3252" i="1"/>
  <c r="I3253" i="1"/>
  <c r="I3254" i="1"/>
  <c r="I3255" i="1"/>
  <c r="I3256" i="1"/>
  <c r="I3257" i="1"/>
  <c r="I3258" i="1"/>
  <c r="I3259" i="1"/>
  <c r="I3260" i="1"/>
  <c r="I3261" i="1"/>
  <c r="I3242" i="1"/>
  <c r="I3241" i="1"/>
  <c r="I3214" i="1"/>
  <c r="I3215" i="1"/>
  <c r="I3217" i="1"/>
  <c r="I3218" i="1"/>
  <c r="I3219" i="1"/>
  <c r="I3220" i="1"/>
  <c r="I3222" i="1"/>
  <c r="I3223" i="1"/>
  <c r="I3224" i="1"/>
  <c r="I3225" i="1"/>
  <c r="I3226" i="1"/>
  <c r="I3227" i="1"/>
  <c r="I3228" i="1"/>
  <c r="I3229" i="1"/>
  <c r="I3230" i="1"/>
  <c r="I3231" i="1"/>
  <c r="I3232" i="1"/>
  <c r="I3233" i="1"/>
  <c r="I3213" i="1"/>
  <c r="I3212" i="1"/>
  <c r="I3187" i="1"/>
  <c r="I3188" i="1"/>
  <c r="I3189" i="1"/>
  <c r="I3190" i="1"/>
  <c r="I3191" i="1"/>
  <c r="I3192" i="1"/>
  <c r="I3193" i="1"/>
  <c r="I3194" i="1"/>
  <c r="I3195" i="1"/>
  <c r="I3196" i="1"/>
  <c r="I3197" i="1"/>
  <c r="I3198" i="1"/>
  <c r="I3199" i="1"/>
  <c r="I3200" i="1"/>
  <c r="I3201" i="1"/>
  <c r="I3202" i="1"/>
  <c r="I3203" i="1"/>
  <c r="I3204" i="1"/>
  <c r="I3205" i="1"/>
  <c r="I3186" i="1"/>
  <c r="I3185" i="1"/>
  <c r="I3160" i="1"/>
  <c r="I3161" i="1"/>
  <c r="I3162" i="1"/>
  <c r="I3163" i="1"/>
  <c r="I3164" i="1"/>
  <c r="I3165" i="1"/>
  <c r="I3166" i="1"/>
  <c r="I3167" i="1"/>
  <c r="I3168" i="1"/>
  <c r="I3169" i="1"/>
  <c r="I3170" i="1"/>
  <c r="I3171" i="1"/>
  <c r="I3172" i="1"/>
  <c r="I3173" i="1"/>
  <c r="I3174" i="1"/>
  <c r="I3175" i="1"/>
  <c r="I3176" i="1"/>
  <c r="I3177" i="1"/>
  <c r="I3178" i="1"/>
  <c r="I3159" i="1"/>
  <c r="I3158" i="1"/>
  <c r="I3102" i="1"/>
  <c r="I3103" i="1"/>
  <c r="I3105" i="1"/>
  <c r="I3106" i="1"/>
  <c r="I3107" i="1"/>
  <c r="I3108" i="1"/>
  <c r="I3109" i="1"/>
  <c r="I3110" i="1"/>
  <c r="I3111" i="1"/>
  <c r="I3112" i="1"/>
  <c r="I3113" i="1"/>
  <c r="I3114" i="1"/>
  <c r="I3115" i="1"/>
  <c r="I3116" i="1"/>
  <c r="I3117" i="1"/>
  <c r="I3118" i="1"/>
  <c r="I3119" i="1"/>
  <c r="I3120" i="1"/>
  <c r="I3121" i="1"/>
  <c r="I3101" i="1"/>
  <c r="I3100" i="1"/>
  <c r="I3143" i="1"/>
  <c r="I3144" i="1"/>
  <c r="I3145" i="1"/>
  <c r="I3146" i="1"/>
  <c r="I3147" i="1"/>
  <c r="I3148" i="1"/>
  <c r="I3149" i="1"/>
  <c r="I3150" i="1"/>
  <c r="I3131" i="1"/>
  <c r="I3132" i="1"/>
  <c r="I3134" i="1"/>
  <c r="I3135" i="1"/>
  <c r="I3136" i="1"/>
  <c r="I3137" i="1"/>
  <c r="I3138" i="1"/>
  <c r="I3139" i="1"/>
  <c r="I3140" i="1"/>
  <c r="I3141" i="1"/>
  <c r="I3142" i="1"/>
  <c r="I3130" i="1"/>
  <c r="I3129" i="1"/>
  <c r="J3286" i="1"/>
  <c r="K3286" i="1"/>
  <c r="J3287" i="1"/>
  <c r="K3287" i="1"/>
  <c r="J3288" i="1"/>
  <c r="K3288" i="1"/>
  <c r="J3259" i="1"/>
  <c r="K3259" i="1"/>
  <c r="J3260" i="1"/>
  <c r="K3260" i="1"/>
  <c r="J3261" i="1"/>
  <c r="K3261" i="1"/>
  <c r="J3204" i="1"/>
  <c r="K3204" i="1"/>
  <c r="J3205" i="1"/>
  <c r="K3205" i="1"/>
  <c r="J3148" i="1"/>
  <c r="K3148" i="1"/>
  <c r="J3149" i="1"/>
  <c r="K3149" i="1"/>
  <c r="J3150" i="1"/>
  <c r="K3150" i="1"/>
  <c r="J3175" i="1"/>
  <c r="K3175" i="1"/>
  <c r="J3176" i="1"/>
  <c r="K3176" i="1"/>
  <c r="J3177" i="1"/>
  <c r="K3177" i="1"/>
  <c r="J3178" i="1"/>
  <c r="K3178" i="1"/>
  <c r="J3119" i="1"/>
  <c r="K3119" i="1"/>
  <c r="J3120" i="1"/>
  <c r="K3120" i="1"/>
  <c r="J3121" i="1"/>
  <c r="K3121" i="1"/>
  <c r="E3286" i="1"/>
  <c r="F3286" i="1"/>
  <c r="G3286" i="1"/>
  <c r="H3286" i="1"/>
  <c r="E3288" i="1"/>
  <c r="F3288" i="1"/>
  <c r="G3288" i="1"/>
  <c r="H3288" i="1"/>
  <c r="E3287" i="1"/>
  <c r="F3287" i="1"/>
  <c r="G3287" i="1"/>
  <c r="H3287" i="1"/>
  <c r="E3285" i="1"/>
  <c r="F3285" i="1"/>
  <c r="G3285" i="1"/>
  <c r="H3285" i="1"/>
  <c r="D3284" i="1"/>
  <c r="D3286" i="1"/>
  <c r="D3288" i="1"/>
  <c r="D3287" i="1"/>
  <c r="J3232" i="1"/>
  <c r="K3232" i="1"/>
  <c r="E3280" i="1"/>
  <c r="F3280" i="1"/>
  <c r="G3280" i="1"/>
  <c r="H3280" i="1"/>
  <c r="D3280" i="1"/>
  <c r="K3170" i="1"/>
  <c r="J3170" i="1"/>
  <c r="K3113" i="1"/>
  <c r="J3113" i="1"/>
  <c r="K3102" i="1"/>
  <c r="J3114" i="1"/>
  <c r="K3114" i="1"/>
  <c r="J3269" i="1"/>
  <c r="K3269" i="1"/>
  <c r="J3270" i="1"/>
  <c r="K3270" i="1"/>
  <c r="J3271" i="1"/>
  <c r="K3271" i="1"/>
  <c r="J3285" i="1"/>
  <c r="K3285" i="1"/>
  <c r="J3272" i="1"/>
  <c r="K3272" i="1"/>
  <c r="J3273" i="1"/>
  <c r="K3273" i="1"/>
  <c r="J3274" i="1"/>
  <c r="K3274" i="1"/>
  <c r="J3275" i="1"/>
  <c r="K3275" i="1"/>
  <c r="J3276" i="1"/>
  <c r="K3276" i="1"/>
  <c r="J3277" i="1"/>
  <c r="K3277" i="1"/>
  <c r="J3278" i="1"/>
  <c r="K3278" i="1"/>
  <c r="J3279" i="1"/>
  <c r="K3279" i="1"/>
  <c r="J3281" i="1"/>
  <c r="K3281" i="1"/>
  <c r="J3282" i="1"/>
  <c r="K3282" i="1"/>
  <c r="J3283" i="1"/>
  <c r="K3283" i="1"/>
  <c r="J3284" i="1"/>
  <c r="K3284" i="1"/>
  <c r="K3268" i="1"/>
  <c r="J3268" i="1"/>
  <c r="J3242" i="1"/>
  <c r="K3242" i="1"/>
  <c r="J3243" i="1"/>
  <c r="K3243" i="1"/>
  <c r="J3244" i="1"/>
  <c r="K3244" i="1"/>
  <c r="J3258" i="1"/>
  <c r="K3258" i="1"/>
  <c r="J3245" i="1"/>
  <c r="K3245" i="1"/>
  <c r="J3246" i="1"/>
  <c r="K3246" i="1"/>
  <c r="J3247" i="1"/>
  <c r="K3247" i="1"/>
  <c r="J3248" i="1"/>
  <c r="K3248" i="1"/>
  <c r="J3249" i="1"/>
  <c r="K3249" i="1"/>
  <c r="J3250" i="1"/>
  <c r="K3250" i="1"/>
  <c r="J3251" i="1"/>
  <c r="K3251" i="1"/>
  <c r="J3252" i="1"/>
  <c r="K3252" i="1"/>
  <c r="J3254" i="1"/>
  <c r="K3254" i="1"/>
  <c r="J3255" i="1"/>
  <c r="K3255" i="1"/>
  <c r="J3256" i="1"/>
  <c r="K3256" i="1"/>
  <c r="J3257" i="1"/>
  <c r="K3257" i="1"/>
  <c r="K3241" i="1"/>
  <c r="J3241" i="1"/>
  <c r="J3213" i="1"/>
  <c r="K3213" i="1"/>
  <c r="J3214" i="1"/>
  <c r="K3214" i="1"/>
  <c r="J3230" i="1"/>
  <c r="K3230" i="1"/>
  <c r="J3217" i="1"/>
  <c r="K3217" i="1"/>
  <c r="J3218" i="1"/>
  <c r="K3218" i="1"/>
  <c r="J3219" i="1"/>
  <c r="K3219" i="1"/>
  <c r="J3220" i="1"/>
  <c r="K3220" i="1"/>
  <c r="J3221" i="1"/>
  <c r="K3221" i="1"/>
  <c r="J3222" i="1"/>
  <c r="K3222" i="1"/>
  <c r="J3223" i="1"/>
  <c r="K3223" i="1"/>
  <c r="J3224" i="1"/>
  <c r="K3224" i="1"/>
  <c r="J3226" i="1"/>
  <c r="K3226" i="1"/>
  <c r="J3227" i="1"/>
  <c r="K3227" i="1"/>
  <c r="J3228" i="1"/>
  <c r="K3228" i="1"/>
  <c r="J3229" i="1"/>
  <c r="K3229" i="1"/>
  <c r="J3231" i="1"/>
  <c r="K3231" i="1"/>
  <c r="J3233" i="1"/>
  <c r="K3233" i="1"/>
  <c r="K3212" i="1"/>
  <c r="J3212" i="1"/>
  <c r="J3186" i="1"/>
  <c r="K3186" i="1"/>
  <c r="J3187" i="1"/>
  <c r="K3187" i="1"/>
  <c r="J3188" i="1"/>
  <c r="K3188" i="1"/>
  <c r="J3202" i="1"/>
  <c r="K3202" i="1"/>
  <c r="J3189" i="1"/>
  <c r="K3189" i="1"/>
  <c r="J3190" i="1"/>
  <c r="K3190" i="1"/>
  <c r="J3191" i="1"/>
  <c r="K3191" i="1"/>
  <c r="J3192" i="1"/>
  <c r="K3192" i="1"/>
  <c r="J3193" i="1"/>
  <c r="K3193" i="1"/>
  <c r="J3194" i="1"/>
  <c r="K3194" i="1"/>
  <c r="J3195" i="1"/>
  <c r="K3195" i="1"/>
  <c r="J3196" i="1"/>
  <c r="K3196" i="1"/>
  <c r="J3198" i="1"/>
  <c r="K3198" i="1"/>
  <c r="J3199" i="1"/>
  <c r="K3199" i="1"/>
  <c r="J3200" i="1"/>
  <c r="K3200" i="1"/>
  <c r="J3201" i="1"/>
  <c r="K3201" i="1"/>
  <c r="J3203" i="1"/>
  <c r="K3203" i="1"/>
  <c r="J3185" i="1"/>
  <c r="K3185" i="1"/>
  <c r="J3159" i="1"/>
  <c r="K3159" i="1"/>
  <c r="J3160" i="1"/>
  <c r="K3160" i="1"/>
  <c r="J3161" i="1"/>
  <c r="K3161" i="1"/>
  <c r="J3162" i="1"/>
  <c r="K3162" i="1"/>
  <c r="J3163" i="1"/>
  <c r="K3163" i="1"/>
  <c r="J3164" i="1"/>
  <c r="K3164" i="1"/>
  <c r="J3165" i="1"/>
  <c r="K3165" i="1"/>
  <c r="J3166" i="1"/>
  <c r="K3166" i="1"/>
  <c r="J3167" i="1"/>
  <c r="K3167" i="1"/>
  <c r="J3168" i="1"/>
  <c r="K3168" i="1"/>
  <c r="J3169" i="1"/>
  <c r="K3169" i="1"/>
  <c r="J3171" i="1"/>
  <c r="K3171" i="1"/>
  <c r="J3172" i="1"/>
  <c r="K3172" i="1"/>
  <c r="J3173" i="1"/>
  <c r="K3173" i="1"/>
  <c r="J3174" i="1"/>
  <c r="K3174" i="1"/>
  <c r="K3158" i="1"/>
  <c r="J3158" i="1"/>
  <c r="J3130" i="1"/>
  <c r="K3130" i="1"/>
  <c r="J3131" i="1"/>
  <c r="K3131" i="1"/>
  <c r="J3147" i="1"/>
  <c r="K3147" i="1"/>
  <c r="J3134" i="1"/>
  <c r="K3134" i="1"/>
  <c r="J3135" i="1"/>
  <c r="K3135" i="1"/>
  <c r="J3136" i="1"/>
  <c r="K3136" i="1"/>
  <c r="J3137" i="1"/>
  <c r="K3137" i="1"/>
  <c r="J3138" i="1"/>
  <c r="K3138" i="1"/>
  <c r="J3139" i="1"/>
  <c r="K3139" i="1"/>
  <c r="J3140" i="1"/>
  <c r="K3140" i="1"/>
  <c r="J3141" i="1"/>
  <c r="K3141" i="1"/>
  <c r="J3142" i="1"/>
  <c r="K3142" i="1"/>
  <c r="J3143" i="1"/>
  <c r="K3143" i="1"/>
  <c r="J3144" i="1"/>
  <c r="K3144" i="1"/>
  <c r="J3145" i="1"/>
  <c r="K3145" i="1"/>
  <c r="J3146" i="1"/>
  <c r="K3146" i="1"/>
  <c r="K3129" i="1"/>
  <c r="J3129" i="1"/>
  <c r="J3101" i="1"/>
  <c r="K3101" i="1"/>
  <c r="J3102" i="1"/>
  <c r="J3118" i="1"/>
  <c r="K3118" i="1"/>
  <c r="J3105" i="1"/>
  <c r="K3105" i="1"/>
  <c r="J3106" i="1"/>
  <c r="K3106" i="1"/>
  <c r="J3107" i="1"/>
  <c r="K3107" i="1"/>
  <c r="J3108" i="1"/>
  <c r="K3108" i="1"/>
  <c r="J3109" i="1"/>
  <c r="K3109" i="1"/>
  <c r="J3110" i="1"/>
  <c r="K3110" i="1"/>
  <c r="J3111" i="1"/>
  <c r="K3111" i="1"/>
  <c r="J3112" i="1"/>
  <c r="K3112" i="1"/>
  <c r="J3115" i="1"/>
  <c r="K3115" i="1"/>
  <c r="J3116" i="1"/>
  <c r="K3116" i="1"/>
  <c r="J3117" i="1"/>
  <c r="K3117" i="1"/>
  <c r="K3100" i="1"/>
  <c r="J3100" i="1"/>
  <c r="D3285" i="1"/>
  <c r="D3273" i="1"/>
  <c r="E3273" i="1"/>
  <c r="F3273" i="1"/>
  <c r="G3273" i="1"/>
  <c r="H3273" i="1"/>
  <c r="D3274" i="1"/>
  <c r="E3274" i="1"/>
  <c r="F3274" i="1"/>
  <c r="G3274" i="1"/>
  <c r="H3274" i="1"/>
  <c r="D3275" i="1"/>
  <c r="E3275" i="1"/>
  <c r="F3275" i="1"/>
  <c r="G3275" i="1"/>
  <c r="H3275" i="1"/>
  <c r="D3276" i="1"/>
  <c r="E3276" i="1"/>
  <c r="F3276" i="1"/>
  <c r="G3276" i="1"/>
  <c r="H3276" i="1"/>
  <c r="D3277" i="1"/>
  <c r="E3277" i="1"/>
  <c r="F3277" i="1"/>
  <c r="G3277" i="1"/>
  <c r="H3277" i="1"/>
  <c r="D3278" i="1"/>
  <c r="E3278" i="1"/>
  <c r="F3278" i="1"/>
  <c r="G3278" i="1"/>
  <c r="H3278" i="1"/>
  <c r="D3279" i="1"/>
  <c r="E3279" i="1"/>
  <c r="F3279" i="1"/>
  <c r="G3279" i="1"/>
  <c r="H3279" i="1"/>
  <c r="D3281" i="1"/>
  <c r="E3281" i="1"/>
  <c r="F3281" i="1"/>
  <c r="G3281" i="1"/>
  <c r="H3281" i="1"/>
  <c r="D3282" i="1"/>
  <c r="E3282" i="1"/>
  <c r="F3282" i="1"/>
  <c r="G3282" i="1"/>
  <c r="H3282" i="1"/>
  <c r="D3283" i="1"/>
  <c r="E3283" i="1"/>
  <c r="F3283" i="1"/>
  <c r="G3283" i="1"/>
  <c r="H3283" i="1"/>
  <c r="E3284" i="1"/>
  <c r="F3284" i="1"/>
  <c r="G3284" i="1"/>
  <c r="H3284" i="1"/>
  <c r="D3151" i="1" l="1"/>
  <c r="F3262" i="1"/>
  <c r="H3289" i="1"/>
  <c r="D3262" i="1"/>
  <c r="D3289" i="1"/>
  <c r="H3206" i="1"/>
  <c r="E3234" i="1"/>
  <c r="E3262" i="1"/>
  <c r="H3179" i="1"/>
  <c r="G3151" i="1"/>
  <c r="F3234" i="1"/>
  <c r="E3179" i="1"/>
  <c r="G3206" i="1"/>
  <c r="D3234" i="1"/>
  <c r="F3289" i="1"/>
  <c r="D3206" i="1"/>
  <c r="H3234" i="1"/>
  <c r="G3179" i="1"/>
  <c r="F3151" i="1"/>
  <c r="G3262" i="1"/>
  <c r="D3179" i="1"/>
  <c r="F3206" i="1"/>
  <c r="G3289" i="1"/>
  <c r="E3206" i="1"/>
  <c r="E3289" i="1"/>
  <c r="H3151" i="1"/>
  <c r="H3262" i="1"/>
  <c r="G3234" i="1"/>
  <c r="F3179" i="1"/>
  <c r="E3151" i="1"/>
  <c r="F25" i="12"/>
  <c r="F34" i="12" l="1"/>
  <c r="E105" i="12"/>
  <c r="E95" i="12"/>
  <c r="E80" i="12"/>
  <c r="E70" i="12"/>
  <c r="F47" i="12"/>
  <c r="F45" i="12"/>
  <c r="F26" i="12"/>
  <c r="Y3017" i="1"/>
  <c r="Z3017" i="1"/>
  <c r="Y3018" i="1"/>
  <c r="Z3018" i="1"/>
  <c r="Y3019" i="1"/>
  <c r="Z3019" i="1"/>
  <c r="Y3020" i="1"/>
  <c r="Z3020" i="1"/>
  <c r="Y3021" i="1"/>
  <c r="Z3021" i="1"/>
  <c r="Y3022" i="1"/>
  <c r="Z3022" i="1"/>
  <c r="Y3023" i="1"/>
  <c r="Z3023" i="1"/>
  <c r="Y3024" i="1"/>
  <c r="Z3024" i="1"/>
  <c r="Y3025" i="1"/>
  <c r="Z3025" i="1"/>
  <c r="Y3026" i="1"/>
  <c r="Z3026" i="1"/>
  <c r="Y3027" i="1"/>
  <c r="Z3027" i="1"/>
  <c r="Y3028" i="1"/>
  <c r="Z3028" i="1"/>
  <c r="Y3029" i="1"/>
  <c r="Z3029" i="1"/>
  <c r="Y3030" i="1"/>
  <c r="Z3030" i="1"/>
  <c r="Y3031" i="1"/>
  <c r="Z3031" i="1"/>
  <c r="Y3032" i="1"/>
  <c r="Z3032" i="1"/>
  <c r="Y3033" i="1"/>
  <c r="Z3033" i="1"/>
  <c r="Y3034" i="1"/>
  <c r="Z3034" i="1"/>
  <c r="Y3035" i="1"/>
  <c r="Z3035" i="1"/>
  <c r="Y2761" i="1"/>
  <c r="Z2761" i="1"/>
  <c r="Y2762" i="1"/>
  <c r="Z2762" i="1"/>
  <c r="Y2763" i="1"/>
  <c r="Z2763" i="1"/>
  <c r="Y2764" i="1"/>
  <c r="Z2764" i="1"/>
  <c r="Y2765" i="1"/>
  <c r="Z2765" i="1"/>
  <c r="Y2766" i="1"/>
  <c r="Z2766" i="1"/>
  <c r="Y2767" i="1"/>
  <c r="Z2767" i="1"/>
  <c r="Y2768" i="1"/>
  <c r="Z2768" i="1"/>
  <c r="Y2769" i="1"/>
  <c r="Z2769" i="1"/>
  <c r="Y2770" i="1"/>
  <c r="Z2770" i="1"/>
  <c r="Y2771" i="1"/>
  <c r="Z2771" i="1"/>
  <c r="Y2772" i="1"/>
  <c r="Z2772" i="1"/>
  <c r="Y2773" i="1"/>
  <c r="Z2773" i="1"/>
  <c r="Y2774" i="1"/>
  <c r="Z2774" i="1"/>
  <c r="Y2775" i="1"/>
  <c r="Z2775" i="1"/>
  <c r="Y2776" i="1"/>
  <c r="Z2776" i="1"/>
  <c r="Y2777" i="1"/>
  <c r="Z2777" i="1"/>
  <c r="Y2778" i="1"/>
  <c r="Z2778" i="1"/>
  <c r="Y2779" i="1"/>
  <c r="Z2779" i="1"/>
  <c r="Y2780" i="1"/>
  <c r="Z2780" i="1"/>
  <c r="Y2781" i="1"/>
  <c r="Z2781" i="1"/>
  <c r="Y2782" i="1"/>
  <c r="Z2782" i="1"/>
  <c r="Y2783" i="1"/>
  <c r="Z2783" i="1"/>
  <c r="Y2784" i="1"/>
  <c r="Z2784" i="1"/>
  <c r="Y2785" i="1"/>
  <c r="Z2785" i="1"/>
  <c r="Y2786" i="1"/>
  <c r="Z2786" i="1"/>
  <c r="Y2787" i="1"/>
  <c r="Z2787" i="1"/>
  <c r="Y2788" i="1"/>
  <c r="Z2788" i="1"/>
  <c r="Y2789" i="1"/>
  <c r="Z2789" i="1"/>
  <c r="Y2790" i="1"/>
  <c r="Z2790" i="1"/>
  <c r="Y2791" i="1"/>
  <c r="Z2791" i="1"/>
  <c r="Y2792" i="1"/>
  <c r="Z2792" i="1"/>
  <c r="Y2793" i="1"/>
  <c r="Z2793" i="1"/>
  <c r="Y2794" i="1"/>
  <c r="Z2794" i="1"/>
  <c r="Y2795" i="1"/>
  <c r="Z2795" i="1"/>
  <c r="Y2796" i="1"/>
  <c r="Z2796" i="1"/>
  <c r="Y2797" i="1"/>
  <c r="Z2797" i="1"/>
  <c r="Y2798" i="1"/>
  <c r="Z2798" i="1"/>
  <c r="Y2799" i="1"/>
  <c r="Z2799" i="1"/>
  <c r="Y2800" i="1"/>
  <c r="Z2800" i="1"/>
  <c r="Y2801" i="1"/>
  <c r="Z2801" i="1"/>
  <c r="Y2802" i="1"/>
  <c r="Z2802" i="1"/>
  <c r="Y2803" i="1"/>
  <c r="Z2803" i="1"/>
  <c r="Y2804" i="1"/>
  <c r="Z2804" i="1"/>
  <c r="Y2805" i="1"/>
  <c r="Z2805" i="1"/>
  <c r="Y2806" i="1"/>
  <c r="Z2806" i="1"/>
  <c r="Y2807" i="1"/>
  <c r="Z2807" i="1"/>
  <c r="Y2808" i="1"/>
  <c r="Z2808" i="1"/>
  <c r="Y2809" i="1"/>
  <c r="Z2809" i="1"/>
  <c r="Y2810" i="1"/>
  <c r="Z2810" i="1"/>
  <c r="Y2811" i="1"/>
  <c r="Z2811" i="1"/>
  <c r="Y2812" i="1"/>
  <c r="Z2812" i="1"/>
  <c r="Y2813" i="1"/>
  <c r="Z2813" i="1"/>
  <c r="Y2814" i="1"/>
  <c r="Z2814" i="1"/>
  <c r="Y2815" i="1"/>
  <c r="Z2815" i="1"/>
  <c r="Y2816" i="1"/>
  <c r="Z2816" i="1"/>
  <c r="Y2817" i="1"/>
  <c r="Z2817" i="1"/>
  <c r="Y2818" i="1"/>
  <c r="Z2818" i="1"/>
  <c r="Y2819" i="1"/>
  <c r="Z2819" i="1"/>
  <c r="Y2820" i="1"/>
  <c r="Z2820" i="1"/>
  <c r="Y2821" i="1"/>
  <c r="Z2821" i="1"/>
  <c r="Y2822" i="1"/>
  <c r="Z2822" i="1"/>
  <c r="Y2823" i="1"/>
  <c r="Z2823" i="1"/>
  <c r="Y2824" i="1"/>
  <c r="Z2824" i="1"/>
  <c r="Y2825" i="1"/>
  <c r="Z2825" i="1"/>
  <c r="Y2826" i="1"/>
  <c r="Z2826" i="1"/>
  <c r="Y2827" i="1"/>
  <c r="Z2827" i="1"/>
  <c r="Y2828" i="1"/>
  <c r="Z2828" i="1"/>
  <c r="Y2829" i="1"/>
  <c r="Z2829" i="1"/>
  <c r="Y2830" i="1"/>
  <c r="Z2830" i="1"/>
  <c r="Y2831" i="1"/>
  <c r="Z2831" i="1"/>
  <c r="Y2832" i="1"/>
  <c r="Z2832" i="1"/>
  <c r="Y2833" i="1"/>
  <c r="Z2833" i="1"/>
  <c r="Y2834" i="1"/>
  <c r="Z2834" i="1"/>
  <c r="Y2835" i="1"/>
  <c r="Z2835" i="1"/>
  <c r="Y2836" i="1"/>
  <c r="Z2836" i="1"/>
  <c r="Y2837" i="1"/>
  <c r="Z2837" i="1"/>
  <c r="Y2838" i="1"/>
  <c r="Z2838" i="1"/>
  <c r="Y2839" i="1"/>
  <c r="Z2839" i="1"/>
  <c r="Y2840" i="1"/>
  <c r="Z2840" i="1"/>
  <c r="Y2841" i="1"/>
  <c r="Z2841" i="1"/>
  <c r="Y2842" i="1"/>
  <c r="Z2842" i="1"/>
  <c r="Y2843" i="1"/>
  <c r="Z2843" i="1"/>
  <c r="Y2844" i="1"/>
  <c r="Z2844" i="1"/>
  <c r="Y2845" i="1"/>
  <c r="Z2845" i="1"/>
  <c r="Y2846" i="1"/>
  <c r="Z2846" i="1"/>
  <c r="Y2847" i="1"/>
  <c r="Z2847" i="1"/>
  <c r="Y2848" i="1"/>
  <c r="Z2848" i="1"/>
  <c r="Y2849" i="1"/>
  <c r="Z2849" i="1"/>
  <c r="Y2850" i="1"/>
  <c r="Z2850" i="1"/>
  <c r="Y2851" i="1"/>
  <c r="Z2851" i="1"/>
  <c r="Y2852" i="1"/>
  <c r="Z2852" i="1"/>
  <c r="Y2853" i="1"/>
  <c r="Z2853" i="1"/>
  <c r="Y2854" i="1"/>
  <c r="Z2854" i="1"/>
  <c r="Y2855" i="1"/>
  <c r="Z2855" i="1"/>
  <c r="Y2856" i="1"/>
  <c r="Z2856" i="1"/>
  <c r="Y2857" i="1"/>
  <c r="Z2857" i="1"/>
  <c r="Y2858" i="1"/>
  <c r="Z2858" i="1"/>
  <c r="Y2859" i="1"/>
  <c r="Z2859" i="1"/>
  <c r="Y2860" i="1"/>
  <c r="Z2860" i="1"/>
  <c r="Y2861" i="1"/>
  <c r="Z2861" i="1"/>
  <c r="Y2862" i="1"/>
  <c r="Z2862" i="1"/>
  <c r="Y2863" i="1"/>
  <c r="Z2863" i="1"/>
  <c r="Y2864" i="1"/>
  <c r="Z2864" i="1"/>
  <c r="Y2865" i="1"/>
  <c r="Z2865" i="1"/>
  <c r="Y2866" i="1"/>
  <c r="Z2866" i="1"/>
  <c r="Y2867" i="1"/>
  <c r="Z2867" i="1"/>
  <c r="Y2868" i="1"/>
  <c r="Z2868" i="1"/>
  <c r="Y2869" i="1"/>
  <c r="Z2869" i="1"/>
  <c r="Y2870" i="1"/>
  <c r="Z2870" i="1"/>
  <c r="Y2871" i="1"/>
  <c r="Z2871" i="1"/>
  <c r="Y2872" i="1"/>
  <c r="Z2872" i="1"/>
  <c r="Y2873" i="1"/>
  <c r="Z2873" i="1"/>
  <c r="Y2874" i="1"/>
  <c r="Z2874" i="1"/>
  <c r="Y2875" i="1"/>
  <c r="Z2875" i="1"/>
  <c r="Y2876" i="1"/>
  <c r="Z2876" i="1"/>
  <c r="Y2877" i="1"/>
  <c r="Z2877" i="1"/>
  <c r="Y2878" i="1"/>
  <c r="Z2878" i="1"/>
  <c r="Y2879" i="1"/>
  <c r="Z2879" i="1"/>
  <c r="Y2880" i="1"/>
  <c r="Z2880" i="1"/>
  <c r="Y2881" i="1"/>
  <c r="Z2881" i="1"/>
  <c r="Y2882" i="1"/>
  <c r="Z2882" i="1"/>
  <c r="Y2883" i="1"/>
  <c r="Z2883" i="1"/>
  <c r="Y2884" i="1"/>
  <c r="Z2884" i="1"/>
  <c r="Y2885" i="1"/>
  <c r="Z2885" i="1"/>
  <c r="Y2886" i="1"/>
  <c r="Z2886" i="1"/>
  <c r="Y2887" i="1"/>
  <c r="Z2887" i="1"/>
  <c r="Y2888" i="1"/>
  <c r="Z2888" i="1"/>
  <c r="Y2889" i="1"/>
  <c r="Z2889" i="1"/>
  <c r="Y2890" i="1"/>
  <c r="Z2890" i="1"/>
  <c r="Y2891" i="1"/>
  <c r="Z2891" i="1"/>
  <c r="Y2892" i="1"/>
  <c r="Z2892" i="1"/>
  <c r="Y2893" i="1"/>
  <c r="Z2893" i="1"/>
  <c r="Y2894" i="1"/>
  <c r="Z2894" i="1"/>
  <c r="Y2895" i="1"/>
  <c r="Z2895" i="1"/>
  <c r="Y2896" i="1"/>
  <c r="Z2896" i="1"/>
  <c r="Y2897" i="1"/>
  <c r="Z2897" i="1"/>
  <c r="Y2898" i="1"/>
  <c r="Z2898" i="1"/>
  <c r="Y2899" i="1"/>
  <c r="Z2899" i="1"/>
  <c r="Y2900" i="1"/>
  <c r="Z2900" i="1"/>
  <c r="Y2901" i="1"/>
  <c r="Z2901" i="1"/>
  <c r="Y2902" i="1"/>
  <c r="Z2902" i="1"/>
  <c r="Y2903" i="1"/>
  <c r="Z2903" i="1"/>
  <c r="Y2904" i="1"/>
  <c r="Z2904" i="1"/>
  <c r="Y2905" i="1"/>
  <c r="Z2905" i="1"/>
  <c r="Y2906" i="1"/>
  <c r="Z2906" i="1"/>
  <c r="Y2907" i="1"/>
  <c r="Z2907" i="1"/>
  <c r="Y2908" i="1"/>
  <c r="Z2908" i="1"/>
  <c r="Y2909" i="1"/>
  <c r="Z2909" i="1"/>
  <c r="Y2910" i="1"/>
  <c r="Z2910" i="1"/>
  <c r="Y2911" i="1"/>
  <c r="Z2911" i="1"/>
  <c r="Y2912" i="1"/>
  <c r="Z2912" i="1"/>
  <c r="Y2913" i="1"/>
  <c r="Z2913" i="1"/>
  <c r="Y2914" i="1"/>
  <c r="Z2914" i="1"/>
  <c r="Y2915" i="1"/>
  <c r="Z2915" i="1"/>
  <c r="Y2916" i="1"/>
  <c r="Z2916" i="1"/>
  <c r="Y2917" i="1"/>
  <c r="Z2917" i="1"/>
  <c r="Y2918" i="1"/>
  <c r="Z2918" i="1"/>
  <c r="Y2919" i="1"/>
  <c r="Z2919" i="1"/>
  <c r="Y2920" i="1"/>
  <c r="Z2920" i="1"/>
  <c r="Y2921" i="1"/>
  <c r="Z2921" i="1"/>
  <c r="Y2922" i="1"/>
  <c r="Z2922" i="1"/>
  <c r="Y2923" i="1"/>
  <c r="Z2923" i="1"/>
  <c r="Y2924" i="1"/>
  <c r="Z2924" i="1"/>
  <c r="Y2925" i="1"/>
  <c r="Z2925" i="1"/>
  <c r="Y2926" i="1"/>
  <c r="Z2926" i="1"/>
  <c r="Y2927" i="1"/>
  <c r="Z2927" i="1"/>
  <c r="Y2928" i="1"/>
  <c r="Z2928" i="1"/>
  <c r="Y2929" i="1"/>
  <c r="Z2929" i="1"/>
  <c r="Y2930" i="1"/>
  <c r="Z2930" i="1"/>
  <c r="Y2931" i="1"/>
  <c r="Z2931" i="1"/>
  <c r="Y2932" i="1"/>
  <c r="Z2932" i="1"/>
  <c r="Y2933" i="1"/>
  <c r="Z2933" i="1"/>
  <c r="Y2934" i="1"/>
  <c r="Z2934" i="1"/>
  <c r="Y2935" i="1"/>
  <c r="Z2935" i="1"/>
  <c r="Y2936" i="1"/>
  <c r="Z2936" i="1"/>
  <c r="Y2937" i="1"/>
  <c r="Z2937" i="1"/>
  <c r="Y2938" i="1"/>
  <c r="Z2938" i="1"/>
  <c r="Y2939" i="1"/>
  <c r="Z2939" i="1"/>
  <c r="Y2940" i="1"/>
  <c r="Z2940" i="1"/>
  <c r="Y2941" i="1"/>
  <c r="Z2941" i="1"/>
  <c r="Y2942" i="1"/>
  <c r="Z2942" i="1"/>
  <c r="Y2943" i="1"/>
  <c r="Z2943" i="1"/>
  <c r="Y2944" i="1"/>
  <c r="Z2944" i="1"/>
  <c r="Y2945" i="1"/>
  <c r="Z2945" i="1"/>
  <c r="Y2946" i="1"/>
  <c r="Z2946" i="1"/>
  <c r="Y2947" i="1"/>
  <c r="Z2947" i="1"/>
  <c r="Y2948" i="1"/>
  <c r="Z2948" i="1"/>
  <c r="Y2949" i="1"/>
  <c r="Z2949" i="1"/>
  <c r="Y2950" i="1"/>
  <c r="Z2950" i="1"/>
  <c r="Y2951" i="1"/>
  <c r="Z2951" i="1"/>
  <c r="Y2952" i="1"/>
  <c r="Z2952" i="1"/>
  <c r="Y2953" i="1"/>
  <c r="Z2953" i="1"/>
  <c r="Y2954" i="1"/>
  <c r="Z2954" i="1"/>
  <c r="Y2955" i="1"/>
  <c r="Z2955" i="1"/>
  <c r="Y2956" i="1"/>
  <c r="Z2956" i="1"/>
  <c r="Y2957" i="1"/>
  <c r="Z2957" i="1"/>
  <c r="Y2958" i="1"/>
  <c r="Z2958" i="1"/>
  <c r="Y2959" i="1"/>
  <c r="Z2959" i="1"/>
  <c r="Y2960" i="1"/>
  <c r="Z2960" i="1"/>
  <c r="Y2961" i="1"/>
  <c r="Z2961" i="1"/>
  <c r="Y2962" i="1"/>
  <c r="Z2962" i="1"/>
  <c r="Y2963" i="1"/>
  <c r="Z2963" i="1"/>
  <c r="Y2964" i="1"/>
  <c r="Z2964" i="1"/>
  <c r="Y2965" i="1"/>
  <c r="Z2965" i="1"/>
  <c r="Y2966" i="1"/>
  <c r="Z2966" i="1"/>
  <c r="Y2967" i="1"/>
  <c r="Z2967" i="1"/>
  <c r="Y2968" i="1"/>
  <c r="Z2968" i="1"/>
  <c r="Y2969" i="1"/>
  <c r="Z2969" i="1"/>
  <c r="Y2970" i="1"/>
  <c r="Z2970" i="1"/>
  <c r="Y2971" i="1"/>
  <c r="Z2971" i="1"/>
  <c r="Y2972" i="1"/>
  <c r="Z2972" i="1"/>
  <c r="Y2973" i="1"/>
  <c r="Z2973" i="1"/>
  <c r="Y2974" i="1"/>
  <c r="Z2974" i="1"/>
  <c r="Y2975" i="1"/>
  <c r="Z2975" i="1"/>
  <c r="Y2976" i="1"/>
  <c r="Z2976" i="1"/>
  <c r="Y2977" i="1"/>
  <c r="Z2977" i="1"/>
  <c r="Y2978" i="1"/>
  <c r="Z2978" i="1"/>
  <c r="Y2979" i="1"/>
  <c r="Z2979" i="1"/>
  <c r="Y2980" i="1"/>
  <c r="Z2980" i="1"/>
  <c r="Y2981" i="1"/>
  <c r="Z2981" i="1"/>
  <c r="Y2982" i="1"/>
  <c r="Z2982" i="1"/>
  <c r="Y2983" i="1"/>
  <c r="Z2983" i="1"/>
  <c r="Y2984" i="1"/>
  <c r="Z2984" i="1"/>
  <c r="Y2985" i="1"/>
  <c r="Z2985" i="1"/>
  <c r="Y2986" i="1"/>
  <c r="Z2986" i="1"/>
  <c r="Y2987" i="1"/>
  <c r="Z2987" i="1"/>
  <c r="Y2988" i="1"/>
  <c r="Z2988" i="1"/>
  <c r="Y2989" i="1"/>
  <c r="Z2989" i="1"/>
  <c r="Y2990" i="1"/>
  <c r="Z2990" i="1"/>
  <c r="Y2991" i="1"/>
  <c r="Z2991" i="1"/>
  <c r="Y2992" i="1"/>
  <c r="Z2992" i="1"/>
  <c r="Y2993" i="1"/>
  <c r="Z2993" i="1"/>
  <c r="Y2994" i="1"/>
  <c r="Z2994" i="1"/>
  <c r="Y2995" i="1"/>
  <c r="Z2995" i="1"/>
  <c r="Y2996" i="1"/>
  <c r="Z2996" i="1"/>
  <c r="Y2997" i="1"/>
  <c r="Z2997" i="1"/>
  <c r="Y2998" i="1"/>
  <c r="Z2998" i="1"/>
  <c r="Y2999" i="1"/>
  <c r="Z2999" i="1"/>
  <c r="Y3000" i="1"/>
  <c r="Z3000" i="1"/>
  <c r="Y3001" i="1"/>
  <c r="Z3001" i="1"/>
  <c r="Y3002" i="1"/>
  <c r="Z3002" i="1"/>
  <c r="Y3003" i="1"/>
  <c r="Z3003" i="1"/>
  <c r="Y3004" i="1"/>
  <c r="Z3004" i="1"/>
  <c r="Y3005" i="1"/>
  <c r="Z3005" i="1"/>
  <c r="Y3006" i="1"/>
  <c r="Z3006" i="1"/>
  <c r="Y3007" i="1"/>
  <c r="Z3007" i="1"/>
  <c r="Y3008" i="1"/>
  <c r="Z3008" i="1"/>
  <c r="Y3009" i="1"/>
  <c r="Z3009" i="1"/>
  <c r="Y3010" i="1"/>
  <c r="Z3010" i="1"/>
  <c r="Y3011" i="1"/>
  <c r="Z3011" i="1"/>
  <c r="Y3012" i="1"/>
  <c r="Z3012" i="1"/>
  <c r="Y3013" i="1"/>
  <c r="Z3013" i="1"/>
  <c r="Y3014" i="1"/>
  <c r="Z3014" i="1"/>
  <c r="Y3015" i="1"/>
  <c r="Z3015" i="1"/>
  <c r="Y3016" i="1"/>
  <c r="Z3016" i="1"/>
  <c r="Y9" i="1"/>
  <c r="Z9" i="1"/>
  <c r="Y10" i="1"/>
  <c r="Z10" i="1"/>
  <c r="Y11" i="1"/>
  <c r="Z11" i="1"/>
  <c r="Y12" i="1"/>
  <c r="Z12" i="1"/>
  <c r="Y13" i="1"/>
  <c r="Z13" i="1"/>
  <c r="Y14" i="1"/>
  <c r="Z14" i="1"/>
  <c r="Y15" i="1"/>
  <c r="Z15" i="1"/>
  <c r="Y16" i="1"/>
  <c r="Z16" i="1"/>
  <c r="Y17" i="1"/>
  <c r="Z17" i="1"/>
  <c r="Y18" i="1"/>
  <c r="Z18" i="1"/>
  <c r="Y19" i="1"/>
  <c r="Z19" i="1"/>
  <c r="Y20" i="1"/>
  <c r="Z20" i="1"/>
  <c r="Y21" i="1"/>
  <c r="Z21" i="1"/>
  <c r="Y22" i="1"/>
  <c r="Z22" i="1"/>
  <c r="Y23" i="1"/>
  <c r="Z23" i="1"/>
  <c r="Y24" i="1"/>
  <c r="Z24" i="1"/>
  <c r="Y25" i="1"/>
  <c r="Z25" i="1"/>
  <c r="Y26" i="1"/>
  <c r="Z26" i="1"/>
  <c r="Y27" i="1"/>
  <c r="Z27" i="1"/>
  <c r="Y28" i="1"/>
  <c r="Z28" i="1"/>
  <c r="Y29" i="1"/>
  <c r="Z29" i="1"/>
  <c r="Y30" i="1"/>
  <c r="Z30" i="1"/>
  <c r="Y31" i="1"/>
  <c r="Z31" i="1"/>
  <c r="Y32" i="1"/>
  <c r="Z32" i="1"/>
  <c r="Y33" i="1"/>
  <c r="Z33" i="1"/>
  <c r="Y34" i="1"/>
  <c r="Z34" i="1"/>
  <c r="Y35" i="1"/>
  <c r="Z35" i="1"/>
  <c r="Y36" i="1"/>
  <c r="Z36" i="1"/>
  <c r="Y37" i="1"/>
  <c r="Z37" i="1"/>
  <c r="Y38" i="1"/>
  <c r="Z38" i="1"/>
  <c r="Y39" i="1"/>
  <c r="Z39" i="1"/>
  <c r="Y40" i="1"/>
  <c r="Z40" i="1"/>
  <c r="Y41" i="1"/>
  <c r="Z41" i="1"/>
  <c r="Y42" i="1"/>
  <c r="Z42" i="1"/>
  <c r="Y43" i="1"/>
  <c r="Z43" i="1"/>
  <c r="Y44" i="1"/>
  <c r="Z44" i="1"/>
  <c r="Y45" i="1"/>
  <c r="Z45" i="1"/>
  <c r="Y46" i="1"/>
  <c r="Z46" i="1"/>
  <c r="Y47" i="1"/>
  <c r="Z47" i="1"/>
  <c r="Y48" i="1"/>
  <c r="Z48" i="1"/>
  <c r="Y49" i="1"/>
  <c r="Z49" i="1"/>
  <c r="Y50" i="1"/>
  <c r="Z50" i="1"/>
  <c r="Y51" i="1"/>
  <c r="Z51" i="1"/>
  <c r="Y52" i="1"/>
  <c r="Z52" i="1"/>
  <c r="Y53" i="1"/>
  <c r="Z53" i="1"/>
  <c r="Y54" i="1"/>
  <c r="Z54" i="1"/>
  <c r="Y55" i="1"/>
  <c r="Z55" i="1"/>
  <c r="Y56" i="1"/>
  <c r="Z56" i="1"/>
  <c r="Y57" i="1"/>
  <c r="Z57" i="1"/>
  <c r="Y58" i="1"/>
  <c r="Z58" i="1"/>
  <c r="Y59" i="1"/>
  <c r="Z59" i="1"/>
  <c r="Y60" i="1"/>
  <c r="Z60" i="1"/>
  <c r="Y61" i="1"/>
  <c r="Z61" i="1"/>
  <c r="Y62" i="1"/>
  <c r="Z62" i="1"/>
  <c r="Y63" i="1"/>
  <c r="Z63" i="1"/>
  <c r="Y64" i="1"/>
  <c r="Z64" i="1"/>
  <c r="Y65" i="1"/>
  <c r="Z65" i="1"/>
  <c r="Y66" i="1"/>
  <c r="Z66" i="1"/>
  <c r="Y67" i="1"/>
  <c r="Z67" i="1"/>
  <c r="Y68" i="1"/>
  <c r="Z68" i="1"/>
  <c r="Y69" i="1"/>
  <c r="Z69" i="1"/>
  <c r="Y70" i="1"/>
  <c r="Z70" i="1"/>
  <c r="Y71" i="1"/>
  <c r="Z71" i="1"/>
  <c r="Y72" i="1"/>
  <c r="Z72" i="1"/>
  <c r="Y73" i="1"/>
  <c r="Z73" i="1"/>
  <c r="Y74" i="1"/>
  <c r="Z74" i="1"/>
  <c r="Y75" i="1"/>
  <c r="Z75" i="1"/>
  <c r="Y76" i="1"/>
  <c r="Z76" i="1"/>
  <c r="Y77" i="1"/>
  <c r="Z77" i="1"/>
  <c r="Y78" i="1"/>
  <c r="Z78" i="1"/>
  <c r="Y79" i="1"/>
  <c r="Z79" i="1"/>
  <c r="Y80" i="1"/>
  <c r="Z80" i="1"/>
  <c r="Y81" i="1"/>
  <c r="Z81" i="1"/>
  <c r="Y82" i="1"/>
  <c r="Z82" i="1"/>
  <c r="Y83" i="1"/>
  <c r="Z83" i="1"/>
  <c r="Y84" i="1"/>
  <c r="Z84" i="1"/>
  <c r="Y85" i="1"/>
  <c r="Z85" i="1"/>
  <c r="Y86" i="1"/>
  <c r="Z86" i="1"/>
  <c r="Y87" i="1"/>
  <c r="Z87" i="1"/>
  <c r="Y88" i="1"/>
  <c r="Z88" i="1"/>
  <c r="Y89" i="1"/>
  <c r="Z89" i="1"/>
  <c r="Y90" i="1"/>
  <c r="Z90" i="1"/>
  <c r="Y91" i="1"/>
  <c r="Z91" i="1"/>
  <c r="Y92" i="1"/>
  <c r="Z92" i="1"/>
  <c r="Y93" i="1"/>
  <c r="Z93" i="1"/>
  <c r="Y94" i="1"/>
  <c r="Z94" i="1"/>
  <c r="Y95" i="1"/>
  <c r="Z95" i="1"/>
  <c r="Y96" i="1"/>
  <c r="Z96" i="1"/>
  <c r="Y97" i="1"/>
  <c r="Z97" i="1"/>
  <c r="Y98" i="1"/>
  <c r="Z98" i="1"/>
  <c r="Y99" i="1"/>
  <c r="Z99" i="1"/>
  <c r="Y100" i="1"/>
  <c r="Z100" i="1"/>
  <c r="Y101" i="1"/>
  <c r="Z101" i="1"/>
  <c r="Y102" i="1"/>
  <c r="Z102" i="1"/>
  <c r="Y103" i="1"/>
  <c r="Z103" i="1"/>
  <c r="Y104" i="1"/>
  <c r="Z104" i="1"/>
  <c r="Y105" i="1"/>
  <c r="Z105" i="1"/>
  <c r="Y106" i="1"/>
  <c r="Z106" i="1"/>
  <c r="Y107" i="1"/>
  <c r="Z107" i="1"/>
  <c r="Y108" i="1"/>
  <c r="Z108" i="1"/>
  <c r="Y109" i="1"/>
  <c r="Z109" i="1"/>
  <c r="Y110" i="1"/>
  <c r="Z110" i="1"/>
  <c r="Y111" i="1"/>
  <c r="Z111" i="1"/>
  <c r="Y112" i="1"/>
  <c r="Z112" i="1"/>
  <c r="Y113" i="1"/>
  <c r="Z113" i="1"/>
  <c r="Y114" i="1"/>
  <c r="Z114" i="1"/>
  <c r="Y115" i="1"/>
  <c r="Z115" i="1"/>
  <c r="Y116" i="1"/>
  <c r="Z116" i="1"/>
  <c r="Y117" i="1"/>
  <c r="Z117" i="1"/>
  <c r="Y118" i="1"/>
  <c r="Z118" i="1"/>
  <c r="Y119" i="1"/>
  <c r="Z119" i="1"/>
  <c r="Y120" i="1"/>
  <c r="Z120" i="1"/>
  <c r="Y121" i="1"/>
  <c r="Z121" i="1"/>
  <c r="Y122" i="1"/>
  <c r="Z122" i="1"/>
  <c r="Y123" i="1"/>
  <c r="Z123" i="1"/>
  <c r="Y124" i="1"/>
  <c r="Z124" i="1"/>
  <c r="Y125" i="1"/>
  <c r="Z125" i="1"/>
  <c r="Y126" i="1"/>
  <c r="Z126" i="1"/>
  <c r="Y127" i="1"/>
  <c r="Z127" i="1"/>
  <c r="Y128" i="1"/>
  <c r="Z128" i="1"/>
  <c r="Y129" i="1"/>
  <c r="Z129" i="1"/>
  <c r="Y130" i="1"/>
  <c r="Z130" i="1"/>
  <c r="Y131" i="1"/>
  <c r="Z131" i="1"/>
  <c r="Y132" i="1"/>
  <c r="Z132" i="1"/>
  <c r="Y133" i="1"/>
  <c r="Z133" i="1"/>
  <c r="Y134" i="1"/>
  <c r="Z134" i="1"/>
  <c r="Y135" i="1"/>
  <c r="Z135" i="1"/>
  <c r="Y136" i="1"/>
  <c r="Z136" i="1"/>
  <c r="Y137" i="1"/>
  <c r="Z137" i="1"/>
  <c r="Y138" i="1"/>
  <c r="Z138" i="1"/>
  <c r="Y139" i="1"/>
  <c r="Z139" i="1"/>
  <c r="Y140" i="1"/>
  <c r="Z140" i="1"/>
  <c r="Y141" i="1"/>
  <c r="Z141" i="1"/>
  <c r="Y142" i="1"/>
  <c r="Z142" i="1"/>
  <c r="Y143" i="1"/>
  <c r="Z143" i="1"/>
  <c r="Y144" i="1"/>
  <c r="Z144" i="1"/>
  <c r="Y145" i="1"/>
  <c r="Z145" i="1"/>
  <c r="Y146" i="1"/>
  <c r="Z146" i="1"/>
  <c r="Y147" i="1"/>
  <c r="Z147" i="1"/>
  <c r="Y148" i="1"/>
  <c r="Z148" i="1"/>
  <c r="Y149" i="1"/>
  <c r="Z149" i="1"/>
  <c r="Y150" i="1"/>
  <c r="Z150" i="1"/>
  <c r="Y151" i="1"/>
  <c r="Z151" i="1"/>
  <c r="Y152" i="1"/>
  <c r="Z152" i="1"/>
  <c r="Y153" i="1"/>
  <c r="Z153" i="1"/>
  <c r="Y154" i="1"/>
  <c r="Z154" i="1"/>
  <c r="Y155" i="1"/>
  <c r="Z155" i="1"/>
  <c r="Y156" i="1"/>
  <c r="Z156" i="1"/>
  <c r="Y157" i="1"/>
  <c r="Z157" i="1"/>
  <c r="Y158" i="1"/>
  <c r="Z158" i="1"/>
  <c r="Y159" i="1"/>
  <c r="Z159" i="1"/>
  <c r="Y160" i="1"/>
  <c r="Z160" i="1"/>
  <c r="Y161" i="1"/>
  <c r="Z161" i="1"/>
  <c r="Y162" i="1"/>
  <c r="Z162" i="1"/>
  <c r="Y163" i="1"/>
  <c r="Z163" i="1"/>
  <c r="Y164" i="1"/>
  <c r="Z164" i="1"/>
  <c r="Y165" i="1"/>
  <c r="Z165" i="1"/>
  <c r="Y166" i="1"/>
  <c r="Z166" i="1"/>
  <c r="Y167" i="1"/>
  <c r="Z167" i="1"/>
  <c r="Y168" i="1"/>
  <c r="Z168" i="1"/>
  <c r="Y169" i="1"/>
  <c r="Z169" i="1"/>
  <c r="Y170" i="1"/>
  <c r="Z170" i="1"/>
  <c r="Y171" i="1"/>
  <c r="Z171" i="1"/>
  <c r="Y172" i="1"/>
  <c r="Z172" i="1"/>
  <c r="Y173" i="1"/>
  <c r="Z173" i="1"/>
  <c r="Y174" i="1"/>
  <c r="Z174" i="1"/>
  <c r="Y175" i="1"/>
  <c r="Z175" i="1"/>
  <c r="Y176" i="1"/>
  <c r="Z176" i="1"/>
  <c r="Y177" i="1"/>
  <c r="Z177" i="1"/>
  <c r="Y178" i="1"/>
  <c r="Z178" i="1"/>
  <c r="Y179" i="1"/>
  <c r="Z179" i="1"/>
  <c r="Y180" i="1"/>
  <c r="Z180" i="1"/>
  <c r="Y181" i="1"/>
  <c r="Z181" i="1"/>
  <c r="Y182" i="1"/>
  <c r="Z182" i="1"/>
  <c r="Y183" i="1"/>
  <c r="Z183" i="1"/>
  <c r="Y184" i="1"/>
  <c r="Z184" i="1"/>
  <c r="Y185" i="1"/>
  <c r="Z185" i="1"/>
  <c r="Y186" i="1"/>
  <c r="Z186" i="1"/>
  <c r="Y187" i="1"/>
  <c r="Z187" i="1"/>
  <c r="Y188" i="1"/>
  <c r="Z188" i="1"/>
  <c r="Y189" i="1"/>
  <c r="Z189" i="1"/>
  <c r="Y190" i="1"/>
  <c r="Z190" i="1"/>
  <c r="Y191" i="1"/>
  <c r="Z191" i="1"/>
  <c r="Y192" i="1"/>
  <c r="Z192" i="1"/>
  <c r="Y193" i="1"/>
  <c r="Z193" i="1"/>
  <c r="Y194" i="1"/>
  <c r="Z194" i="1"/>
  <c r="Y195" i="1"/>
  <c r="Z195" i="1"/>
  <c r="Y196" i="1"/>
  <c r="Z196" i="1"/>
  <c r="Y197" i="1"/>
  <c r="Z197" i="1"/>
  <c r="Y198" i="1"/>
  <c r="Z198" i="1"/>
  <c r="Y199" i="1"/>
  <c r="Z199" i="1"/>
  <c r="Y200" i="1"/>
  <c r="Z200" i="1"/>
  <c r="Y201" i="1"/>
  <c r="Z201" i="1"/>
  <c r="Y202" i="1"/>
  <c r="Z202" i="1"/>
  <c r="Y203" i="1"/>
  <c r="Z203" i="1"/>
  <c r="Y204" i="1"/>
  <c r="Z204" i="1"/>
  <c r="Y205" i="1"/>
  <c r="Z205" i="1"/>
  <c r="Y206" i="1"/>
  <c r="Z206" i="1"/>
  <c r="Y207" i="1"/>
  <c r="Z207" i="1"/>
  <c r="Y208" i="1"/>
  <c r="Z208" i="1"/>
  <c r="Y209" i="1"/>
  <c r="Z209" i="1"/>
  <c r="Y210" i="1"/>
  <c r="Z210" i="1"/>
  <c r="Y211" i="1"/>
  <c r="Z211" i="1"/>
  <c r="Y212" i="1"/>
  <c r="Z212" i="1"/>
  <c r="Y213" i="1"/>
  <c r="Z213" i="1"/>
  <c r="Y214" i="1"/>
  <c r="Z214" i="1"/>
  <c r="Y215" i="1"/>
  <c r="Z215" i="1"/>
  <c r="Y216" i="1"/>
  <c r="Z216" i="1"/>
  <c r="Y217" i="1"/>
  <c r="Z217" i="1"/>
  <c r="Y218" i="1"/>
  <c r="Z218" i="1"/>
  <c r="Y219" i="1"/>
  <c r="Z219" i="1"/>
  <c r="Y220" i="1"/>
  <c r="Z220" i="1"/>
  <c r="Y221" i="1"/>
  <c r="Z221" i="1"/>
  <c r="Y222" i="1"/>
  <c r="Z222" i="1"/>
  <c r="Y223" i="1"/>
  <c r="Z223" i="1"/>
  <c r="Y224" i="1"/>
  <c r="Z224" i="1"/>
  <c r="Y225" i="1"/>
  <c r="Z225" i="1"/>
  <c r="Y226" i="1"/>
  <c r="Z226" i="1"/>
  <c r="Y227" i="1"/>
  <c r="Z227" i="1"/>
  <c r="Y228" i="1"/>
  <c r="Z228" i="1"/>
  <c r="Y229" i="1"/>
  <c r="Z229" i="1"/>
  <c r="Y230" i="1"/>
  <c r="Z230" i="1"/>
  <c r="Y231" i="1"/>
  <c r="Z231" i="1"/>
  <c r="Y232" i="1"/>
  <c r="Z232" i="1"/>
  <c r="Y233" i="1"/>
  <c r="Z233" i="1"/>
  <c r="Y234" i="1"/>
  <c r="Z234" i="1"/>
  <c r="Y235" i="1"/>
  <c r="Z235" i="1"/>
  <c r="Y236" i="1"/>
  <c r="Z236" i="1"/>
  <c r="Y237" i="1"/>
  <c r="Z237" i="1"/>
  <c r="Y238" i="1"/>
  <c r="Z238" i="1"/>
  <c r="Y239" i="1"/>
  <c r="Z239" i="1"/>
  <c r="Y240" i="1"/>
  <c r="Z240" i="1"/>
  <c r="Y241" i="1"/>
  <c r="Z241" i="1"/>
  <c r="Y242" i="1"/>
  <c r="Z242" i="1"/>
  <c r="Y243" i="1"/>
  <c r="Z243" i="1"/>
  <c r="Y244" i="1"/>
  <c r="Z244" i="1"/>
  <c r="Y245" i="1"/>
  <c r="Z245" i="1"/>
  <c r="Y246" i="1"/>
  <c r="Z246" i="1"/>
  <c r="Y247" i="1"/>
  <c r="Z247" i="1"/>
  <c r="Y248" i="1"/>
  <c r="Z248" i="1"/>
  <c r="Y249" i="1"/>
  <c r="Z249" i="1"/>
  <c r="Y250" i="1"/>
  <c r="Z250" i="1"/>
  <c r="Y251" i="1"/>
  <c r="Z251" i="1"/>
  <c r="Y252" i="1"/>
  <c r="Z252" i="1"/>
  <c r="Y253" i="1"/>
  <c r="Z253" i="1"/>
  <c r="Y254" i="1"/>
  <c r="Z254" i="1"/>
  <c r="Y255" i="1"/>
  <c r="Z255" i="1"/>
  <c r="Y256" i="1"/>
  <c r="Z256" i="1"/>
  <c r="Y257" i="1"/>
  <c r="Z257" i="1"/>
  <c r="Y258" i="1"/>
  <c r="Z258" i="1"/>
  <c r="Y259" i="1"/>
  <c r="Z259" i="1"/>
  <c r="Y260" i="1"/>
  <c r="Z260" i="1"/>
  <c r="Y261" i="1"/>
  <c r="Z261" i="1"/>
  <c r="Y262" i="1"/>
  <c r="Z262" i="1"/>
  <c r="Y263" i="1"/>
  <c r="Z263" i="1"/>
  <c r="Y264" i="1"/>
  <c r="Z264" i="1"/>
  <c r="Y265" i="1"/>
  <c r="Z265" i="1"/>
  <c r="Y266" i="1"/>
  <c r="Z266" i="1"/>
  <c r="Y267" i="1"/>
  <c r="Z267" i="1"/>
  <c r="Y268" i="1"/>
  <c r="Z268" i="1"/>
  <c r="Y269" i="1"/>
  <c r="Z269" i="1"/>
  <c r="Y270" i="1"/>
  <c r="Z270" i="1"/>
  <c r="Y271" i="1"/>
  <c r="Z271" i="1"/>
  <c r="Y272" i="1"/>
  <c r="Z272" i="1"/>
  <c r="Y273" i="1"/>
  <c r="Z273" i="1"/>
  <c r="Y274" i="1"/>
  <c r="Z274" i="1"/>
  <c r="Y275" i="1"/>
  <c r="Z275" i="1"/>
  <c r="Y276" i="1"/>
  <c r="Z276" i="1"/>
  <c r="Y277" i="1"/>
  <c r="Z277" i="1"/>
  <c r="Y278" i="1"/>
  <c r="Z278" i="1"/>
  <c r="Y279" i="1"/>
  <c r="Z279" i="1"/>
  <c r="Y280" i="1"/>
  <c r="Z280" i="1"/>
  <c r="Y281" i="1"/>
  <c r="Z281" i="1"/>
  <c r="Y282" i="1"/>
  <c r="Z282" i="1"/>
  <c r="Y283" i="1"/>
  <c r="Z283" i="1"/>
  <c r="Y284" i="1"/>
  <c r="Z284" i="1"/>
  <c r="Y285" i="1"/>
  <c r="Z285" i="1"/>
  <c r="Y286" i="1"/>
  <c r="Z286" i="1"/>
  <c r="Y287" i="1"/>
  <c r="Z287" i="1"/>
  <c r="Y288" i="1"/>
  <c r="Z288" i="1"/>
  <c r="Y289" i="1"/>
  <c r="Z289" i="1"/>
  <c r="Y290" i="1"/>
  <c r="Z290" i="1"/>
  <c r="Y291" i="1"/>
  <c r="Z291" i="1"/>
  <c r="Y292" i="1"/>
  <c r="Z292" i="1"/>
  <c r="Y293" i="1"/>
  <c r="Z293" i="1"/>
  <c r="Y294" i="1"/>
  <c r="Z294" i="1"/>
  <c r="Y295" i="1"/>
  <c r="Z295" i="1"/>
  <c r="Y296" i="1"/>
  <c r="Z296" i="1"/>
  <c r="Y297" i="1"/>
  <c r="Z297" i="1"/>
  <c r="Y298" i="1"/>
  <c r="Z298" i="1"/>
  <c r="Y299" i="1"/>
  <c r="Z299" i="1"/>
  <c r="Y300" i="1"/>
  <c r="Z300" i="1"/>
  <c r="Y301" i="1"/>
  <c r="Z301" i="1"/>
  <c r="Y302" i="1"/>
  <c r="Z302" i="1"/>
  <c r="Y303" i="1"/>
  <c r="Z303" i="1"/>
  <c r="Y304" i="1"/>
  <c r="Z304" i="1"/>
  <c r="Y305" i="1"/>
  <c r="Z305" i="1"/>
  <c r="Y306" i="1"/>
  <c r="Z306" i="1"/>
  <c r="Y307" i="1"/>
  <c r="Z307" i="1"/>
  <c r="Y308" i="1"/>
  <c r="Z308" i="1"/>
  <c r="Y309" i="1"/>
  <c r="Z309" i="1"/>
  <c r="Y310" i="1"/>
  <c r="Z310" i="1"/>
  <c r="Y311" i="1"/>
  <c r="Z311" i="1"/>
  <c r="Y312" i="1"/>
  <c r="Z312" i="1"/>
  <c r="Y313" i="1"/>
  <c r="Z313" i="1"/>
  <c r="Y314" i="1"/>
  <c r="Z314" i="1"/>
  <c r="Y315" i="1"/>
  <c r="Z315" i="1"/>
  <c r="Y316" i="1"/>
  <c r="Z316" i="1"/>
  <c r="Y317" i="1"/>
  <c r="Z317" i="1"/>
  <c r="Y318" i="1"/>
  <c r="Z318" i="1"/>
  <c r="Y319" i="1"/>
  <c r="Z319" i="1"/>
  <c r="Y320" i="1"/>
  <c r="Z320" i="1"/>
  <c r="Y321" i="1"/>
  <c r="Z321" i="1"/>
  <c r="Y322" i="1"/>
  <c r="Z322" i="1"/>
  <c r="Y323" i="1"/>
  <c r="Z323" i="1"/>
  <c r="Y324" i="1"/>
  <c r="Z324" i="1"/>
  <c r="Y325" i="1"/>
  <c r="Z325" i="1"/>
  <c r="Y326" i="1"/>
  <c r="Z326" i="1"/>
  <c r="Y327" i="1"/>
  <c r="Z327" i="1"/>
  <c r="Y328" i="1"/>
  <c r="Z328" i="1"/>
  <c r="Y329" i="1"/>
  <c r="Z329" i="1"/>
  <c r="Y330" i="1"/>
  <c r="Z330" i="1"/>
  <c r="Y331" i="1"/>
  <c r="Z331" i="1"/>
  <c r="Y332" i="1"/>
  <c r="Z332" i="1"/>
  <c r="Y333" i="1"/>
  <c r="Z333" i="1"/>
  <c r="Y334" i="1"/>
  <c r="Z334" i="1"/>
  <c r="Y335" i="1"/>
  <c r="Z335" i="1"/>
  <c r="Y336" i="1"/>
  <c r="Z336" i="1"/>
  <c r="Y337" i="1"/>
  <c r="Z337" i="1"/>
  <c r="Y338" i="1"/>
  <c r="Z338" i="1"/>
  <c r="Y339" i="1"/>
  <c r="Z339" i="1"/>
  <c r="Y340" i="1"/>
  <c r="Z340" i="1"/>
  <c r="Y341" i="1"/>
  <c r="Z341" i="1"/>
  <c r="Y342" i="1"/>
  <c r="Z342" i="1"/>
  <c r="Y343" i="1"/>
  <c r="Z343" i="1"/>
  <c r="Y344" i="1"/>
  <c r="Z344" i="1"/>
  <c r="Y345" i="1"/>
  <c r="Z345" i="1"/>
  <c r="Y346" i="1"/>
  <c r="Z346" i="1"/>
  <c r="Y347" i="1"/>
  <c r="Z347" i="1"/>
  <c r="Y348" i="1"/>
  <c r="Z348" i="1"/>
  <c r="Y349" i="1"/>
  <c r="Z349" i="1"/>
  <c r="Y350" i="1"/>
  <c r="Z350" i="1"/>
  <c r="Y351" i="1"/>
  <c r="Z351" i="1"/>
  <c r="Y352" i="1"/>
  <c r="Z352" i="1"/>
  <c r="Y353" i="1"/>
  <c r="Z353" i="1"/>
  <c r="Y354" i="1"/>
  <c r="Z354" i="1"/>
  <c r="Y355" i="1"/>
  <c r="Z355" i="1"/>
  <c r="Y356" i="1"/>
  <c r="Z356" i="1"/>
  <c r="Y357" i="1"/>
  <c r="Z357" i="1"/>
  <c r="Y358" i="1"/>
  <c r="Z358" i="1"/>
  <c r="Y359" i="1"/>
  <c r="Z359" i="1"/>
  <c r="Y360" i="1"/>
  <c r="Z360" i="1"/>
  <c r="Y361" i="1"/>
  <c r="Z361" i="1"/>
  <c r="Y362" i="1"/>
  <c r="Z362" i="1"/>
  <c r="Y363" i="1"/>
  <c r="Z363" i="1"/>
  <c r="Y364" i="1"/>
  <c r="Z364" i="1"/>
  <c r="Y365" i="1"/>
  <c r="Z365" i="1"/>
  <c r="Y366" i="1"/>
  <c r="Z366" i="1"/>
  <c r="Y367" i="1"/>
  <c r="Z367" i="1"/>
  <c r="Y368" i="1"/>
  <c r="Z368" i="1"/>
  <c r="Y369" i="1"/>
  <c r="Z369" i="1"/>
  <c r="Y370" i="1"/>
  <c r="Z370" i="1"/>
  <c r="Y371" i="1"/>
  <c r="Z371" i="1"/>
  <c r="Y372" i="1"/>
  <c r="Z372" i="1"/>
  <c r="Y373" i="1"/>
  <c r="Z373" i="1"/>
  <c r="Y374" i="1"/>
  <c r="Z374" i="1"/>
  <c r="Y375" i="1"/>
  <c r="Z375" i="1"/>
  <c r="Y376" i="1"/>
  <c r="Z376" i="1"/>
  <c r="Y377" i="1"/>
  <c r="Z377" i="1"/>
  <c r="Y378" i="1"/>
  <c r="Z378" i="1"/>
  <c r="Y379" i="1"/>
  <c r="Z379" i="1"/>
  <c r="Y380" i="1"/>
  <c r="Z380" i="1"/>
  <c r="Y381" i="1"/>
  <c r="Z381" i="1"/>
  <c r="Y382" i="1"/>
  <c r="Z382" i="1"/>
  <c r="Y383" i="1"/>
  <c r="Z383" i="1"/>
  <c r="Y384" i="1"/>
  <c r="Z384" i="1"/>
  <c r="Y385" i="1"/>
  <c r="Z385" i="1"/>
  <c r="Y386" i="1"/>
  <c r="Z386" i="1"/>
  <c r="Y387" i="1"/>
  <c r="Z387" i="1"/>
  <c r="Y388" i="1"/>
  <c r="Z388" i="1"/>
  <c r="Y389" i="1"/>
  <c r="Z389" i="1"/>
  <c r="Y390" i="1"/>
  <c r="Z390" i="1"/>
  <c r="Y391" i="1"/>
  <c r="Z391" i="1"/>
  <c r="Y392" i="1"/>
  <c r="Z392" i="1"/>
  <c r="Y393" i="1"/>
  <c r="Z393" i="1"/>
  <c r="Y394" i="1"/>
  <c r="Z394" i="1"/>
  <c r="Y395" i="1"/>
  <c r="Z395" i="1"/>
  <c r="Y396" i="1"/>
  <c r="Z396" i="1"/>
  <c r="Y397" i="1"/>
  <c r="Z397" i="1"/>
  <c r="Y398" i="1"/>
  <c r="Z398" i="1"/>
  <c r="Y399" i="1"/>
  <c r="Z399" i="1"/>
  <c r="Y400" i="1"/>
  <c r="Z400" i="1"/>
  <c r="Y401" i="1"/>
  <c r="Z401" i="1"/>
  <c r="Y402" i="1"/>
  <c r="Z402" i="1"/>
  <c r="Y403" i="1"/>
  <c r="Z403" i="1"/>
  <c r="Y404" i="1"/>
  <c r="Z404" i="1"/>
  <c r="Y405" i="1"/>
  <c r="Z405" i="1"/>
  <c r="Y406" i="1"/>
  <c r="Z406" i="1"/>
  <c r="Y407" i="1"/>
  <c r="Z407" i="1"/>
  <c r="Y408" i="1"/>
  <c r="Z408" i="1"/>
  <c r="Y409" i="1"/>
  <c r="Z409" i="1"/>
  <c r="Y410" i="1"/>
  <c r="Z410" i="1"/>
  <c r="Y411" i="1"/>
  <c r="Z411" i="1"/>
  <c r="Y412" i="1"/>
  <c r="Z412" i="1"/>
  <c r="Y413" i="1"/>
  <c r="Z413" i="1"/>
  <c r="Y414" i="1"/>
  <c r="Z414" i="1"/>
  <c r="Y415" i="1"/>
  <c r="Z415" i="1"/>
  <c r="Y416" i="1"/>
  <c r="Z416" i="1"/>
  <c r="Y417" i="1"/>
  <c r="Z417" i="1"/>
  <c r="Y418" i="1"/>
  <c r="Z418" i="1"/>
  <c r="Y419" i="1"/>
  <c r="Z419" i="1"/>
  <c r="Y420" i="1"/>
  <c r="Z420" i="1"/>
  <c r="Y421" i="1"/>
  <c r="Z421" i="1"/>
  <c r="Y422" i="1"/>
  <c r="Z422" i="1"/>
  <c r="Y423" i="1"/>
  <c r="Z423" i="1"/>
  <c r="Y424" i="1"/>
  <c r="Z424" i="1"/>
  <c r="Y425" i="1"/>
  <c r="Z425" i="1"/>
  <c r="Y426" i="1"/>
  <c r="Z426" i="1"/>
  <c r="Y427" i="1"/>
  <c r="Z427" i="1"/>
  <c r="Y428" i="1"/>
  <c r="Z428" i="1"/>
  <c r="Y429" i="1"/>
  <c r="Z429" i="1"/>
  <c r="Y430" i="1"/>
  <c r="Z430" i="1"/>
  <c r="Y431" i="1"/>
  <c r="Z431" i="1"/>
  <c r="Y432" i="1"/>
  <c r="Z432" i="1"/>
  <c r="Y433" i="1"/>
  <c r="Z433" i="1"/>
  <c r="Y434" i="1"/>
  <c r="Z434" i="1"/>
  <c r="Y435" i="1"/>
  <c r="Z435" i="1"/>
  <c r="Y436" i="1"/>
  <c r="Z436" i="1"/>
  <c r="Y437" i="1"/>
  <c r="Z437" i="1"/>
  <c r="Y438" i="1"/>
  <c r="Z438" i="1"/>
  <c r="Y439" i="1"/>
  <c r="Z439" i="1"/>
  <c r="Y440" i="1"/>
  <c r="Z440" i="1"/>
  <c r="Y441" i="1"/>
  <c r="Z441" i="1"/>
  <c r="Y442" i="1"/>
  <c r="Z442" i="1"/>
  <c r="Y443" i="1"/>
  <c r="Z443" i="1"/>
  <c r="Y444" i="1"/>
  <c r="Z444" i="1"/>
  <c r="Y445" i="1"/>
  <c r="Z445" i="1"/>
  <c r="Y446" i="1"/>
  <c r="Z446" i="1"/>
  <c r="Y447" i="1"/>
  <c r="Z447" i="1"/>
  <c r="Y448" i="1"/>
  <c r="Z448" i="1"/>
  <c r="Y449" i="1"/>
  <c r="Z449" i="1"/>
  <c r="Y450" i="1"/>
  <c r="Z450" i="1"/>
  <c r="Y451" i="1"/>
  <c r="Z451" i="1"/>
  <c r="Y452" i="1"/>
  <c r="Z452" i="1"/>
  <c r="Y453" i="1"/>
  <c r="Z453" i="1"/>
  <c r="Y454" i="1"/>
  <c r="Z454" i="1"/>
  <c r="Y455" i="1"/>
  <c r="Z455" i="1"/>
  <c r="Y456" i="1"/>
  <c r="Z456" i="1"/>
  <c r="Y457" i="1"/>
  <c r="Z457" i="1"/>
  <c r="Y458" i="1"/>
  <c r="Z458" i="1"/>
  <c r="Y459" i="1"/>
  <c r="Z459" i="1"/>
  <c r="Y460" i="1"/>
  <c r="Z460" i="1"/>
  <c r="Y461" i="1"/>
  <c r="Z461" i="1"/>
  <c r="Y462" i="1"/>
  <c r="Z462" i="1"/>
  <c r="Y463" i="1"/>
  <c r="Z463" i="1"/>
  <c r="Y464" i="1"/>
  <c r="Z464" i="1"/>
  <c r="Y465" i="1"/>
  <c r="Z465" i="1"/>
  <c r="Y466" i="1"/>
  <c r="Z466" i="1"/>
  <c r="Y467" i="1"/>
  <c r="Z467" i="1"/>
  <c r="Y468" i="1"/>
  <c r="Z468" i="1"/>
  <c r="Y469" i="1"/>
  <c r="Z469" i="1"/>
  <c r="Y470" i="1"/>
  <c r="Z470" i="1"/>
  <c r="Y471" i="1"/>
  <c r="Z471" i="1"/>
  <c r="Y472" i="1"/>
  <c r="Z472" i="1"/>
  <c r="Y473" i="1"/>
  <c r="Z473" i="1"/>
  <c r="Y474" i="1"/>
  <c r="Z474" i="1"/>
  <c r="Y475" i="1"/>
  <c r="Z475" i="1"/>
  <c r="Y476" i="1"/>
  <c r="Z476" i="1"/>
  <c r="Y477" i="1"/>
  <c r="Z477" i="1"/>
  <c r="Y478" i="1"/>
  <c r="Z478" i="1"/>
  <c r="Y479" i="1"/>
  <c r="Z479" i="1"/>
  <c r="Y480" i="1"/>
  <c r="Z480" i="1"/>
  <c r="Y481" i="1"/>
  <c r="Z481" i="1"/>
  <c r="Y482" i="1"/>
  <c r="Z482" i="1"/>
  <c r="Y483" i="1"/>
  <c r="Z483" i="1"/>
  <c r="Y484" i="1"/>
  <c r="Z484" i="1"/>
  <c r="Y485" i="1"/>
  <c r="Z485" i="1"/>
  <c r="Y486" i="1"/>
  <c r="Z486" i="1"/>
  <c r="Y487" i="1"/>
  <c r="Z487" i="1"/>
  <c r="Y488" i="1"/>
  <c r="Z488" i="1"/>
  <c r="Y489" i="1"/>
  <c r="Z489" i="1"/>
  <c r="Y490" i="1"/>
  <c r="Z490" i="1"/>
  <c r="Y491" i="1"/>
  <c r="Z491" i="1"/>
  <c r="Y492" i="1"/>
  <c r="Z492" i="1"/>
  <c r="Y493" i="1"/>
  <c r="Z493" i="1"/>
  <c r="Y494" i="1"/>
  <c r="Z494" i="1"/>
  <c r="Y495" i="1"/>
  <c r="Z495" i="1"/>
  <c r="Y496" i="1"/>
  <c r="Z496" i="1"/>
  <c r="Y497" i="1"/>
  <c r="Z497" i="1"/>
  <c r="Y498" i="1"/>
  <c r="Z498" i="1"/>
  <c r="Y499" i="1"/>
  <c r="Z499" i="1"/>
  <c r="Y500" i="1"/>
  <c r="Z500" i="1"/>
  <c r="Y501" i="1"/>
  <c r="Z501" i="1"/>
  <c r="Y502" i="1"/>
  <c r="Z502" i="1"/>
  <c r="Y503" i="1"/>
  <c r="Z503" i="1"/>
  <c r="Y504" i="1"/>
  <c r="Z504" i="1"/>
  <c r="Y505" i="1"/>
  <c r="Z505" i="1"/>
  <c r="Y506" i="1"/>
  <c r="Z506" i="1"/>
  <c r="Y507" i="1"/>
  <c r="Z507" i="1"/>
  <c r="Y508" i="1"/>
  <c r="Z508" i="1"/>
  <c r="Y509" i="1"/>
  <c r="Z509" i="1"/>
  <c r="Y510" i="1"/>
  <c r="Z510" i="1"/>
  <c r="Y511" i="1"/>
  <c r="Z511" i="1"/>
  <c r="Y512" i="1"/>
  <c r="Z512" i="1"/>
  <c r="Y513" i="1"/>
  <c r="Z513" i="1"/>
  <c r="Y514" i="1"/>
  <c r="Z514" i="1"/>
  <c r="Y515" i="1"/>
  <c r="Z515" i="1"/>
  <c r="Y516" i="1"/>
  <c r="Z516" i="1"/>
  <c r="Y517" i="1"/>
  <c r="Z517" i="1"/>
  <c r="Y518" i="1"/>
  <c r="Z518" i="1"/>
  <c r="Y519" i="1"/>
  <c r="Z519" i="1"/>
  <c r="Y520" i="1"/>
  <c r="Z520" i="1"/>
  <c r="Y521" i="1"/>
  <c r="Z521" i="1"/>
  <c r="Y522" i="1"/>
  <c r="Z522" i="1"/>
  <c r="Y523" i="1"/>
  <c r="Z523" i="1"/>
  <c r="Y524" i="1"/>
  <c r="Z524" i="1"/>
  <c r="Y525" i="1"/>
  <c r="Z525" i="1"/>
  <c r="Y526" i="1"/>
  <c r="Z526" i="1"/>
  <c r="Y527" i="1"/>
  <c r="Z527" i="1"/>
  <c r="Y528" i="1"/>
  <c r="Z528" i="1"/>
  <c r="Y529" i="1"/>
  <c r="Z529" i="1"/>
  <c r="Y530" i="1"/>
  <c r="Z530" i="1"/>
  <c r="Y531" i="1"/>
  <c r="Z531" i="1"/>
  <c r="Y532" i="1"/>
  <c r="Z532" i="1"/>
  <c r="Y533" i="1"/>
  <c r="Z533" i="1"/>
  <c r="Y534" i="1"/>
  <c r="Z534" i="1"/>
  <c r="Y535" i="1"/>
  <c r="Z535" i="1"/>
  <c r="Y536" i="1"/>
  <c r="Z536" i="1"/>
  <c r="Y537" i="1"/>
  <c r="Z537" i="1"/>
  <c r="Y538" i="1"/>
  <c r="Z538" i="1"/>
  <c r="Y539" i="1"/>
  <c r="Z539" i="1"/>
  <c r="Y540" i="1"/>
  <c r="Z540" i="1"/>
  <c r="Y541" i="1"/>
  <c r="Z541" i="1"/>
  <c r="Y542" i="1"/>
  <c r="Z542" i="1"/>
  <c r="Y543" i="1"/>
  <c r="Z543" i="1"/>
  <c r="Y544" i="1"/>
  <c r="Z544" i="1"/>
  <c r="Y545" i="1"/>
  <c r="Z545" i="1"/>
  <c r="Y546" i="1"/>
  <c r="Z546" i="1"/>
  <c r="Y547" i="1"/>
  <c r="Z547" i="1"/>
  <c r="Y548" i="1"/>
  <c r="Z548" i="1"/>
  <c r="Y549" i="1"/>
  <c r="Z549" i="1"/>
  <c r="Y550" i="1"/>
  <c r="Z550" i="1"/>
  <c r="Y551" i="1"/>
  <c r="Z551" i="1"/>
  <c r="Y552" i="1"/>
  <c r="Z552" i="1"/>
  <c r="Y553" i="1"/>
  <c r="Z553" i="1"/>
  <c r="Y554" i="1"/>
  <c r="Z554" i="1"/>
  <c r="Y555" i="1"/>
  <c r="Z555" i="1"/>
  <c r="Y556" i="1"/>
  <c r="Z556" i="1"/>
  <c r="Y557" i="1"/>
  <c r="Z557" i="1"/>
  <c r="Y558" i="1"/>
  <c r="Z558" i="1"/>
  <c r="Y559" i="1"/>
  <c r="Z559" i="1"/>
  <c r="Y560" i="1"/>
  <c r="Z560" i="1"/>
  <c r="Y561" i="1"/>
  <c r="Z561" i="1"/>
  <c r="Y562" i="1"/>
  <c r="Z562" i="1"/>
  <c r="Y563" i="1"/>
  <c r="Z563" i="1"/>
  <c r="Y564" i="1"/>
  <c r="Z564" i="1"/>
  <c r="Y565" i="1"/>
  <c r="Z565" i="1"/>
  <c r="Y566" i="1"/>
  <c r="Z566" i="1"/>
  <c r="Y567" i="1"/>
  <c r="Z567" i="1"/>
  <c r="Y568" i="1"/>
  <c r="Z568" i="1"/>
  <c r="Y569" i="1"/>
  <c r="Z569" i="1"/>
  <c r="Y570" i="1"/>
  <c r="Z570" i="1"/>
  <c r="Y571" i="1"/>
  <c r="Z571" i="1"/>
  <c r="Y572" i="1"/>
  <c r="Z572" i="1"/>
  <c r="Y573" i="1"/>
  <c r="Z573" i="1"/>
  <c r="Y574" i="1"/>
  <c r="Z574" i="1"/>
  <c r="Y575" i="1"/>
  <c r="Z575" i="1"/>
  <c r="Y576" i="1"/>
  <c r="Z576" i="1"/>
  <c r="Y577" i="1"/>
  <c r="Z577" i="1"/>
  <c r="Y578" i="1"/>
  <c r="Z578" i="1"/>
  <c r="Y579" i="1"/>
  <c r="Z579" i="1"/>
  <c r="Y580" i="1"/>
  <c r="Z580" i="1"/>
  <c r="Y581" i="1"/>
  <c r="Z581" i="1"/>
  <c r="Y582" i="1"/>
  <c r="Z582" i="1"/>
  <c r="Y583" i="1"/>
  <c r="Z583" i="1"/>
  <c r="Y584" i="1"/>
  <c r="Z584" i="1"/>
  <c r="Y585" i="1"/>
  <c r="Z585" i="1"/>
  <c r="Y586" i="1"/>
  <c r="Z586" i="1"/>
  <c r="Y587" i="1"/>
  <c r="Z587" i="1"/>
  <c r="Y588" i="1"/>
  <c r="Z588" i="1"/>
  <c r="Y589" i="1"/>
  <c r="Z589" i="1"/>
  <c r="Y590" i="1"/>
  <c r="Z590" i="1"/>
  <c r="Y591" i="1"/>
  <c r="Z591" i="1"/>
  <c r="Y592" i="1"/>
  <c r="Z592" i="1"/>
  <c r="Y593" i="1"/>
  <c r="Z593" i="1"/>
  <c r="Y594" i="1"/>
  <c r="Z594" i="1"/>
  <c r="Y595" i="1"/>
  <c r="Z595" i="1"/>
  <c r="Y596" i="1"/>
  <c r="Z596" i="1"/>
  <c r="Y597" i="1"/>
  <c r="Z597" i="1"/>
  <c r="Y598" i="1"/>
  <c r="Z598" i="1"/>
  <c r="Y599" i="1"/>
  <c r="Z599" i="1"/>
  <c r="Y600" i="1"/>
  <c r="Z600" i="1"/>
  <c r="Y601" i="1"/>
  <c r="Z601" i="1"/>
  <c r="Y602" i="1"/>
  <c r="Z602" i="1"/>
  <c r="Y603" i="1"/>
  <c r="Z603" i="1"/>
  <c r="Y604" i="1"/>
  <c r="Z604" i="1"/>
  <c r="Y605" i="1"/>
  <c r="Z605" i="1"/>
  <c r="Y606" i="1"/>
  <c r="Z606" i="1"/>
  <c r="Y607" i="1"/>
  <c r="Z607" i="1"/>
  <c r="Y608" i="1"/>
  <c r="Z608" i="1"/>
  <c r="Y609" i="1"/>
  <c r="Z609" i="1"/>
  <c r="Y610" i="1"/>
  <c r="Z610" i="1"/>
  <c r="Y611" i="1"/>
  <c r="Z611" i="1"/>
  <c r="Y612" i="1"/>
  <c r="Z612" i="1"/>
  <c r="Y613" i="1"/>
  <c r="Z613" i="1"/>
  <c r="Y614" i="1"/>
  <c r="Z614" i="1"/>
  <c r="Y615" i="1"/>
  <c r="Z615" i="1"/>
  <c r="Y616" i="1"/>
  <c r="Z616" i="1"/>
  <c r="Y617" i="1"/>
  <c r="Z617" i="1"/>
  <c r="Y618" i="1"/>
  <c r="Z618" i="1"/>
  <c r="Y619" i="1"/>
  <c r="Z619" i="1"/>
  <c r="Y620" i="1"/>
  <c r="Z620" i="1"/>
  <c r="Y621" i="1"/>
  <c r="Z621" i="1"/>
  <c r="Y622" i="1"/>
  <c r="Z622" i="1"/>
  <c r="Y623" i="1"/>
  <c r="Z623" i="1"/>
  <c r="Y624" i="1"/>
  <c r="Z624" i="1"/>
  <c r="Y625" i="1"/>
  <c r="Z625" i="1"/>
  <c r="Y626" i="1"/>
  <c r="Z626" i="1"/>
  <c r="Y627" i="1"/>
  <c r="Z627" i="1"/>
  <c r="Y628" i="1"/>
  <c r="Z628" i="1"/>
  <c r="Y629" i="1"/>
  <c r="Z629" i="1"/>
  <c r="Y630" i="1"/>
  <c r="Z630" i="1"/>
  <c r="Y631" i="1"/>
  <c r="Z631" i="1"/>
  <c r="Y632" i="1"/>
  <c r="Z632" i="1"/>
  <c r="Y633" i="1"/>
  <c r="Z633" i="1"/>
  <c r="Y634" i="1"/>
  <c r="Z634" i="1"/>
  <c r="Y635" i="1"/>
  <c r="Z635" i="1"/>
  <c r="Y636" i="1"/>
  <c r="Z636" i="1"/>
  <c r="Y637" i="1"/>
  <c r="Z637" i="1"/>
  <c r="Y638" i="1"/>
  <c r="Z638" i="1"/>
  <c r="Y639" i="1"/>
  <c r="Z639" i="1"/>
  <c r="Y640" i="1"/>
  <c r="Z640" i="1"/>
  <c r="Y641" i="1"/>
  <c r="Z641" i="1"/>
  <c r="Y642" i="1"/>
  <c r="Z642" i="1"/>
  <c r="Y643" i="1"/>
  <c r="Z643" i="1"/>
  <c r="Y644" i="1"/>
  <c r="Z644" i="1"/>
  <c r="Y645" i="1"/>
  <c r="Z645" i="1"/>
  <c r="Y646" i="1"/>
  <c r="Z646" i="1"/>
  <c r="Y647" i="1"/>
  <c r="Z647" i="1"/>
  <c r="Y648" i="1"/>
  <c r="Z648" i="1"/>
  <c r="Y649" i="1"/>
  <c r="Z649" i="1"/>
  <c r="Y650" i="1"/>
  <c r="Z650" i="1"/>
  <c r="Y651" i="1"/>
  <c r="Z651" i="1"/>
  <c r="Y652" i="1"/>
  <c r="Z652" i="1"/>
  <c r="Y653" i="1"/>
  <c r="Z653" i="1"/>
  <c r="Y654" i="1"/>
  <c r="Z654" i="1"/>
  <c r="Y655" i="1"/>
  <c r="Z655" i="1"/>
  <c r="Y656" i="1"/>
  <c r="Z656" i="1"/>
  <c r="Y657" i="1"/>
  <c r="Z657" i="1"/>
  <c r="Y658" i="1"/>
  <c r="Z658" i="1"/>
  <c r="Y659" i="1"/>
  <c r="Z659" i="1"/>
  <c r="Y660" i="1"/>
  <c r="Z660" i="1"/>
  <c r="Y661" i="1"/>
  <c r="Z661" i="1"/>
  <c r="Y662" i="1"/>
  <c r="Z662" i="1"/>
  <c r="Y663" i="1"/>
  <c r="Z663" i="1"/>
  <c r="Y664" i="1"/>
  <c r="Z664" i="1"/>
  <c r="Y665" i="1"/>
  <c r="Z665" i="1"/>
  <c r="Y666" i="1"/>
  <c r="Z666" i="1"/>
  <c r="Y667" i="1"/>
  <c r="Z667" i="1"/>
  <c r="Y668" i="1"/>
  <c r="Z668" i="1"/>
  <c r="Y669" i="1"/>
  <c r="Z669" i="1"/>
  <c r="Y670" i="1"/>
  <c r="Z670" i="1"/>
  <c r="Y671" i="1"/>
  <c r="Z671" i="1"/>
  <c r="Y672" i="1"/>
  <c r="Z672" i="1"/>
  <c r="Y673" i="1"/>
  <c r="Z673" i="1"/>
  <c r="Y674" i="1"/>
  <c r="Z674" i="1"/>
  <c r="Y675" i="1"/>
  <c r="Z675" i="1"/>
  <c r="Y676" i="1"/>
  <c r="Z676" i="1"/>
  <c r="Y677" i="1"/>
  <c r="Z677" i="1"/>
  <c r="Y678" i="1"/>
  <c r="Z678" i="1"/>
  <c r="Y679" i="1"/>
  <c r="Z679" i="1"/>
  <c r="Y680" i="1"/>
  <c r="Z680" i="1"/>
  <c r="Y681" i="1"/>
  <c r="Z681" i="1"/>
  <c r="Y682" i="1"/>
  <c r="Z682" i="1"/>
  <c r="Y683" i="1"/>
  <c r="Z683" i="1"/>
  <c r="Y684" i="1"/>
  <c r="Z684" i="1"/>
  <c r="Y685" i="1"/>
  <c r="Z685" i="1"/>
  <c r="Y686" i="1"/>
  <c r="Z686" i="1"/>
  <c r="Y687" i="1"/>
  <c r="Z687" i="1"/>
  <c r="Y688" i="1"/>
  <c r="Z688" i="1"/>
  <c r="Y689" i="1"/>
  <c r="Z689" i="1"/>
  <c r="Y690" i="1"/>
  <c r="Z690" i="1"/>
  <c r="Y691" i="1"/>
  <c r="Z691" i="1"/>
  <c r="Y692" i="1"/>
  <c r="Z692" i="1"/>
  <c r="Y693" i="1"/>
  <c r="Z693" i="1"/>
  <c r="Y694" i="1"/>
  <c r="Z694" i="1"/>
  <c r="Y695" i="1"/>
  <c r="Z695" i="1"/>
  <c r="Y696" i="1"/>
  <c r="Z696" i="1"/>
  <c r="Y697" i="1"/>
  <c r="Z697" i="1"/>
  <c r="Y698" i="1"/>
  <c r="Z698" i="1"/>
  <c r="Y699" i="1"/>
  <c r="Z699" i="1"/>
  <c r="Y700" i="1"/>
  <c r="Z700" i="1"/>
  <c r="Y701" i="1"/>
  <c r="Z701" i="1"/>
  <c r="Y702" i="1"/>
  <c r="Z702" i="1"/>
  <c r="Y703" i="1"/>
  <c r="Z703" i="1"/>
  <c r="Y704" i="1"/>
  <c r="Z704" i="1"/>
  <c r="Y705" i="1"/>
  <c r="Z705" i="1"/>
  <c r="Y706" i="1"/>
  <c r="Z706" i="1"/>
  <c r="Y707" i="1"/>
  <c r="Z707" i="1"/>
  <c r="Y708" i="1"/>
  <c r="Z708" i="1"/>
  <c r="Y709" i="1"/>
  <c r="Z709" i="1"/>
  <c r="Y710" i="1"/>
  <c r="Z710" i="1"/>
  <c r="Y711" i="1"/>
  <c r="Z711" i="1"/>
  <c r="Y712" i="1"/>
  <c r="Z712" i="1"/>
  <c r="Y713" i="1"/>
  <c r="Z713" i="1"/>
  <c r="Y714" i="1"/>
  <c r="Z714" i="1"/>
  <c r="Y715" i="1"/>
  <c r="Z715" i="1"/>
  <c r="Y716" i="1"/>
  <c r="Z716" i="1"/>
  <c r="Y717" i="1"/>
  <c r="Z717" i="1"/>
  <c r="Y718" i="1"/>
  <c r="Z718" i="1"/>
  <c r="Y719" i="1"/>
  <c r="Z719" i="1"/>
  <c r="Y720" i="1"/>
  <c r="Z720" i="1"/>
  <c r="Y721" i="1"/>
  <c r="Z721" i="1"/>
  <c r="Y722" i="1"/>
  <c r="Z722" i="1"/>
  <c r="Y723" i="1"/>
  <c r="Z723" i="1"/>
  <c r="Y724" i="1"/>
  <c r="Z724" i="1"/>
  <c r="Y725" i="1"/>
  <c r="Z725" i="1"/>
  <c r="Y726" i="1"/>
  <c r="Z726" i="1"/>
  <c r="Y727" i="1"/>
  <c r="Z727" i="1"/>
  <c r="Y728" i="1"/>
  <c r="Z728" i="1"/>
  <c r="Y729" i="1"/>
  <c r="Z729" i="1"/>
  <c r="Y730" i="1"/>
  <c r="Z730" i="1"/>
  <c r="Y731" i="1"/>
  <c r="Z731" i="1"/>
  <c r="Y732" i="1"/>
  <c r="Z732" i="1"/>
  <c r="Y733" i="1"/>
  <c r="Z733" i="1"/>
  <c r="Y734" i="1"/>
  <c r="Z734" i="1"/>
  <c r="Y735" i="1"/>
  <c r="Z735" i="1"/>
  <c r="Y736" i="1"/>
  <c r="Z736" i="1"/>
  <c r="Y737" i="1"/>
  <c r="Z737" i="1"/>
  <c r="Y738" i="1"/>
  <c r="Z738" i="1"/>
  <c r="Y739" i="1"/>
  <c r="Z739" i="1"/>
  <c r="Y740" i="1"/>
  <c r="Z740" i="1"/>
  <c r="Y741" i="1"/>
  <c r="Z741" i="1"/>
  <c r="Y742" i="1"/>
  <c r="Z742" i="1"/>
  <c r="Y743" i="1"/>
  <c r="Z743" i="1"/>
  <c r="Y744" i="1"/>
  <c r="Z744" i="1"/>
  <c r="Y745" i="1"/>
  <c r="Z745" i="1"/>
  <c r="Y746" i="1"/>
  <c r="Z746" i="1"/>
  <c r="Y747" i="1"/>
  <c r="Z747" i="1"/>
  <c r="Y748" i="1"/>
  <c r="Z748" i="1"/>
  <c r="Y749" i="1"/>
  <c r="Z749" i="1"/>
  <c r="Y750" i="1"/>
  <c r="Z750" i="1"/>
  <c r="Y751" i="1"/>
  <c r="Z751" i="1"/>
  <c r="Y752" i="1"/>
  <c r="Z752" i="1"/>
  <c r="Y753" i="1"/>
  <c r="Z753" i="1"/>
  <c r="Y754" i="1"/>
  <c r="Z754" i="1"/>
  <c r="Y755" i="1"/>
  <c r="Z755" i="1"/>
  <c r="Y756" i="1"/>
  <c r="Z756" i="1"/>
  <c r="Y757" i="1"/>
  <c r="Z757" i="1"/>
  <c r="Y758" i="1"/>
  <c r="Z758" i="1"/>
  <c r="Y759" i="1"/>
  <c r="Z759" i="1"/>
  <c r="Y760" i="1"/>
  <c r="Z760" i="1"/>
  <c r="Y761" i="1"/>
  <c r="Z761" i="1"/>
  <c r="Y762" i="1"/>
  <c r="Z762" i="1"/>
  <c r="Y763" i="1"/>
  <c r="Z763" i="1"/>
  <c r="Y764" i="1"/>
  <c r="Z764" i="1"/>
  <c r="Y765" i="1"/>
  <c r="Z765" i="1"/>
  <c r="Y766" i="1"/>
  <c r="Z766" i="1"/>
  <c r="Y767" i="1"/>
  <c r="Z767" i="1"/>
  <c r="Y768" i="1"/>
  <c r="Z768" i="1"/>
  <c r="Y769" i="1"/>
  <c r="Z769" i="1"/>
  <c r="Y770" i="1"/>
  <c r="Z770" i="1"/>
  <c r="Y771" i="1"/>
  <c r="Z771" i="1"/>
  <c r="Y772" i="1"/>
  <c r="Z772" i="1"/>
  <c r="Y773" i="1"/>
  <c r="Z773" i="1"/>
  <c r="Y774" i="1"/>
  <c r="Z774" i="1"/>
  <c r="Y775" i="1"/>
  <c r="Z775" i="1"/>
  <c r="Y776" i="1"/>
  <c r="Z776" i="1"/>
  <c r="Y777" i="1"/>
  <c r="Z777" i="1"/>
  <c r="Y778" i="1"/>
  <c r="Z778" i="1"/>
  <c r="Y779" i="1"/>
  <c r="Z779" i="1"/>
  <c r="Y780" i="1"/>
  <c r="Z780" i="1"/>
  <c r="Y781" i="1"/>
  <c r="Z781" i="1"/>
  <c r="Y782" i="1"/>
  <c r="Z782" i="1"/>
  <c r="Y783" i="1"/>
  <c r="Z783" i="1"/>
  <c r="Y784" i="1"/>
  <c r="Z784" i="1"/>
  <c r="Y785" i="1"/>
  <c r="Z785" i="1"/>
  <c r="Y786" i="1"/>
  <c r="Z786" i="1"/>
  <c r="Y787" i="1"/>
  <c r="Z787" i="1"/>
  <c r="Y788" i="1"/>
  <c r="Z788" i="1"/>
  <c r="Y789" i="1"/>
  <c r="Z789" i="1"/>
  <c r="Y790" i="1"/>
  <c r="Z790" i="1"/>
  <c r="Y791" i="1"/>
  <c r="Z791" i="1"/>
  <c r="Y792" i="1"/>
  <c r="Z792" i="1"/>
  <c r="Y793" i="1"/>
  <c r="Z793" i="1"/>
  <c r="Y794" i="1"/>
  <c r="Z794" i="1"/>
  <c r="Y795" i="1"/>
  <c r="Z795" i="1"/>
  <c r="Y796" i="1"/>
  <c r="Z796" i="1"/>
  <c r="Y797" i="1"/>
  <c r="Z797" i="1"/>
  <c r="Y798" i="1"/>
  <c r="Z798" i="1"/>
  <c r="Y799" i="1"/>
  <c r="Z799" i="1"/>
  <c r="Y800" i="1"/>
  <c r="Z800" i="1"/>
  <c r="Y801" i="1"/>
  <c r="Z801" i="1"/>
  <c r="Y802" i="1"/>
  <c r="Z802" i="1"/>
  <c r="Y803" i="1"/>
  <c r="Z803" i="1"/>
  <c r="Y804" i="1"/>
  <c r="Z804" i="1"/>
  <c r="Y805" i="1"/>
  <c r="Z805" i="1"/>
  <c r="Y806" i="1"/>
  <c r="Z806" i="1"/>
  <c r="Y807" i="1"/>
  <c r="Z807" i="1"/>
  <c r="Y808" i="1"/>
  <c r="Z808" i="1"/>
  <c r="Y809" i="1"/>
  <c r="Z809" i="1"/>
  <c r="Y810" i="1"/>
  <c r="Z810" i="1"/>
  <c r="Y811" i="1"/>
  <c r="Z811" i="1"/>
  <c r="Y812" i="1"/>
  <c r="Z812" i="1"/>
  <c r="Y813" i="1"/>
  <c r="Z813" i="1"/>
  <c r="Y814" i="1"/>
  <c r="Z814" i="1"/>
  <c r="Y815" i="1"/>
  <c r="Z815" i="1"/>
  <c r="Y816" i="1"/>
  <c r="Z816" i="1"/>
  <c r="Y817" i="1"/>
  <c r="Z817" i="1"/>
  <c r="Y818" i="1"/>
  <c r="Z818" i="1"/>
  <c r="Y819" i="1"/>
  <c r="Z819" i="1"/>
  <c r="Y820" i="1"/>
  <c r="Z820" i="1"/>
  <c r="Y821" i="1"/>
  <c r="Z821" i="1"/>
  <c r="Y822" i="1"/>
  <c r="Z822" i="1"/>
  <c r="Y823" i="1"/>
  <c r="Z823" i="1"/>
  <c r="Y824" i="1"/>
  <c r="Z824" i="1"/>
  <c r="Y825" i="1"/>
  <c r="Z825" i="1"/>
  <c r="Y826" i="1"/>
  <c r="Z826" i="1"/>
  <c r="Y827" i="1"/>
  <c r="Z827" i="1"/>
  <c r="Y828" i="1"/>
  <c r="Z828" i="1"/>
  <c r="Y829" i="1"/>
  <c r="Z829" i="1"/>
  <c r="Y830" i="1"/>
  <c r="Z830" i="1"/>
  <c r="Y831" i="1"/>
  <c r="Z831" i="1"/>
  <c r="Y832" i="1"/>
  <c r="Z832" i="1"/>
  <c r="Y833" i="1"/>
  <c r="Z833" i="1"/>
  <c r="Y834" i="1"/>
  <c r="Z834" i="1"/>
  <c r="Y835" i="1"/>
  <c r="Z835" i="1"/>
  <c r="Y836" i="1"/>
  <c r="Z836" i="1"/>
  <c r="Y837" i="1"/>
  <c r="Z837" i="1"/>
  <c r="Y838" i="1"/>
  <c r="Z838" i="1"/>
  <c r="Y839" i="1"/>
  <c r="Z839" i="1"/>
  <c r="Y840" i="1"/>
  <c r="Z840" i="1"/>
  <c r="Y841" i="1"/>
  <c r="Z841" i="1"/>
  <c r="Y842" i="1"/>
  <c r="Z842" i="1"/>
  <c r="Y843" i="1"/>
  <c r="Z843" i="1"/>
  <c r="Y844" i="1"/>
  <c r="Z844" i="1"/>
  <c r="Y845" i="1"/>
  <c r="Z845" i="1"/>
  <c r="Y846" i="1"/>
  <c r="Z846" i="1"/>
  <c r="Y847" i="1"/>
  <c r="Z847" i="1"/>
  <c r="Y848" i="1"/>
  <c r="Z848" i="1"/>
  <c r="Y849" i="1"/>
  <c r="Z849" i="1"/>
  <c r="Y850" i="1"/>
  <c r="Z850" i="1"/>
  <c r="Y851" i="1"/>
  <c r="Z851" i="1"/>
  <c r="Y852" i="1"/>
  <c r="Z852" i="1"/>
  <c r="Y853" i="1"/>
  <c r="Z853" i="1"/>
  <c r="Y854" i="1"/>
  <c r="Z854" i="1"/>
  <c r="Y855" i="1"/>
  <c r="Z855" i="1"/>
  <c r="Y856" i="1"/>
  <c r="Z856" i="1"/>
  <c r="Y857" i="1"/>
  <c r="Z857" i="1"/>
  <c r="Y858" i="1"/>
  <c r="Z858" i="1"/>
  <c r="Y859" i="1"/>
  <c r="Z859" i="1"/>
  <c r="Y860" i="1"/>
  <c r="Z860" i="1"/>
  <c r="Y861" i="1"/>
  <c r="Z861" i="1"/>
  <c r="Y862" i="1"/>
  <c r="Z862" i="1"/>
  <c r="Y863" i="1"/>
  <c r="Z863" i="1"/>
  <c r="Y864" i="1"/>
  <c r="Z864" i="1"/>
  <c r="Y865" i="1"/>
  <c r="Z865" i="1"/>
  <c r="Y866" i="1"/>
  <c r="Z866" i="1"/>
  <c r="Y867" i="1"/>
  <c r="Z867" i="1"/>
  <c r="Y868" i="1"/>
  <c r="Z868" i="1"/>
  <c r="Y869" i="1"/>
  <c r="Z869" i="1"/>
  <c r="Y870" i="1"/>
  <c r="Z870" i="1"/>
  <c r="Y871" i="1"/>
  <c r="Z871" i="1"/>
  <c r="Y872" i="1"/>
  <c r="Z872" i="1"/>
  <c r="Y873" i="1"/>
  <c r="Z873" i="1"/>
  <c r="Y874" i="1"/>
  <c r="Z874" i="1"/>
  <c r="Y875" i="1"/>
  <c r="Z875" i="1"/>
  <c r="Y876" i="1"/>
  <c r="Z876" i="1"/>
  <c r="Y877" i="1"/>
  <c r="Z877" i="1"/>
  <c r="Y878" i="1"/>
  <c r="Z878" i="1"/>
  <c r="Y879" i="1"/>
  <c r="Z879" i="1"/>
  <c r="Y880" i="1"/>
  <c r="Z880" i="1"/>
  <c r="Y881" i="1"/>
  <c r="Z881" i="1"/>
  <c r="Y882" i="1"/>
  <c r="Z882" i="1"/>
  <c r="Y883" i="1"/>
  <c r="Z883" i="1"/>
  <c r="Y884" i="1"/>
  <c r="Z884" i="1"/>
  <c r="Y885" i="1"/>
  <c r="Z885" i="1"/>
  <c r="Y886" i="1"/>
  <c r="Z886" i="1"/>
  <c r="Y887" i="1"/>
  <c r="Z887" i="1"/>
  <c r="Y888" i="1"/>
  <c r="Z888" i="1"/>
  <c r="Y889" i="1"/>
  <c r="Z889" i="1"/>
  <c r="Y890" i="1"/>
  <c r="Z890" i="1"/>
  <c r="Y891" i="1"/>
  <c r="Z891" i="1"/>
  <c r="Y892" i="1"/>
  <c r="Z892" i="1"/>
  <c r="Y893" i="1"/>
  <c r="Z893" i="1"/>
  <c r="Y894" i="1"/>
  <c r="Z894" i="1"/>
  <c r="Y895" i="1"/>
  <c r="Z895" i="1"/>
  <c r="Y896" i="1"/>
  <c r="Z896" i="1"/>
  <c r="Y897" i="1"/>
  <c r="Z897" i="1"/>
  <c r="Y898" i="1"/>
  <c r="Z898" i="1"/>
  <c r="Y899" i="1"/>
  <c r="Z899" i="1"/>
  <c r="Y900" i="1"/>
  <c r="Z900" i="1"/>
  <c r="Y901" i="1"/>
  <c r="Z901" i="1"/>
  <c r="Y902" i="1"/>
  <c r="Z902" i="1"/>
  <c r="Y903" i="1"/>
  <c r="Z903" i="1"/>
  <c r="Y904" i="1"/>
  <c r="Z904" i="1"/>
  <c r="Y905" i="1"/>
  <c r="Z905" i="1"/>
  <c r="Y906" i="1"/>
  <c r="Z906" i="1"/>
  <c r="Y907" i="1"/>
  <c r="Z907" i="1"/>
  <c r="Y908" i="1"/>
  <c r="Z908" i="1"/>
  <c r="Y909" i="1"/>
  <c r="Z909" i="1"/>
  <c r="Y910" i="1"/>
  <c r="Z910" i="1"/>
  <c r="Y911" i="1"/>
  <c r="Z911" i="1"/>
  <c r="Y912" i="1"/>
  <c r="Z912" i="1"/>
  <c r="Y913" i="1"/>
  <c r="Z913" i="1"/>
  <c r="Y914" i="1"/>
  <c r="Z914" i="1"/>
  <c r="Y915" i="1"/>
  <c r="Z915" i="1"/>
  <c r="Y916" i="1"/>
  <c r="Z916" i="1"/>
  <c r="Y917" i="1"/>
  <c r="Z917" i="1"/>
  <c r="Y918" i="1"/>
  <c r="Z918" i="1"/>
  <c r="Y919" i="1"/>
  <c r="Z919" i="1"/>
  <c r="Y920" i="1"/>
  <c r="Z920" i="1"/>
  <c r="Y921" i="1"/>
  <c r="Z921" i="1"/>
  <c r="Y922" i="1"/>
  <c r="Z922" i="1"/>
  <c r="Y923" i="1"/>
  <c r="Z923" i="1"/>
  <c r="Y924" i="1"/>
  <c r="Z924" i="1"/>
  <c r="Y925" i="1"/>
  <c r="Z925" i="1"/>
  <c r="Y926" i="1"/>
  <c r="Z926" i="1"/>
  <c r="Y927" i="1"/>
  <c r="Z927" i="1"/>
  <c r="Y928" i="1"/>
  <c r="Z928" i="1"/>
  <c r="Y929" i="1"/>
  <c r="Z929" i="1"/>
  <c r="Y930" i="1"/>
  <c r="Z930" i="1"/>
  <c r="Y931" i="1"/>
  <c r="Z931" i="1"/>
  <c r="Y932" i="1"/>
  <c r="Z932" i="1"/>
  <c r="Y933" i="1"/>
  <c r="Z933" i="1"/>
  <c r="Y934" i="1"/>
  <c r="Z934" i="1"/>
  <c r="Y935" i="1"/>
  <c r="Z935" i="1"/>
  <c r="Y936" i="1"/>
  <c r="Z936" i="1"/>
  <c r="Y937" i="1"/>
  <c r="Z937" i="1"/>
  <c r="Y938" i="1"/>
  <c r="Z938" i="1"/>
  <c r="Y939" i="1"/>
  <c r="Z939" i="1"/>
  <c r="Y940" i="1"/>
  <c r="Z940" i="1"/>
  <c r="Y941" i="1"/>
  <c r="Z941" i="1"/>
  <c r="Y942" i="1"/>
  <c r="Z942" i="1"/>
  <c r="Y943" i="1"/>
  <c r="Z943" i="1"/>
  <c r="Y944" i="1"/>
  <c r="Z944" i="1"/>
  <c r="Y945" i="1"/>
  <c r="Z945" i="1"/>
  <c r="Y946" i="1"/>
  <c r="Z946" i="1"/>
  <c r="Y947" i="1"/>
  <c r="Z947" i="1"/>
  <c r="Y948" i="1"/>
  <c r="Z948" i="1"/>
  <c r="Y949" i="1"/>
  <c r="Z949" i="1"/>
  <c r="Y950" i="1"/>
  <c r="Z950" i="1"/>
  <c r="Y951" i="1"/>
  <c r="Z951" i="1"/>
  <c r="Y952" i="1"/>
  <c r="Z952" i="1"/>
  <c r="Y953" i="1"/>
  <c r="Z953" i="1"/>
  <c r="Y954" i="1"/>
  <c r="Z954" i="1"/>
  <c r="Y955" i="1"/>
  <c r="Z955" i="1"/>
  <c r="Y956" i="1"/>
  <c r="Z956" i="1"/>
  <c r="Y957" i="1"/>
  <c r="Z957" i="1"/>
  <c r="Y958" i="1"/>
  <c r="Z958" i="1"/>
  <c r="Y959" i="1"/>
  <c r="Z959" i="1"/>
  <c r="Y960" i="1"/>
  <c r="Z960" i="1"/>
  <c r="Y961" i="1"/>
  <c r="Z961" i="1"/>
  <c r="Y962" i="1"/>
  <c r="Z962" i="1"/>
  <c r="Y963" i="1"/>
  <c r="Z963" i="1"/>
  <c r="Y964" i="1"/>
  <c r="Z964" i="1"/>
  <c r="Y965" i="1"/>
  <c r="Z965" i="1"/>
  <c r="Y966" i="1"/>
  <c r="Z966" i="1"/>
  <c r="Y967" i="1"/>
  <c r="Z967" i="1"/>
  <c r="Y968" i="1"/>
  <c r="Z968" i="1"/>
  <c r="Y969" i="1"/>
  <c r="Z969" i="1"/>
  <c r="Y970" i="1"/>
  <c r="Z970" i="1"/>
  <c r="Y971" i="1"/>
  <c r="Z971" i="1"/>
  <c r="Y972" i="1"/>
  <c r="Z972" i="1"/>
  <c r="Y973" i="1"/>
  <c r="Z973" i="1"/>
  <c r="Y974" i="1"/>
  <c r="Z974" i="1"/>
  <c r="Y975" i="1"/>
  <c r="Z975" i="1"/>
  <c r="Y976" i="1"/>
  <c r="Z976" i="1"/>
  <c r="Y977" i="1"/>
  <c r="Z977" i="1"/>
  <c r="Y978" i="1"/>
  <c r="Z978" i="1"/>
  <c r="Y979" i="1"/>
  <c r="Z979" i="1"/>
  <c r="Y980" i="1"/>
  <c r="Z980" i="1"/>
  <c r="Y981" i="1"/>
  <c r="Z981" i="1"/>
  <c r="Y982" i="1"/>
  <c r="Z982" i="1"/>
  <c r="Y983" i="1"/>
  <c r="Z983" i="1"/>
  <c r="Y984" i="1"/>
  <c r="Z984" i="1"/>
  <c r="Y985" i="1"/>
  <c r="Z985" i="1"/>
  <c r="Y986" i="1"/>
  <c r="Z986" i="1"/>
  <c r="Y987" i="1"/>
  <c r="Z987" i="1"/>
  <c r="Y988" i="1"/>
  <c r="Z988" i="1"/>
  <c r="Y989" i="1"/>
  <c r="Z989" i="1"/>
  <c r="Y990" i="1"/>
  <c r="Z990" i="1"/>
  <c r="Y991" i="1"/>
  <c r="Z991" i="1"/>
  <c r="Y992" i="1"/>
  <c r="Z992" i="1"/>
  <c r="Y993" i="1"/>
  <c r="Z993" i="1"/>
  <c r="Y994" i="1"/>
  <c r="Z994" i="1"/>
  <c r="Y995" i="1"/>
  <c r="Z995" i="1"/>
  <c r="Y996" i="1"/>
  <c r="Z996" i="1"/>
  <c r="Y997" i="1"/>
  <c r="Z997" i="1"/>
  <c r="Y998" i="1"/>
  <c r="Z998" i="1"/>
  <c r="Y999" i="1"/>
  <c r="Z999" i="1"/>
  <c r="Y1000" i="1"/>
  <c r="Z1000" i="1"/>
  <c r="Y1001" i="1"/>
  <c r="Z1001" i="1"/>
  <c r="Y1002" i="1"/>
  <c r="Z1002" i="1"/>
  <c r="Y1003" i="1"/>
  <c r="Z1003" i="1"/>
  <c r="Y1004" i="1"/>
  <c r="Z1004" i="1"/>
  <c r="Y1005" i="1"/>
  <c r="Z1005" i="1"/>
  <c r="Y1006" i="1"/>
  <c r="Z1006" i="1"/>
  <c r="Y1007" i="1"/>
  <c r="Z1007" i="1"/>
  <c r="Y1008" i="1"/>
  <c r="Z1008" i="1"/>
  <c r="Y1009" i="1"/>
  <c r="Z1009" i="1"/>
  <c r="Y1010" i="1"/>
  <c r="Z1010" i="1"/>
  <c r="Y1011" i="1"/>
  <c r="Z1011" i="1"/>
  <c r="Y1012" i="1"/>
  <c r="Z1012" i="1"/>
  <c r="Y1013" i="1"/>
  <c r="Z1013" i="1"/>
  <c r="Y1014" i="1"/>
  <c r="Z1014" i="1"/>
  <c r="Y1015" i="1"/>
  <c r="Z1015" i="1"/>
  <c r="Y1016" i="1"/>
  <c r="Z1016" i="1"/>
  <c r="Y1017" i="1"/>
  <c r="Z1017" i="1"/>
  <c r="Y1018" i="1"/>
  <c r="Z1018" i="1"/>
  <c r="Y1019" i="1"/>
  <c r="Z1019" i="1"/>
  <c r="Y1020" i="1"/>
  <c r="Z1020" i="1"/>
  <c r="Y1021" i="1"/>
  <c r="Z1021" i="1"/>
  <c r="Y1022" i="1"/>
  <c r="Z1022" i="1"/>
  <c r="Y1023" i="1"/>
  <c r="Z1023" i="1"/>
  <c r="Y1024" i="1"/>
  <c r="Z1024" i="1"/>
  <c r="Y1025" i="1"/>
  <c r="Z1025" i="1"/>
  <c r="Y1026" i="1"/>
  <c r="Z1026" i="1"/>
  <c r="Y1027" i="1"/>
  <c r="Z1027" i="1"/>
  <c r="Y1028" i="1"/>
  <c r="Z1028" i="1"/>
  <c r="Y1029" i="1"/>
  <c r="Z1029" i="1"/>
  <c r="Y1030" i="1"/>
  <c r="Z1030" i="1"/>
  <c r="Y1031" i="1"/>
  <c r="Z1031" i="1"/>
  <c r="Y1032" i="1"/>
  <c r="Z1032" i="1"/>
  <c r="Y1033" i="1"/>
  <c r="Z1033" i="1"/>
  <c r="Y1034" i="1"/>
  <c r="Z1034" i="1"/>
  <c r="Y1035" i="1"/>
  <c r="Z1035" i="1"/>
  <c r="Y1036" i="1"/>
  <c r="Z1036" i="1"/>
  <c r="Y1037" i="1"/>
  <c r="Z1037" i="1"/>
  <c r="Y1038" i="1"/>
  <c r="Z1038" i="1"/>
  <c r="Y1039" i="1"/>
  <c r="Z1039" i="1"/>
  <c r="Y1040" i="1"/>
  <c r="Z1040" i="1"/>
  <c r="Y1041" i="1"/>
  <c r="Z1041" i="1"/>
  <c r="Y1042" i="1"/>
  <c r="Z1042" i="1"/>
  <c r="Y1043" i="1"/>
  <c r="Z1043" i="1"/>
  <c r="Y1044" i="1"/>
  <c r="Z1044" i="1"/>
  <c r="Y1045" i="1"/>
  <c r="Z1045" i="1"/>
  <c r="Y1046" i="1"/>
  <c r="Z1046" i="1"/>
  <c r="Y1047" i="1"/>
  <c r="Z1047" i="1"/>
  <c r="Y1048" i="1"/>
  <c r="Z1048" i="1"/>
  <c r="Y1049" i="1"/>
  <c r="Z1049" i="1"/>
  <c r="Y1050" i="1"/>
  <c r="Z1050" i="1"/>
  <c r="Y1051" i="1"/>
  <c r="Z1051" i="1"/>
  <c r="Y1052" i="1"/>
  <c r="Z1052" i="1"/>
  <c r="Y1053" i="1"/>
  <c r="Z1053" i="1"/>
  <c r="Y1054" i="1"/>
  <c r="Z1054" i="1"/>
  <c r="Y1055" i="1"/>
  <c r="Z1055" i="1"/>
  <c r="Y1056" i="1"/>
  <c r="Z1056" i="1"/>
  <c r="Y1057" i="1"/>
  <c r="Z1057" i="1"/>
  <c r="Y1058" i="1"/>
  <c r="Z1058" i="1"/>
  <c r="Y1059" i="1"/>
  <c r="Z1059" i="1"/>
  <c r="Y1060" i="1"/>
  <c r="Z1060" i="1"/>
  <c r="Y1061" i="1"/>
  <c r="Z1061" i="1"/>
  <c r="Y1062" i="1"/>
  <c r="Z1062" i="1"/>
  <c r="Y1063" i="1"/>
  <c r="Z1063" i="1"/>
  <c r="Y1064" i="1"/>
  <c r="Z1064" i="1"/>
  <c r="Y1065" i="1"/>
  <c r="Z1065" i="1"/>
  <c r="Y1066" i="1"/>
  <c r="Z1066" i="1"/>
  <c r="Y1067" i="1"/>
  <c r="Z1067" i="1"/>
  <c r="Y1068" i="1"/>
  <c r="Z1068" i="1"/>
  <c r="Y1069" i="1"/>
  <c r="Z1069" i="1"/>
  <c r="Y1070" i="1"/>
  <c r="Z1070" i="1"/>
  <c r="Y1071" i="1"/>
  <c r="Z1071" i="1"/>
  <c r="Y1072" i="1"/>
  <c r="Z1072" i="1"/>
  <c r="Y1073" i="1"/>
  <c r="Z1073" i="1"/>
  <c r="Y1074" i="1"/>
  <c r="Z1074" i="1"/>
  <c r="Y1075" i="1"/>
  <c r="Z1075" i="1"/>
  <c r="Y1076" i="1"/>
  <c r="Z1076" i="1"/>
  <c r="Y1077" i="1"/>
  <c r="Z1077" i="1"/>
  <c r="Y1078" i="1"/>
  <c r="Z1078" i="1"/>
  <c r="Y1079" i="1"/>
  <c r="Z1079" i="1"/>
  <c r="Y1080" i="1"/>
  <c r="Z1080" i="1"/>
  <c r="Y1081" i="1"/>
  <c r="Z1081" i="1"/>
  <c r="Y1082" i="1"/>
  <c r="Z1082" i="1"/>
  <c r="Y1083" i="1"/>
  <c r="Z1083" i="1"/>
  <c r="Y1084" i="1"/>
  <c r="Z1084" i="1"/>
  <c r="Y1085" i="1"/>
  <c r="Z1085" i="1"/>
  <c r="Y1086" i="1"/>
  <c r="Z1086" i="1"/>
  <c r="Y1087" i="1"/>
  <c r="Z1087" i="1"/>
  <c r="Y1088" i="1"/>
  <c r="Z1088" i="1"/>
  <c r="Y1089" i="1"/>
  <c r="Z1089" i="1"/>
  <c r="Y1090" i="1"/>
  <c r="Z1090" i="1"/>
  <c r="Y1091" i="1"/>
  <c r="Z1091" i="1"/>
  <c r="Y1092" i="1"/>
  <c r="Z1092" i="1"/>
  <c r="Y1093" i="1"/>
  <c r="Z1093" i="1"/>
  <c r="Y1094" i="1"/>
  <c r="Z1094" i="1"/>
  <c r="Y1095" i="1"/>
  <c r="Z1095" i="1"/>
  <c r="Y1096" i="1"/>
  <c r="Z1096" i="1"/>
  <c r="Y1097" i="1"/>
  <c r="Z1097" i="1"/>
  <c r="Y1098" i="1"/>
  <c r="Z1098" i="1"/>
  <c r="Y1099" i="1"/>
  <c r="Z1099" i="1"/>
  <c r="Y1100" i="1"/>
  <c r="Z1100" i="1"/>
  <c r="Y1101" i="1"/>
  <c r="Z1101" i="1"/>
  <c r="Y1102" i="1"/>
  <c r="Z1102" i="1"/>
  <c r="Y1103" i="1"/>
  <c r="Z1103" i="1"/>
  <c r="Y1104" i="1"/>
  <c r="Z1104" i="1"/>
  <c r="Y1105" i="1"/>
  <c r="Z1105" i="1"/>
  <c r="Y1106" i="1"/>
  <c r="Z1106" i="1"/>
  <c r="Y1107" i="1"/>
  <c r="Z1107" i="1"/>
  <c r="Y1108" i="1"/>
  <c r="Z1108" i="1"/>
  <c r="Y1109" i="1"/>
  <c r="Z1109" i="1"/>
  <c r="Y1110" i="1"/>
  <c r="Z1110" i="1"/>
  <c r="Y1111" i="1"/>
  <c r="Z1111" i="1"/>
  <c r="Y1112" i="1"/>
  <c r="Z1112" i="1"/>
  <c r="Y1113" i="1"/>
  <c r="Z1113" i="1"/>
  <c r="Y1114" i="1"/>
  <c r="Z1114" i="1"/>
  <c r="Y1115" i="1"/>
  <c r="Z1115" i="1"/>
  <c r="Y1116" i="1"/>
  <c r="Z1116" i="1"/>
  <c r="Y1117" i="1"/>
  <c r="Z1117" i="1"/>
  <c r="Y1118" i="1"/>
  <c r="Z1118" i="1"/>
  <c r="Y1119" i="1"/>
  <c r="Z1119" i="1"/>
  <c r="Y1120" i="1"/>
  <c r="Z1120" i="1"/>
  <c r="Y1121" i="1"/>
  <c r="Z1121" i="1"/>
  <c r="Y1122" i="1"/>
  <c r="Z1122" i="1"/>
  <c r="Y1123" i="1"/>
  <c r="Z1123" i="1"/>
  <c r="Y1124" i="1"/>
  <c r="Z1124" i="1"/>
  <c r="Y1125" i="1"/>
  <c r="Z1125" i="1"/>
  <c r="Y1126" i="1"/>
  <c r="Z1126" i="1"/>
  <c r="Y1127" i="1"/>
  <c r="Z1127" i="1"/>
  <c r="Y1128" i="1"/>
  <c r="Z1128" i="1"/>
  <c r="Y1129" i="1"/>
  <c r="Z1129" i="1"/>
  <c r="Y1130" i="1"/>
  <c r="Z1130" i="1"/>
  <c r="Y1131" i="1"/>
  <c r="Z1131" i="1"/>
  <c r="Y1132" i="1"/>
  <c r="Z1132" i="1"/>
  <c r="Y1133" i="1"/>
  <c r="Z1133" i="1"/>
  <c r="Y1134" i="1"/>
  <c r="Z1134" i="1"/>
  <c r="Y1135" i="1"/>
  <c r="Z1135" i="1"/>
  <c r="Y1136" i="1"/>
  <c r="Z1136" i="1"/>
  <c r="Y1137" i="1"/>
  <c r="Z1137" i="1"/>
  <c r="Y1138" i="1"/>
  <c r="Z1138" i="1"/>
  <c r="Y1139" i="1"/>
  <c r="Z1139" i="1"/>
  <c r="Y1140" i="1"/>
  <c r="Z1140" i="1"/>
  <c r="Y1141" i="1"/>
  <c r="Z1141" i="1"/>
  <c r="Y1142" i="1"/>
  <c r="Z1142" i="1"/>
  <c r="Y1143" i="1"/>
  <c r="Z1143" i="1"/>
  <c r="Y1144" i="1"/>
  <c r="Z1144" i="1"/>
  <c r="Y1145" i="1"/>
  <c r="Z1145" i="1"/>
  <c r="Y1146" i="1"/>
  <c r="Z1146" i="1"/>
  <c r="Y1147" i="1"/>
  <c r="Z1147" i="1"/>
  <c r="Y1148" i="1"/>
  <c r="Z1148" i="1"/>
  <c r="Y1149" i="1"/>
  <c r="Z1149" i="1"/>
  <c r="Y1150" i="1"/>
  <c r="Z1150" i="1"/>
  <c r="Y1151" i="1"/>
  <c r="Z1151" i="1"/>
  <c r="Y1152" i="1"/>
  <c r="Z1152" i="1"/>
  <c r="Y1153" i="1"/>
  <c r="Z1153" i="1"/>
  <c r="Y1154" i="1"/>
  <c r="Z1154" i="1"/>
  <c r="Y1155" i="1"/>
  <c r="Z1155" i="1"/>
  <c r="Y1156" i="1"/>
  <c r="Z1156" i="1"/>
  <c r="Y1157" i="1"/>
  <c r="Z1157" i="1"/>
  <c r="Y1158" i="1"/>
  <c r="Z1158" i="1"/>
  <c r="Y1159" i="1"/>
  <c r="Z1159" i="1"/>
  <c r="Y1160" i="1"/>
  <c r="Z1160" i="1"/>
  <c r="Y1161" i="1"/>
  <c r="Z1161" i="1"/>
  <c r="Y1162" i="1"/>
  <c r="Z1162" i="1"/>
  <c r="Y1163" i="1"/>
  <c r="Z1163" i="1"/>
  <c r="Y1164" i="1"/>
  <c r="Z1164" i="1"/>
  <c r="Y1165" i="1"/>
  <c r="Z1165" i="1"/>
  <c r="Y1166" i="1"/>
  <c r="Z1166" i="1"/>
  <c r="Y1167" i="1"/>
  <c r="Z1167" i="1"/>
  <c r="Y1168" i="1"/>
  <c r="Z1168" i="1"/>
  <c r="Y1169" i="1"/>
  <c r="Z1169" i="1"/>
  <c r="Y1170" i="1"/>
  <c r="Z1170" i="1"/>
  <c r="Y1171" i="1"/>
  <c r="Z1171" i="1"/>
  <c r="Y1172" i="1"/>
  <c r="Z1172" i="1"/>
  <c r="Y1173" i="1"/>
  <c r="Z1173" i="1"/>
  <c r="Y1174" i="1"/>
  <c r="Z1174" i="1"/>
  <c r="Y1175" i="1"/>
  <c r="Z1175" i="1"/>
  <c r="Y1176" i="1"/>
  <c r="Z1176" i="1"/>
  <c r="Y1177" i="1"/>
  <c r="Z1177" i="1"/>
  <c r="Y1178" i="1"/>
  <c r="Z1178" i="1"/>
  <c r="Y1179" i="1"/>
  <c r="Z1179" i="1"/>
  <c r="Y1180" i="1"/>
  <c r="Z1180" i="1"/>
  <c r="Y1181" i="1"/>
  <c r="Z1181" i="1"/>
  <c r="Y1182" i="1"/>
  <c r="Z1182" i="1"/>
  <c r="Y1183" i="1"/>
  <c r="Z1183" i="1"/>
  <c r="Y1184" i="1"/>
  <c r="Z1184" i="1"/>
  <c r="Y1185" i="1"/>
  <c r="Z1185" i="1"/>
  <c r="Y1186" i="1"/>
  <c r="Z1186" i="1"/>
  <c r="Y1187" i="1"/>
  <c r="Z1187" i="1"/>
  <c r="Y1188" i="1"/>
  <c r="Z1188" i="1"/>
  <c r="Y1189" i="1"/>
  <c r="Z1189" i="1"/>
  <c r="Y1190" i="1"/>
  <c r="Z1190" i="1"/>
  <c r="Y1191" i="1"/>
  <c r="Z1191" i="1"/>
  <c r="Y1192" i="1"/>
  <c r="Z1192" i="1"/>
  <c r="Y1193" i="1"/>
  <c r="Z1193" i="1"/>
  <c r="Y1194" i="1"/>
  <c r="Z1194" i="1"/>
  <c r="Y1195" i="1"/>
  <c r="Z1195" i="1"/>
  <c r="Y1196" i="1"/>
  <c r="Z1196" i="1"/>
  <c r="Y1197" i="1"/>
  <c r="Z1197" i="1"/>
  <c r="Y1198" i="1"/>
  <c r="Z1198" i="1"/>
  <c r="Y1199" i="1"/>
  <c r="Z1199" i="1"/>
  <c r="Y1200" i="1"/>
  <c r="Z1200" i="1"/>
  <c r="Y1201" i="1"/>
  <c r="Z1201" i="1"/>
  <c r="Y1202" i="1"/>
  <c r="Z1202" i="1"/>
  <c r="Y1203" i="1"/>
  <c r="Z1203" i="1"/>
  <c r="Y1204" i="1"/>
  <c r="Z1204" i="1"/>
  <c r="Y1205" i="1"/>
  <c r="Z1205" i="1"/>
  <c r="Y1206" i="1"/>
  <c r="Z1206" i="1"/>
  <c r="Y1207" i="1"/>
  <c r="Z1207" i="1"/>
  <c r="Y1208" i="1"/>
  <c r="Z1208" i="1"/>
  <c r="Y1209" i="1"/>
  <c r="Z1209" i="1"/>
  <c r="Y1210" i="1"/>
  <c r="Z1210" i="1"/>
  <c r="Y1211" i="1"/>
  <c r="Z1211" i="1"/>
  <c r="Y1212" i="1"/>
  <c r="Z1212" i="1"/>
  <c r="Y1213" i="1"/>
  <c r="Z1213" i="1"/>
  <c r="Y1214" i="1"/>
  <c r="Z1214" i="1"/>
  <c r="Y1215" i="1"/>
  <c r="Z1215" i="1"/>
  <c r="Y1216" i="1"/>
  <c r="Z1216" i="1"/>
  <c r="Y1217" i="1"/>
  <c r="Z1217" i="1"/>
  <c r="Y1218" i="1"/>
  <c r="Z1218" i="1"/>
  <c r="Y1219" i="1"/>
  <c r="Z1219" i="1"/>
  <c r="Y1220" i="1"/>
  <c r="Z1220" i="1"/>
  <c r="Y1221" i="1"/>
  <c r="Z1221" i="1"/>
  <c r="Y1222" i="1"/>
  <c r="Z1222" i="1"/>
  <c r="Y1223" i="1"/>
  <c r="Z1223" i="1"/>
  <c r="Y1224" i="1"/>
  <c r="Z1224" i="1"/>
  <c r="Y1225" i="1"/>
  <c r="Z1225" i="1"/>
  <c r="Y1226" i="1"/>
  <c r="Z1226" i="1"/>
  <c r="Y1227" i="1"/>
  <c r="Z1227" i="1"/>
  <c r="Y1228" i="1"/>
  <c r="Z1228" i="1"/>
  <c r="Y1229" i="1"/>
  <c r="Z1229" i="1"/>
  <c r="Y1230" i="1"/>
  <c r="Z1230" i="1"/>
  <c r="Y1231" i="1"/>
  <c r="Z1231" i="1"/>
  <c r="Y1232" i="1"/>
  <c r="Z1232" i="1"/>
  <c r="Y1233" i="1"/>
  <c r="Z1233" i="1"/>
  <c r="Y1234" i="1"/>
  <c r="Z1234" i="1"/>
  <c r="Y1235" i="1"/>
  <c r="Z1235" i="1"/>
  <c r="Y1236" i="1"/>
  <c r="Z1236" i="1"/>
  <c r="Y1237" i="1"/>
  <c r="Z1237" i="1"/>
  <c r="Y1238" i="1"/>
  <c r="Z1238" i="1"/>
  <c r="Y1239" i="1"/>
  <c r="Z1239" i="1"/>
  <c r="Y1240" i="1"/>
  <c r="Z1240" i="1"/>
  <c r="Y1241" i="1"/>
  <c r="Z1241" i="1"/>
  <c r="Y1242" i="1"/>
  <c r="Z1242" i="1"/>
  <c r="Y1243" i="1"/>
  <c r="Z1243" i="1"/>
  <c r="Y1244" i="1"/>
  <c r="Z1244" i="1"/>
  <c r="Y1245" i="1"/>
  <c r="Z1245" i="1"/>
  <c r="Y1246" i="1"/>
  <c r="Z1246" i="1"/>
  <c r="Y1247" i="1"/>
  <c r="Z1247" i="1"/>
  <c r="Y1248" i="1"/>
  <c r="Z1248" i="1"/>
  <c r="Y1249" i="1"/>
  <c r="Z1249" i="1"/>
  <c r="Y1250" i="1"/>
  <c r="Z1250" i="1"/>
  <c r="Y1251" i="1"/>
  <c r="Z1251" i="1"/>
  <c r="Y1252" i="1"/>
  <c r="Z1252" i="1"/>
  <c r="Y1253" i="1"/>
  <c r="Z1253" i="1"/>
  <c r="Y1254" i="1"/>
  <c r="Z1254" i="1"/>
  <c r="Y1255" i="1"/>
  <c r="Z1255" i="1"/>
  <c r="Y1256" i="1"/>
  <c r="Z1256" i="1"/>
  <c r="Y1257" i="1"/>
  <c r="Z1257" i="1"/>
  <c r="Y1258" i="1"/>
  <c r="Z1258" i="1"/>
  <c r="Y1259" i="1"/>
  <c r="Z1259" i="1"/>
  <c r="Y1260" i="1"/>
  <c r="Z1260" i="1"/>
  <c r="Y1261" i="1"/>
  <c r="Z1261" i="1"/>
  <c r="Y1262" i="1"/>
  <c r="Z1262" i="1"/>
  <c r="Y1263" i="1"/>
  <c r="Z1263" i="1"/>
  <c r="Y1264" i="1"/>
  <c r="Z1264" i="1"/>
  <c r="Y1265" i="1"/>
  <c r="Z1265" i="1"/>
  <c r="Y1266" i="1"/>
  <c r="Z1266" i="1"/>
  <c r="Y1267" i="1"/>
  <c r="Z1267" i="1"/>
  <c r="Y1268" i="1"/>
  <c r="Z1268" i="1"/>
  <c r="Y1269" i="1"/>
  <c r="Z1269" i="1"/>
  <c r="Y1270" i="1"/>
  <c r="Z1270" i="1"/>
  <c r="Y1271" i="1"/>
  <c r="Z1271" i="1"/>
  <c r="Y1272" i="1"/>
  <c r="Z1272" i="1"/>
  <c r="Y1273" i="1"/>
  <c r="Z1273" i="1"/>
  <c r="Y1274" i="1"/>
  <c r="Z1274" i="1"/>
  <c r="Y1275" i="1"/>
  <c r="Z1275" i="1"/>
  <c r="Y1276" i="1"/>
  <c r="Z1276" i="1"/>
  <c r="Y1277" i="1"/>
  <c r="Z1277" i="1"/>
  <c r="Y1278" i="1"/>
  <c r="Z1278" i="1"/>
  <c r="Y1279" i="1"/>
  <c r="Z1279" i="1"/>
  <c r="Y1280" i="1"/>
  <c r="Z1280" i="1"/>
  <c r="Y1281" i="1"/>
  <c r="Z1281" i="1"/>
  <c r="Y1282" i="1"/>
  <c r="Z1282" i="1"/>
  <c r="Y1283" i="1"/>
  <c r="Z1283" i="1"/>
  <c r="Y1284" i="1"/>
  <c r="Z1284" i="1"/>
  <c r="Y1285" i="1"/>
  <c r="Z1285" i="1"/>
  <c r="Y1286" i="1"/>
  <c r="Z1286" i="1"/>
  <c r="Y1287" i="1"/>
  <c r="Z1287" i="1"/>
  <c r="Y1288" i="1"/>
  <c r="Z1288" i="1"/>
  <c r="Y1289" i="1"/>
  <c r="Z1289" i="1"/>
  <c r="Y1290" i="1"/>
  <c r="Z1290" i="1"/>
  <c r="Y1291" i="1"/>
  <c r="Z1291" i="1"/>
  <c r="Y1292" i="1"/>
  <c r="Z1292" i="1"/>
  <c r="Y1293" i="1"/>
  <c r="Z1293" i="1"/>
  <c r="Y1294" i="1"/>
  <c r="Z1294" i="1"/>
  <c r="Y1295" i="1"/>
  <c r="Z1295" i="1"/>
  <c r="Y1296" i="1"/>
  <c r="Z1296" i="1"/>
  <c r="Y1297" i="1"/>
  <c r="Z1297" i="1"/>
  <c r="Y1298" i="1"/>
  <c r="Z1298" i="1"/>
  <c r="Y1299" i="1"/>
  <c r="Z1299" i="1"/>
  <c r="Y1300" i="1"/>
  <c r="Z1300" i="1"/>
  <c r="Y1301" i="1"/>
  <c r="Z1301" i="1"/>
  <c r="Y1302" i="1"/>
  <c r="Z1302" i="1"/>
  <c r="Y1303" i="1"/>
  <c r="Z1303" i="1"/>
  <c r="Y1304" i="1"/>
  <c r="Z1304" i="1"/>
  <c r="Y1305" i="1"/>
  <c r="Z1305" i="1"/>
  <c r="Y1306" i="1"/>
  <c r="Z1306" i="1"/>
  <c r="Y1307" i="1"/>
  <c r="Z1307" i="1"/>
  <c r="Y1308" i="1"/>
  <c r="Z1308" i="1"/>
  <c r="Y1309" i="1"/>
  <c r="Z1309" i="1"/>
  <c r="Y1310" i="1"/>
  <c r="Z1310" i="1"/>
  <c r="Y1311" i="1"/>
  <c r="Z1311" i="1"/>
  <c r="Y1312" i="1"/>
  <c r="Z1312" i="1"/>
  <c r="Y1313" i="1"/>
  <c r="Z1313" i="1"/>
  <c r="Y1314" i="1"/>
  <c r="Z1314" i="1"/>
  <c r="Y1315" i="1"/>
  <c r="Z1315" i="1"/>
  <c r="Y1316" i="1"/>
  <c r="Z1316" i="1"/>
  <c r="Y1317" i="1"/>
  <c r="Z1317" i="1"/>
  <c r="Y1318" i="1"/>
  <c r="Z1318" i="1"/>
  <c r="Y1319" i="1"/>
  <c r="Z1319" i="1"/>
  <c r="Y1320" i="1"/>
  <c r="Z1320" i="1"/>
  <c r="Y1321" i="1"/>
  <c r="Z1321" i="1"/>
  <c r="Y1322" i="1"/>
  <c r="Z1322" i="1"/>
  <c r="Y1323" i="1"/>
  <c r="Z1323" i="1"/>
  <c r="Y1324" i="1"/>
  <c r="Z1324" i="1"/>
  <c r="Y1325" i="1"/>
  <c r="Z1325" i="1"/>
  <c r="Y1326" i="1"/>
  <c r="Z1326" i="1"/>
  <c r="Y1327" i="1"/>
  <c r="Z1327" i="1"/>
  <c r="Y1328" i="1"/>
  <c r="Z1328" i="1"/>
  <c r="Y1329" i="1"/>
  <c r="Z1329" i="1"/>
  <c r="Y1330" i="1"/>
  <c r="Z1330" i="1"/>
  <c r="Y1331" i="1"/>
  <c r="Z1331" i="1"/>
  <c r="Y1332" i="1"/>
  <c r="Z1332" i="1"/>
  <c r="Y1333" i="1"/>
  <c r="Z1333" i="1"/>
  <c r="Y1334" i="1"/>
  <c r="Z1334" i="1"/>
  <c r="Y1335" i="1"/>
  <c r="Z1335" i="1"/>
  <c r="Y1336" i="1"/>
  <c r="Z1336" i="1"/>
  <c r="Y1337" i="1"/>
  <c r="Z1337" i="1"/>
  <c r="Y1338" i="1"/>
  <c r="Z1338" i="1"/>
  <c r="Y1339" i="1"/>
  <c r="Z1339" i="1"/>
  <c r="Y1340" i="1"/>
  <c r="Z1340" i="1"/>
  <c r="Y1341" i="1"/>
  <c r="Z1341" i="1"/>
  <c r="Y1342" i="1"/>
  <c r="Z1342" i="1"/>
  <c r="Y1343" i="1"/>
  <c r="Z1343" i="1"/>
  <c r="Y1344" i="1"/>
  <c r="Z1344" i="1"/>
  <c r="Y1345" i="1"/>
  <c r="Z1345" i="1"/>
  <c r="Y1346" i="1"/>
  <c r="Z1346" i="1"/>
  <c r="Y1347" i="1"/>
  <c r="Z1347" i="1"/>
  <c r="Y1348" i="1"/>
  <c r="Z1348" i="1"/>
  <c r="Y1349" i="1"/>
  <c r="Z1349" i="1"/>
  <c r="Y1350" i="1"/>
  <c r="Z1350" i="1"/>
  <c r="Y1351" i="1"/>
  <c r="Z1351" i="1"/>
  <c r="Y1352" i="1"/>
  <c r="Z1352" i="1"/>
  <c r="Y1353" i="1"/>
  <c r="Z1353" i="1"/>
  <c r="Y1354" i="1"/>
  <c r="Z1354" i="1"/>
  <c r="Y1355" i="1"/>
  <c r="Z1355" i="1"/>
  <c r="Y1356" i="1"/>
  <c r="Z1356" i="1"/>
  <c r="Y1357" i="1"/>
  <c r="Z1357" i="1"/>
  <c r="Y1358" i="1"/>
  <c r="Z1358" i="1"/>
  <c r="Y1359" i="1"/>
  <c r="Z1359" i="1"/>
  <c r="Y1360" i="1"/>
  <c r="Z1360" i="1"/>
  <c r="Y1361" i="1"/>
  <c r="Z1361" i="1"/>
  <c r="Y1362" i="1"/>
  <c r="Z1362" i="1"/>
  <c r="Y1363" i="1"/>
  <c r="Z1363" i="1"/>
  <c r="Y1364" i="1"/>
  <c r="Z1364" i="1"/>
  <c r="Y1365" i="1"/>
  <c r="Z1365" i="1"/>
  <c r="Y1366" i="1"/>
  <c r="Z1366" i="1"/>
  <c r="Y1367" i="1"/>
  <c r="Z1367" i="1"/>
  <c r="Y1368" i="1"/>
  <c r="Z1368" i="1"/>
  <c r="Y1369" i="1"/>
  <c r="Z1369" i="1"/>
  <c r="Y1370" i="1"/>
  <c r="Z1370" i="1"/>
  <c r="Y1371" i="1"/>
  <c r="Z1371" i="1"/>
  <c r="Y1372" i="1"/>
  <c r="Z1372" i="1"/>
  <c r="Y1373" i="1"/>
  <c r="Z1373" i="1"/>
  <c r="Y1374" i="1"/>
  <c r="Z1374" i="1"/>
  <c r="Y1375" i="1"/>
  <c r="Z1375" i="1"/>
  <c r="Y1376" i="1"/>
  <c r="Z1376" i="1"/>
  <c r="Y1377" i="1"/>
  <c r="Z1377" i="1"/>
  <c r="Y1378" i="1"/>
  <c r="Z1378" i="1"/>
  <c r="Y1379" i="1"/>
  <c r="Z1379" i="1"/>
  <c r="Y1380" i="1"/>
  <c r="Z1380" i="1"/>
  <c r="Y1381" i="1"/>
  <c r="Z1381" i="1"/>
  <c r="Y1382" i="1"/>
  <c r="Z1382" i="1"/>
  <c r="Y1383" i="1"/>
  <c r="Z1383" i="1"/>
  <c r="Y1384" i="1"/>
  <c r="Z1384" i="1"/>
  <c r="Y1385" i="1"/>
  <c r="Z1385" i="1"/>
  <c r="Y1386" i="1"/>
  <c r="Z1386" i="1"/>
  <c r="Y1387" i="1"/>
  <c r="Z1387" i="1"/>
  <c r="Y1388" i="1"/>
  <c r="Z1388" i="1"/>
  <c r="Y1389" i="1"/>
  <c r="Z1389" i="1"/>
  <c r="Y1390" i="1"/>
  <c r="Z1390" i="1"/>
  <c r="Y1391" i="1"/>
  <c r="Z1391" i="1"/>
  <c r="Y1392" i="1"/>
  <c r="Z1392" i="1"/>
  <c r="Y1393" i="1"/>
  <c r="Z1393" i="1"/>
  <c r="Y1394" i="1"/>
  <c r="Z1394" i="1"/>
  <c r="Y1395" i="1"/>
  <c r="Z1395" i="1"/>
  <c r="Y1396" i="1"/>
  <c r="Z1396" i="1"/>
  <c r="Y1397" i="1"/>
  <c r="Z1397" i="1"/>
  <c r="Y1398" i="1"/>
  <c r="Z1398" i="1"/>
  <c r="Y1399" i="1"/>
  <c r="Z1399" i="1"/>
  <c r="Y1400" i="1"/>
  <c r="Z1400" i="1"/>
  <c r="Y1401" i="1"/>
  <c r="Z1401" i="1"/>
  <c r="Y1402" i="1"/>
  <c r="Z1402" i="1"/>
  <c r="Y1403" i="1"/>
  <c r="Z1403" i="1"/>
  <c r="Y1404" i="1"/>
  <c r="Z1404" i="1"/>
  <c r="Y1405" i="1"/>
  <c r="Z1405" i="1"/>
  <c r="Y1406" i="1"/>
  <c r="Z1406" i="1"/>
  <c r="Y1407" i="1"/>
  <c r="Z1407" i="1"/>
  <c r="Y1408" i="1"/>
  <c r="Z1408" i="1"/>
  <c r="Y1409" i="1"/>
  <c r="Z1409" i="1"/>
  <c r="Y1410" i="1"/>
  <c r="Z1410" i="1"/>
  <c r="Y1411" i="1"/>
  <c r="Z1411" i="1"/>
  <c r="Y1412" i="1"/>
  <c r="Z1412" i="1"/>
  <c r="Y1413" i="1"/>
  <c r="Z1413" i="1"/>
  <c r="Y1414" i="1"/>
  <c r="Z1414" i="1"/>
  <c r="Y1415" i="1"/>
  <c r="Z1415" i="1"/>
  <c r="Y1416" i="1"/>
  <c r="Z1416" i="1"/>
  <c r="Y1417" i="1"/>
  <c r="Z1417" i="1"/>
  <c r="Y1418" i="1"/>
  <c r="Z1418" i="1"/>
  <c r="Y1419" i="1"/>
  <c r="Z1419" i="1"/>
  <c r="Y1420" i="1"/>
  <c r="Z1420" i="1"/>
  <c r="Y1421" i="1"/>
  <c r="Z1421" i="1"/>
  <c r="Y1422" i="1"/>
  <c r="Z1422" i="1"/>
  <c r="Y1423" i="1"/>
  <c r="Z1423" i="1"/>
  <c r="Y1424" i="1"/>
  <c r="Z1424" i="1"/>
  <c r="Y1425" i="1"/>
  <c r="Z1425" i="1"/>
  <c r="Y1426" i="1"/>
  <c r="Z1426" i="1"/>
  <c r="Y1427" i="1"/>
  <c r="Z1427" i="1"/>
  <c r="Y1428" i="1"/>
  <c r="Z1428" i="1"/>
  <c r="Y1429" i="1"/>
  <c r="Z1429" i="1"/>
  <c r="Y1430" i="1"/>
  <c r="Z1430" i="1"/>
  <c r="Y1431" i="1"/>
  <c r="Z1431" i="1"/>
  <c r="Y1432" i="1"/>
  <c r="Z1432" i="1"/>
  <c r="Y1433" i="1"/>
  <c r="Z1433" i="1"/>
  <c r="Y1434" i="1"/>
  <c r="Z1434" i="1"/>
  <c r="Y1435" i="1"/>
  <c r="Z1435" i="1"/>
  <c r="Y1436" i="1"/>
  <c r="Z1436" i="1"/>
  <c r="Y1437" i="1"/>
  <c r="Z1437" i="1"/>
  <c r="Y1438" i="1"/>
  <c r="Z1438" i="1"/>
  <c r="Y1439" i="1"/>
  <c r="Z1439" i="1"/>
  <c r="Y1440" i="1"/>
  <c r="Z1440" i="1"/>
  <c r="Y1441" i="1"/>
  <c r="Z1441" i="1"/>
  <c r="Y1442" i="1"/>
  <c r="Z1442" i="1"/>
  <c r="Y1443" i="1"/>
  <c r="Z1443" i="1"/>
  <c r="Y1444" i="1"/>
  <c r="Z1444" i="1"/>
  <c r="Y1445" i="1"/>
  <c r="Z1445" i="1"/>
  <c r="Y1446" i="1"/>
  <c r="Z1446" i="1"/>
  <c r="Y1447" i="1"/>
  <c r="Z1447" i="1"/>
  <c r="Y1448" i="1"/>
  <c r="Z1448" i="1"/>
  <c r="Y1449" i="1"/>
  <c r="Z1449" i="1"/>
  <c r="Y1450" i="1"/>
  <c r="Z1450" i="1"/>
  <c r="Y1451" i="1"/>
  <c r="Z1451" i="1"/>
  <c r="Y1452" i="1"/>
  <c r="Z1452" i="1"/>
  <c r="Y1453" i="1"/>
  <c r="Z1453" i="1"/>
  <c r="Y1454" i="1"/>
  <c r="Z1454" i="1"/>
  <c r="Y1455" i="1"/>
  <c r="Z1455" i="1"/>
  <c r="Y1456" i="1"/>
  <c r="Z1456" i="1"/>
  <c r="Y1457" i="1"/>
  <c r="Z1457" i="1"/>
  <c r="Y1458" i="1"/>
  <c r="Z1458" i="1"/>
  <c r="Y1459" i="1"/>
  <c r="Z1459" i="1"/>
  <c r="Y1460" i="1"/>
  <c r="Z1460" i="1"/>
  <c r="Y1461" i="1"/>
  <c r="Z1461" i="1"/>
  <c r="Y1462" i="1"/>
  <c r="Z1462" i="1"/>
  <c r="Y1463" i="1"/>
  <c r="Z1463" i="1"/>
  <c r="Y1464" i="1"/>
  <c r="Z1464" i="1"/>
  <c r="Y1465" i="1"/>
  <c r="Z1465" i="1"/>
  <c r="Y1466" i="1"/>
  <c r="Z1466" i="1"/>
  <c r="Y1467" i="1"/>
  <c r="Z1467" i="1"/>
  <c r="Y1468" i="1"/>
  <c r="Z1468" i="1"/>
  <c r="Y1469" i="1"/>
  <c r="Z1469" i="1"/>
  <c r="Y1470" i="1"/>
  <c r="Z1470" i="1"/>
  <c r="Y1471" i="1"/>
  <c r="Z1471" i="1"/>
  <c r="Y1472" i="1"/>
  <c r="Z1472" i="1"/>
  <c r="Y1473" i="1"/>
  <c r="Z1473" i="1"/>
  <c r="Y1474" i="1"/>
  <c r="Z1474" i="1"/>
  <c r="Y1475" i="1"/>
  <c r="Z1475" i="1"/>
  <c r="Y1476" i="1"/>
  <c r="Z1476" i="1"/>
  <c r="Y1477" i="1"/>
  <c r="Z1477" i="1"/>
  <c r="Y1478" i="1"/>
  <c r="Z1478" i="1"/>
  <c r="Y1479" i="1"/>
  <c r="Z1479" i="1"/>
  <c r="Y1480" i="1"/>
  <c r="Z1480" i="1"/>
  <c r="Y1481" i="1"/>
  <c r="Z1481" i="1"/>
  <c r="Y1482" i="1"/>
  <c r="Z1482" i="1"/>
  <c r="Y1483" i="1"/>
  <c r="Z1483" i="1"/>
  <c r="Y1484" i="1"/>
  <c r="Z1484" i="1"/>
  <c r="Y1485" i="1"/>
  <c r="Z1485" i="1"/>
  <c r="Y1486" i="1"/>
  <c r="Z1486" i="1"/>
  <c r="Y1487" i="1"/>
  <c r="Z1487" i="1"/>
  <c r="Y1488" i="1"/>
  <c r="Z1488" i="1"/>
  <c r="Y1489" i="1"/>
  <c r="Z1489" i="1"/>
  <c r="Y1490" i="1"/>
  <c r="Z1490" i="1"/>
  <c r="Y1491" i="1"/>
  <c r="Z1491" i="1"/>
  <c r="Y1492" i="1"/>
  <c r="Z1492" i="1"/>
  <c r="Y1493" i="1"/>
  <c r="Z1493" i="1"/>
  <c r="Y1494" i="1"/>
  <c r="Z1494" i="1"/>
  <c r="Y1495" i="1"/>
  <c r="Z1495" i="1"/>
  <c r="Y1496" i="1"/>
  <c r="Z1496" i="1"/>
  <c r="Y1497" i="1"/>
  <c r="Z1497" i="1"/>
  <c r="Y1498" i="1"/>
  <c r="Z1498" i="1"/>
  <c r="Y1499" i="1"/>
  <c r="Z1499" i="1"/>
  <c r="Y1500" i="1"/>
  <c r="Z1500" i="1"/>
  <c r="Y1501" i="1"/>
  <c r="Z1501" i="1"/>
  <c r="Y1502" i="1"/>
  <c r="Z1502" i="1"/>
  <c r="Y1503" i="1"/>
  <c r="Z1503" i="1"/>
  <c r="Y1504" i="1"/>
  <c r="Z1504" i="1"/>
  <c r="Y1505" i="1"/>
  <c r="Z1505" i="1"/>
  <c r="Y1506" i="1"/>
  <c r="Z1506" i="1"/>
  <c r="Y1507" i="1"/>
  <c r="Z1507" i="1"/>
  <c r="Y1508" i="1"/>
  <c r="Z1508" i="1"/>
  <c r="Y1509" i="1"/>
  <c r="Z1509" i="1"/>
  <c r="Y1510" i="1"/>
  <c r="Z1510" i="1"/>
  <c r="Y1511" i="1"/>
  <c r="Z1511" i="1"/>
  <c r="Y1512" i="1"/>
  <c r="Z1512" i="1"/>
  <c r="Y1513" i="1"/>
  <c r="Z1513" i="1"/>
  <c r="Y1514" i="1"/>
  <c r="Z1514" i="1"/>
  <c r="Y1515" i="1"/>
  <c r="Z1515" i="1"/>
  <c r="Y1516" i="1"/>
  <c r="Z1516" i="1"/>
  <c r="Y1517" i="1"/>
  <c r="Z1517" i="1"/>
  <c r="Y1518" i="1"/>
  <c r="Z1518" i="1"/>
  <c r="Y1519" i="1"/>
  <c r="Z1519" i="1"/>
  <c r="Y1520" i="1"/>
  <c r="Z1520" i="1"/>
  <c r="Y1521" i="1"/>
  <c r="Z1521" i="1"/>
  <c r="Y1522" i="1"/>
  <c r="Z1522" i="1"/>
  <c r="Y1523" i="1"/>
  <c r="Z1523" i="1"/>
  <c r="Y1524" i="1"/>
  <c r="Z1524" i="1"/>
  <c r="Y1525" i="1"/>
  <c r="Z1525" i="1"/>
  <c r="Y1526" i="1"/>
  <c r="Z1526" i="1"/>
  <c r="Y1527" i="1"/>
  <c r="Z1527" i="1"/>
  <c r="Y1528" i="1"/>
  <c r="Z1528" i="1"/>
  <c r="Y1529" i="1"/>
  <c r="Z1529" i="1"/>
  <c r="Y1530" i="1"/>
  <c r="Z1530" i="1"/>
  <c r="Y1531" i="1"/>
  <c r="Z1531" i="1"/>
  <c r="Y1532" i="1"/>
  <c r="Z1532" i="1"/>
  <c r="Y1533" i="1"/>
  <c r="Z1533" i="1"/>
  <c r="Y1534" i="1"/>
  <c r="Z1534" i="1"/>
  <c r="Y1535" i="1"/>
  <c r="Z1535" i="1"/>
  <c r="Y1536" i="1"/>
  <c r="Z1536" i="1"/>
  <c r="Y1537" i="1"/>
  <c r="Z1537" i="1"/>
  <c r="Y1538" i="1"/>
  <c r="Z1538" i="1"/>
  <c r="Y1539" i="1"/>
  <c r="Z1539" i="1"/>
  <c r="Y1540" i="1"/>
  <c r="Z1540" i="1"/>
  <c r="Y1541" i="1"/>
  <c r="Z1541" i="1"/>
  <c r="Y1542" i="1"/>
  <c r="Z1542" i="1"/>
  <c r="Y1543" i="1"/>
  <c r="Z1543" i="1"/>
  <c r="Y1544" i="1"/>
  <c r="Z1544" i="1"/>
  <c r="Y1545" i="1"/>
  <c r="Z1545" i="1"/>
  <c r="Y1546" i="1"/>
  <c r="Z1546" i="1"/>
  <c r="Y1547" i="1"/>
  <c r="Z1547" i="1"/>
  <c r="Y1548" i="1"/>
  <c r="Z1548" i="1"/>
  <c r="Y1549" i="1"/>
  <c r="Z1549" i="1"/>
  <c r="Y1550" i="1"/>
  <c r="Z1550" i="1"/>
  <c r="Y1551" i="1"/>
  <c r="Z1551" i="1"/>
  <c r="Y1552" i="1"/>
  <c r="Z1552" i="1"/>
  <c r="Y1553" i="1"/>
  <c r="Z1553" i="1"/>
  <c r="Y1554" i="1"/>
  <c r="Z1554" i="1"/>
  <c r="Y1555" i="1"/>
  <c r="Z1555" i="1"/>
  <c r="Y1556" i="1"/>
  <c r="Z1556" i="1"/>
  <c r="Y1557" i="1"/>
  <c r="Z1557" i="1"/>
  <c r="Y1558" i="1"/>
  <c r="Z1558" i="1"/>
  <c r="Y1559" i="1"/>
  <c r="Z1559" i="1"/>
  <c r="Y1560" i="1"/>
  <c r="Z1560" i="1"/>
  <c r="Y1561" i="1"/>
  <c r="Z1561" i="1"/>
  <c r="Y1562" i="1"/>
  <c r="Z1562" i="1"/>
  <c r="Y1563" i="1"/>
  <c r="Z1563" i="1"/>
  <c r="Y1564" i="1"/>
  <c r="Z1564" i="1"/>
  <c r="Y1565" i="1"/>
  <c r="Z1565" i="1"/>
  <c r="Y1566" i="1"/>
  <c r="Z1566" i="1"/>
  <c r="Y1567" i="1"/>
  <c r="Z1567" i="1"/>
  <c r="Y1568" i="1"/>
  <c r="Z1568" i="1"/>
  <c r="Y1569" i="1"/>
  <c r="Z1569" i="1"/>
  <c r="Y1570" i="1"/>
  <c r="Z1570" i="1"/>
  <c r="Y1571" i="1"/>
  <c r="Z1571" i="1"/>
  <c r="Y1572" i="1"/>
  <c r="Z1572" i="1"/>
  <c r="Y1573" i="1"/>
  <c r="Z1573" i="1"/>
  <c r="Y1574" i="1"/>
  <c r="Z1574" i="1"/>
  <c r="Y1575" i="1"/>
  <c r="Z1575" i="1"/>
  <c r="Y1576" i="1"/>
  <c r="Z1576" i="1"/>
  <c r="Y1577" i="1"/>
  <c r="Z1577" i="1"/>
  <c r="Y1578" i="1"/>
  <c r="Z1578" i="1"/>
  <c r="Y1579" i="1"/>
  <c r="Z1579" i="1"/>
  <c r="Y1580" i="1"/>
  <c r="Z1580" i="1"/>
  <c r="Y1581" i="1"/>
  <c r="Z1581" i="1"/>
  <c r="Y1582" i="1"/>
  <c r="Z1582" i="1"/>
  <c r="Y1583" i="1"/>
  <c r="Z1583" i="1"/>
  <c r="Y1584" i="1"/>
  <c r="Z1584" i="1"/>
  <c r="Y1585" i="1"/>
  <c r="Z1585" i="1"/>
  <c r="Y1586" i="1"/>
  <c r="Z1586" i="1"/>
  <c r="Y1587" i="1"/>
  <c r="Z1587" i="1"/>
  <c r="Y1588" i="1"/>
  <c r="Z1588" i="1"/>
  <c r="Y1589" i="1"/>
  <c r="Z1589" i="1"/>
  <c r="Y1590" i="1"/>
  <c r="Z1590" i="1"/>
  <c r="Y1591" i="1"/>
  <c r="Z1591" i="1"/>
  <c r="Y1592" i="1"/>
  <c r="Z1592" i="1"/>
  <c r="Y1593" i="1"/>
  <c r="Z1593" i="1"/>
  <c r="Y1594" i="1"/>
  <c r="Z1594" i="1"/>
  <c r="Y1595" i="1"/>
  <c r="Z1595" i="1"/>
  <c r="Y1596" i="1"/>
  <c r="Z1596" i="1"/>
  <c r="Y1597" i="1"/>
  <c r="Z1597" i="1"/>
  <c r="Y1598" i="1"/>
  <c r="Z1598" i="1"/>
  <c r="Y1599" i="1"/>
  <c r="Z1599" i="1"/>
  <c r="Y1600" i="1"/>
  <c r="Z1600" i="1"/>
  <c r="Y1601" i="1"/>
  <c r="Z1601" i="1"/>
  <c r="Y1602" i="1"/>
  <c r="Z1602" i="1"/>
  <c r="Y1603" i="1"/>
  <c r="Z1603" i="1"/>
  <c r="Y1604" i="1"/>
  <c r="Z1604" i="1"/>
  <c r="Y1605" i="1"/>
  <c r="Z1605" i="1"/>
  <c r="Y1606" i="1"/>
  <c r="Z1606" i="1"/>
  <c r="Y1607" i="1"/>
  <c r="Z1607" i="1"/>
  <c r="Y1608" i="1"/>
  <c r="Z1608" i="1"/>
  <c r="Y1609" i="1"/>
  <c r="Z1609" i="1"/>
  <c r="Y1610" i="1"/>
  <c r="Z1610" i="1"/>
  <c r="Y1611" i="1"/>
  <c r="Z1611" i="1"/>
  <c r="Y1612" i="1"/>
  <c r="Z1612" i="1"/>
  <c r="Y1613" i="1"/>
  <c r="Z1613" i="1"/>
  <c r="Y1614" i="1"/>
  <c r="Z1614" i="1"/>
  <c r="Y1615" i="1"/>
  <c r="Z1615" i="1"/>
  <c r="Y1616" i="1"/>
  <c r="Z1616" i="1"/>
  <c r="Y1617" i="1"/>
  <c r="Z1617" i="1"/>
  <c r="Y1618" i="1"/>
  <c r="Z1618" i="1"/>
  <c r="Y1619" i="1"/>
  <c r="Z1619" i="1"/>
  <c r="Y1620" i="1"/>
  <c r="Z1620" i="1"/>
  <c r="Y1621" i="1"/>
  <c r="Z1621" i="1"/>
  <c r="Y1622" i="1"/>
  <c r="Z1622" i="1"/>
  <c r="Y1623" i="1"/>
  <c r="Z1623" i="1"/>
  <c r="Y1624" i="1"/>
  <c r="Z1624" i="1"/>
  <c r="Y1625" i="1"/>
  <c r="Z1625" i="1"/>
  <c r="Y1626" i="1"/>
  <c r="Z1626" i="1"/>
  <c r="Y1627" i="1"/>
  <c r="Z1627" i="1"/>
  <c r="Y1628" i="1"/>
  <c r="Z1628" i="1"/>
  <c r="Y1629" i="1"/>
  <c r="Z1629" i="1"/>
  <c r="Y1630" i="1"/>
  <c r="Z1630" i="1"/>
  <c r="Y1631" i="1"/>
  <c r="Z1631" i="1"/>
  <c r="Y1632" i="1"/>
  <c r="Z1632" i="1"/>
  <c r="Y1633" i="1"/>
  <c r="Z1633" i="1"/>
  <c r="Y1634" i="1"/>
  <c r="Z1634" i="1"/>
  <c r="Y1635" i="1"/>
  <c r="Z1635" i="1"/>
  <c r="Y1636" i="1"/>
  <c r="Z1636" i="1"/>
  <c r="Y1637" i="1"/>
  <c r="Z1637" i="1"/>
  <c r="Y1638" i="1"/>
  <c r="Z1638" i="1"/>
  <c r="Y1639" i="1"/>
  <c r="Z1639" i="1"/>
  <c r="Y1640" i="1"/>
  <c r="Z1640" i="1"/>
  <c r="Y1641" i="1"/>
  <c r="Z1641" i="1"/>
  <c r="Y1642" i="1"/>
  <c r="Z1642" i="1"/>
  <c r="Y1643" i="1"/>
  <c r="Z1643" i="1"/>
  <c r="Y1644" i="1"/>
  <c r="Z1644" i="1"/>
  <c r="Y1645" i="1"/>
  <c r="Z1645" i="1"/>
  <c r="Y1646" i="1"/>
  <c r="Z1646" i="1"/>
  <c r="Y1647" i="1"/>
  <c r="Z1647" i="1"/>
  <c r="Y1648" i="1"/>
  <c r="Z1648" i="1"/>
  <c r="Y1649" i="1"/>
  <c r="Z1649" i="1"/>
  <c r="Y1650" i="1"/>
  <c r="Z1650" i="1"/>
  <c r="Y1651" i="1"/>
  <c r="Z1651" i="1"/>
  <c r="Y1652" i="1"/>
  <c r="Z1652" i="1"/>
  <c r="Y1653" i="1"/>
  <c r="Z1653" i="1"/>
  <c r="Y1654" i="1"/>
  <c r="Z1654" i="1"/>
  <c r="Y1655" i="1"/>
  <c r="Z1655" i="1"/>
  <c r="Y1656" i="1"/>
  <c r="Z1656" i="1"/>
  <c r="Y1657" i="1"/>
  <c r="Z1657" i="1"/>
  <c r="Y1658" i="1"/>
  <c r="Z1658" i="1"/>
  <c r="Y1659" i="1"/>
  <c r="Z1659" i="1"/>
  <c r="Y1660" i="1"/>
  <c r="Z1660" i="1"/>
  <c r="Y1661" i="1"/>
  <c r="Z1661" i="1"/>
  <c r="Y1662" i="1"/>
  <c r="Z1662" i="1"/>
  <c r="Y1663" i="1"/>
  <c r="Z1663" i="1"/>
  <c r="Y1664" i="1"/>
  <c r="Z1664" i="1"/>
  <c r="Y1665" i="1"/>
  <c r="Z1665" i="1"/>
  <c r="Y1666" i="1"/>
  <c r="Z1666" i="1"/>
  <c r="Y1667" i="1"/>
  <c r="Z1667" i="1"/>
  <c r="Y1668" i="1"/>
  <c r="Z1668" i="1"/>
  <c r="Y1669" i="1"/>
  <c r="Z1669" i="1"/>
  <c r="Y1670" i="1"/>
  <c r="Z1670" i="1"/>
  <c r="Y1671" i="1"/>
  <c r="Z1671" i="1"/>
  <c r="Y1672" i="1"/>
  <c r="Z1672" i="1"/>
  <c r="Y1673" i="1"/>
  <c r="Z1673" i="1"/>
  <c r="Y1674" i="1"/>
  <c r="Z1674" i="1"/>
  <c r="Y1675" i="1"/>
  <c r="Z1675" i="1"/>
  <c r="Y1676" i="1"/>
  <c r="Z1676" i="1"/>
  <c r="Y1677" i="1"/>
  <c r="Z1677" i="1"/>
  <c r="Y1678" i="1"/>
  <c r="Z1678" i="1"/>
  <c r="Y1679" i="1"/>
  <c r="Z1679" i="1"/>
  <c r="Y1680" i="1"/>
  <c r="Z1680" i="1"/>
  <c r="Y1681" i="1"/>
  <c r="Z1681" i="1"/>
  <c r="Y1682" i="1"/>
  <c r="Z1682" i="1"/>
  <c r="Y1683" i="1"/>
  <c r="Z1683" i="1"/>
  <c r="Y1684" i="1"/>
  <c r="Z1684" i="1"/>
  <c r="Y1685" i="1"/>
  <c r="Z1685" i="1"/>
  <c r="Y1686" i="1"/>
  <c r="Z1686" i="1"/>
  <c r="Y1687" i="1"/>
  <c r="Z1687" i="1"/>
  <c r="Y1688" i="1"/>
  <c r="Z1688" i="1"/>
  <c r="Y1689" i="1"/>
  <c r="Z1689" i="1"/>
  <c r="Y1690" i="1"/>
  <c r="Z1690" i="1"/>
  <c r="Y1691" i="1"/>
  <c r="Z1691" i="1"/>
  <c r="Y1692" i="1"/>
  <c r="Z1692" i="1"/>
  <c r="Y1693" i="1"/>
  <c r="Z1693" i="1"/>
  <c r="Y1694" i="1"/>
  <c r="Z1694" i="1"/>
  <c r="Y1695" i="1"/>
  <c r="Z1695" i="1"/>
  <c r="Y1696" i="1"/>
  <c r="Z1696" i="1"/>
  <c r="Y1697" i="1"/>
  <c r="Z1697" i="1"/>
  <c r="Y1698" i="1"/>
  <c r="Z1698" i="1"/>
  <c r="Y1699" i="1"/>
  <c r="Z1699" i="1"/>
  <c r="Y1700" i="1"/>
  <c r="Z1700" i="1"/>
  <c r="Y1701" i="1"/>
  <c r="Z1701" i="1"/>
  <c r="Y1702" i="1"/>
  <c r="Z1702" i="1"/>
  <c r="Y1703" i="1"/>
  <c r="Z1703" i="1"/>
  <c r="Y1704" i="1"/>
  <c r="Z1704" i="1"/>
  <c r="Y1705" i="1"/>
  <c r="Z1705" i="1"/>
  <c r="Y1706" i="1"/>
  <c r="Z1706" i="1"/>
  <c r="Y1707" i="1"/>
  <c r="Z1707" i="1"/>
  <c r="Y1708" i="1"/>
  <c r="Z1708" i="1"/>
  <c r="Y1709" i="1"/>
  <c r="Z1709" i="1"/>
  <c r="Y1710" i="1"/>
  <c r="Z1710" i="1"/>
  <c r="Y1711" i="1"/>
  <c r="Z1711" i="1"/>
  <c r="Y1712" i="1"/>
  <c r="Z1712" i="1"/>
  <c r="Y1713" i="1"/>
  <c r="Z1713" i="1"/>
  <c r="Y1714" i="1"/>
  <c r="Z1714" i="1"/>
  <c r="Y1715" i="1"/>
  <c r="Z1715" i="1"/>
  <c r="Y1716" i="1"/>
  <c r="Z1716" i="1"/>
  <c r="Y1717" i="1"/>
  <c r="Z1717" i="1"/>
  <c r="Y1718" i="1"/>
  <c r="Z1718" i="1"/>
  <c r="Y1719" i="1"/>
  <c r="Z1719" i="1"/>
  <c r="Y1720" i="1"/>
  <c r="Z1720" i="1"/>
  <c r="Y1721" i="1"/>
  <c r="Z1721" i="1"/>
  <c r="Y1722" i="1"/>
  <c r="Z1722" i="1"/>
  <c r="Y1723" i="1"/>
  <c r="Z1723" i="1"/>
  <c r="Y1724" i="1"/>
  <c r="Z1724" i="1"/>
  <c r="Y1725" i="1"/>
  <c r="Z1725" i="1"/>
  <c r="Y1726" i="1"/>
  <c r="Z1726" i="1"/>
  <c r="Y1727" i="1"/>
  <c r="Z1727" i="1"/>
  <c r="Y1728" i="1"/>
  <c r="Z1728" i="1"/>
  <c r="Y1729" i="1"/>
  <c r="Z1729" i="1"/>
  <c r="Y1730" i="1"/>
  <c r="Z1730" i="1"/>
  <c r="Y1731" i="1"/>
  <c r="Z1731" i="1"/>
  <c r="Y1732" i="1"/>
  <c r="Z1732" i="1"/>
  <c r="Y1733" i="1"/>
  <c r="Z1733" i="1"/>
  <c r="Y1734" i="1"/>
  <c r="Z1734" i="1"/>
  <c r="Y1735" i="1"/>
  <c r="Z1735" i="1"/>
  <c r="Y1736" i="1"/>
  <c r="Z1736" i="1"/>
  <c r="Y1737" i="1"/>
  <c r="Z1737" i="1"/>
  <c r="Y1738" i="1"/>
  <c r="Z1738" i="1"/>
  <c r="Y1739" i="1"/>
  <c r="Z1739" i="1"/>
  <c r="Y1740" i="1"/>
  <c r="Z1740" i="1"/>
  <c r="Y1741" i="1"/>
  <c r="Z1741" i="1"/>
  <c r="Y1742" i="1"/>
  <c r="Z1742" i="1"/>
  <c r="Y1743" i="1"/>
  <c r="Z1743" i="1"/>
  <c r="Y1744" i="1"/>
  <c r="Z1744" i="1"/>
  <c r="Y1745" i="1"/>
  <c r="Z1745" i="1"/>
  <c r="Y1746" i="1"/>
  <c r="Z1746" i="1"/>
  <c r="Y1747" i="1"/>
  <c r="Z1747" i="1"/>
  <c r="Y1748" i="1"/>
  <c r="Z1748" i="1"/>
  <c r="Y1749" i="1"/>
  <c r="Z1749" i="1"/>
  <c r="Y1750" i="1"/>
  <c r="Z1750" i="1"/>
  <c r="Y1751" i="1"/>
  <c r="Z1751" i="1"/>
  <c r="Y1752" i="1"/>
  <c r="Z1752" i="1"/>
  <c r="Y1753" i="1"/>
  <c r="Z1753" i="1"/>
  <c r="Y1754" i="1"/>
  <c r="Z1754" i="1"/>
  <c r="Y1755" i="1"/>
  <c r="Z1755" i="1"/>
  <c r="Y1756" i="1"/>
  <c r="Z1756" i="1"/>
  <c r="Y1757" i="1"/>
  <c r="Z1757" i="1"/>
  <c r="Y1758" i="1"/>
  <c r="Z1758" i="1"/>
  <c r="Y1759" i="1"/>
  <c r="Z1759" i="1"/>
  <c r="Y1760" i="1"/>
  <c r="Z1760" i="1"/>
  <c r="Y1761" i="1"/>
  <c r="Z1761" i="1"/>
  <c r="Y1762" i="1"/>
  <c r="Z1762" i="1"/>
  <c r="Y1763" i="1"/>
  <c r="Z1763" i="1"/>
  <c r="Y1764" i="1"/>
  <c r="Z1764" i="1"/>
  <c r="Y1765" i="1"/>
  <c r="Z1765" i="1"/>
  <c r="Y1766" i="1"/>
  <c r="Z1766" i="1"/>
  <c r="Y1767" i="1"/>
  <c r="Z1767" i="1"/>
  <c r="Y1768" i="1"/>
  <c r="Z1768" i="1"/>
  <c r="Y1769" i="1"/>
  <c r="Z1769" i="1"/>
  <c r="Y1770" i="1"/>
  <c r="Z1770" i="1"/>
  <c r="Y1771" i="1"/>
  <c r="Z1771" i="1"/>
  <c r="Y1772" i="1"/>
  <c r="Z1772" i="1"/>
  <c r="Y1773" i="1"/>
  <c r="Z1773" i="1"/>
  <c r="Y1774" i="1"/>
  <c r="Z1774" i="1"/>
  <c r="Y1775" i="1"/>
  <c r="Z1775" i="1"/>
  <c r="Y1776" i="1"/>
  <c r="Z1776" i="1"/>
  <c r="Y1777" i="1"/>
  <c r="Z1777" i="1"/>
  <c r="Y1778" i="1"/>
  <c r="Z1778" i="1"/>
  <c r="Y1779" i="1"/>
  <c r="Z1779" i="1"/>
  <c r="Y1780" i="1"/>
  <c r="Z1780" i="1"/>
  <c r="Y1781" i="1"/>
  <c r="Z1781" i="1"/>
  <c r="Y1782" i="1"/>
  <c r="Z1782" i="1"/>
  <c r="Y1783" i="1"/>
  <c r="Z1783" i="1"/>
  <c r="Y1784" i="1"/>
  <c r="Z1784" i="1"/>
  <c r="Y1785" i="1"/>
  <c r="Z1785" i="1"/>
  <c r="Y1786" i="1"/>
  <c r="Z1786" i="1"/>
  <c r="Y1787" i="1"/>
  <c r="Z1787" i="1"/>
  <c r="Y1788" i="1"/>
  <c r="Z1788" i="1"/>
  <c r="Y1789" i="1"/>
  <c r="Z1789" i="1"/>
  <c r="Y1790" i="1"/>
  <c r="Z1790" i="1"/>
  <c r="Y1791" i="1"/>
  <c r="Z1791" i="1"/>
  <c r="Y1792" i="1"/>
  <c r="Z1792" i="1"/>
  <c r="Y1793" i="1"/>
  <c r="Z1793" i="1"/>
  <c r="Y1794" i="1"/>
  <c r="Z1794" i="1"/>
  <c r="Y1795" i="1"/>
  <c r="Z1795" i="1"/>
  <c r="Y1796" i="1"/>
  <c r="Z1796" i="1"/>
  <c r="Y1797" i="1"/>
  <c r="Z1797" i="1"/>
  <c r="Y1798" i="1"/>
  <c r="Z1798" i="1"/>
  <c r="Y1799" i="1"/>
  <c r="Z1799" i="1"/>
  <c r="Y1800" i="1"/>
  <c r="Z1800" i="1"/>
  <c r="Y1801" i="1"/>
  <c r="Z1801" i="1"/>
  <c r="Y1802" i="1"/>
  <c r="Z1802" i="1"/>
  <c r="Y1803" i="1"/>
  <c r="Z1803" i="1"/>
  <c r="Y1804" i="1"/>
  <c r="Z1804" i="1"/>
  <c r="Y1805" i="1"/>
  <c r="Z1805" i="1"/>
  <c r="Y1806" i="1"/>
  <c r="Z1806" i="1"/>
  <c r="Y1807" i="1"/>
  <c r="Z1807" i="1"/>
  <c r="Y1808" i="1"/>
  <c r="Z1808" i="1"/>
  <c r="Y1809" i="1"/>
  <c r="Z1809" i="1"/>
  <c r="Y1810" i="1"/>
  <c r="Z1810" i="1"/>
  <c r="Y1811" i="1"/>
  <c r="Z1811" i="1"/>
  <c r="Y1812" i="1"/>
  <c r="Z1812" i="1"/>
  <c r="Y1813" i="1"/>
  <c r="Z1813" i="1"/>
  <c r="Y1814" i="1"/>
  <c r="Z1814" i="1"/>
  <c r="Y1815" i="1"/>
  <c r="Z1815" i="1"/>
  <c r="Y1816" i="1"/>
  <c r="Z1816" i="1"/>
  <c r="Y1817" i="1"/>
  <c r="Z1817" i="1"/>
  <c r="Y1818" i="1"/>
  <c r="Z1818" i="1"/>
  <c r="Y1819" i="1"/>
  <c r="Z1819" i="1"/>
  <c r="Y1820" i="1"/>
  <c r="Z1820" i="1"/>
  <c r="Y1821" i="1"/>
  <c r="Z1821" i="1"/>
  <c r="Y1822" i="1"/>
  <c r="Z1822" i="1"/>
  <c r="Y1823" i="1"/>
  <c r="Z1823" i="1"/>
  <c r="Y1824" i="1"/>
  <c r="Z1824" i="1"/>
  <c r="Y1825" i="1"/>
  <c r="Z1825" i="1"/>
  <c r="Y1826" i="1"/>
  <c r="Z1826" i="1"/>
  <c r="Y1827" i="1"/>
  <c r="Z1827" i="1"/>
  <c r="Y1828" i="1"/>
  <c r="Z1828" i="1"/>
  <c r="Y1829" i="1"/>
  <c r="Z1829" i="1"/>
  <c r="Y1830" i="1"/>
  <c r="Z1830" i="1"/>
  <c r="Y1831" i="1"/>
  <c r="Z1831" i="1"/>
  <c r="Y1832" i="1"/>
  <c r="Z1832" i="1"/>
  <c r="Y1833" i="1"/>
  <c r="Z1833" i="1"/>
  <c r="Y1834" i="1"/>
  <c r="Z1834" i="1"/>
  <c r="Y1835" i="1"/>
  <c r="Z1835" i="1"/>
  <c r="Y1836" i="1"/>
  <c r="Z1836" i="1"/>
  <c r="Y1837" i="1"/>
  <c r="Z1837" i="1"/>
  <c r="Y1838" i="1"/>
  <c r="Z1838" i="1"/>
  <c r="Y1839" i="1"/>
  <c r="Z1839" i="1"/>
  <c r="Y1840" i="1"/>
  <c r="Z1840" i="1"/>
  <c r="Y1841" i="1"/>
  <c r="Z1841" i="1"/>
  <c r="Y1842" i="1"/>
  <c r="Z1842" i="1"/>
  <c r="Y1843" i="1"/>
  <c r="Z1843" i="1"/>
  <c r="Y1844" i="1"/>
  <c r="Z1844" i="1"/>
  <c r="Y1845" i="1"/>
  <c r="Z1845" i="1"/>
  <c r="Y1846" i="1"/>
  <c r="Z1846" i="1"/>
  <c r="Y1847" i="1"/>
  <c r="Z1847" i="1"/>
  <c r="Y1848" i="1"/>
  <c r="Z1848" i="1"/>
  <c r="Y1849" i="1"/>
  <c r="Z1849" i="1"/>
  <c r="Y1850" i="1"/>
  <c r="Z1850" i="1"/>
  <c r="Y1851" i="1"/>
  <c r="Z1851" i="1"/>
  <c r="Y1852" i="1"/>
  <c r="Z1852" i="1"/>
  <c r="Y1853" i="1"/>
  <c r="Z1853" i="1"/>
  <c r="Y1854" i="1"/>
  <c r="Z1854" i="1"/>
  <c r="Y1855" i="1"/>
  <c r="Z1855" i="1"/>
  <c r="Y1856" i="1"/>
  <c r="Z1856" i="1"/>
  <c r="Y1857" i="1"/>
  <c r="Z1857" i="1"/>
  <c r="Y1858" i="1"/>
  <c r="Z1858" i="1"/>
  <c r="Y1859" i="1"/>
  <c r="Z1859" i="1"/>
  <c r="Y1860" i="1"/>
  <c r="Z1860" i="1"/>
  <c r="Y1861" i="1"/>
  <c r="Z1861" i="1"/>
  <c r="Y1862" i="1"/>
  <c r="Z1862" i="1"/>
  <c r="Y1863" i="1"/>
  <c r="Z1863" i="1"/>
  <c r="Y1864" i="1"/>
  <c r="Z1864" i="1"/>
  <c r="Y1865" i="1"/>
  <c r="Z1865" i="1"/>
  <c r="Y1866" i="1"/>
  <c r="Z1866" i="1"/>
  <c r="Y1867" i="1"/>
  <c r="Z1867" i="1"/>
  <c r="Y1868" i="1"/>
  <c r="Z1868" i="1"/>
  <c r="Y1869" i="1"/>
  <c r="Z1869" i="1"/>
  <c r="Y1870" i="1"/>
  <c r="Z1870" i="1"/>
  <c r="Y1871" i="1"/>
  <c r="Z1871" i="1"/>
  <c r="Y1872" i="1"/>
  <c r="Z1872" i="1"/>
  <c r="Y1873" i="1"/>
  <c r="Z1873" i="1"/>
  <c r="Y1874" i="1"/>
  <c r="Z1874" i="1"/>
  <c r="Y1875" i="1"/>
  <c r="Z1875" i="1"/>
  <c r="Y1876" i="1"/>
  <c r="Z1876" i="1"/>
  <c r="Y1877" i="1"/>
  <c r="Z1877" i="1"/>
  <c r="Y1878" i="1"/>
  <c r="Z1878" i="1"/>
  <c r="Y1879" i="1"/>
  <c r="Z1879" i="1"/>
  <c r="Y1880" i="1"/>
  <c r="Z1880" i="1"/>
  <c r="Y1881" i="1"/>
  <c r="Z1881" i="1"/>
  <c r="Y1882" i="1"/>
  <c r="Z1882" i="1"/>
  <c r="Y1883" i="1"/>
  <c r="Z1883" i="1"/>
  <c r="Y1884" i="1"/>
  <c r="Z1884" i="1"/>
  <c r="Y1885" i="1"/>
  <c r="Z1885" i="1"/>
  <c r="Y1886" i="1"/>
  <c r="Z1886" i="1"/>
  <c r="Y1887" i="1"/>
  <c r="Z1887" i="1"/>
  <c r="Y1888" i="1"/>
  <c r="Z1888" i="1"/>
  <c r="Y1889" i="1"/>
  <c r="Z1889" i="1"/>
  <c r="Y1890" i="1"/>
  <c r="Z1890" i="1"/>
  <c r="Y1891" i="1"/>
  <c r="Z1891" i="1"/>
  <c r="Y1892" i="1"/>
  <c r="Z1892" i="1"/>
  <c r="Y1893" i="1"/>
  <c r="Z1893" i="1"/>
  <c r="Y1894" i="1"/>
  <c r="Z1894" i="1"/>
  <c r="Y1895" i="1"/>
  <c r="Z1895" i="1"/>
  <c r="Y1896" i="1"/>
  <c r="Z1896" i="1"/>
  <c r="Y1897" i="1"/>
  <c r="Z1897" i="1"/>
  <c r="Y1898" i="1"/>
  <c r="Z1898" i="1"/>
  <c r="Y1899" i="1"/>
  <c r="Z1899" i="1"/>
  <c r="Y1900" i="1"/>
  <c r="Z1900" i="1"/>
  <c r="Y1901" i="1"/>
  <c r="Z1901" i="1"/>
  <c r="Y1902" i="1"/>
  <c r="Z1902" i="1"/>
  <c r="Y1903" i="1"/>
  <c r="Z1903" i="1"/>
  <c r="Y1904" i="1"/>
  <c r="Z1904" i="1"/>
  <c r="Y1905" i="1"/>
  <c r="Z1905" i="1"/>
  <c r="Y1906" i="1"/>
  <c r="Z1906" i="1"/>
  <c r="Y1907" i="1"/>
  <c r="Z1907" i="1"/>
  <c r="Y1908" i="1"/>
  <c r="Z1908" i="1"/>
  <c r="Y1909" i="1"/>
  <c r="Z1909" i="1"/>
  <c r="Y1910" i="1"/>
  <c r="Z1910" i="1"/>
  <c r="Y1911" i="1"/>
  <c r="Z1911" i="1"/>
  <c r="Y1912" i="1"/>
  <c r="Z1912" i="1"/>
  <c r="Y1913" i="1"/>
  <c r="Z1913" i="1"/>
  <c r="Y1914" i="1"/>
  <c r="Z1914" i="1"/>
  <c r="Y1915" i="1"/>
  <c r="Z1915" i="1"/>
  <c r="Y1916" i="1"/>
  <c r="Z1916" i="1"/>
  <c r="Y1917" i="1"/>
  <c r="Z1917" i="1"/>
  <c r="Y1918" i="1"/>
  <c r="Z1918" i="1"/>
  <c r="Y1919" i="1"/>
  <c r="Z1919" i="1"/>
  <c r="Y1920" i="1"/>
  <c r="Z1920" i="1"/>
  <c r="Y1921" i="1"/>
  <c r="Z1921" i="1"/>
  <c r="Y1922" i="1"/>
  <c r="Z1922" i="1"/>
  <c r="Y1923" i="1"/>
  <c r="Z1923" i="1"/>
  <c r="Y1924" i="1"/>
  <c r="Z1924" i="1"/>
  <c r="Y1925" i="1"/>
  <c r="Z1925" i="1"/>
  <c r="Y1926" i="1"/>
  <c r="Z1926" i="1"/>
  <c r="Y1927" i="1"/>
  <c r="Z1927" i="1"/>
  <c r="Y1928" i="1"/>
  <c r="Z1928" i="1"/>
  <c r="Y1929" i="1"/>
  <c r="Z1929" i="1"/>
  <c r="Y1930" i="1"/>
  <c r="Z1930" i="1"/>
  <c r="Y1931" i="1"/>
  <c r="Z1931" i="1"/>
  <c r="Y1932" i="1"/>
  <c r="Z1932" i="1"/>
  <c r="Y1933" i="1"/>
  <c r="Z1933" i="1"/>
  <c r="Y1934" i="1"/>
  <c r="Z1934" i="1"/>
  <c r="Y1935" i="1"/>
  <c r="Z1935" i="1"/>
  <c r="Y1936" i="1"/>
  <c r="Z1936" i="1"/>
  <c r="Y1937" i="1"/>
  <c r="Z1937" i="1"/>
  <c r="Y1938" i="1"/>
  <c r="Z1938" i="1"/>
  <c r="Y1939" i="1"/>
  <c r="Z1939" i="1"/>
  <c r="Y1940" i="1"/>
  <c r="Z1940" i="1"/>
  <c r="Y1941" i="1"/>
  <c r="Z1941" i="1"/>
  <c r="Y1942" i="1"/>
  <c r="Z1942" i="1"/>
  <c r="Y1943" i="1"/>
  <c r="Z1943" i="1"/>
  <c r="Y1944" i="1"/>
  <c r="Z1944" i="1"/>
  <c r="Y1945" i="1"/>
  <c r="Z1945" i="1"/>
  <c r="Y1946" i="1"/>
  <c r="Z1946" i="1"/>
  <c r="Y1947" i="1"/>
  <c r="Z1947" i="1"/>
  <c r="Y1948" i="1"/>
  <c r="Z1948" i="1"/>
  <c r="Y1949" i="1"/>
  <c r="Z1949" i="1"/>
  <c r="Y1950" i="1"/>
  <c r="Z1950" i="1"/>
  <c r="Y1951" i="1"/>
  <c r="Z1951" i="1"/>
  <c r="Y1952" i="1"/>
  <c r="Z1952" i="1"/>
  <c r="Y1953" i="1"/>
  <c r="Z1953" i="1"/>
  <c r="Y1954" i="1"/>
  <c r="Z1954" i="1"/>
  <c r="Y1955" i="1"/>
  <c r="Z1955" i="1"/>
  <c r="Y1956" i="1"/>
  <c r="Z1956" i="1"/>
  <c r="Y1957" i="1"/>
  <c r="Z1957" i="1"/>
  <c r="Y1958" i="1"/>
  <c r="Z1958" i="1"/>
  <c r="Y1959" i="1"/>
  <c r="Z1959" i="1"/>
  <c r="Y1960" i="1"/>
  <c r="Z1960" i="1"/>
  <c r="Y1961" i="1"/>
  <c r="Z1961" i="1"/>
  <c r="Y1962" i="1"/>
  <c r="Z1962" i="1"/>
  <c r="Y1963" i="1"/>
  <c r="Z1963" i="1"/>
  <c r="Y1964" i="1"/>
  <c r="Z1964" i="1"/>
  <c r="Y1965" i="1"/>
  <c r="Z1965" i="1"/>
  <c r="Y1966" i="1"/>
  <c r="Z1966" i="1"/>
  <c r="Y1967" i="1"/>
  <c r="Z1967" i="1"/>
  <c r="Y1968" i="1"/>
  <c r="Z1968" i="1"/>
  <c r="Y1969" i="1"/>
  <c r="Z1969" i="1"/>
  <c r="Y1970" i="1"/>
  <c r="Z1970" i="1"/>
  <c r="Y1971" i="1"/>
  <c r="Z1971" i="1"/>
  <c r="Y1972" i="1"/>
  <c r="Z1972" i="1"/>
  <c r="Y1973" i="1"/>
  <c r="Z1973" i="1"/>
  <c r="Y1974" i="1"/>
  <c r="Z1974" i="1"/>
  <c r="Y1975" i="1"/>
  <c r="Z1975" i="1"/>
  <c r="Y1976" i="1"/>
  <c r="Z1976" i="1"/>
  <c r="Y1977" i="1"/>
  <c r="Z1977" i="1"/>
  <c r="Y1978" i="1"/>
  <c r="Z1978" i="1"/>
  <c r="Y1979" i="1"/>
  <c r="Z1979" i="1"/>
  <c r="Y1980" i="1"/>
  <c r="Z1980" i="1"/>
  <c r="Y1981" i="1"/>
  <c r="Z1981" i="1"/>
  <c r="Y1982" i="1"/>
  <c r="Z1982" i="1"/>
  <c r="Y1983" i="1"/>
  <c r="Z1983" i="1"/>
  <c r="Y1984" i="1"/>
  <c r="Z1984" i="1"/>
  <c r="Y1985" i="1"/>
  <c r="Z1985" i="1"/>
  <c r="Y1986" i="1"/>
  <c r="Z1986" i="1"/>
  <c r="Y1987" i="1"/>
  <c r="Z1987" i="1"/>
  <c r="Y1988" i="1"/>
  <c r="Z1988" i="1"/>
  <c r="Y1989" i="1"/>
  <c r="Z1989" i="1"/>
  <c r="Y1990" i="1"/>
  <c r="Z1990" i="1"/>
  <c r="Y1991" i="1"/>
  <c r="Z1991" i="1"/>
  <c r="Y1992" i="1"/>
  <c r="Z1992" i="1"/>
  <c r="Y1993" i="1"/>
  <c r="Z1993" i="1"/>
  <c r="Y1994" i="1"/>
  <c r="Z1994" i="1"/>
  <c r="Y1995" i="1"/>
  <c r="Z1995" i="1"/>
  <c r="Y1996" i="1"/>
  <c r="Z1996" i="1"/>
  <c r="Y1997" i="1"/>
  <c r="Z1997" i="1"/>
  <c r="Y1998" i="1"/>
  <c r="Z1998" i="1"/>
  <c r="Y1999" i="1"/>
  <c r="Z1999" i="1"/>
  <c r="Y2000" i="1"/>
  <c r="Z2000" i="1"/>
  <c r="Y2001" i="1"/>
  <c r="Z2001" i="1"/>
  <c r="Y2002" i="1"/>
  <c r="Z2002" i="1"/>
  <c r="Y2003" i="1"/>
  <c r="Z2003" i="1"/>
  <c r="Y2004" i="1"/>
  <c r="Z2004" i="1"/>
  <c r="Y2005" i="1"/>
  <c r="Z2005" i="1"/>
  <c r="Y2006" i="1"/>
  <c r="Z2006" i="1"/>
  <c r="Y2007" i="1"/>
  <c r="Z2007" i="1"/>
  <c r="Y2008" i="1"/>
  <c r="Z2008" i="1"/>
  <c r="Y2009" i="1"/>
  <c r="Z2009" i="1"/>
  <c r="Y2010" i="1"/>
  <c r="Z2010" i="1"/>
  <c r="Y2011" i="1"/>
  <c r="Z2011" i="1"/>
  <c r="Y2012" i="1"/>
  <c r="Z2012" i="1"/>
  <c r="Y2013" i="1"/>
  <c r="Z2013" i="1"/>
  <c r="Y2014" i="1"/>
  <c r="Z2014" i="1"/>
  <c r="Y2015" i="1"/>
  <c r="Z2015" i="1"/>
  <c r="Y2016" i="1"/>
  <c r="Z2016" i="1"/>
  <c r="Y2017" i="1"/>
  <c r="Z2017" i="1"/>
  <c r="Y2018" i="1"/>
  <c r="Z2018" i="1"/>
  <c r="Y2019" i="1"/>
  <c r="Z2019" i="1"/>
  <c r="Y2020" i="1"/>
  <c r="Z2020" i="1"/>
  <c r="Y2021" i="1"/>
  <c r="Z2021" i="1"/>
  <c r="Y2022" i="1"/>
  <c r="Z2022" i="1"/>
  <c r="Y2023" i="1"/>
  <c r="Z2023" i="1"/>
  <c r="Y2024" i="1"/>
  <c r="Z2024" i="1"/>
  <c r="Y2025" i="1"/>
  <c r="Z2025" i="1"/>
  <c r="Y2026" i="1"/>
  <c r="Z2026" i="1"/>
  <c r="Y2027" i="1"/>
  <c r="Z2027" i="1"/>
  <c r="Y2028" i="1"/>
  <c r="Z2028" i="1"/>
  <c r="Y2029" i="1"/>
  <c r="Z2029" i="1"/>
  <c r="Y2030" i="1"/>
  <c r="Z2030" i="1"/>
  <c r="Y2031" i="1"/>
  <c r="Z2031" i="1"/>
  <c r="Y2032" i="1"/>
  <c r="Z2032" i="1"/>
  <c r="Y2033" i="1"/>
  <c r="Z2033" i="1"/>
  <c r="Y2034" i="1"/>
  <c r="Z2034" i="1"/>
  <c r="Y2035" i="1"/>
  <c r="Z2035" i="1"/>
  <c r="Y2036" i="1"/>
  <c r="Z2036" i="1"/>
  <c r="Y2037" i="1"/>
  <c r="Z2037" i="1"/>
  <c r="Y2038" i="1"/>
  <c r="Z2038" i="1"/>
  <c r="Y2039" i="1"/>
  <c r="Z2039" i="1"/>
  <c r="Y2040" i="1"/>
  <c r="Z2040" i="1"/>
  <c r="Y2041" i="1"/>
  <c r="Z2041" i="1"/>
  <c r="Y2042" i="1"/>
  <c r="Z2042" i="1"/>
  <c r="Y2043" i="1"/>
  <c r="Z2043" i="1"/>
  <c r="Y2044" i="1"/>
  <c r="Z2044" i="1"/>
  <c r="Y2045" i="1"/>
  <c r="Z2045" i="1"/>
  <c r="Y2046" i="1"/>
  <c r="Z2046" i="1"/>
  <c r="Y2047" i="1"/>
  <c r="Z2047" i="1"/>
  <c r="Y2048" i="1"/>
  <c r="Z2048" i="1"/>
  <c r="Y2049" i="1"/>
  <c r="Z2049" i="1"/>
  <c r="Y2050" i="1"/>
  <c r="Z2050" i="1"/>
  <c r="Y2051" i="1"/>
  <c r="Z2051" i="1"/>
  <c r="Y2052" i="1"/>
  <c r="Z2052" i="1"/>
  <c r="Y2053" i="1"/>
  <c r="Z2053" i="1"/>
  <c r="Y2054" i="1"/>
  <c r="Z2054" i="1"/>
  <c r="Y2055" i="1"/>
  <c r="Z2055" i="1"/>
  <c r="Y2056" i="1"/>
  <c r="Z2056" i="1"/>
  <c r="Y2057" i="1"/>
  <c r="Z2057" i="1"/>
  <c r="Y2058" i="1"/>
  <c r="Z2058" i="1"/>
  <c r="Y2059" i="1"/>
  <c r="Z2059" i="1"/>
  <c r="Y2060" i="1"/>
  <c r="Z2060" i="1"/>
  <c r="Y2061" i="1"/>
  <c r="Z2061" i="1"/>
  <c r="Y2062" i="1"/>
  <c r="Z2062" i="1"/>
  <c r="Y2063" i="1"/>
  <c r="Z2063" i="1"/>
  <c r="Y2064" i="1"/>
  <c r="Z2064" i="1"/>
  <c r="Y2065" i="1"/>
  <c r="Z2065" i="1"/>
  <c r="Y2066" i="1"/>
  <c r="Z2066" i="1"/>
  <c r="Y2067" i="1"/>
  <c r="Z2067" i="1"/>
  <c r="Y2068" i="1"/>
  <c r="Z2068" i="1"/>
  <c r="Y2069" i="1"/>
  <c r="Z2069" i="1"/>
  <c r="Y2070" i="1"/>
  <c r="Z2070" i="1"/>
  <c r="Y2071" i="1"/>
  <c r="Z2071" i="1"/>
  <c r="Y2072" i="1"/>
  <c r="Z2072" i="1"/>
  <c r="Y2073" i="1"/>
  <c r="Z2073" i="1"/>
  <c r="Y2074" i="1"/>
  <c r="Z2074" i="1"/>
  <c r="Y2075" i="1"/>
  <c r="Z2075" i="1"/>
  <c r="Y2076" i="1"/>
  <c r="Z2076" i="1"/>
  <c r="Y2077" i="1"/>
  <c r="Z2077" i="1"/>
  <c r="Y2078" i="1"/>
  <c r="Z2078" i="1"/>
  <c r="Y2079" i="1"/>
  <c r="Z2079" i="1"/>
  <c r="Y2080" i="1"/>
  <c r="Z2080" i="1"/>
  <c r="Y2081" i="1"/>
  <c r="Z2081" i="1"/>
  <c r="Y2082" i="1"/>
  <c r="Z2082" i="1"/>
  <c r="Y2083" i="1"/>
  <c r="Z2083" i="1"/>
  <c r="Y2084" i="1"/>
  <c r="Z2084" i="1"/>
  <c r="Y2085" i="1"/>
  <c r="Z2085" i="1"/>
  <c r="Y2086" i="1"/>
  <c r="Z2086" i="1"/>
  <c r="Y2087" i="1"/>
  <c r="Z2087" i="1"/>
  <c r="Y2088" i="1"/>
  <c r="Z2088" i="1"/>
  <c r="Y2089" i="1"/>
  <c r="Z2089" i="1"/>
  <c r="Y2090" i="1"/>
  <c r="Z2090" i="1"/>
  <c r="Y2091" i="1"/>
  <c r="Z2091" i="1"/>
  <c r="Y2092" i="1"/>
  <c r="Z2092" i="1"/>
  <c r="Y2093" i="1"/>
  <c r="Z2093" i="1"/>
  <c r="Y2094" i="1"/>
  <c r="Z2094" i="1"/>
  <c r="Y2095" i="1"/>
  <c r="Z2095" i="1"/>
  <c r="Y2096" i="1"/>
  <c r="Z2096" i="1"/>
  <c r="Y2097" i="1"/>
  <c r="Z2097" i="1"/>
  <c r="Y2098" i="1"/>
  <c r="Z2098" i="1"/>
  <c r="Y2099" i="1"/>
  <c r="Z2099" i="1"/>
  <c r="Y2100" i="1"/>
  <c r="Z2100" i="1"/>
  <c r="Y2101" i="1"/>
  <c r="Z2101" i="1"/>
  <c r="Y2102" i="1"/>
  <c r="Z2102" i="1"/>
  <c r="Y2103" i="1"/>
  <c r="Z2103" i="1"/>
  <c r="Y2104" i="1"/>
  <c r="Z2104" i="1"/>
  <c r="Y2105" i="1"/>
  <c r="Z2105" i="1"/>
  <c r="Y2106" i="1"/>
  <c r="Z2106" i="1"/>
  <c r="Y2107" i="1"/>
  <c r="Z2107" i="1"/>
  <c r="Y2108" i="1"/>
  <c r="Z2108" i="1"/>
  <c r="Y2109" i="1"/>
  <c r="Z2109" i="1"/>
  <c r="Y2110" i="1"/>
  <c r="Z2110" i="1"/>
  <c r="Y2111" i="1"/>
  <c r="Z2111" i="1"/>
  <c r="Y2112" i="1"/>
  <c r="Z2112" i="1"/>
  <c r="Y2113" i="1"/>
  <c r="Z2113" i="1"/>
  <c r="Y2114" i="1"/>
  <c r="Z2114" i="1"/>
  <c r="Y2115" i="1"/>
  <c r="Z2115" i="1"/>
  <c r="Y2116" i="1"/>
  <c r="Z2116" i="1"/>
  <c r="Y2117" i="1"/>
  <c r="Z2117" i="1"/>
  <c r="Y2118" i="1"/>
  <c r="Z2118" i="1"/>
  <c r="Y2119" i="1"/>
  <c r="Z2119" i="1"/>
  <c r="Y2120" i="1"/>
  <c r="Z2120" i="1"/>
  <c r="Y2121" i="1"/>
  <c r="Z2121" i="1"/>
  <c r="Y2122" i="1"/>
  <c r="Z2122" i="1"/>
  <c r="Y2123" i="1"/>
  <c r="Z2123" i="1"/>
  <c r="Y2124" i="1"/>
  <c r="Z2124" i="1"/>
  <c r="Y2125" i="1"/>
  <c r="Z2125" i="1"/>
  <c r="Y2126" i="1"/>
  <c r="Z2126" i="1"/>
  <c r="Y2127" i="1"/>
  <c r="Z2127" i="1"/>
  <c r="Y2128" i="1"/>
  <c r="Z2128" i="1"/>
  <c r="Y2129" i="1"/>
  <c r="Z2129" i="1"/>
  <c r="Y2130" i="1"/>
  <c r="Z2130" i="1"/>
  <c r="Y2131" i="1"/>
  <c r="Z2131" i="1"/>
  <c r="Y2132" i="1"/>
  <c r="Z2132" i="1"/>
  <c r="Y2133" i="1"/>
  <c r="Z2133" i="1"/>
  <c r="Y2134" i="1"/>
  <c r="Z2134" i="1"/>
  <c r="Y2135" i="1"/>
  <c r="Z2135" i="1"/>
  <c r="Y2136" i="1"/>
  <c r="Z2136" i="1"/>
  <c r="Y2137" i="1"/>
  <c r="Z2137" i="1"/>
  <c r="Y2138" i="1"/>
  <c r="Z2138" i="1"/>
  <c r="Y2139" i="1"/>
  <c r="Z2139" i="1"/>
  <c r="Y2140" i="1"/>
  <c r="Z2140" i="1"/>
  <c r="Y2141" i="1"/>
  <c r="Z2141" i="1"/>
  <c r="Y2142" i="1"/>
  <c r="Z2142" i="1"/>
  <c r="Y2143" i="1"/>
  <c r="Z2143" i="1"/>
  <c r="Y2144" i="1"/>
  <c r="Z2144" i="1"/>
  <c r="Y2145" i="1"/>
  <c r="Z2145" i="1"/>
  <c r="Y2146" i="1"/>
  <c r="Z2146" i="1"/>
  <c r="Y2147" i="1"/>
  <c r="Z2147" i="1"/>
  <c r="Y2148" i="1"/>
  <c r="Z2148" i="1"/>
  <c r="Y2149" i="1"/>
  <c r="Z2149" i="1"/>
  <c r="Y2150" i="1"/>
  <c r="Z2150" i="1"/>
  <c r="Y2151" i="1"/>
  <c r="Z2151" i="1"/>
  <c r="Y2152" i="1"/>
  <c r="Z2152" i="1"/>
  <c r="Y2153" i="1"/>
  <c r="Z2153" i="1"/>
  <c r="Y2154" i="1"/>
  <c r="Z2154" i="1"/>
  <c r="Y2155" i="1"/>
  <c r="Z2155" i="1"/>
  <c r="Y2156" i="1"/>
  <c r="Z2156" i="1"/>
  <c r="Y2157" i="1"/>
  <c r="Z2157" i="1"/>
  <c r="Y2158" i="1"/>
  <c r="Z2158" i="1"/>
  <c r="Y2159" i="1"/>
  <c r="Z2159" i="1"/>
  <c r="Y2160" i="1"/>
  <c r="Z2160" i="1"/>
  <c r="Y2161" i="1"/>
  <c r="Z2161" i="1"/>
  <c r="Y2162" i="1"/>
  <c r="Z2162" i="1"/>
  <c r="Y2163" i="1"/>
  <c r="Z2163" i="1"/>
  <c r="Y2164" i="1"/>
  <c r="Z2164" i="1"/>
  <c r="Y2165" i="1"/>
  <c r="Z2165" i="1"/>
  <c r="Y2166" i="1"/>
  <c r="Z2166" i="1"/>
  <c r="Y2167" i="1"/>
  <c r="Z2167" i="1"/>
  <c r="Y2168" i="1"/>
  <c r="Z2168" i="1"/>
  <c r="Y2169" i="1"/>
  <c r="Z2169" i="1"/>
  <c r="Y2170" i="1"/>
  <c r="Z2170" i="1"/>
  <c r="Y2171" i="1"/>
  <c r="Z2171" i="1"/>
  <c r="Y2172" i="1"/>
  <c r="Z2172" i="1"/>
  <c r="Y2173" i="1"/>
  <c r="Z2173" i="1"/>
  <c r="Y2174" i="1"/>
  <c r="Z2174" i="1"/>
  <c r="Y2175" i="1"/>
  <c r="Z2175" i="1"/>
  <c r="Y2176" i="1"/>
  <c r="Z2176" i="1"/>
  <c r="Y2177" i="1"/>
  <c r="Z2177" i="1"/>
  <c r="Y2178" i="1"/>
  <c r="Z2178" i="1"/>
  <c r="Y2179" i="1"/>
  <c r="Z2179" i="1"/>
  <c r="Y2180" i="1"/>
  <c r="Z2180" i="1"/>
  <c r="Y2181" i="1"/>
  <c r="Z2181" i="1"/>
  <c r="Y2182" i="1"/>
  <c r="Z2182" i="1"/>
  <c r="Y2183" i="1"/>
  <c r="Z2183" i="1"/>
  <c r="Y2184" i="1"/>
  <c r="Z2184" i="1"/>
  <c r="Y2185" i="1"/>
  <c r="Z2185" i="1"/>
  <c r="Y2186" i="1"/>
  <c r="Z2186" i="1"/>
  <c r="Y2187" i="1"/>
  <c r="Z2187" i="1"/>
  <c r="Y2188" i="1"/>
  <c r="Z2188" i="1"/>
  <c r="Y2189" i="1"/>
  <c r="Z2189" i="1"/>
  <c r="Y2190" i="1"/>
  <c r="Z2190" i="1"/>
  <c r="Y2191" i="1"/>
  <c r="Z2191" i="1"/>
  <c r="Y2192" i="1"/>
  <c r="Z2192" i="1"/>
  <c r="Y2193" i="1"/>
  <c r="Z2193" i="1"/>
  <c r="Y2194" i="1"/>
  <c r="Z2194" i="1"/>
  <c r="Y2195" i="1"/>
  <c r="Z2195" i="1"/>
  <c r="Y2196" i="1"/>
  <c r="Z2196" i="1"/>
  <c r="Y2197" i="1"/>
  <c r="Z2197" i="1"/>
  <c r="Y2198" i="1"/>
  <c r="Z2198" i="1"/>
  <c r="Y2199" i="1"/>
  <c r="Z2199" i="1"/>
  <c r="Y2200" i="1"/>
  <c r="Z2200" i="1"/>
  <c r="Y2201" i="1"/>
  <c r="Z2201" i="1"/>
  <c r="Y2202" i="1"/>
  <c r="Z2202" i="1"/>
  <c r="Y2203" i="1"/>
  <c r="Z2203" i="1"/>
  <c r="Y2204" i="1"/>
  <c r="Z2204" i="1"/>
  <c r="Y2205" i="1"/>
  <c r="Z2205" i="1"/>
  <c r="Y2206" i="1"/>
  <c r="Z2206" i="1"/>
  <c r="Y2207" i="1"/>
  <c r="Z2207" i="1"/>
  <c r="Y2208" i="1"/>
  <c r="Z2208" i="1"/>
  <c r="Y2209" i="1"/>
  <c r="Z2209" i="1"/>
  <c r="Y2210" i="1"/>
  <c r="Z2210" i="1"/>
  <c r="Y2211" i="1"/>
  <c r="Z2211" i="1"/>
  <c r="Y2212" i="1"/>
  <c r="Z2212" i="1"/>
  <c r="Y2213" i="1"/>
  <c r="Z2213" i="1"/>
  <c r="Y2214" i="1"/>
  <c r="Z2214" i="1"/>
  <c r="Y2215" i="1"/>
  <c r="Z2215" i="1"/>
  <c r="Y2216" i="1"/>
  <c r="Z2216" i="1"/>
  <c r="Y2217" i="1"/>
  <c r="Z2217" i="1"/>
  <c r="Y2218" i="1"/>
  <c r="Z2218" i="1"/>
  <c r="Y2219" i="1"/>
  <c r="Z2219" i="1"/>
  <c r="Y2220" i="1"/>
  <c r="Z2220" i="1"/>
  <c r="Y2221" i="1"/>
  <c r="Z2221" i="1"/>
  <c r="Y2222" i="1"/>
  <c r="Z2222" i="1"/>
  <c r="Y2223" i="1"/>
  <c r="Z2223" i="1"/>
  <c r="Y2224" i="1"/>
  <c r="Z2224" i="1"/>
  <c r="Y2225" i="1"/>
  <c r="Z2225" i="1"/>
  <c r="Y2226" i="1"/>
  <c r="Z2226" i="1"/>
  <c r="Y2227" i="1"/>
  <c r="Z2227" i="1"/>
  <c r="Y2228" i="1"/>
  <c r="Z2228" i="1"/>
  <c r="Y2229" i="1"/>
  <c r="Z2229" i="1"/>
  <c r="Y2230" i="1"/>
  <c r="Z2230" i="1"/>
  <c r="Y2231" i="1"/>
  <c r="Z2231" i="1"/>
  <c r="Y2232" i="1"/>
  <c r="Z2232" i="1"/>
  <c r="Y2233" i="1"/>
  <c r="Z2233" i="1"/>
  <c r="Y2234" i="1"/>
  <c r="Z2234" i="1"/>
  <c r="Y2235" i="1"/>
  <c r="Z2235" i="1"/>
  <c r="Y2236" i="1"/>
  <c r="Z2236" i="1"/>
  <c r="Y2237" i="1"/>
  <c r="Z2237" i="1"/>
  <c r="Y2238" i="1"/>
  <c r="Z2238" i="1"/>
  <c r="Y2239" i="1"/>
  <c r="Z2239" i="1"/>
  <c r="Y2240" i="1"/>
  <c r="Z2240" i="1"/>
  <c r="Y2241" i="1"/>
  <c r="Z2241" i="1"/>
  <c r="Y2242" i="1"/>
  <c r="Z2242" i="1"/>
  <c r="Y2243" i="1"/>
  <c r="Z2243" i="1"/>
  <c r="Y2244" i="1"/>
  <c r="Z2244" i="1"/>
  <c r="Y2245" i="1"/>
  <c r="Z2245" i="1"/>
  <c r="Y2246" i="1"/>
  <c r="Z2246" i="1"/>
  <c r="Y2247" i="1"/>
  <c r="Z2247" i="1"/>
  <c r="Y2248" i="1"/>
  <c r="Z2248" i="1"/>
  <c r="Y2249" i="1"/>
  <c r="Z2249" i="1"/>
  <c r="Y2250" i="1"/>
  <c r="Z2250" i="1"/>
  <c r="Y2251" i="1"/>
  <c r="Z2251" i="1"/>
  <c r="Y2252" i="1"/>
  <c r="Z2252" i="1"/>
  <c r="Y2253" i="1"/>
  <c r="Z2253" i="1"/>
  <c r="Y2254" i="1"/>
  <c r="Z2254" i="1"/>
  <c r="Y2255" i="1"/>
  <c r="Z2255" i="1"/>
  <c r="Y2256" i="1"/>
  <c r="Z2256" i="1"/>
  <c r="Y2257" i="1"/>
  <c r="Z2257" i="1"/>
  <c r="Y2258" i="1"/>
  <c r="Z2258" i="1"/>
  <c r="Y2259" i="1"/>
  <c r="Z2259" i="1"/>
  <c r="Y2260" i="1"/>
  <c r="Z2260" i="1"/>
  <c r="Y2261" i="1"/>
  <c r="Z2261" i="1"/>
  <c r="Y2262" i="1"/>
  <c r="Z2262" i="1"/>
  <c r="Y2263" i="1"/>
  <c r="Z2263" i="1"/>
  <c r="Y2264" i="1"/>
  <c r="Z2264" i="1"/>
  <c r="Y2265" i="1"/>
  <c r="Z2265" i="1"/>
  <c r="Y2266" i="1"/>
  <c r="Z2266" i="1"/>
  <c r="Y2267" i="1"/>
  <c r="Z2267" i="1"/>
  <c r="Y2268" i="1"/>
  <c r="Z2268" i="1"/>
  <c r="Y2269" i="1"/>
  <c r="Z2269" i="1"/>
  <c r="Y2270" i="1"/>
  <c r="Z2270" i="1"/>
  <c r="Y2271" i="1"/>
  <c r="Z2271" i="1"/>
  <c r="Y2272" i="1"/>
  <c r="Z2272" i="1"/>
  <c r="Y2273" i="1"/>
  <c r="Z2273" i="1"/>
  <c r="Y2274" i="1"/>
  <c r="Z2274" i="1"/>
  <c r="Y2275" i="1"/>
  <c r="Z2275" i="1"/>
  <c r="Y2276" i="1"/>
  <c r="Z2276" i="1"/>
  <c r="Y2277" i="1"/>
  <c r="Z2277" i="1"/>
  <c r="Y2278" i="1"/>
  <c r="Z2278" i="1"/>
  <c r="Y2279" i="1"/>
  <c r="Z2279" i="1"/>
  <c r="Y2280" i="1"/>
  <c r="Z2280" i="1"/>
  <c r="Y2281" i="1"/>
  <c r="Z2281" i="1"/>
  <c r="Y2282" i="1"/>
  <c r="Z2282" i="1"/>
  <c r="Y2283" i="1"/>
  <c r="Z2283" i="1"/>
  <c r="Y2284" i="1"/>
  <c r="Z2284" i="1"/>
  <c r="Y2285" i="1"/>
  <c r="Z2285" i="1"/>
  <c r="Y2286" i="1"/>
  <c r="Z2286" i="1"/>
  <c r="Y2287" i="1"/>
  <c r="Z2287" i="1"/>
  <c r="Y2288" i="1"/>
  <c r="Z2288" i="1"/>
  <c r="Y2289" i="1"/>
  <c r="Z2289" i="1"/>
  <c r="Y2290" i="1"/>
  <c r="Z2290" i="1"/>
  <c r="Y2291" i="1"/>
  <c r="Z2291" i="1"/>
  <c r="Y2292" i="1"/>
  <c r="Z2292" i="1"/>
  <c r="Y2293" i="1"/>
  <c r="Z2293" i="1"/>
  <c r="Y2294" i="1"/>
  <c r="Z2294" i="1"/>
  <c r="Y2295" i="1"/>
  <c r="Z2295" i="1"/>
  <c r="Y2296" i="1"/>
  <c r="Z2296" i="1"/>
  <c r="Y2297" i="1"/>
  <c r="Z2297" i="1"/>
  <c r="Y2298" i="1"/>
  <c r="Z2298" i="1"/>
  <c r="Y2299" i="1"/>
  <c r="Z2299" i="1"/>
  <c r="Y2300" i="1"/>
  <c r="Z2300" i="1"/>
  <c r="Y2301" i="1"/>
  <c r="Z2301" i="1"/>
  <c r="Y2302" i="1"/>
  <c r="Z2302" i="1"/>
  <c r="Y2303" i="1"/>
  <c r="Z2303" i="1"/>
  <c r="Y2304" i="1"/>
  <c r="Z2304" i="1"/>
  <c r="Y2305" i="1"/>
  <c r="Z2305" i="1"/>
  <c r="Y2306" i="1"/>
  <c r="Z2306" i="1"/>
  <c r="Y2307" i="1"/>
  <c r="Z2307" i="1"/>
  <c r="Y2308" i="1"/>
  <c r="Z2308" i="1"/>
  <c r="Y2309" i="1"/>
  <c r="Z2309" i="1"/>
  <c r="Y2310" i="1"/>
  <c r="Z2310" i="1"/>
  <c r="Y2311" i="1"/>
  <c r="Z2311" i="1"/>
  <c r="Y2312" i="1"/>
  <c r="Z2312" i="1"/>
  <c r="Y2313" i="1"/>
  <c r="Z2313" i="1"/>
  <c r="Y2314" i="1"/>
  <c r="Z2314" i="1"/>
  <c r="Y2315" i="1"/>
  <c r="Z2315" i="1"/>
  <c r="Y2316" i="1"/>
  <c r="Z2316" i="1"/>
  <c r="Y2317" i="1"/>
  <c r="Z2317" i="1"/>
  <c r="Y2318" i="1"/>
  <c r="Z2318" i="1"/>
  <c r="Y2319" i="1"/>
  <c r="Z2319" i="1"/>
  <c r="Y2320" i="1"/>
  <c r="Z2320" i="1"/>
  <c r="Y2321" i="1"/>
  <c r="Z2321" i="1"/>
  <c r="Y2322" i="1"/>
  <c r="Z2322" i="1"/>
  <c r="Y2323" i="1"/>
  <c r="Z2323" i="1"/>
  <c r="Y2324" i="1"/>
  <c r="Z2324" i="1"/>
  <c r="Y2325" i="1"/>
  <c r="Z2325" i="1"/>
  <c r="Y2326" i="1"/>
  <c r="Z2326" i="1"/>
  <c r="Y2327" i="1"/>
  <c r="Z2327" i="1"/>
  <c r="Y2328" i="1"/>
  <c r="Z2328" i="1"/>
  <c r="Y2329" i="1"/>
  <c r="Z2329" i="1"/>
  <c r="Y2330" i="1"/>
  <c r="Z2330" i="1"/>
  <c r="Y2331" i="1"/>
  <c r="Z2331" i="1"/>
  <c r="Y2332" i="1"/>
  <c r="Z2332" i="1"/>
  <c r="Y2333" i="1"/>
  <c r="Z2333" i="1"/>
  <c r="Y2334" i="1"/>
  <c r="Z2334" i="1"/>
  <c r="Y2335" i="1"/>
  <c r="Z2335" i="1"/>
  <c r="Y2336" i="1"/>
  <c r="Z2336" i="1"/>
  <c r="Y2337" i="1"/>
  <c r="Z2337" i="1"/>
  <c r="Y2338" i="1"/>
  <c r="Z2338" i="1"/>
  <c r="Y2339" i="1"/>
  <c r="Z2339" i="1"/>
  <c r="Y2340" i="1"/>
  <c r="Z2340" i="1"/>
  <c r="Y2341" i="1"/>
  <c r="Z2341" i="1"/>
  <c r="Y2342" i="1"/>
  <c r="Z2342" i="1"/>
  <c r="Y2343" i="1"/>
  <c r="Z2343" i="1"/>
  <c r="Y2344" i="1"/>
  <c r="Z2344" i="1"/>
  <c r="Y2345" i="1"/>
  <c r="Z2345" i="1"/>
  <c r="Y2346" i="1"/>
  <c r="Z2346" i="1"/>
  <c r="Y2347" i="1"/>
  <c r="Z2347" i="1"/>
  <c r="Y2348" i="1"/>
  <c r="Z2348" i="1"/>
  <c r="Y2349" i="1"/>
  <c r="Z2349" i="1"/>
  <c r="Y2350" i="1"/>
  <c r="Z2350" i="1"/>
  <c r="Y2351" i="1"/>
  <c r="Z2351" i="1"/>
  <c r="Y2352" i="1"/>
  <c r="Z2352" i="1"/>
  <c r="Y2353" i="1"/>
  <c r="Z2353" i="1"/>
  <c r="Y2354" i="1"/>
  <c r="Z2354" i="1"/>
  <c r="Y2355" i="1"/>
  <c r="Z2355" i="1"/>
  <c r="Y2356" i="1"/>
  <c r="Z2356" i="1"/>
  <c r="Y2357" i="1"/>
  <c r="Z2357" i="1"/>
  <c r="Y2358" i="1"/>
  <c r="Z2358" i="1"/>
  <c r="Y2359" i="1"/>
  <c r="Z2359" i="1"/>
  <c r="Y2360" i="1"/>
  <c r="Z2360" i="1"/>
  <c r="Y2361" i="1"/>
  <c r="Z2361" i="1"/>
  <c r="Y2362" i="1"/>
  <c r="Z2362" i="1"/>
  <c r="Y2363" i="1"/>
  <c r="Z2363" i="1"/>
  <c r="Y2364" i="1"/>
  <c r="Z2364" i="1"/>
  <c r="Y2365" i="1"/>
  <c r="Z2365" i="1"/>
  <c r="Y2366" i="1"/>
  <c r="Z2366" i="1"/>
  <c r="Y2367" i="1"/>
  <c r="Z2367" i="1"/>
  <c r="Y2368" i="1"/>
  <c r="Z2368" i="1"/>
  <c r="Y2369" i="1"/>
  <c r="Z2369" i="1"/>
  <c r="Y2370" i="1"/>
  <c r="Z2370" i="1"/>
  <c r="Y2371" i="1"/>
  <c r="Z2371" i="1"/>
  <c r="Y2372" i="1"/>
  <c r="Z2372" i="1"/>
  <c r="Y2373" i="1"/>
  <c r="Z2373" i="1"/>
  <c r="Y2374" i="1"/>
  <c r="Z2374" i="1"/>
  <c r="Y2375" i="1"/>
  <c r="Z2375" i="1"/>
  <c r="Y2376" i="1"/>
  <c r="Z2376" i="1"/>
  <c r="Y2377" i="1"/>
  <c r="Z2377" i="1"/>
  <c r="Y2378" i="1"/>
  <c r="Z2378" i="1"/>
  <c r="Y2379" i="1"/>
  <c r="Z2379" i="1"/>
  <c r="Y2380" i="1"/>
  <c r="Z2380" i="1"/>
  <c r="Y2381" i="1"/>
  <c r="Z2381" i="1"/>
  <c r="Y2382" i="1"/>
  <c r="Z2382" i="1"/>
  <c r="Y2383" i="1"/>
  <c r="Z2383" i="1"/>
  <c r="Y2384" i="1"/>
  <c r="Z2384" i="1"/>
  <c r="Y2385" i="1"/>
  <c r="Z2385" i="1"/>
  <c r="Y2386" i="1"/>
  <c r="Z2386" i="1"/>
  <c r="Y2387" i="1"/>
  <c r="Z2387" i="1"/>
  <c r="Y2388" i="1"/>
  <c r="Z2388" i="1"/>
  <c r="Y2389" i="1"/>
  <c r="Z2389" i="1"/>
  <c r="Y2390" i="1"/>
  <c r="Z2390" i="1"/>
  <c r="Y2391" i="1"/>
  <c r="Z2391" i="1"/>
  <c r="Y2392" i="1"/>
  <c r="Z2392" i="1"/>
  <c r="Y2393" i="1"/>
  <c r="Z2393" i="1"/>
  <c r="Y2394" i="1"/>
  <c r="Z2394" i="1"/>
  <c r="Y2395" i="1"/>
  <c r="Z2395" i="1"/>
  <c r="Y2396" i="1"/>
  <c r="Z2396" i="1"/>
  <c r="Y2397" i="1"/>
  <c r="Z2397" i="1"/>
  <c r="Y2398" i="1"/>
  <c r="Z2398" i="1"/>
  <c r="Y2399" i="1"/>
  <c r="Z2399" i="1"/>
  <c r="Y2400" i="1"/>
  <c r="Z2400" i="1"/>
  <c r="Y2401" i="1"/>
  <c r="Z2401" i="1"/>
  <c r="Y2402" i="1"/>
  <c r="Z2402" i="1"/>
  <c r="Y2403" i="1"/>
  <c r="Z2403" i="1"/>
  <c r="Y2404" i="1"/>
  <c r="Z2404" i="1"/>
  <c r="Y2405" i="1"/>
  <c r="Z2405" i="1"/>
  <c r="Y2406" i="1"/>
  <c r="Z2406" i="1"/>
  <c r="Y2407" i="1"/>
  <c r="Z2407" i="1"/>
  <c r="Y2408" i="1"/>
  <c r="Z2408" i="1"/>
  <c r="Y2409" i="1"/>
  <c r="Z2409" i="1"/>
  <c r="Y2410" i="1"/>
  <c r="Z2410" i="1"/>
  <c r="Y2411" i="1"/>
  <c r="Z2411" i="1"/>
  <c r="Y2412" i="1"/>
  <c r="Z2412" i="1"/>
  <c r="Y2413" i="1"/>
  <c r="Z2413" i="1"/>
  <c r="Y2414" i="1"/>
  <c r="Z2414" i="1"/>
  <c r="Y2415" i="1"/>
  <c r="Z2415" i="1"/>
  <c r="Y2416" i="1"/>
  <c r="Z2416" i="1"/>
  <c r="Y2417" i="1"/>
  <c r="Z2417" i="1"/>
  <c r="Y2418" i="1"/>
  <c r="Z2418" i="1"/>
  <c r="Y2419" i="1"/>
  <c r="Z2419" i="1"/>
  <c r="Y2420" i="1"/>
  <c r="Z2420" i="1"/>
  <c r="Y2421" i="1"/>
  <c r="Z2421" i="1"/>
  <c r="Y2422" i="1"/>
  <c r="Z2422" i="1"/>
  <c r="Y2423" i="1"/>
  <c r="Z2423" i="1"/>
  <c r="Y2424" i="1"/>
  <c r="Z2424" i="1"/>
  <c r="Y2425" i="1"/>
  <c r="Z2425" i="1"/>
  <c r="Y2426" i="1"/>
  <c r="Z2426" i="1"/>
  <c r="Y2427" i="1"/>
  <c r="Z2427" i="1"/>
  <c r="Y2428" i="1"/>
  <c r="Z2428" i="1"/>
  <c r="Y2429" i="1"/>
  <c r="Z2429" i="1"/>
  <c r="Y2430" i="1"/>
  <c r="Z2430" i="1"/>
  <c r="Y2431" i="1"/>
  <c r="Z2431" i="1"/>
  <c r="Y2432" i="1"/>
  <c r="Z2432" i="1"/>
  <c r="Y2433" i="1"/>
  <c r="Z2433" i="1"/>
  <c r="Y2434" i="1"/>
  <c r="Z2434" i="1"/>
  <c r="Y2435" i="1"/>
  <c r="Z2435" i="1"/>
  <c r="Y2436" i="1"/>
  <c r="Z2436" i="1"/>
  <c r="Y2437" i="1"/>
  <c r="Z2437" i="1"/>
  <c r="Y2438" i="1"/>
  <c r="Z2438" i="1"/>
  <c r="Y2439" i="1"/>
  <c r="Z2439" i="1"/>
  <c r="Y2440" i="1"/>
  <c r="Z2440" i="1"/>
  <c r="Y2441" i="1"/>
  <c r="Z2441" i="1"/>
  <c r="Y2442" i="1"/>
  <c r="Z2442" i="1"/>
  <c r="Y2443" i="1"/>
  <c r="Z2443" i="1"/>
  <c r="Y2444" i="1"/>
  <c r="Z2444" i="1"/>
  <c r="Y2445" i="1"/>
  <c r="Z2445" i="1"/>
  <c r="Y2446" i="1"/>
  <c r="Z2446" i="1"/>
  <c r="Y2447" i="1"/>
  <c r="Z2447" i="1"/>
  <c r="Y2448" i="1"/>
  <c r="Z2448" i="1"/>
  <c r="Y2449" i="1"/>
  <c r="Z2449" i="1"/>
  <c r="Y2450" i="1"/>
  <c r="Z2450" i="1"/>
  <c r="Y2451" i="1"/>
  <c r="Z2451" i="1"/>
  <c r="Y2452" i="1"/>
  <c r="Z2452" i="1"/>
  <c r="Y2453" i="1"/>
  <c r="Z2453" i="1"/>
  <c r="Y2454" i="1"/>
  <c r="Z2454" i="1"/>
  <c r="Y2455" i="1"/>
  <c r="Z2455" i="1"/>
  <c r="Y2456" i="1"/>
  <c r="Z2456" i="1"/>
  <c r="Y2457" i="1"/>
  <c r="Z2457" i="1"/>
  <c r="Y2458" i="1"/>
  <c r="Z2458" i="1"/>
  <c r="Y2459" i="1"/>
  <c r="Z2459" i="1"/>
  <c r="Y2460" i="1"/>
  <c r="Z2460" i="1"/>
  <c r="Y2461" i="1"/>
  <c r="Z2461" i="1"/>
  <c r="Y2462" i="1"/>
  <c r="Z2462" i="1"/>
  <c r="Y2463" i="1"/>
  <c r="Z2463" i="1"/>
  <c r="Y2464" i="1"/>
  <c r="Z2464" i="1"/>
  <c r="Y2465" i="1"/>
  <c r="Z2465" i="1"/>
  <c r="Y2466" i="1"/>
  <c r="Z2466" i="1"/>
  <c r="Y2467" i="1"/>
  <c r="Z2467" i="1"/>
  <c r="Y2468" i="1"/>
  <c r="Z2468" i="1"/>
  <c r="Y2469" i="1"/>
  <c r="Z2469" i="1"/>
  <c r="Y2470" i="1"/>
  <c r="Z2470" i="1"/>
  <c r="Y2471" i="1"/>
  <c r="Z2471" i="1"/>
  <c r="Y2472" i="1"/>
  <c r="Z2472" i="1"/>
  <c r="Y2473" i="1"/>
  <c r="Z2473" i="1"/>
  <c r="Y2474" i="1"/>
  <c r="Z2474" i="1"/>
  <c r="Y2475" i="1"/>
  <c r="Z2475" i="1"/>
  <c r="Y2476" i="1"/>
  <c r="Z2476" i="1"/>
  <c r="Y2477" i="1"/>
  <c r="Z2477" i="1"/>
  <c r="Y2478" i="1"/>
  <c r="Z2478" i="1"/>
  <c r="Y2479" i="1"/>
  <c r="Z2479" i="1"/>
  <c r="Y2480" i="1"/>
  <c r="Z2480" i="1"/>
  <c r="Y2481" i="1"/>
  <c r="Z2481" i="1"/>
  <c r="Y2482" i="1"/>
  <c r="Z2482" i="1"/>
  <c r="Y2483" i="1"/>
  <c r="Z2483" i="1"/>
  <c r="Y2484" i="1"/>
  <c r="Z2484" i="1"/>
  <c r="Y2485" i="1"/>
  <c r="Z2485" i="1"/>
  <c r="Y2486" i="1"/>
  <c r="Z2486" i="1"/>
  <c r="Y2487" i="1"/>
  <c r="Z2487" i="1"/>
  <c r="Y2488" i="1"/>
  <c r="Z2488" i="1"/>
  <c r="Y2489" i="1"/>
  <c r="Z2489" i="1"/>
  <c r="Y2490" i="1"/>
  <c r="Z2490" i="1"/>
  <c r="Y2491" i="1"/>
  <c r="Z2491" i="1"/>
  <c r="Y2492" i="1"/>
  <c r="Z2492" i="1"/>
  <c r="Y2493" i="1"/>
  <c r="Z2493" i="1"/>
  <c r="Y2494" i="1"/>
  <c r="Z2494" i="1"/>
  <c r="Y2495" i="1"/>
  <c r="Z2495" i="1"/>
  <c r="Y2496" i="1"/>
  <c r="Z2496" i="1"/>
  <c r="Y2497" i="1"/>
  <c r="Z2497" i="1"/>
  <c r="Y2498" i="1"/>
  <c r="Z2498" i="1"/>
  <c r="Y2499" i="1"/>
  <c r="Z2499" i="1"/>
  <c r="Y2500" i="1"/>
  <c r="Z2500" i="1"/>
  <c r="Y2501" i="1"/>
  <c r="Z2501" i="1"/>
  <c r="Y2502" i="1"/>
  <c r="Z2502" i="1"/>
  <c r="Y2503" i="1"/>
  <c r="Z2503" i="1"/>
  <c r="Y2504" i="1"/>
  <c r="Z2504" i="1"/>
  <c r="Y2505" i="1"/>
  <c r="Z2505" i="1"/>
  <c r="Y2506" i="1"/>
  <c r="Z2506" i="1"/>
  <c r="Y2507" i="1"/>
  <c r="Z2507" i="1"/>
  <c r="Y2508" i="1"/>
  <c r="Z2508" i="1"/>
  <c r="Y2509" i="1"/>
  <c r="Z2509" i="1"/>
  <c r="Y2510" i="1"/>
  <c r="Z2510" i="1"/>
  <c r="Y2511" i="1"/>
  <c r="Z2511" i="1"/>
  <c r="Y2512" i="1"/>
  <c r="Z2512" i="1"/>
  <c r="Y2513" i="1"/>
  <c r="Z2513" i="1"/>
  <c r="Y2514" i="1"/>
  <c r="Z2514" i="1"/>
  <c r="Y2515" i="1"/>
  <c r="Z2515" i="1"/>
  <c r="Y2516" i="1"/>
  <c r="Z2516" i="1"/>
  <c r="Y2517" i="1"/>
  <c r="Z2517" i="1"/>
  <c r="Y2518" i="1"/>
  <c r="Z2518" i="1"/>
  <c r="Y2519" i="1"/>
  <c r="Z2519" i="1"/>
  <c r="Y2520" i="1"/>
  <c r="Z2520" i="1"/>
  <c r="Y2521" i="1"/>
  <c r="Z2521" i="1"/>
  <c r="Y2522" i="1"/>
  <c r="Z2522" i="1"/>
  <c r="Y2523" i="1"/>
  <c r="Z2523" i="1"/>
  <c r="Y2524" i="1"/>
  <c r="Z2524" i="1"/>
  <c r="Y2525" i="1"/>
  <c r="Z2525" i="1"/>
  <c r="Y2526" i="1"/>
  <c r="Z2526" i="1"/>
  <c r="Y2527" i="1"/>
  <c r="Z2527" i="1"/>
  <c r="Y2528" i="1"/>
  <c r="Z2528" i="1"/>
  <c r="Y2529" i="1"/>
  <c r="Z2529" i="1"/>
  <c r="Y2530" i="1"/>
  <c r="Z2530" i="1"/>
  <c r="Y2531" i="1"/>
  <c r="Z2531" i="1"/>
  <c r="Y2532" i="1"/>
  <c r="Z2532" i="1"/>
  <c r="Y2533" i="1"/>
  <c r="Z2533" i="1"/>
  <c r="Y2534" i="1"/>
  <c r="Z2534" i="1"/>
  <c r="Y2535" i="1"/>
  <c r="Z2535" i="1"/>
  <c r="Y2536" i="1"/>
  <c r="Z2536" i="1"/>
  <c r="Y2537" i="1"/>
  <c r="Z2537" i="1"/>
  <c r="Y2538" i="1"/>
  <c r="Z2538" i="1"/>
  <c r="Y2539" i="1"/>
  <c r="Z2539" i="1"/>
  <c r="Y2540" i="1"/>
  <c r="Z2540" i="1"/>
  <c r="Y2541" i="1"/>
  <c r="Z2541" i="1"/>
  <c r="Y2542" i="1"/>
  <c r="Z2542" i="1"/>
  <c r="Y2543" i="1"/>
  <c r="Z2543" i="1"/>
  <c r="Y2544" i="1"/>
  <c r="Z2544" i="1"/>
  <c r="Y2545" i="1"/>
  <c r="Z2545" i="1"/>
  <c r="Y2546" i="1"/>
  <c r="Z2546" i="1"/>
  <c r="Y2547" i="1"/>
  <c r="Z2547" i="1"/>
  <c r="Y2548" i="1"/>
  <c r="Z2548" i="1"/>
  <c r="Y2549" i="1"/>
  <c r="Z2549" i="1"/>
  <c r="Y2550" i="1"/>
  <c r="Z2550" i="1"/>
  <c r="Y2551" i="1"/>
  <c r="Z2551" i="1"/>
  <c r="Y2552" i="1"/>
  <c r="Z2552" i="1"/>
  <c r="Y2553" i="1"/>
  <c r="Z2553" i="1"/>
  <c r="Y2554" i="1"/>
  <c r="Z2554" i="1"/>
  <c r="Y2555" i="1"/>
  <c r="Z2555" i="1"/>
  <c r="Y2556" i="1"/>
  <c r="Z2556" i="1"/>
  <c r="Y2557" i="1"/>
  <c r="Z2557" i="1"/>
  <c r="Y2558" i="1"/>
  <c r="Z2558" i="1"/>
  <c r="Y2559" i="1"/>
  <c r="Z2559" i="1"/>
  <c r="Y2560" i="1"/>
  <c r="Z2560" i="1"/>
  <c r="Y2561" i="1"/>
  <c r="Z2561" i="1"/>
  <c r="Y2562" i="1"/>
  <c r="Z2562" i="1"/>
  <c r="Y2563" i="1"/>
  <c r="Z2563" i="1"/>
  <c r="Y2564" i="1"/>
  <c r="Z2564" i="1"/>
  <c r="Y2565" i="1"/>
  <c r="Z2565" i="1"/>
  <c r="Y2566" i="1"/>
  <c r="Z2566" i="1"/>
  <c r="Y2567" i="1"/>
  <c r="Z2567" i="1"/>
  <c r="Y2568" i="1"/>
  <c r="Z2568" i="1"/>
  <c r="Y2569" i="1"/>
  <c r="Z2569" i="1"/>
  <c r="Y2570" i="1"/>
  <c r="Z2570" i="1"/>
  <c r="Y2571" i="1"/>
  <c r="Z2571" i="1"/>
  <c r="Y2572" i="1"/>
  <c r="Z2572" i="1"/>
  <c r="Y2573" i="1"/>
  <c r="Z2573" i="1"/>
  <c r="Y2574" i="1"/>
  <c r="Z2574" i="1"/>
  <c r="Y2575" i="1"/>
  <c r="Z2575" i="1"/>
  <c r="Y2576" i="1"/>
  <c r="Z2576" i="1"/>
  <c r="Y2577" i="1"/>
  <c r="Z2577" i="1"/>
  <c r="Y2578" i="1"/>
  <c r="Z2578" i="1"/>
  <c r="Y2579" i="1"/>
  <c r="Z2579" i="1"/>
  <c r="Y2580" i="1"/>
  <c r="Z2580" i="1"/>
  <c r="Y2581" i="1"/>
  <c r="Z2581" i="1"/>
  <c r="Y2582" i="1"/>
  <c r="Z2582" i="1"/>
  <c r="Y2583" i="1"/>
  <c r="Z2583" i="1"/>
  <c r="Y2584" i="1"/>
  <c r="Z2584" i="1"/>
  <c r="Y2585" i="1"/>
  <c r="Z2585" i="1"/>
  <c r="Y2586" i="1"/>
  <c r="Z2586" i="1"/>
  <c r="Y2587" i="1"/>
  <c r="Z2587" i="1"/>
  <c r="Y2588" i="1"/>
  <c r="Z2588" i="1"/>
  <c r="Y2589" i="1"/>
  <c r="Z2589" i="1"/>
  <c r="Y2590" i="1"/>
  <c r="Z2590" i="1"/>
  <c r="Y2591" i="1"/>
  <c r="Z2591" i="1"/>
  <c r="Y2592" i="1"/>
  <c r="Z2592" i="1"/>
  <c r="Y2593" i="1"/>
  <c r="Z2593" i="1"/>
  <c r="Y2594" i="1"/>
  <c r="Z2594" i="1"/>
  <c r="Y2595" i="1"/>
  <c r="Z2595" i="1"/>
  <c r="Y2596" i="1"/>
  <c r="Z2596" i="1"/>
  <c r="Y2597" i="1"/>
  <c r="Z2597" i="1"/>
  <c r="Y2598" i="1"/>
  <c r="Z2598" i="1"/>
  <c r="Y2599" i="1"/>
  <c r="Z2599" i="1"/>
  <c r="Y2600" i="1"/>
  <c r="Z2600" i="1"/>
  <c r="Y2601" i="1"/>
  <c r="Z2601" i="1"/>
  <c r="Y2602" i="1"/>
  <c r="Z2602" i="1"/>
  <c r="Y2603" i="1"/>
  <c r="Z2603" i="1"/>
  <c r="Y2604" i="1"/>
  <c r="Z2604" i="1"/>
  <c r="Y2605" i="1"/>
  <c r="Z2605" i="1"/>
  <c r="Y2606" i="1"/>
  <c r="Z2606" i="1"/>
  <c r="Y2607" i="1"/>
  <c r="Z2607" i="1"/>
  <c r="Y2608" i="1"/>
  <c r="Z2608" i="1"/>
  <c r="Y2609" i="1"/>
  <c r="Z2609" i="1"/>
  <c r="Y2610" i="1"/>
  <c r="Z2610" i="1"/>
  <c r="Y2611" i="1"/>
  <c r="Z2611" i="1"/>
  <c r="Y2612" i="1"/>
  <c r="Z2612" i="1"/>
  <c r="Y2613" i="1"/>
  <c r="Z2613" i="1"/>
  <c r="Y2614" i="1"/>
  <c r="Z2614" i="1"/>
  <c r="Y2615" i="1"/>
  <c r="Z2615" i="1"/>
  <c r="Y2616" i="1"/>
  <c r="Z2616" i="1"/>
  <c r="Y2617" i="1"/>
  <c r="Z2617" i="1"/>
  <c r="Y2618" i="1"/>
  <c r="Z2618" i="1"/>
  <c r="Y2619" i="1"/>
  <c r="Z2619" i="1"/>
  <c r="Y2620" i="1"/>
  <c r="Z2620" i="1"/>
  <c r="Y2621" i="1"/>
  <c r="Z2621" i="1"/>
  <c r="Y2622" i="1"/>
  <c r="Z2622" i="1"/>
  <c r="Y2623" i="1"/>
  <c r="Z2623" i="1"/>
  <c r="Y2624" i="1"/>
  <c r="Z2624" i="1"/>
  <c r="Y2625" i="1"/>
  <c r="Z2625" i="1"/>
  <c r="Y2626" i="1"/>
  <c r="Z2626" i="1"/>
  <c r="Y2627" i="1"/>
  <c r="Z2627" i="1"/>
  <c r="Y2628" i="1"/>
  <c r="Z2628" i="1"/>
  <c r="Y2629" i="1"/>
  <c r="Z2629" i="1"/>
  <c r="Y2630" i="1"/>
  <c r="Z2630" i="1"/>
  <c r="Y2631" i="1"/>
  <c r="Z2631" i="1"/>
  <c r="Y2632" i="1"/>
  <c r="Z2632" i="1"/>
  <c r="Y2633" i="1"/>
  <c r="Z2633" i="1"/>
  <c r="Y2634" i="1"/>
  <c r="Z2634" i="1"/>
  <c r="Y2635" i="1"/>
  <c r="Z2635" i="1"/>
  <c r="Y2636" i="1"/>
  <c r="Z2636" i="1"/>
  <c r="Y2637" i="1"/>
  <c r="Z2637" i="1"/>
  <c r="Y2638" i="1"/>
  <c r="Z2638" i="1"/>
  <c r="Y2639" i="1"/>
  <c r="Z2639" i="1"/>
  <c r="Y2640" i="1"/>
  <c r="Z2640" i="1"/>
  <c r="Y2641" i="1"/>
  <c r="Z2641" i="1"/>
  <c r="Y2642" i="1"/>
  <c r="Z2642" i="1"/>
  <c r="Y2643" i="1"/>
  <c r="Z2643" i="1"/>
  <c r="Y2644" i="1"/>
  <c r="Z2644" i="1"/>
  <c r="Y2645" i="1"/>
  <c r="Z2645" i="1"/>
  <c r="Y2646" i="1"/>
  <c r="Z2646" i="1"/>
  <c r="Y2647" i="1"/>
  <c r="Z2647" i="1"/>
  <c r="Y2648" i="1"/>
  <c r="Z2648" i="1"/>
  <c r="Y2649" i="1"/>
  <c r="Z2649" i="1"/>
  <c r="Y2650" i="1"/>
  <c r="Z2650" i="1"/>
  <c r="Y2651" i="1"/>
  <c r="Z2651" i="1"/>
  <c r="Y2652" i="1"/>
  <c r="Z2652" i="1"/>
  <c r="Y2653" i="1"/>
  <c r="Z2653" i="1"/>
  <c r="Y2654" i="1"/>
  <c r="Z2654" i="1"/>
  <c r="Y2655" i="1"/>
  <c r="Z2655" i="1"/>
  <c r="Y2656" i="1"/>
  <c r="Z2656" i="1"/>
  <c r="Y2657" i="1"/>
  <c r="Z2657" i="1"/>
  <c r="Y2658" i="1"/>
  <c r="Z2658" i="1"/>
  <c r="Y2659" i="1"/>
  <c r="Z2659" i="1"/>
  <c r="Y2660" i="1"/>
  <c r="Z2660" i="1"/>
  <c r="Y2661" i="1"/>
  <c r="Z2661" i="1"/>
  <c r="Y2662" i="1"/>
  <c r="Z2662" i="1"/>
  <c r="Y2663" i="1"/>
  <c r="Z2663" i="1"/>
  <c r="Y2664" i="1"/>
  <c r="Z2664" i="1"/>
  <c r="Y2665" i="1"/>
  <c r="Z2665" i="1"/>
  <c r="Y2666" i="1"/>
  <c r="Z2666" i="1"/>
  <c r="Y2667" i="1"/>
  <c r="Z2667" i="1"/>
  <c r="Y2668" i="1"/>
  <c r="Z2668" i="1"/>
  <c r="Y2669" i="1"/>
  <c r="Z2669" i="1"/>
  <c r="Y2670" i="1"/>
  <c r="Z2670" i="1"/>
  <c r="Y2671" i="1"/>
  <c r="Z2671" i="1"/>
  <c r="Y2672" i="1"/>
  <c r="Z2672" i="1"/>
  <c r="Y2673" i="1"/>
  <c r="Z2673" i="1"/>
  <c r="Y2674" i="1"/>
  <c r="Z2674" i="1"/>
  <c r="Y2675" i="1"/>
  <c r="Z2675" i="1"/>
  <c r="Y2676" i="1"/>
  <c r="Z2676" i="1"/>
  <c r="Y2677" i="1"/>
  <c r="Z2677" i="1"/>
  <c r="Y2678" i="1"/>
  <c r="Z2678" i="1"/>
  <c r="Y2679" i="1"/>
  <c r="Z2679" i="1"/>
  <c r="Y2680" i="1"/>
  <c r="Z2680" i="1"/>
  <c r="Y2681" i="1"/>
  <c r="Z2681" i="1"/>
  <c r="Y2682" i="1"/>
  <c r="Z2682" i="1"/>
  <c r="Y2683" i="1"/>
  <c r="Z2683" i="1"/>
  <c r="Y2684" i="1"/>
  <c r="Z2684" i="1"/>
  <c r="Y2685" i="1"/>
  <c r="Z2685" i="1"/>
  <c r="Y2686" i="1"/>
  <c r="Z2686" i="1"/>
  <c r="Y2687" i="1"/>
  <c r="Z2687" i="1"/>
  <c r="Y2688" i="1"/>
  <c r="Z2688" i="1"/>
  <c r="Y2689" i="1"/>
  <c r="Z2689" i="1"/>
  <c r="Y2690" i="1"/>
  <c r="Z2690" i="1"/>
  <c r="Y2691" i="1"/>
  <c r="Z2691" i="1"/>
  <c r="Y2692" i="1"/>
  <c r="Z2692" i="1"/>
  <c r="Y2693" i="1"/>
  <c r="Z2693" i="1"/>
  <c r="Y2694" i="1"/>
  <c r="Z2694" i="1"/>
  <c r="Y2695" i="1"/>
  <c r="Z2695" i="1"/>
  <c r="Y2696" i="1"/>
  <c r="Z2696" i="1"/>
  <c r="Y2697" i="1"/>
  <c r="Z2697" i="1"/>
  <c r="Y2698" i="1"/>
  <c r="Z2698" i="1"/>
  <c r="Y2699" i="1"/>
  <c r="Z2699" i="1"/>
  <c r="Y2700" i="1"/>
  <c r="Z2700" i="1"/>
  <c r="Y2701" i="1"/>
  <c r="Z2701" i="1"/>
  <c r="Y2702" i="1"/>
  <c r="Z2702" i="1"/>
  <c r="Y2703" i="1"/>
  <c r="Z2703" i="1"/>
  <c r="Y2704" i="1"/>
  <c r="Z2704" i="1"/>
  <c r="Y2705" i="1"/>
  <c r="Z2705" i="1"/>
  <c r="Y2706" i="1"/>
  <c r="Z2706" i="1"/>
  <c r="Y2707" i="1"/>
  <c r="Z2707" i="1"/>
  <c r="Y2708" i="1"/>
  <c r="Z2708" i="1"/>
  <c r="Y2709" i="1"/>
  <c r="Z2709" i="1"/>
  <c r="Y2710" i="1"/>
  <c r="Z2710" i="1"/>
  <c r="Y2711" i="1"/>
  <c r="Z2711" i="1"/>
  <c r="Y2712" i="1"/>
  <c r="Z2712" i="1"/>
  <c r="Y2713" i="1"/>
  <c r="Z2713" i="1"/>
  <c r="Y2714" i="1"/>
  <c r="Z2714" i="1"/>
  <c r="Y2715" i="1"/>
  <c r="Z2715" i="1"/>
  <c r="Y2716" i="1"/>
  <c r="Z2716" i="1"/>
  <c r="Y2717" i="1"/>
  <c r="Z2717" i="1"/>
  <c r="Y2718" i="1"/>
  <c r="Z2718" i="1"/>
  <c r="Y2719" i="1"/>
  <c r="Z2719" i="1"/>
  <c r="Y2720" i="1"/>
  <c r="Z2720" i="1"/>
  <c r="Y2721" i="1"/>
  <c r="Z2721" i="1"/>
  <c r="Y2722" i="1"/>
  <c r="Z2722" i="1"/>
  <c r="Y2723" i="1"/>
  <c r="Z2723" i="1"/>
  <c r="Y2724" i="1"/>
  <c r="Z2724" i="1"/>
  <c r="Y2725" i="1"/>
  <c r="Z2725" i="1"/>
  <c r="Y2726" i="1"/>
  <c r="Z2726" i="1"/>
  <c r="Y2727" i="1"/>
  <c r="Z2727" i="1"/>
  <c r="Y2728" i="1"/>
  <c r="Z2728" i="1"/>
  <c r="Y2729" i="1"/>
  <c r="Z2729" i="1"/>
  <c r="Y2730" i="1"/>
  <c r="Z2730" i="1"/>
  <c r="Y2731" i="1"/>
  <c r="Z2731" i="1"/>
  <c r="Y2732" i="1"/>
  <c r="Z2732" i="1"/>
  <c r="Y2733" i="1"/>
  <c r="Z2733" i="1"/>
  <c r="Y2734" i="1"/>
  <c r="Z2734" i="1"/>
  <c r="Y2735" i="1"/>
  <c r="Z2735" i="1"/>
  <c r="Y2736" i="1"/>
  <c r="Z2736" i="1"/>
  <c r="Y2737" i="1"/>
  <c r="Z2737" i="1"/>
  <c r="Y2738" i="1"/>
  <c r="Z2738" i="1"/>
  <c r="Y2739" i="1"/>
  <c r="Z2739" i="1"/>
  <c r="Y2740" i="1"/>
  <c r="Z2740" i="1"/>
  <c r="Y2741" i="1"/>
  <c r="Z2741" i="1"/>
  <c r="Y2742" i="1"/>
  <c r="Z2742" i="1"/>
  <c r="Y2743" i="1"/>
  <c r="Z2743" i="1"/>
  <c r="Y2744" i="1"/>
  <c r="Z2744" i="1"/>
  <c r="Y2745" i="1"/>
  <c r="Z2745" i="1"/>
  <c r="Y2746" i="1"/>
  <c r="Z2746" i="1"/>
  <c r="Y2747" i="1"/>
  <c r="Z2747" i="1"/>
  <c r="Y2748" i="1"/>
  <c r="Z2748" i="1"/>
  <c r="Y2749" i="1"/>
  <c r="Z2749" i="1"/>
  <c r="Y2750" i="1"/>
  <c r="Z2750" i="1"/>
  <c r="Y2751" i="1"/>
  <c r="Z2751" i="1"/>
  <c r="Y2752" i="1"/>
  <c r="Z2752" i="1"/>
  <c r="Y2753" i="1"/>
  <c r="Z2753" i="1"/>
  <c r="Y2754" i="1"/>
  <c r="Z2754" i="1"/>
  <c r="Y2755" i="1"/>
  <c r="Z2755" i="1"/>
  <c r="Y2756" i="1"/>
  <c r="Z2756" i="1"/>
  <c r="Y2757" i="1"/>
  <c r="Z2757" i="1"/>
  <c r="Y2758" i="1"/>
  <c r="Z2758" i="1"/>
  <c r="Y2759" i="1"/>
  <c r="Z2759" i="1"/>
  <c r="Y2760" i="1"/>
  <c r="Z2760" i="1"/>
  <c r="Z8"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X202" i="1"/>
  <c r="X203" i="1"/>
  <c r="X204" i="1"/>
  <c r="X205" i="1"/>
  <c r="X206" i="1"/>
  <c r="X207" i="1"/>
  <c r="X208" i="1"/>
  <c r="X209" i="1"/>
  <c r="X210" i="1"/>
  <c r="X211" i="1"/>
  <c r="X212" i="1"/>
  <c r="X213" i="1"/>
  <c r="X214" i="1"/>
  <c r="X215" i="1"/>
  <c r="X216" i="1"/>
  <c r="X217" i="1"/>
  <c r="X218" i="1"/>
  <c r="X219" i="1"/>
  <c r="X220" i="1"/>
  <c r="X221" i="1"/>
  <c r="X222" i="1"/>
  <c r="X223" i="1"/>
  <c r="X224" i="1"/>
  <c r="X225" i="1"/>
  <c r="X226" i="1"/>
  <c r="X227" i="1"/>
  <c r="X228" i="1"/>
  <c r="X229" i="1"/>
  <c r="X230" i="1"/>
  <c r="X231" i="1"/>
  <c r="X232" i="1"/>
  <c r="X233" i="1"/>
  <c r="X234" i="1"/>
  <c r="X235" i="1"/>
  <c r="X236" i="1"/>
  <c r="X237" i="1"/>
  <c r="X238" i="1"/>
  <c r="X239" i="1"/>
  <c r="X240" i="1"/>
  <c r="X241" i="1"/>
  <c r="X242" i="1"/>
  <c r="X243" i="1"/>
  <c r="X244" i="1"/>
  <c r="X245" i="1"/>
  <c r="X246" i="1"/>
  <c r="X247" i="1"/>
  <c r="X248" i="1"/>
  <c r="X249" i="1"/>
  <c r="X250" i="1"/>
  <c r="X251" i="1"/>
  <c r="X252" i="1"/>
  <c r="X253" i="1"/>
  <c r="X254" i="1"/>
  <c r="X255" i="1"/>
  <c r="X256" i="1"/>
  <c r="X257" i="1"/>
  <c r="X258" i="1"/>
  <c r="X259" i="1"/>
  <c r="X260" i="1"/>
  <c r="X261" i="1"/>
  <c r="X262" i="1"/>
  <c r="X263" i="1"/>
  <c r="X264" i="1"/>
  <c r="X265" i="1"/>
  <c r="X266" i="1"/>
  <c r="X267" i="1"/>
  <c r="X268" i="1"/>
  <c r="X269" i="1"/>
  <c r="X270" i="1"/>
  <c r="X271" i="1"/>
  <c r="X272" i="1"/>
  <c r="X273" i="1"/>
  <c r="X274" i="1"/>
  <c r="X275" i="1"/>
  <c r="X276" i="1"/>
  <c r="X277" i="1"/>
  <c r="X278" i="1"/>
  <c r="X279" i="1"/>
  <c r="X280" i="1"/>
  <c r="X281" i="1"/>
  <c r="X282" i="1"/>
  <c r="X283" i="1"/>
  <c r="X284" i="1"/>
  <c r="X285" i="1"/>
  <c r="X286" i="1"/>
  <c r="X287" i="1"/>
  <c r="X288" i="1"/>
  <c r="X289" i="1"/>
  <c r="X290" i="1"/>
  <c r="X291" i="1"/>
  <c r="X292" i="1"/>
  <c r="X293" i="1"/>
  <c r="X294" i="1"/>
  <c r="X295" i="1"/>
  <c r="X296" i="1"/>
  <c r="X297" i="1"/>
  <c r="X298" i="1"/>
  <c r="X299" i="1"/>
  <c r="X300" i="1"/>
  <c r="X301" i="1"/>
  <c r="X302" i="1"/>
  <c r="X303" i="1"/>
  <c r="X304" i="1"/>
  <c r="X305" i="1"/>
  <c r="X306" i="1"/>
  <c r="X307" i="1"/>
  <c r="X308" i="1"/>
  <c r="X309" i="1"/>
  <c r="X310" i="1"/>
  <c r="X311" i="1"/>
  <c r="X312" i="1"/>
  <c r="X313" i="1"/>
  <c r="X314" i="1"/>
  <c r="X315" i="1"/>
  <c r="X316" i="1"/>
  <c r="X317" i="1"/>
  <c r="X318" i="1"/>
  <c r="X319" i="1"/>
  <c r="X320" i="1"/>
  <c r="X321" i="1"/>
  <c r="X322" i="1"/>
  <c r="X323" i="1"/>
  <c r="X324" i="1"/>
  <c r="X325" i="1"/>
  <c r="X326" i="1"/>
  <c r="X327" i="1"/>
  <c r="X328" i="1"/>
  <c r="X329" i="1"/>
  <c r="X330" i="1"/>
  <c r="X331" i="1"/>
  <c r="X332" i="1"/>
  <c r="X333" i="1"/>
  <c r="X334" i="1"/>
  <c r="X335" i="1"/>
  <c r="X336" i="1"/>
  <c r="X337" i="1"/>
  <c r="X338" i="1"/>
  <c r="X339" i="1"/>
  <c r="X340" i="1"/>
  <c r="X341" i="1"/>
  <c r="X342" i="1"/>
  <c r="X343" i="1"/>
  <c r="X344" i="1"/>
  <c r="X345" i="1"/>
  <c r="X346" i="1"/>
  <c r="X347" i="1"/>
  <c r="X348" i="1"/>
  <c r="X349" i="1"/>
  <c r="X350" i="1"/>
  <c r="X351" i="1"/>
  <c r="X352" i="1"/>
  <c r="X353" i="1"/>
  <c r="X354" i="1"/>
  <c r="X355" i="1"/>
  <c r="X356" i="1"/>
  <c r="X357" i="1"/>
  <c r="X358" i="1"/>
  <c r="X359" i="1"/>
  <c r="X360" i="1"/>
  <c r="X361" i="1"/>
  <c r="X362" i="1"/>
  <c r="X363" i="1"/>
  <c r="X364" i="1"/>
  <c r="X365" i="1"/>
  <c r="X366" i="1"/>
  <c r="X367" i="1"/>
  <c r="X368" i="1"/>
  <c r="X369" i="1"/>
  <c r="X370" i="1"/>
  <c r="X371" i="1"/>
  <c r="X372" i="1"/>
  <c r="X373" i="1"/>
  <c r="X374" i="1"/>
  <c r="X375" i="1"/>
  <c r="X376" i="1"/>
  <c r="X377" i="1"/>
  <c r="X378" i="1"/>
  <c r="X379" i="1"/>
  <c r="X380" i="1"/>
  <c r="X381" i="1"/>
  <c r="X382" i="1"/>
  <c r="X383" i="1"/>
  <c r="X384" i="1"/>
  <c r="X385" i="1"/>
  <c r="X386" i="1"/>
  <c r="X387" i="1"/>
  <c r="X388" i="1"/>
  <c r="X389" i="1"/>
  <c r="X390" i="1"/>
  <c r="X391" i="1"/>
  <c r="X392" i="1"/>
  <c r="X393" i="1"/>
  <c r="X394" i="1"/>
  <c r="X395" i="1"/>
  <c r="X396" i="1"/>
  <c r="X397" i="1"/>
  <c r="X398" i="1"/>
  <c r="X399" i="1"/>
  <c r="X400" i="1"/>
  <c r="X401" i="1"/>
  <c r="X402" i="1"/>
  <c r="X403" i="1"/>
  <c r="X404" i="1"/>
  <c r="X405" i="1"/>
  <c r="X406" i="1"/>
  <c r="X407" i="1"/>
  <c r="X408" i="1"/>
  <c r="X409" i="1"/>
  <c r="X410" i="1"/>
  <c r="X411" i="1"/>
  <c r="X412" i="1"/>
  <c r="X413" i="1"/>
  <c r="X414" i="1"/>
  <c r="X415" i="1"/>
  <c r="X416" i="1"/>
  <c r="X417" i="1"/>
  <c r="X418" i="1"/>
  <c r="X419" i="1"/>
  <c r="X420" i="1"/>
  <c r="X421" i="1"/>
  <c r="X422" i="1"/>
  <c r="X423" i="1"/>
  <c r="X424" i="1"/>
  <c r="X425" i="1"/>
  <c r="X426" i="1"/>
  <c r="X427" i="1"/>
  <c r="X428" i="1"/>
  <c r="X429" i="1"/>
  <c r="X430" i="1"/>
  <c r="X431" i="1"/>
  <c r="X432" i="1"/>
  <c r="X433" i="1"/>
  <c r="X434" i="1"/>
  <c r="X435" i="1"/>
  <c r="X436" i="1"/>
  <c r="X437" i="1"/>
  <c r="X438" i="1"/>
  <c r="X439" i="1"/>
  <c r="X440" i="1"/>
  <c r="X441" i="1"/>
  <c r="X442" i="1"/>
  <c r="X443" i="1"/>
  <c r="X444" i="1"/>
  <c r="X445" i="1"/>
  <c r="X446" i="1"/>
  <c r="X447" i="1"/>
  <c r="X448" i="1"/>
  <c r="X449" i="1"/>
  <c r="X450" i="1"/>
  <c r="X451" i="1"/>
  <c r="X452" i="1"/>
  <c r="X453" i="1"/>
  <c r="X454" i="1"/>
  <c r="X455" i="1"/>
  <c r="X456" i="1"/>
  <c r="X457" i="1"/>
  <c r="X458" i="1"/>
  <c r="X459" i="1"/>
  <c r="X460" i="1"/>
  <c r="X461" i="1"/>
  <c r="X462" i="1"/>
  <c r="X463" i="1"/>
  <c r="X464" i="1"/>
  <c r="X465" i="1"/>
  <c r="X466" i="1"/>
  <c r="X467" i="1"/>
  <c r="X468" i="1"/>
  <c r="X469" i="1"/>
  <c r="X470" i="1"/>
  <c r="X471" i="1"/>
  <c r="X472" i="1"/>
  <c r="X473" i="1"/>
  <c r="X474" i="1"/>
  <c r="X475" i="1"/>
  <c r="X476" i="1"/>
  <c r="X477" i="1"/>
  <c r="X478" i="1"/>
  <c r="X479" i="1"/>
  <c r="X480" i="1"/>
  <c r="X481" i="1"/>
  <c r="X482" i="1"/>
  <c r="X483" i="1"/>
  <c r="X484" i="1"/>
  <c r="X485" i="1"/>
  <c r="X486" i="1"/>
  <c r="X487" i="1"/>
  <c r="X488" i="1"/>
  <c r="X489" i="1"/>
  <c r="X490" i="1"/>
  <c r="X491" i="1"/>
  <c r="X492" i="1"/>
  <c r="X493" i="1"/>
  <c r="X494" i="1"/>
  <c r="X495" i="1"/>
  <c r="X496" i="1"/>
  <c r="X497" i="1"/>
  <c r="X498" i="1"/>
  <c r="X499" i="1"/>
  <c r="X500" i="1"/>
  <c r="X501" i="1"/>
  <c r="X502" i="1"/>
  <c r="X503" i="1"/>
  <c r="X504" i="1"/>
  <c r="X505" i="1"/>
  <c r="X506" i="1"/>
  <c r="X507" i="1"/>
  <c r="X508" i="1"/>
  <c r="X509" i="1"/>
  <c r="X510" i="1"/>
  <c r="X511" i="1"/>
  <c r="X512" i="1"/>
  <c r="X513" i="1"/>
  <c r="X514" i="1"/>
  <c r="X515" i="1"/>
  <c r="X516" i="1"/>
  <c r="X517" i="1"/>
  <c r="X518" i="1"/>
  <c r="X519" i="1"/>
  <c r="X520" i="1"/>
  <c r="X521" i="1"/>
  <c r="X522" i="1"/>
  <c r="X523" i="1"/>
  <c r="X524" i="1"/>
  <c r="X525" i="1"/>
  <c r="X526" i="1"/>
  <c r="X527" i="1"/>
  <c r="X528" i="1"/>
  <c r="X529" i="1"/>
  <c r="X530" i="1"/>
  <c r="X531" i="1"/>
  <c r="X532" i="1"/>
  <c r="X533" i="1"/>
  <c r="X534" i="1"/>
  <c r="X535" i="1"/>
  <c r="X536" i="1"/>
  <c r="X537" i="1"/>
  <c r="X538" i="1"/>
  <c r="X539" i="1"/>
  <c r="X540" i="1"/>
  <c r="X541" i="1"/>
  <c r="X542" i="1"/>
  <c r="X543" i="1"/>
  <c r="X544" i="1"/>
  <c r="X545" i="1"/>
  <c r="X546" i="1"/>
  <c r="X547" i="1"/>
  <c r="X548" i="1"/>
  <c r="X549" i="1"/>
  <c r="X550" i="1"/>
  <c r="X551" i="1"/>
  <c r="X552" i="1"/>
  <c r="X553" i="1"/>
  <c r="X554" i="1"/>
  <c r="X555" i="1"/>
  <c r="X556" i="1"/>
  <c r="X557" i="1"/>
  <c r="X558" i="1"/>
  <c r="X559" i="1"/>
  <c r="X560" i="1"/>
  <c r="X561" i="1"/>
  <c r="X562" i="1"/>
  <c r="X563" i="1"/>
  <c r="X564" i="1"/>
  <c r="X565" i="1"/>
  <c r="X566" i="1"/>
  <c r="X567" i="1"/>
  <c r="X568" i="1"/>
  <c r="X569" i="1"/>
  <c r="X570" i="1"/>
  <c r="X571" i="1"/>
  <c r="X572" i="1"/>
  <c r="X573" i="1"/>
  <c r="X574" i="1"/>
  <c r="X575" i="1"/>
  <c r="X576" i="1"/>
  <c r="X577" i="1"/>
  <c r="X578" i="1"/>
  <c r="X579" i="1"/>
  <c r="X580" i="1"/>
  <c r="X581" i="1"/>
  <c r="X582" i="1"/>
  <c r="X583" i="1"/>
  <c r="X584" i="1"/>
  <c r="X585" i="1"/>
  <c r="X586" i="1"/>
  <c r="X587" i="1"/>
  <c r="X588" i="1"/>
  <c r="X589" i="1"/>
  <c r="X590" i="1"/>
  <c r="X591" i="1"/>
  <c r="X592" i="1"/>
  <c r="X593" i="1"/>
  <c r="X594" i="1"/>
  <c r="X595" i="1"/>
  <c r="X596" i="1"/>
  <c r="X597" i="1"/>
  <c r="X598" i="1"/>
  <c r="X599" i="1"/>
  <c r="X600" i="1"/>
  <c r="X601" i="1"/>
  <c r="X602" i="1"/>
  <c r="X603" i="1"/>
  <c r="X604" i="1"/>
  <c r="X605" i="1"/>
  <c r="X606" i="1"/>
  <c r="X607" i="1"/>
  <c r="X608" i="1"/>
  <c r="X609" i="1"/>
  <c r="X610" i="1"/>
  <c r="X611" i="1"/>
  <c r="X612" i="1"/>
  <c r="X613" i="1"/>
  <c r="X614" i="1"/>
  <c r="X615" i="1"/>
  <c r="X616" i="1"/>
  <c r="X617" i="1"/>
  <c r="X618" i="1"/>
  <c r="X619" i="1"/>
  <c r="X620" i="1"/>
  <c r="X621" i="1"/>
  <c r="X622" i="1"/>
  <c r="X623" i="1"/>
  <c r="X624" i="1"/>
  <c r="X625" i="1"/>
  <c r="X626" i="1"/>
  <c r="X627" i="1"/>
  <c r="X628" i="1"/>
  <c r="X629" i="1"/>
  <c r="X630" i="1"/>
  <c r="X631" i="1"/>
  <c r="X632" i="1"/>
  <c r="X633" i="1"/>
  <c r="X634" i="1"/>
  <c r="X635" i="1"/>
  <c r="X636" i="1"/>
  <c r="X637" i="1"/>
  <c r="X638" i="1"/>
  <c r="X639" i="1"/>
  <c r="X640" i="1"/>
  <c r="X641" i="1"/>
  <c r="X642" i="1"/>
  <c r="X643" i="1"/>
  <c r="X644" i="1"/>
  <c r="X645" i="1"/>
  <c r="X646" i="1"/>
  <c r="X647" i="1"/>
  <c r="X648" i="1"/>
  <c r="X649" i="1"/>
  <c r="X650" i="1"/>
  <c r="X651" i="1"/>
  <c r="X652" i="1"/>
  <c r="X653" i="1"/>
  <c r="X654" i="1"/>
  <c r="X655" i="1"/>
  <c r="X656" i="1"/>
  <c r="X657" i="1"/>
  <c r="X658" i="1"/>
  <c r="X659" i="1"/>
  <c r="X660" i="1"/>
  <c r="X661" i="1"/>
  <c r="X662" i="1"/>
  <c r="X663" i="1"/>
  <c r="X664" i="1"/>
  <c r="X665" i="1"/>
  <c r="X666" i="1"/>
  <c r="X667" i="1"/>
  <c r="X668" i="1"/>
  <c r="X669" i="1"/>
  <c r="X670" i="1"/>
  <c r="X671" i="1"/>
  <c r="X672" i="1"/>
  <c r="X673" i="1"/>
  <c r="X674" i="1"/>
  <c r="X675" i="1"/>
  <c r="X676" i="1"/>
  <c r="X677" i="1"/>
  <c r="X678" i="1"/>
  <c r="X679" i="1"/>
  <c r="X680" i="1"/>
  <c r="X681" i="1"/>
  <c r="X682" i="1"/>
  <c r="X683" i="1"/>
  <c r="X684" i="1"/>
  <c r="X685" i="1"/>
  <c r="X686" i="1"/>
  <c r="X687" i="1"/>
  <c r="X688" i="1"/>
  <c r="X689" i="1"/>
  <c r="X690" i="1"/>
  <c r="X691" i="1"/>
  <c r="X692" i="1"/>
  <c r="X693" i="1"/>
  <c r="X694" i="1"/>
  <c r="X695" i="1"/>
  <c r="X696" i="1"/>
  <c r="X697" i="1"/>
  <c r="X698" i="1"/>
  <c r="X699" i="1"/>
  <c r="X700" i="1"/>
  <c r="X701" i="1"/>
  <c r="X702" i="1"/>
  <c r="X703" i="1"/>
  <c r="X704" i="1"/>
  <c r="X705" i="1"/>
  <c r="X706" i="1"/>
  <c r="X707" i="1"/>
  <c r="X708" i="1"/>
  <c r="X709" i="1"/>
  <c r="X710" i="1"/>
  <c r="X711" i="1"/>
  <c r="X712" i="1"/>
  <c r="X713" i="1"/>
  <c r="X714" i="1"/>
  <c r="X715" i="1"/>
  <c r="X716" i="1"/>
  <c r="X717" i="1"/>
  <c r="X718" i="1"/>
  <c r="X719" i="1"/>
  <c r="X720" i="1"/>
  <c r="X721" i="1"/>
  <c r="X722" i="1"/>
  <c r="X723" i="1"/>
  <c r="X724" i="1"/>
  <c r="X725" i="1"/>
  <c r="X726" i="1"/>
  <c r="X727" i="1"/>
  <c r="X728" i="1"/>
  <c r="X729" i="1"/>
  <c r="X730" i="1"/>
  <c r="X731" i="1"/>
  <c r="X732" i="1"/>
  <c r="X733" i="1"/>
  <c r="X734" i="1"/>
  <c r="X735" i="1"/>
  <c r="X736" i="1"/>
  <c r="X737" i="1"/>
  <c r="X738" i="1"/>
  <c r="X739" i="1"/>
  <c r="X740" i="1"/>
  <c r="X741" i="1"/>
  <c r="X742" i="1"/>
  <c r="X743" i="1"/>
  <c r="X744" i="1"/>
  <c r="X745" i="1"/>
  <c r="X746" i="1"/>
  <c r="X747" i="1"/>
  <c r="X748" i="1"/>
  <c r="X749" i="1"/>
  <c r="X750" i="1"/>
  <c r="X751" i="1"/>
  <c r="X752" i="1"/>
  <c r="X753" i="1"/>
  <c r="X754" i="1"/>
  <c r="X755" i="1"/>
  <c r="X756" i="1"/>
  <c r="X757" i="1"/>
  <c r="X758" i="1"/>
  <c r="X759" i="1"/>
  <c r="X760" i="1"/>
  <c r="X761" i="1"/>
  <c r="X762" i="1"/>
  <c r="X763" i="1"/>
  <c r="X764" i="1"/>
  <c r="X765" i="1"/>
  <c r="X766" i="1"/>
  <c r="X767" i="1"/>
  <c r="X768" i="1"/>
  <c r="X769" i="1"/>
  <c r="X770" i="1"/>
  <c r="X771" i="1"/>
  <c r="X772" i="1"/>
  <c r="X773" i="1"/>
  <c r="X774" i="1"/>
  <c r="X775" i="1"/>
  <c r="X776" i="1"/>
  <c r="X777" i="1"/>
  <c r="X778" i="1"/>
  <c r="X779" i="1"/>
  <c r="X780" i="1"/>
  <c r="X781" i="1"/>
  <c r="X782" i="1"/>
  <c r="X783" i="1"/>
  <c r="X784" i="1"/>
  <c r="X785" i="1"/>
  <c r="X786" i="1"/>
  <c r="X787" i="1"/>
  <c r="X788" i="1"/>
  <c r="X789" i="1"/>
  <c r="X790" i="1"/>
  <c r="X791" i="1"/>
  <c r="X792" i="1"/>
  <c r="X793" i="1"/>
  <c r="X794" i="1"/>
  <c r="X795" i="1"/>
  <c r="X796" i="1"/>
  <c r="X797" i="1"/>
  <c r="X798" i="1"/>
  <c r="X799" i="1"/>
  <c r="X800" i="1"/>
  <c r="X801" i="1"/>
  <c r="X802" i="1"/>
  <c r="X803" i="1"/>
  <c r="X804" i="1"/>
  <c r="X805" i="1"/>
  <c r="X806" i="1"/>
  <c r="X807" i="1"/>
  <c r="X808" i="1"/>
  <c r="X809" i="1"/>
  <c r="X810" i="1"/>
  <c r="X811" i="1"/>
  <c r="X812" i="1"/>
  <c r="X813" i="1"/>
  <c r="X814" i="1"/>
  <c r="X815" i="1"/>
  <c r="X816" i="1"/>
  <c r="X817" i="1"/>
  <c r="X818" i="1"/>
  <c r="X819" i="1"/>
  <c r="X820" i="1"/>
  <c r="X821" i="1"/>
  <c r="X822" i="1"/>
  <c r="X823" i="1"/>
  <c r="X824" i="1"/>
  <c r="X825" i="1"/>
  <c r="X826" i="1"/>
  <c r="X827" i="1"/>
  <c r="X828" i="1"/>
  <c r="X829" i="1"/>
  <c r="X830" i="1"/>
  <c r="X831" i="1"/>
  <c r="X832" i="1"/>
  <c r="X833" i="1"/>
  <c r="X834" i="1"/>
  <c r="X835" i="1"/>
  <c r="X836" i="1"/>
  <c r="X837" i="1"/>
  <c r="X838" i="1"/>
  <c r="X839" i="1"/>
  <c r="X840" i="1"/>
  <c r="X841" i="1"/>
  <c r="X842" i="1"/>
  <c r="X843" i="1"/>
  <c r="X844" i="1"/>
  <c r="X845" i="1"/>
  <c r="X846" i="1"/>
  <c r="X847" i="1"/>
  <c r="X848" i="1"/>
  <c r="X849" i="1"/>
  <c r="X850" i="1"/>
  <c r="X851" i="1"/>
  <c r="X852" i="1"/>
  <c r="X853" i="1"/>
  <c r="X854" i="1"/>
  <c r="X855" i="1"/>
  <c r="X856" i="1"/>
  <c r="X857" i="1"/>
  <c r="X858" i="1"/>
  <c r="X859" i="1"/>
  <c r="X860" i="1"/>
  <c r="X861" i="1"/>
  <c r="X862" i="1"/>
  <c r="X863" i="1"/>
  <c r="X864" i="1"/>
  <c r="X865" i="1"/>
  <c r="X866" i="1"/>
  <c r="X867" i="1"/>
  <c r="X868" i="1"/>
  <c r="X869" i="1"/>
  <c r="X870" i="1"/>
  <c r="X871" i="1"/>
  <c r="X872" i="1"/>
  <c r="X873" i="1"/>
  <c r="X874" i="1"/>
  <c r="X875" i="1"/>
  <c r="X876" i="1"/>
  <c r="X877" i="1"/>
  <c r="X878" i="1"/>
  <c r="X879" i="1"/>
  <c r="X880" i="1"/>
  <c r="X881" i="1"/>
  <c r="X882" i="1"/>
  <c r="X883" i="1"/>
  <c r="X884" i="1"/>
  <c r="X885" i="1"/>
  <c r="X886" i="1"/>
  <c r="X887" i="1"/>
  <c r="X888" i="1"/>
  <c r="X889" i="1"/>
  <c r="X890" i="1"/>
  <c r="X891" i="1"/>
  <c r="X892" i="1"/>
  <c r="X893" i="1"/>
  <c r="X894" i="1"/>
  <c r="X895" i="1"/>
  <c r="X896" i="1"/>
  <c r="X897" i="1"/>
  <c r="X898" i="1"/>
  <c r="X899" i="1"/>
  <c r="X900" i="1"/>
  <c r="X901" i="1"/>
  <c r="X902" i="1"/>
  <c r="X903" i="1"/>
  <c r="X904" i="1"/>
  <c r="X905" i="1"/>
  <c r="X906" i="1"/>
  <c r="X907" i="1"/>
  <c r="X908" i="1"/>
  <c r="X909" i="1"/>
  <c r="X910" i="1"/>
  <c r="X911" i="1"/>
  <c r="X912" i="1"/>
  <c r="X913" i="1"/>
  <c r="X914" i="1"/>
  <c r="X915" i="1"/>
  <c r="X916" i="1"/>
  <c r="X917" i="1"/>
  <c r="X918" i="1"/>
  <c r="X919" i="1"/>
  <c r="X920" i="1"/>
  <c r="X921" i="1"/>
  <c r="X922" i="1"/>
  <c r="X923" i="1"/>
  <c r="X924" i="1"/>
  <c r="X925" i="1"/>
  <c r="X926" i="1"/>
  <c r="X927" i="1"/>
  <c r="X928" i="1"/>
  <c r="X929" i="1"/>
  <c r="X930" i="1"/>
  <c r="X931" i="1"/>
  <c r="X932" i="1"/>
  <c r="X933" i="1"/>
  <c r="X934" i="1"/>
  <c r="X935" i="1"/>
  <c r="X936" i="1"/>
  <c r="X937" i="1"/>
  <c r="X938" i="1"/>
  <c r="X939" i="1"/>
  <c r="X940" i="1"/>
  <c r="X941" i="1"/>
  <c r="X942" i="1"/>
  <c r="X943" i="1"/>
  <c r="X944" i="1"/>
  <c r="X945" i="1"/>
  <c r="X946" i="1"/>
  <c r="X947" i="1"/>
  <c r="X948" i="1"/>
  <c r="X949" i="1"/>
  <c r="X950" i="1"/>
  <c r="X951" i="1"/>
  <c r="X952" i="1"/>
  <c r="X953" i="1"/>
  <c r="X954" i="1"/>
  <c r="X955" i="1"/>
  <c r="X956" i="1"/>
  <c r="X957" i="1"/>
  <c r="X958" i="1"/>
  <c r="X959" i="1"/>
  <c r="X960" i="1"/>
  <c r="X961" i="1"/>
  <c r="X962" i="1"/>
  <c r="X963" i="1"/>
  <c r="X964" i="1"/>
  <c r="X965" i="1"/>
  <c r="X966" i="1"/>
  <c r="X967" i="1"/>
  <c r="X968" i="1"/>
  <c r="X969" i="1"/>
  <c r="X970" i="1"/>
  <c r="X971" i="1"/>
  <c r="X972" i="1"/>
  <c r="X973" i="1"/>
  <c r="X974" i="1"/>
  <c r="X975" i="1"/>
  <c r="X976" i="1"/>
  <c r="X977" i="1"/>
  <c r="X978" i="1"/>
  <c r="X979" i="1"/>
  <c r="X980" i="1"/>
  <c r="X981" i="1"/>
  <c r="X982" i="1"/>
  <c r="X983" i="1"/>
  <c r="X984" i="1"/>
  <c r="X985" i="1"/>
  <c r="X986" i="1"/>
  <c r="X987" i="1"/>
  <c r="X988" i="1"/>
  <c r="X989" i="1"/>
  <c r="X990" i="1"/>
  <c r="X991" i="1"/>
  <c r="X992" i="1"/>
  <c r="X993" i="1"/>
  <c r="X994" i="1"/>
  <c r="X995" i="1"/>
  <c r="X996" i="1"/>
  <c r="X997" i="1"/>
  <c r="X998" i="1"/>
  <c r="X999" i="1"/>
  <c r="X1000" i="1"/>
  <c r="X1001" i="1"/>
  <c r="X1002" i="1"/>
  <c r="X1003" i="1"/>
  <c r="X1004" i="1"/>
  <c r="X1005" i="1"/>
  <c r="X1006" i="1"/>
  <c r="X1007" i="1"/>
  <c r="X1008" i="1"/>
  <c r="X1009" i="1"/>
  <c r="X1010" i="1"/>
  <c r="X1011" i="1"/>
  <c r="X1012" i="1"/>
  <c r="X1013" i="1"/>
  <c r="X1014" i="1"/>
  <c r="X1015" i="1"/>
  <c r="X1016" i="1"/>
  <c r="X1017" i="1"/>
  <c r="X1018" i="1"/>
  <c r="X1019" i="1"/>
  <c r="X1020" i="1"/>
  <c r="X1021" i="1"/>
  <c r="X1022" i="1"/>
  <c r="X1023" i="1"/>
  <c r="X1024" i="1"/>
  <c r="X1025" i="1"/>
  <c r="X1026" i="1"/>
  <c r="X1027" i="1"/>
  <c r="X1028" i="1"/>
  <c r="X1029" i="1"/>
  <c r="X1030" i="1"/>
  <c r="X1031" i="1"/>
  <c r="X1032" i="1"/>
  <c r="X1033" i="1"/>
  <c r="X1034" i="1"/>
  <c r="X1035" i="1"/>
  <c r="X1036" i="1"/>
  <c r="X1037" i="1"/>
  <c r="X1038" i="1"/>
  <c r="X1039" i="1"/>
  <c r="X1040" i="1"/>
  <c r="X1041" i="1"/>
  <c r="X1042" i="1"/>
  <c r="X1043" i="1"/>
  <c r="X1044" i="1"/>
  <c r="X1045" i="1"/>
  <c r="X1046" i="1"/>
  <c r="X1047" i="1"/>
  <c r="X1048" i="1"/>
  <c r="X1049" i="1"/>
  <c r="X1050" i="1"/>
  <c r="X1051" i="1"/>
  <c r="X1052" i="1"/>
  <c r="X1053" i="1"/>
  <c r="X1054" i="1"/>
  <c r="X1055" i="1"/>
  <c r="X1056" i="1"/>
  <c r="X1057" i="1"/>
  <c r="X1058" i="1"/>
  <c r="X1059" i="1"/>
  <c r="X1060" i="1"/>
  <c r="X1061" i="1"/>
  <c r="X1062" i="1"/>
  <c r="X1063" i="1"/>
  <c r="X1064" i="1"/>
  <c r="X1065" i="1"/>
  <c r="X1066" i="1"/>
  <c r="X1067" i="1"/>
  <c r="X1068" i="1"/>
  <c r="X1069" i="1"/>
  <c r="X1070" i="1"/>
  <c r="X1071" i="1"/>
  <c r="X1072" i="1"/>
  <c r="X1073" i="1"/>
  <c r="X1074" i="1"/>
  <c r="X1075" i="1"/>
  <c r="X1076" i="1"/>
  <c r="X1077" i="1"/>
  <c r="X1078" i="1"/>
  <c r="X1079" i="1"/>
  <c r="X1080" i="1"/>
  <c r="X1081" i="1"/>
  <c r="X1082" i="1"/>
  <c r="X1083" i="1"/>
  <c r="X1084" i="1"/>
  <c r="X1085" i="1"/>
  <c r="X1086" i="1"/>
  <c r="X1087" i="1"/>
  <c r="X1088" i="1"/>
  <c r="X1089" i="1"/>
  <c r="X1090" i="1"/>
  <c r="X1091" i="1"/>
  <c r="X1092" i="1"/>
  <c r="X1093" i="1"/>
  <c r="X1094" i="1"/>
  <c r="X1095" i="1"/>
  <c r="X1096" i="1"/>
  <c r="X1097" i="1"/>
  <c r="X1098" i="1"/>
  <c r="X1099" i="1"/>
  <c r="X1100" i="1"/>
  <c r="X1101" i="1"/>
  <c r="X1102" i="1"/>
  <c r="X1103" i="1"/>
  <c r="X1104" i="1"/>
  <c r="X1105" i="1"/>
  <c r="X1106" i="1"/>
  <c r="X1107" i="1"/>
  <c r="X1108" i="1"/>
  <c r="X1109" i="1"/>
  <c r="X1110" i="1"/>
  <c r="X1111" i="1"/>
  <c r="X1112" i="1"/>
  <c r="X1113" i="1"/>
  <c r="X1114" i="1"/>
  <c r="X1115" i="1"/>
  <c r="X1116" i="1"/>
  <c r="X1117" i="1"/>
  <c r="X1118" i="1"/>
  <c r="X1119" i="1"/>
  <c r="X1120" i="1"/>
  <c r="X1121" i="1"/>
  <c r="X1122" i="1"/>
  <c r="X1123" i="1"/>
  <c r="X1124" i="1"/>
  <c r="X1125" i="1"/>
  <c r="X1126" i="1"/>
  <c r="X1127" i="1"/>
  <c r="X1128" i="1"/>
  <c r="X1129" i="1"/>
  <c r="X1130" i="1"/>
  <c r="X1131" i="1"/>
  <c r="X1132" i="1"/>
  <c r="X1133" i="1"/>
  <c r="X1134" i="1"/>
  <c r="X1135" i="1"/>
  <c r="X1136" i="1"/>
  <c r="X1137" i="1"/>
  <c r="X1138" i="1"/>
  <c r="X1139" i="1"/>
  <c r="X1140" i="1"/>
  <c r="X1141" i="1"/>
  <c r="X1142" i="1"/>
  <c r="X1143" i="1"/>
  <c r="X1144" i="1"/>
  <c r="X1145" i="1"/>
  <c r="X1146" i="1"/>
  <c r="X1147" i="1"/>
  <c r="X1148" i="1"/>
  <c r="X1149" i="1"/>
  <c r="X1150" i="1"/>
  <c r="X1151" i="1"/>
  <c r="X1152" i="1"/>
  <c r="X1153" i="1"/>
  <c r="X1154" i="1"/>
  <c r="X1155" i="1"/>
  <c r="X1156" i="1"/>
  <c r="X1157" i="1"/>
  <c r="X1158" i="1"/>
  <c r="X1159" i="1"/>
  <c r="X1160" i="1"/>
  <c r="X1161" i="1"/>
  <c r="X1162" i="1"/>
  <c r="X1163" i="1"/>
  <c r="X1164" i="1"/>
  <c r="X1165" i="1"/>
  <c r="X1166" i="1"/>
  <c r="X1167" i="1"/>
  <c r="X1168" i="1"/>
  <c r="X1169" i="1"/>
  <c r="X1170" i="1"/>
  <c r="X1171" i="1"/>
  <c r="X1172" i="1"/>
  <c r="X1173" i="1"/>
  <c r="X1174" i="1"/>
  <c r="X1175" i="1"/>
  <c r="X1176" i="1"/>
  <c r="X1177" i="1"/>
  <c r="X1178" i="1"/>
  <c r="X1179" i="1"/>
  <c r="X1180" i="1"/>
  <c r="X1181" i="1"/>
  <c r="X1182" i="1"/>
  <c r="X1183" i="1"/>
  <c r="X1184" i="1"/>
  <c r="X1185" i="1"/>
  <c r="X1186" i="1"/>
  <c r="X1187" i="1"/>
  <c r="X1188" i="1"/>
  <c r="X1189" i="1"/>
  <c r="X1190" i="1"/>
  <c r="X1191" i="1"/>
  <c r="X1192" i="1"/>
  <c r="X1193" i="1"/>
  <c r="X1194" i="1"/>
  <c r="X1195" i="1"/>
  <c r="X1196" i="1"/>
  <c r="X1197" i="1"/>
  <c r="X1198" i="1"/>
  <c r="X1199" i="1"/>
  <c r="X1200" i="1"/>
  <c r="X1201" i="1"/>
  <c r="X1202" i="1"/>
  <c r="X1203" i="1"/>
  <c r="X1204" i="1"/>
  <c r="X1205" i="1"/>
  <c r="X1206" i="1"/>
  <c r="X1207" i="1"/>
  <c r="X1208" i="1"/>
  <c r="X1209" i="1"/>
  <c r="X1210" i="1"/>
  <c r="X1211" i="1"/>
  <c r="X1212" i="1"/>
  <c r="X1213" i="1"/>
  <c r="X1214" i="1"/>
  <c r="X1215" i="1"/>
  <c r="X1216" i="1"/>
  <c r="X1217" i="1"/>
  <c r="X1218" i="1"/>
  <c r="X1219" i="1"/>
  <c r="X1220" i="1"/>
  <c r="X1221" i="1"/>
  <c r="X1222" i="1"/>
  <c r="X1223" i="1"/>
  <c r="X1224" i="1"/>
  <c r="X1225" i="1"/>
  <c r="X1226" i="1"/>
  <c r="X1227" i="1"/>
  <c r="X1228" i="1"/>
  <c r="X1229" i="1"/>
  <c r="X1230" i="1"/>
  <c r="X1231" i="1"/>
  <c r="X1232" i="1"/>
  <c r="X1233" i="1"/>
  <c r="X1234" i="1"/>
  <c r="X1235" i="1"/>
  <c r="X1236" i="1"/>
  <c r="X1237" i="1"/>
  <c r="X1238" i="1"/>
  <c r="X1239" i="1"/>
  <c r="X1240" i="1"/>
  <c r="X1241" i="1"/>
  <c r="X1242" i="1"/>
  <c r="X1243" i="1"/>
  <c r="X1244" i="1"/>
  <c r="X1245" i="1"/>
  <c r="X1246" i="1"/>
  <c r="X1247" i="1"/>
  <c r="X1248" i="1"/>
  <c r="X1249" i="1"/>
  <c r="X1250" i="1"/>
  <c r="X1251" i="1"/>
  <c r="X1252" i="1"/>
  <c r="X1253" i="1"/>
  <c r="X1254" i="1"/>
  <c r="X1255" i="1"/>
  <c r="X1256" i="1"/>
  <c r="X1257" i="1"/>
  <c r="X1258" i="1"/>
  <c r="X1259" i="1"/>
  <c r="X1260" i="1"/>
  <c r="X1261" i="1"/>
  <c r="X1262" i="1"/>
  <c r="X1263" i="1"/>
  <c r="X1264" i="1"/>
  <c r="X1265" i="1"/>
  <c r="X1266" i="1"/>
  <c r="X1267" i="1"/>
  <c r="X1268" i="1"/>
  <c r="X1269" i="1"/>
  <c r="X1270" i="1"/>
  <c r="X1271" i="1"/>
  <c r="X1272" i="1"/>
  <c r="X1273" i="1"/>
  <c r="X1274" i="1"/>
  <c r="X1275" i="1"/>
  <c r="X1276" i="1"/>
  <c r="X1277" i="1"/>
  <c r="X1278" i="1"/>
  <c r="X1279" i="1"/>
  <c r="X1280" i="1"/>
  <c r="X1281" i="1"/>
  <c r="X1282" i="1"/>
  <c r="X1283" i="1"/>
  <c r="X1284" i="1"/>
  <c r="X1285" i="1"/>
  <c r="X1286" i="1"/>
  <c r="X1287" i="1"/>
  <c r="X1288" i="1"/>
  <c r="X1289" i="1"/>
  <c r="X1290" i="1"/>
  <c r="X1291" i="1"/>
  <c r="X1292" i="1"/>
  <c r="X1293" i="1"/>
  <c r="X1294" i="1"/>
  <c r="X1295" i="1"/>
  <c r="X1296" i="1"/>
  <c r="X1297" i="1"/>
  <c r="X1298" i="1"/>
  <c r="X1299" i="1"/>
  <c r="X1300" i="1"/>
  <c r="X1301" i="1"/>
  <c r="X1302" i="1"/>
  <c r="X1303" i="1"/>
  <c r="X1304" i="1"/>
  <c r="X1305" i="1"/>
  <c r="X1306" i="1"/>
  <c r="X1307" i="1"/>
  <c r="X1308" i="1"/>
  <c r="X1309" i="1"/>
  <c r="X1310" i="1"/>
  <c r="X1311" i="1"/>
  <c r="X1312" i="1"/>
  <c r="X1313" i="1"/>
  <c r="X1314" i="1"/>
  <c r="X1315" i="1"/>
  <c r="X1316" i="1"/>
  <c r="X1317" i="1"/>
  <c r="X1318" i="1"/>
  <c r="X1319" i="1"/>
  <c r="X1320" i="1"/>
  <c r="X1321" i="1"/>
  <c r="X1322" i="1"/>
  <c r="X1323" i="1"/>
  <c r="X1324" i="1"/>
  <c r="X1325" i="1"/>
  <c r="X1326" i="1"/>
  <c r="X1327" i="1"/>
  <c r="X1328" i="1"/>
  <c r="X1329" i="1"/>
  <c r="X1330" i="1"/>
  <c r="X1331" i="1"/>
  <c r="X1332" i="1"/>
  <c r="X1333" i="1"/>
  <c r="X1334" i="1"/>
  <c r="X1335" i="1"/>
  <c r="X1336" i="1"/>
  <c r="X1337" i="1"/>
  <c r="X1338" i="1"/>
  <c r="X1339" i="1"/>
  <c r="X1340" i="1"/>
  <c r="X1341" i="1"/>
  <c r="X1342" i="1"/>
  <c r="X1343" i="1"/>
  <c r="X1344" i="1"/>
  <c r="X1345" i="1"/>
  <c r="X1346" i="1"/>
  <c r="X1347" i="1"/>
  <c r="X1348" i="1"/>
  <c r="X1349" i="1"/>
  <c r="X1350" i="1"/>
  <c r="X1351" i="1"/>
  <c r="X1352" i="1"/>
  <c r="X1353" i="1"/>
  <c r="X1354" i="1"/>
  <c r="X1355" i="1"/>
  <c r="X1356" i="1"/>
  <c r="X1357" i="1"/>
  <c r="X1358" i="1"/>
  <c r="X1359" i="1"/>
  <c r="X1360" i="1"/>
  <c r="X1361" i="1"/>
  <c r="X1362" i="1"/>
  <c r="X1363" i="1"/>
  <c r="X1364" i="1"/>
  <c r="X1365" i="1"/>
  <c r="X1366" i="1"/>
  <c r="X1367" i="1"/>
  <c r="X1368" i="1"/>
  <c r="X1369" i="1"/>
  <c r="X1370" i="1"/>
  <c r="X1371" i="1"/>
  <c r="X1372" i="1"/>
  <c r="X1373" i="1"/>
  <c r="X1374" i="1"/>
  <c r="X1375" i="1"/>
  <c r="X1376" i="1"/>
  <c r="X1377" i="1"/>
  <c r="X1378" i="1"/>
  <c r="X1379" i="1"/>
  <c r="X1380" i="1"/>
  <c r="X1381" i="1"/>
  <c r="X1382" i="1"/>
  <c r="X1383" i="1"/>
  <c r="X1384" i="1"/>
  <c r="X1385" i="1"/>
  <c r="X1386" i="1"/>
  <c r="X1387" i="1"/>
  <c r="X1388" i="1"/>
  <c r="X1389" i="1"/>
  <c r="X1390" i="1"/>
  <c r="X1391" i="1"/>
  <c r="X1392" i="1"/>
  <c r="X1393" i="1"/>
  <c r="X1394" i="1"/>
  <c r="X1395" i="1"/>
  <c r="X1396" i="1"/>
  <c r="X1397" i="1"/>
  <c r="X1398" i="1"/>
  <c r="X1399" i="1"/>
  <c r="X1400" i="1"/>
  <c r="X1401" i="1"/>
  <c r="X1402" i="1"/>
  <c r="X1403" i="1"/>
  <c r="X1404" i="1"/>
  <c r="X1405" i="1"/>
  <c r="X1406" i="1"/>
  <c r="X1407" i="1"/>
  <c r="X1408" i="1"/>
  <c r="X1409" i="1"/>
  <c r="X1410" i="1"/>
  <c r="X1411" i="1"/>
  <c r="X1412" i="1"/>
  <c r="X1413" i="1"/>
  <c r="X1414" i="1"/>
  <c r="X1415" i="1"/>
  <c r="X1416" i="1"/>
  <c r="X1417" i="1"/>
  <c r="X1418" i="1"/>
  <c r="X1419" i="1"/>
  <c r="X1420" i="1"/>
  <c r="X1421" i="1"/>
  <c r="X1422" i="1"/>
  <c r="X1423" i="1"/>
  <c r="X1424" i="1"/>
  <c r="X1425" i="1"/>
  <c r="X1426" i="1"/>
  <c r="X1427" i="1"/>
  <c r="X1428" i="1"/>
  <c r="X1429" i="1"/>
  <c r="X1430" i="1"/>
  <c r="X1431" i="1"/>
  <c r="X1432" i="1"/>
  <c r="X1433" i="1"/>
  <c r="X1434" i="1"/>
  <c r="X1435" i="1"/>
  <c r="X1436" i="1"/>
  <c r="X1437" i="1"/>
  <c r="X1438" i="1"/>
  <c r="X1439" i="1"/>
  <c r="X1440" i="1"/>
  <c r="X1441" i="1"/>
  <c r="X1442" i="1"/>
  <c r="X1443" i="1"/>
  <c r="X1444" i="1"/>
  <c r="X1445" i="1"/>
  <c r="X1446" i="1"/>
  <c r="X1447" i="1"/>
  <c r="X1448" i="1"/>
  <c r="X1449" i="1"/>
  <c r="X1450" i="1"/>
  <c r="X1451" i="1"/>
  <c r="X1452" i="1"/>
  <c r="X1453" i="1"/>
  <c r="X1454" i="1"/>
  <c r="X1455" i="1"/>
  <c r="X1456" i="1"/>
  <c r="X1457" i="1"/>
  <c r="X1458" i="1"/>
  <c r="X1459" i="1"/>
  <c r="X1460" i="1"/>
  <c r="X1461" i="1"/>
  <c r="X1462" i="1"/>
  <c r="X1463" i="1"/>
  <c r="X1464" i="1"/>
  <c r="X1465" i="1"/>
  <c r="X1466" i="1"/>
  <c r="X1467" i="1"/>
  <c r="X1468" i="1"/>
  <c r="X1469" i="1"/>
  <c r="X1470" i="1"/>
  <c r="X1471" i="1"/>
  <c r="X1472" i="1"/>
  <c r="X1473" i="1"/>
  <c r="X1474" i="1"/>
  <c r="X1475" i="1"/>
  <c r="X1476" i="1"/>
  <c r="X1477" i="1"/>
  <c r="X1478" i="1"/>
  <c r="X1479" i="1"/>
  <c r="X1480" i="1"/>
  <c r="X1481" i="1"/>
  <c r="X1482" i="1"/>
  <c r="X1483" i="1"/>
  <c r="X1484" i="1"/>
  <c r="X1485" i="1"/>
  <c r="X1486" i="1"/>
  <c r="X1487" i="1"/>
  <c r="X1488" i="1"/>
  <c r="X1489" i="1"/>
  <c r="X1490" i="1"/>
  <c r="X1491" i="1"/>
  <c r="X1492" i="1"/>
  <c r="X1493" i="1"/>
  <c r="X1494" i="1"/>
  <c r="X1495" i="1"/>
  <c r="X1496" i="1"/>
  <c r="X1497" i="1"/>
  <c r="X1498" i="1"/>
  <c r="X1499" i="1"/>
  <c r="X1500" i="1"/>
  <c r="X1501" i="1"/>
  <c r="X1502" i="1"/>
  <c r="X1503" i="1"/>
  <c r="X1504" i="1"/>
  <c r="X1505" i="1"/>
  <c r="X1506" i="1"/>
  <c r="X1507" i="1"/>
  <c r="X1508" i="1"/>
  <c r="X1509" i="1"/>
  <c r="X1510" i="1"/>
  <c r="X1511" i="1"/>
  <c r="X1512" i="1"/>
  <c r="X1513" i="1"/>
  <c r="X1514" i="1"/>
  <c r="X1515" i="1"/>
  <c r="X1516" i="1"/>
  <c r="X1517" i="1"/>
  <c r="X1518" i="1"/>
  <c r="X1519" i="1"/>
  <c r="X1520" i="1"/>
  <c r="X1521" i="1"/>
  <c r="X1522" i="1"/>
  <c r="X1523" i="1"/>
  <c r="X1524" i="1"/>
  <c r="X1525" i="1"/>
  <c r="X1526" i="1"/>
  <c r="X1527" i="1"/>
  <c r="X1528" i="1"/>
  <c r="X1529" i="1"/>
  <c r="X1530" i="1"/>
  <c r="X1531" i="1"/>
  <c r="X1532" i="1"/>
  <c r="X1533" i="1"/>
  <c r="X1534" i="1"/>
  <c r="X1535" i="1"/>
  <c r="X1536" i="1"/>
  <c r="X1537" i="1"/>
  <c r="X1538" i="1"/>
  <c r="X1539" i="1"/>
  <c r="X1540" i="1"/>
  <c r="X1541" i="1"/>
  <c r="X1542" i="1"/>
  <c r="X1543" i="1"/>
  <c r="X1544" i="1"/>
  <c r="X1545" i="1"/>
  <c r="X1546" i="1"/>
  <c r="X1547" i="1"/>
  <c r="X1548" i="1"/>
  <c r="X1549" i="1"/>
  <c r="X1550" i="1"/>
  <c r="X1551" i="1"/>
  <c r="X1552" i="1"/>
  <c r="X1553" i="1"/>
  <c r="X1554" i="1"/>
  <c r="X1555" i="1"/>
  <c r="X1556" i="1"/>
  <c r="X1557" i="1"/>
  <c r="X1558" i="1"/>
  <c r="X1559" i="1"/>
  <c r="X1560" i="1"/>
  <c r="X1561" i="1"/>
  <c r="X1562" i="1"/>
  <c r="X1563" i="1"/>
  <c r="X1564" i="1"/>
  <c r="X1565" i="1"/>
  <c r="X1566" i="1"/>
  <c r="X1567" i="1"/>
  <c r="X1568" i="1"/>
  <c r="X1569" i="1"/>
  <c r="X1570" i="1"/>
  <c r="X1571" i="1"/>
  <c r="X1572" i="1"/>
  <c r="X1573" i="1"/>
  <c r="X1574" i="1"/>
  <c r="X1575" i="1"/>
  <c r="X1576" i="1"/>
  <c r="X1577" i="1"/>
  <c r="X1578" i="1"/>
  <c r="X1579" i="1"/>
  <c r="X1580" i="1"/>
  <c r="X1581" i="1"/>
  <c r="X1582" i="1"/>
  <c r="X1583" i="1"/>
  <c r="X1584" i="1"/>
  <c r="X1585" i="1"/>
  <c r="X1586" i="1"/>
  <c r="X1587" i="1"/>
  <c r="X1588" i="1"/>
  <c r="X1589" i="1"/>
  <c r="X1590" i="1"/>
  <c r="X1591" i="1"/>
  <c r="X1592" i="1"/>
  <c r="X1593" i="1"/>
  <c r="X1594" i="1"/>
  <c r="X1595" i="1"/>
  <c r="X1596" i="1"/>
  <c r="X1597" i="1"/>
  <c r="X1598" i="1"/>
  <c r="X1599" i="1"/>
  <c r="X1600" i="1"/>
  <c r="X1601" i="1"/>
  <c r="X1602" i="1"/>
  <c r="X1603" i="1"/>
  <c r="X1604" i="1"/>
  <c r="X1605" i="1"/>
  <c r="X1606" i="1"/>
  <c r="X1607" i="1"/>
  <c r="X1608" i="1"/>
  <c r="X1609" i="1"/>
  <c r="X1610" i="1"/>
  <c r="X1611" i="1"/>
  <c r="X1612" i="1"/>
  <c r="X1613" i="1"/>
  <c r="X1614" i="1"/>
  <c r="X1615" i="1"/>
  <c r="X1616" i="1"/>
  <c r="X1617" i="1"/>
  <c r="X1618" i="1"/>
  <c r="X1619" i="1"/>
  <c r="X1620" i="1"/>
  <c r="X1621" i="1"/>
  <c r="X1622" i="1"/>
  <c r="X1623" i="1"/>
  <c r="X1624" i="1"/>
  <c r="X1625" i="1"/>
  <c r="X1626" i="1"/>
  <c r="X1627" i="1"/>
  <c r="X1628" i="1"/>
  <c r="X1629" i="1"/>
  <c r="X1630" i="1"/>
  <c r="X1631" i="1"/>
  <c r="X1632" i="1"/>
  <c r="X1633" i="1"/>
  <c r="X1634" i="1"/>
  <c r="X1635" i="1"/>
  <c r="X1636" i="1"/>
  <c r="X1637" i="1"/>
  <c r="X1638" i="1"/>
  <c r="X1639" i="1"/>
  <c r="X1640" i="1"/>
  <c r="X1641" i="1"/>
  <c r="X1642" i="1"/>
  <c r="X1643" i="1"/>
  <c r="X1644" i="1"/>
  <c r="X1645" i="1"/>
  <c r="X1646" i="1"/>
  <c r="X1647" i="1"/>
  <c r="X1648" i="1"/>
  <c r="X1649" i="1"/>
  <c r="X1650" i="1"/>
  <c r="X1651" i="1"/>
  <c r="X1652" i="1"/>
  <c r="X1653" i="1"/>
  <c r="X1654" i="1"/>
  <c r="X1655" i="1"/>
  <c r="X1656" i="1"/>
  <c r="X1657" i="1"/>
  <c r="X1658" i="1"/>
  <c r="X1659" i="1"/>
  <c r="X1660" i="1"/>
  <c r="X1661" i="1"/>
  <c r="X1662" i="1"/>
  <c r="X1663" i="1"/>
  <c r="X1664" i="1"/>
  <c r="X1665" i="1"/>
  <c r="X1666" i="1"/>
  <c r="X1667" i="1"/>
  <c r="X1668" i="1"/>
  <c r="X1669" i="1"/>
  <c r="X1670" i="1"/>
  <c r="X1671" i="1"/>
  <c r="X1672" i="1"/>
  <c r="X1673" i="1"/>
  <c r="X1674" i="1"/>
  <c r="X1675" i="1"/>
  <c r="X1676" i="1"/>
  <c r="X1677" i="1"/>
  <c r="X1678" i="1"/>
  <c r="X1679" i="1"/>
  <c r="X1680" i="1"/>
  <c r="X1681" i="1"/>
  <c r="X1682" i="1"/>
  <c r="X1683" i="1"/>
  <c r="X1684" i="1"/>
  <c r="X1685" i="1"/>
  <c r="X1686" i="1"/>
  <c r="X1687" i="1"/>
  <c r="X1688" i="1"/>
  <c r="X1689" i="1"/>
  <c r="X1690" i="1"/>
  <c r="X1691" i="1"/>
  <c r="X1692" i="1"/>
  <c r="X1693" i="1"/>
  <c r="X1694" i="1"/>
  <c r="X1695" i="1"/>
  <c r="X1696" i="1"/>
  <c r="X1697" i="1"/>
  <c r="X1698" i="1"/>
  <c r="X1699" i="1"/>
  <c r="X1700" i="1"/>
  <c r="X1701" i="1"/>
  <c r="X1702" i="1"/>
  <c r="X1703" i="1"/>
  <c r="X1704" i="1"/>
  <c r="X1705" i="1"/>
  <c r="X1706" i="1"/>
  <c r="X1707" i="1"/>
  <c r="X1708" i="1"/>
  <c r="X1709" i="1"/>
  <c r="X1710" i="1"/>
  <c r="X1711" i="1"/>
  <c r="X1712" i="1"/>
  <c r="X1713" i="1"/>
  <c r="X1714" i="1"/>
  <c r="X1715" i="1"/>
  <c r="X1716" i="1"/>
  <c r="X1717" i="1"/>
  <c r="X1718" i="1"/>
  <c r="X1719" i="1"/>
  <c r="X1720" i="1"/>
  <c r="X1721" i="1"/>
  <c r="X1722" i="1"/>
  <c r="X1723" i="1"/>
  <c r="X1724" i="1"/>
  <c r="X1725" i="1"/>
  <c r="X1726" i="1"/>
  <c r="X1727" i="1"/>
  <c r="X1728" i="1"/>
  <c r="X1729" i="1"/>
  <c r="X1730" i="1"/>
  <c r="X1731" i="1"/>
  <c r="X1732" i="1"/>
  <c r="X1733" i="1"/>
  <c r="X1734" i="1"/>
  <c r="X1735" i="1"/>
  <c r="X1736" i="1"/>
  <c r="X1737" i="1"/>
  <c r="X1738" i="1"/>
  <c r="X1739" i="1"/>
  <c r="X1740" i="1"/>
  <c r="X1741" i="1"/>
  <c r="X1742" i="1"/>
  <c r="X1743" i="1"/>
  <c r="X1744" i="1"/>
  <c r="X1745" i="1"/>
  <c r="X1746" i="1"/>
  <c r="X1747" i="1"/>
  <c r="X1748" i="1"/>
  <c r="X1749" i="1"/>
  <c r="X1750" i="1"/>
  <c r="X1751" i="1"/>
  <c r="X1752" i="1"/>
  <c r="X1753" i="1"/>
  <c r="X1754" i="1"/>
  <c r="X1755" i="1"/>
  <c r="X1756" i="1"/>
  <c r="X1757" i="1"/>
  <c r="X1758" i="1"/>
  <c r="X1759" i="1"/>
  <c r="X1760" i="1"/>
  <c r="X1761" i="1"/>
  <c r="X1762" i="1"/>
  <c r="X1763" i="1"/>
  <c r="X1764" i="1"/>
  <c r="X1765" i="1"/>
  <c r="X1766" i="1"/>
  <c r="X1767" i="1"/>
  <c r="X1768" i="1"/>
  <c r="X1769" i="1"/>
  <c r="X1770" i="1"/>
  <c r="X1771" i="1"/>
  <c r="X1772" i="1"/>
  <c r="X1773" i="1"/>
  <c r="X1774" i="1"/>
  <c r="X1775" i="1"/>
  <c r="X1776" i="1"/>
  <c r="X1777" i="1"/>
  <c r="X1778" i="1"/>
  <c r="X1779" i="1"/>
  <c r="X1780" i="1"/>
  <c r="X1781" i="1"/>
  <c r="X1782" i="1"/>
  <c r="X1783" i="1"/>
  <c r="X1784" i="1"/>
  <c r="X1785" i="1"/>
  <c r="X1786" i="1"/>
  <c r="X1787" i="1"/>
  <c r="X1788" i="1"/>
  <c r="X1789" i="1"/>
  <c r="X1790" i="1"/>
  <c r="X1791" i="1"/>
  <c r="X1792" i="1"/>
  <c r="X1793" i="1"/>
  <c r="X1794" i="1"/>
  <c r="X1795" i="1"/>
  <c r="X1796" i="1"/>
  <c r="X1797" i="1"/>
  <c r="X1798" i="1"/>
  <c r="X1799" i="1"/>
  <c r="X1800" i="1"/>
  <c r="X1801" i="1"/>
  <c r="X1802" i="1"/>
  <c r="X1803" i="1"/>
  <c r="X1804" i="1"/>
  <c r="X1805" i="1"/>
  <c r="X1806" i="1"/>
  <c r="X1807" i="1"/>
  <c r="X1808" i="1"/>
  <c r="X1809" i="1"/>
  <c r="X1810" i="1"/>
  <c r="X1811" i="1"/>
  <c r="X1812" i="1"/>
  <c r="X1813" i="1"/>
  <c r="X1814" i="1"/>
  <c r="X1815" i="1"/>
  <c r="X1816" i="1"/>
  <c r="X1817" i="1"/>
  <c r="X1818" i="1"/>
  <c r="X1819" i="1"/>
  <c r="X1820" i="1"/>
  <c r="X1821" i="1"/>
  <c r="X1822" i="1"/>
  <c r="X1823" i="1"/>
  <c r="X1824" i="1"/>
  <c r="X1825" i="1"/>
  <c r="X1826" i="1"/>
  <c r="X1827" i="1"/>
  <c r="X1828" i="1"/>
  <c r="X1829" i="1"/>
  <c r="X1830" i="1"/>
  <c r="X1831" i="1"/>
  <c r="X1832" i="1"/>
  <c r="X1833" i="1"/>
  <c r="X1834" i="1"/>
  <c r="X1835" i="1"/>
  <c r="X1836" i="1"/>
  <c r="X1837" i="1"/>
  <c r="X1838" i="1"/>
  <c r="X1839" i="1"/>
  <c r="X1840" i="1"/>
  <c r="X1841" i="1"/>
  <c r="X1842" i="1"/>
  <c r="X1843" i="1"/>
  <c r="X1844" i="1"/>
  <c r="X1845" i="1"/>
  <c r="X1846" i="1"/>
  <c r="X1847" i="1"/>
  <c r="X1848" i="1"/>
  <c r="X1849" i="1"/>
  <c r="X1850" i="1"/>
  <c r="X1851" i="1"/>
  <c r="X1852" i="1"/>
  <c r="X1853" i="1"/>
  <c r="X1854" i="1"/>
  <c r="X1855" i="1"/>
  <c r="X1856" i="1"/>
  <c r="X1857" i="1"/>
  <c r="X1858" i="1"/>
  <c r="X1859" i="1"/>
  <c r="X1860" i="1"/>
  <c r="X1861" i="1"/>
  <c r="X1862" i="1"/>
  <c r="X1863" i="1"/>
  <c r="X1864" i="1"/>
  <c r="X1865" i="1"/>
  <c r="X1866" i="1"/>
  <c r="X1867" i="1"/>
  <c r="X1868" i="1"/>
  <c r="X1869" i="1"/>
  <c r="X1870" i="1"/>
  <c r="X1871" i="1"/>
  <c r="X1872" i="1"/>
  <c r="X1873" i="1"/>
  <c r="X1874" i="1"/>
  <c r="X1875" i="1"/>
  <c r="X1876" i="1"/>
  <c r="X1877" i="1"/>
  <c r="X1878" i="1"/>
  <c r="X1879" i="1"/>
  <c r="X1880" i="1"/>
  <c r="X1881" i="1"/>
  <c r="X1882" i="1"/>
  <c r="X1883" i="1"/>
  <c r="X1884" i="1"/>
  <c r="X1885" i="1"/>
  <c r="X1886" i="1"/>
  <c r="X1887" i="1"/>
  <c r="X1888" i="1"/>
  <c r="X1889" i="1"/>
  <c r="X1890" i="1"/>
  <c r="X1891" i="1"/>
  <c r="X1892" i="1"/>
  <c r="X1893" i="1"/>
  <c r="X1894" i="1"/>
  <c r="X1895" i="1"/>
  <c r="X1896" i="1"/>
  <c r="X1897" i="1"/>
  <c r="X1898" i="1"/>
  <c r="X1899" i="1"/>
  <c r="X1900" i="1"/>
  <c r="X1901" i="1"/>
  <c r="X1902" i="1"/>
  <c r="X1903" i="1"/>
  <c r="X1904" i="1"/>
  <c r="X1905" i="1"/>
  <c r="X1906" i="1"/>
  <c r="X1907" i="1"/>
  <c r="X1908" i="1"/>
  <c r="X1909" i="1"/>
  <c r="X1910" i="1"/>
  <c r="X1911" i="1"/>
  <c r="X1912" i="1"/>
  <c r="X1913" i="1"/>
  <c r="X1914" i="1"/>
  <c r="X1915" i="1"/>
  <c r="X1916" i="1"/>
  <c r="X1917" i="1"/>
  <c r="X1918" i="1"/>
  <c r="X1919" i="1"/>
  <c r="X1920" i="1"/>
  <c r="X1921" i="1"/>
  <c r="X1922" i="1"/>
  <c r="X1923" i="1"/>
  <c r="X1924" i="1"/>
  <c r="X1925" i="1"/>
  <c r="X1926" i="1"/>
  <c r="X1927" i="1"/>
  <c r="X1928" i="1"/>
  <c r="X1929" i="1"/>
  <c r="X1930" i="1"/>
  <c r="X1931" i="1"/>
  <c r="X1932" i="1"/>
  <c r="X1933" i="1"/>
  <c r="X1934" i="1"/>
  <c r="X1935" i="1"/>
  <c r="X1936" i="1"/>
  <c r="X1937" i="1"/>
  <c r="X1938" i="1"/>
  <c r="X1939" i="1"/>
  <c r="X1940" i="1"/>
  <c r="X1941" i="1"/>
  <c r="X1942" i="1"/>
  <c r="X1943" i="1"/>
  <c r="X1944" i="1"/>
  <c r="X1945" i="1"/>
  <c r="X1946" i="1"/>
  <c r="X1947" i="1"/>
  <c r="X1948" i="1"/>
  <c r="X1949" i="1"/>
  <c r="X1950" i="1"/>
  <c r="X1951" i="1"/>
  <c r="X1952" i="1"/>
  <c r="X1953" i="1"/>
  <c r="X1954" i="1"/>
  <c r="X1955" i="1"/>
  <c r="X1956" i="1"/>
  <c r="X1957" i="1"/>
  <c r="X1958" i="1"/>
  <c r="X1959" i="1"/>
  <c r="X1960" i="1"/>
  <c r="X1961" i="1"/>
  <c r="X1962" i="1"/>
  <c r="X1963" i="1"/>
  <c r="X1964" i="1"/>
  <c r="X1965" i="1"/>
  <c r="X1966" i="1"/>
  <c r="X1967" i="1"/>
  <c r="X1968" i="1"/>
  <c r="X1969" i="1"/>
  <c r="X1970" i="1"/>
  <c r="X1971" i="1"/>
  <c r="X1972" i="1"/>
  <c r="X1973" i="1"/>
  <c r="X1974" i="1"/>
  <c r="X1975" i="1"/>
  <c r="X1976" i="1"/>
  <c r="X1977" i="1"/>
  <c r="X1978" i="1"/>
  <c r="X1979" i="1"/>
  <c r="X1980" i="1"/>
  <c r="X1981" i="1"/>
  <c r="X1982" i="1"/>
  <c r="X1983" i="1"/>
  <c r="X1984" i="1"/>
  <c r="X1985" i="1"/>
  <c r="X1986" i="1"/>
  <c r="X1987" i="1"/>
  <c r="X1988" i="1"/>
  <c r="X1989" i="1"/>
  <c r="X1990" i="1"/>
  <c r="X1991" i="1"/>
  <c r="X1992" i="1"/>
  <c r="X1993" i="1"/>
  <c r="X1994" i="1"/>
  <c r="X1995" i="1"/>
  <c r="X1996" i="1"/>
  <c r="X1997" i="1"/>
  <c r="X1998" i="1"/>
  <c r="X1999" i="1"/>
  <c r="X2000" i="1"/>
  <c r="X2001" i="1"/>
  <c r="X2002" i="1"/>
  <c r="X2003" i="1"/>
  <c r="X2004" i="1"/>
  <c r="X2005" i="1"/>
  <c r="X2006" i="1"/>
  <c r="X2007" i="1"/>
  <c r="X2008" i="1"/>
  <c r="X2009" i="1"/>
  <c r="X2010" i="1"/>
  <c r="X2011" i="1"/>
  <c r="X2012" i="1"/>
  <c r="X2013" i="1"/>
  <c r="X2014" i="1"/>
  <c r="X2015" i="1"/>
  <c r="X2016" i="1"/>
  <c r="X2017" i="1"/>
  <c r="X2018" i="1"/>
  <c r="X2019" i="1"/>
  <c r="X2020" i="1"/>
  <c r="X2021" i="1"/>
  <c r="X2022" i="1"/>
  <c r="X2023" i="1"/>
  <c r="X2024" i="1"/>
  <c r="X2025" i="1"/>
  <c r="X2026" i="1"/>
  <c r="X2027" i="1"/>
  <c r="X2028" i="1"/>
  <c r="X2029" i="1"/>
  <c r="X2030" i="1"/>
  <c r="X2031" i="1"/>
  <c r="X2032" i="1"/>
  <c r="X2033" i="1"/>
  <c r="X2034" i="1"/>
  <c r="X2035" i="1"/>
  <c r="X2036" i="1"/>
  <c r="X2037" i="1"/>
  <c r="X2038" i="1"/>
  <c r="X2039" i="1"/>
  <c r="X2040" i="1"/>
  <c r="X2041" i="1"/>
  <c r="X2042" i="1"/>
  <c r="X2043" i="1"/>
  <c r="X2044" i="1"/>
  <c r="X2045" i="1"/>
  <c r="X2046" i="1"/>
  <c r="X2047" i="1"/>
  <c r="X2048" i="1"/>
  <c r="X2049" i="1"/>
  <c r="X2050" i="1"/>
  <c r="X2051" i="1"/>
  <c r="X2052" i="1"/>
  <c r="X2053" i="1"/>
  <c r="X2054" i="1"/>
  <c r="X2055" i="1"/>
  <c r="X2056" i="1"/>
  <c r="X2057" i="1"/>
  <c r="X2058" i="1"/>
  <c r="X2059" i="1"/>
  <c r="X2060" i="1"/>
  <c r="X2061" i="1"/>
  <c r="X2062" i="1"/>
  <c r="X2063" i="1"/>
  <c r="X2064" i="1"/>
  <c r="X2065" i="1"/>
  <c r="X2066" i="1"/>
  <c r="X2067" i="1"/>
  <c r="X2068" i="1"/>
  <c r="X2069" i="1"/>
  <c r="X2070" i="1"/>
  <c r="X2071" i="1"/>
  <c r="X2072" i="1"/>
  <c r="X2073" i="1"/>
  <c r="X2074" i="1"/>
  <c r="X2075" i="1"/>
  <c r="X2076" i="1"/>
  <c r="X2077" i="1"/>
  <c r="X2078" i="1"/>
  <c r="X2079" i="1"/>
  <c r="X2080" i="1"/>
  <c r="X2081" i="1"/>
  <c r="X2082" i="1"/>
  <c r="X2083" i="1"/>
  <c r="X2084" i="1"/>
  <c r="X2085" i="1"/>
  <c r="X2086" i="1"/>
  <c r="X2087" i="1"/>
  <c r="X2088" i="1"/>
  <c r="X2089" i="1"/>
  <c r="X2090" i="1"/>
  <c r="X2091" i="1"/>
  <c r="X2092" i="1"/>
  <c r="X2093" i="1"/>
  <c r="X2094" i="1"/>
  <c r="X2095" i="1"/>
  <c r="X2096" i="1"/>
  <c r="X2097" i="1"/>
  <c r="X2098" i="1"/>
  <c r="X2099" i="1"/>
  <c r="X2100" i="1"/>
  <c r="X2101" i="1"/>
  <c r="X2102" i="1"/>
  <c r="X2103" i="1"/>
  <c r="X2104" i="1"/>
  <c r="X2105" i="1"/>
  <c r="X2106" i="1"/>
  <c r="X2107" i="1"/>
  <c r="X2108" i="1"/>
  <c r="X2109" i="1"/>
  <c r="X2110" i="1"/>
  <c r="X2111" i="1"/>
  <c r="X2112" i="1"/>
  <c r="X2113" i="1"/>
  <c r="X2114" i="1"/>
  <c r="X2115" i="1"/>
  <c r="X2116" i="1"/>
  <c r="X2117" i="1"/>
  <c r="X2118" i="1"/>
  <c r="X2119" i="1"/>
  <c r="X2120" i="1"/>
  <c r="X2121" i="1"/>
  <c r="X2122" i="1"/>
  <c r="X2123" i="1"/>
  <c r="X2124" i="1"/>
  <c r="X2125" i="1"/>
  <c r="X2126" i="1"/>
  <c r="X2127" i="1"/>
  <c r="X2128" i="1"/>
  <c r="X2129" i="1"/>
  <c r="X2130" i="1"/>
  <c r="X2131" i="1"/>
  <c r="X2132" i="1"/>
  <c r="X2133" i="1"/>
  <c r="X2134" i="1"/>
  <c r="X2135" i="1"/>
  <c r="X2136" i="1"/>
  <c r="X2137" i="1"/>
  <c r="X2138" i="1"/>
  <c r="X2139" i="1"/>
  <c r="X2140" i="1"/>
  <c r="X2141" i="1"/>
  <c r="X2142" i="1"/>
  <c r="X2143" i="1"/>
  <c r="X2144" i="1"/>
  <c r="X2145" i="1"/>
  <c r="X2146" i="1"/>
  <c r="X2147" i="1"/>
  <c r="X2148" i="1"/>
  <c r="X2149" i="1"/>
  <c r="X2150" i="1"/>
  <c r="X2151" i="1"/>
  <c r="X2152" i="1"/>
  <c r="X2153" i="1"/>
  <c r="X2154" i="1"/>
  <c r="X2155" i="1"/>
  <c r="X2156" i="1"/>
  <c r="X2157" i="1"/>
  <c r="X2158" i="1"/>
  <c r="X2159" i="1"/>
  <c r="X2160" i="1"/>
  <c r="X2161" i="1"/>
  <c r="X2162" i="1"/>
  <c r="X2163" i="1"/>
  <c r="X2164" i="1"/>
  <c r="X2165" i="1"/>
  <c r="X2166" i="1"/>
  <c r="X2167" i="1"/>
  <c r="X2168" i="1"/>
  <c r="X2169" i="1"/>
  <c r="X2170" i="1"/>
  <c r="X2171" i="1"/>
  <c r="X2172" i="1"/>
  <c r="X2173" i="1"/>
  <c r="X2174" i="1"/>
  <c r="X2175" i="1"/>
  <c r="X2176" i="1"/>
  <c r="X2177" i="1"/>
  <c r="X2178" i="1"/>
  <c r="X2179" i="1"/>
  <c r="X2180" i="1"/>
  <c r="X2181" i="1"/>
  <c r="X2182" i="1"/>
  <c r="X2183" i="1"/>
  <c r="X2184" i="1"/>
  <c r="X2185" i="1"/>
  <c r="X2186" i="1"/>
  <c r="X2187" i="1"/>
  <c r="X2188" i="1"/>
  <c r="X2189" i="1"/>
  <c r="X2190" i="1"/>
  <c r="X2191" i="1"/>
  <c r="X2192" i="1"/>
  <c r="X2193" i="1"/>
  <c r="X2194" i="1"/>
  <c r="X2195" i="1"/>
  <c r="X2196" i="1"/>
  <c r="X2197" i="1"/>
  <c r="X2198" i="1"/>
  <c r="X2199" i="1"/>
  <c r="X2200" i="1"/>
  <c r="X2201" i="1"/>
  <c r="X2202" i="1"/>
  <c r="X2203" i="1"/>
  <c r="X2204" i="1"/>
  <c r="X2205" i="1"/>
  <c r="X2206" i="1"/>
  <c r="X2207" i="1"/>
  <c r="X2208" i="1"/>
  <c r="X2209" i="1"/>
  <c r="X2210" i="1"/>
  <c r="X2211" i="1"/>
  <c r="X2212" i="1"/>
  <c r="X2213" i="1"/>
  <c r="X2214" i="1"/>
  <c r="X2215" i="1"/>
  <c r="X2216" i="1"/>
  <c r="X2217" i="1"/>
  <c r="X2218" i="1"/>
  <c r="X2219" i="1"/>
  <c r="X2220" i="1"/>
  <c r="X2221" i="1"/>
  <c r="X2222" i="1"/>
  <c r="X2223" i="1"/>
  <c r="X2224" i="1"/>
  <c r="X2225" i="1"/>
  <c r="X2226" i="1"/>
  <c r="X2227" i="1"/>
  <c r="X2228" i="1"/>
  <c r="X2229" i="1"/>
  <c r="X2230" i="1"/>
  <c r="X2231" i="1"/>
  <c r="X2232" i="1"/>
  <c r="X2233" i="1"/>
  <c r="X2234" i="1"/>
  <c r="X2235" i="1"/>
  <c r="X2236" i="1"/>
  <c r="X2237" i="1"/>
  <c r="X2238" i="1"/>
  <c r="X2239" i="1"/>
  <c r="X2240" i="1"/>
  <c r="X2241" i="1"/>
  <c r="X2242" i="1"/>
  <c r="X2243" i="1"/>
  <c r="X2244" i="1"/>
  <c r="X2245" i="1"/>
  <c r="X2246" i="1"/>
  <c r="X2247" i="1"/>
  <c r="X2248" i="1"/>
  <c r="X2249" i="1"/>
  <c r="X2250" i="1"/>
  <c r="X2251" i="1"/>
  <c r="X2252" i="1"/>
  <c r="X2253" i="1"/>
  <c r="X2254" i="1"/>
  <c r="X2255" i="1"/>
  <c r="X2256" i="1"/>
  <c r="X2257" i="1"/>
  <c r="X2258" i="1"/>
  <c r="X2259" i="1"/>
  <c r="X2260" i="1"/>
  <c r="X2261" i="1"/>
  <c r="X2262" i="1"/>
  <c r="X2263" i="1"/>
  <c r="X2264" i="1"/>
  <c r="X2265" i="1"/>
  <c r="X2266" i="1"/>
  <c r="X2267" i="1"/>
  <c r="X2268" i="1"/>
  <c r="X2269" i="1"/>
  <c r="X2270" i="1"/>
  <c r="X2271" i="1"/>
  <c r="X2272" i="1"/>
  <c r="X2273" i="1"/>
  <c r="X2274" i="1"/>
  <c r="X2275" i="1"/>
  <c r="X2276" i="1"/>
  <c r="X2277" i="1"/>
  <c r="X2278" i="1"/>
  <c r="X2279" i="1"/>
  <c r="X2280" i="1"/>
  <c r="X2281" i="1"/>
  <c r="X2282" i="1"/>
  <c r="X2283" i="1"/>
  <c r="X2284" i="1"/>
  <c r="X2285" i="1"/>
  <c r="X2286" i="1"/>
  <c r="X2287" i="1"/>
  <c r="X2288" i="1"/>
  <c r="X2289" i="1"/>
  <c r="X2290" i="1"/>
  <c r="X2291" i="1"/>
  <c r="X2292" i="1"/>
  <c r="X2293" i="1"/>
  <c r="X2294" i="1"/>
  <c r="X2295" i="1"/>
  <c r="X2296" i="1"/>
  <c r="X2297" i="1"/>
  <c r="X2298" i="1"/>
  <c r="X2299" i="1"/>
  <c r="X2300" i="1"/>
  <c r="X2301" i="1"/>
  <c r="X2302" i="1"/>
  <c r="X2303" i="1"/>
  <c r="X2304" i="1"/>
  <c r="X2305" i="1"/>
  <c r="X2306" i="1"/>
  <c r="X2307" i="1"/>
  <c r="X2308" i="1"/>
  <c r="X2309" i="1"/>
  <c r="X2310" i="1"/>
  <c r="X2311" i="1"/>
  <c r="X2312" i="1"/>
  <c r="X2313" i="1"/>
  <c r="X2314" i="1"/>
  <c r="X2315" i="1"/>
  <c r="X2316" i="1"/>
  <c r="X2317" i="1"/>
  <c r="X2318" i="1"/>
  <c r="X2319" i="1"/>
  <c r="X2320" i="1"/>
  <c r="X2321" i="1"/>
  <c r="X2322" i="1"/>
  <c r="X2323" i="1"/>
  <c r="X2324" i="1"/>
  <c r="X2325" i="1"/>
  <c r="X2326" i="1"/>
  <c r="X2327" i="1"/>
  <c r="X2328" i="1"/>
  <c r="X2329" i="1"/>
  <c r="X2330" i="1"/>
  <c r="X2331" i="1"/>
  <c r="X2332" i="1"/>
  <c r="X2333" i="1"/>
  <c r="X2334" i="1"/>
  <c r="X2335" i="1"/>
  <c r="X2336" i="1"/>
  <c r="X2337" i="1"/>
  <c r="X2338" i="1"/>
  <c r="X2339" i="1"/>
  <c r="X2340" i="1"/>
  <c r="X2341" i="1"/>
  <c r="X2342" i="1"/>
  <c r="X2343" i="1"/>
  <c r="X2344" i="1"/>
  <c r="X2345" i="1"/>
  <c r="X2346" i="1"/>
  <c r="X2347" i="1"/>
  <c r="X2348" i="1"/>
  <c r="X2349" i="1"/>
  <c r="X2350" i="1"/>
  <c r="X2351" i="1"/>
  <c r="X2352" i="1"/>
  <c r="X2353" i="1"/>
  <c r="X2354" i="1"/>
  <c r="X2355" i="1"/>
  <c r="X2356" i="1"/>
  <c r="X2357" i="1"/>
  <c r="X2358" i="1"/>
  <c r="X2359" i="1"/>
  <c r="X2360" i="1"/>
  <c r="X2361" i="1"/>
  <c r="X2362" i="1"/>
  <c r="X2363" i="1"/>
  <c r="X2364" i="1"/>
  <c r="X2365" i="1"/>
  <c r="X2366" i="1"/>
  <c r="X2367" i="1"/>
  <c r="X2368" i="1"/>
  <c r="X2369" i="1"/>
  <c r="X2370" i="1"/>
  <c r="X2371" i="1"/>
  <c r="X2372" i="1"/>
  <c r="X2373" i="1"/>
  <c r="X2374" i="1"/>
  <c r="X2375" i="1"/>
  <c r="X2376" i="1"/>
  <c r="X2377" i="1"/>
  <c r="X2378" i="1"/>
  <c r="X2379" i="1"/>
  <c r="X2380" i="1"/>
  <c r="X2381" i="1"/>
  <c r="X2382" i="1"/>
  <c r="X2383" i="1"/>
  <c r="X2384" i="1"/>
  <c r="X2385" i="1"/>
  <c r="X2386" i="1"/>
  <c r="X2387" i="1"/>
  <c r="X2388" i="1"/>
  <c r="X2389" i="1"/>
  <c r="X2390" i="1"/>
  <c r="X2391" i="1"/>
  <c r="X2392" i="1"/>
  <c r="X2393" i="1"/>
  <c r="X2394" i="1"/>
  <c r="X2395" i="1"/>
  <c r="X2396" i="1"/>
  <c r="X2397" i="1"/>
  <c r="X2398" i="1"/>
  <c r="X2399" i="1"/>
  <c r="X2400" i="1"/>
  <c r="X2401" i="1"/>
  <c r="X2402" i="1"/>
  <c r="X2403" i="1"/>
  <c r="X2404" i="1"/>
  <c r="X2405" i="1"/>
  <c r="X2406" i="1"/>
  <c r="X2407" i="1"/>
  <c r="X2408" i="1"/>
  <c r="X2409" i="1"/>
  <c r="X2410" i="1"/>
  <c r="X2411" i="1"/>
  <c r="X2412" i="1"/>
  <c r="X2413" i="1"/>
  <c r="X2414" i="1"/>
  <c r="X2415" i="1"/>
  <c r="X2416" i="1"/>
  <c r="X2417" i="1"/>
  <c r="X2418" i="1"/>
  <c r="X2419" i="1"/>
  <c r="X2420" i="1"/>
  <c r="X2421" i="1"/>
  <c r="X2422" i="1"/>
  <c r="X2423" i="1"/>
  <c r="X2424" i="1"/>
  <c r="X2425" i="1"/>
  <c r="X2426" i="1"/>
  <c r="X2427" i="1"/>
  <c r="X2428" i="1"/>
  <c r="X2429" i="1"/>
  <c r="X2430" i="1"/>
  <c r="X2431" i="1"/>
  <c r="X2432" i="1"/>
  <c r="X2433" i="1"/>
  <c r="X2434" i="1"/>
  <c r="X2435" i="1"/>
  <c r="X2436" i="1"/>
  <c r="X2437" i="1"/>
  <c r="X2438" i="1"/>
  <c r="X2439" i="1"/>
  <c r="X2440" i="1"/>
  <c r="X2441" i="1"/>
  <c r="X2442" i="1"/>
  <c r="X2443" i="1"/>
  <c r="X2444" i="1"/>
  <c r="X2445" i="1"/>
  <c r="X2446" i="1"/>
  <c r="X2447" i="1"/>
  <c r="X2448" i="1"/>
  <c r="X2449" i="1"/>
  <c r="X2450" i="1"/>
  <c r="X2451" i="1"/>
  <c r="X2452" i="1"/>
  <c r="X2453" i="1"/>
  <c r="X2454" i="1"/>
  <c r="X2455" i="1"/>
  <c r="X2456" i="1"/>
  <c r="X2457" i="1"/>
  <c r="X2458" i="1"/>
  <c r="X2459" i="1"/>
  <c r="X2460" i="1"/>
  <c r="X2461" i="1"/>
  <c r="X2462" i="1"/>
  <c r="X2463" i="1"/>
  <c r="X2464" i="1"/>
  <c r="X2465" i="1"/>
  <c r="X2466" i="1"/>
  <c r="X2467" i="1"/>
  <c r="X2468" i="1"/>
  <c r="X2469" i="1"/>
  <c r="X2470" i="1"/>
  <c r="X2471" i="1"/>
  <c r="X2472" i="1"/>
  <c r="X2473" i="1"/>
  <c r="X2474" i="1"/>
  <c r="X2475" i="1"/>
  <c r="X2476" i="1"/>
  <c r="X2477" i="1"/>
  <c r="X2478" i="1"/>
  <c r="X2479" i="1"/>
  <c r="X2480" i="1"/>
  <c r="X2481" i="1"/>
  <c r="X2482" i="1"/>
  <c r="X2483" i="1"/>
  <c r="X2484" i="1"/>
  <c r="X2485" i="1"/>
  <c r="X2486" i="1"/>
  <c r="X2487" i="1"/>
  <c r="X2488" i="1"/>
  <c r="X2489" i="1"/>
  <c r="X2490" i="1"/>
  <c r="X2491" i="1"/>
  <c r="X2492" i="1"/>
  <c r="X2493" i="1"/>
  <c r="X2494" i="1"/>
  <c r="X2495" i="1"/>
  <c r="X2496" i="1"/>
  <c r="X2497" i="1"/>
  <c r="X2498" i="1"/>
  <c r="X2499" i="1"/>
  <c r="X2500" i="1"/>
  <c r="X2501" i="1"/>
  <c r="X2502" i="1"/>
  <c r="X2503" i="1"/>
  <c r="X2504" i="1"/>
  <c r="X2505" i="1"/>
  <c r="X2506" i="1"/>
  <c r="X2507" i="1"/>
  <c r="X2508" i="1"/>
  <c r="X2509" i="1"/>
  <c r="X2510" i="1"/>
  <c r="X2511" i="1"/>
  <c r="X2512" i="1"/>
  <c r="X2513" i="1"/>
  <c r="X2514" i="1"/>
  <c r="X2515" i="1"/>
  <c r="X2516" i="1"/>
  <c r="X2517" i="1"/>
  <c r="X2518" i="1"/>
  <c r="X2519" i="1"/>
  <c r="X2520" i="1"/>
  <c r="X2521" i="1"/>
  <c r="X2522" i="1"/>
  <c r="X2523" i="1"/>
  <c r="X2524" i="1"/>
  <c r="X2525" i="1"/>
  <c r="X2526" i="1"/>
  <c r="X2527" i="1"/>
  <c r="X2528" i="1"/>
  <c r="X2529" i="1"/>
  <c r="X2530" i="1"/>
  <c r="X2531" i="1"/>
  <c r="X2532" i="1"/>
  <c r="X2533" i="1"/>
  <c r="X2534" i="1"/>
  <c r="X2535" i="1"/>
  <c r="X2536" i="1"/>
  <c r="X2537" i="1"/>
  <c r="X2538" i="1"/>
  <c r="X2539" i="1"/>
  <c r="X2540" i="1"/>
  <c r="X2541" i="1"/>
  <c r="X2542" i="1"/>
  <c r="X2543" i="1"/>
  <c r="X2544" i="1"/>
  <c r="X2545" i="1"/>
  <c r="X2546" i="1"/>
  <c r="X2547" i="1"/>
  <c r="X2548" i="1"/>
  <c r="X2549" i="1"/>
  <c r="X2550" i="1"/>
  <c r="X2551" i="1"/>
  <c r="X2552" i="1"/>
  <c r="X2553" i="1"/>
  <c r="X2554" i="1"/>
  <c r="X2555" i="1"/>
  <c r="X2556" i="1"/>
  <c r="X2557" i="1"/>
  <c r="X2558" i="1"/>
  <c r="X2559" i="1"/>
  <c r="X2560" i="1"/>
  <c r="X2561" i="1"/>
  <c r="X2562" i="1"/>
  <c r="X2563" i="1"/>
  <c r="X2564" i="1"/>
  <c r="X2565" i="1"/>
  <c r="X2566" i="1"/>
  <c r="X2567" i="1"/>
  <c r="X2568" i="1"/>
  <c r="X2569" i="1"/>
  <c r="X2570" i="1"/>
  <c r="X2571" i="1"/>
  <c r="X2572" i="1"/>
  <c r="X2573" i="1"/>
  <c r="X2574" i="1"/>
  <c r="X2575" i="1"/>
  <c r="X2576" i="1"/>
  <c r="X2577" i="1"/>
  <c r="X2578" i="1"/>
  <c r="X2579" i="1"/>
  <c r="X2580" i="1"/>
  <c r="X2581" i="1"/>
  <c r="X2582" i="1"/>
  <c r="X2583" i="1"/>
  <c r="X2584" i="1"/>
  <c r="X2585" i="1"/>
  <c r="X2586" i="1"/>
  <c r="X2587" i="1"/>
  <c r="X2588" i="1"/>
  <c r="X2589" i="1"/>
  <c r="X2590" i="1"/>
  <c r="X2591" i="1"/>
  <c r="X2592" i="1"/>
  <c r="X2593" i="1"/>
  <c r="X2594" i="1"/>
  <c r="X2595" i="1"/>
  <c r="X2596" i="1"/>
  <c r="X2597" i="1"/>
  <c r="X2598" i="1"/>
  <c r="X2599" i="1"/>
  <c r="X2600" i="1"/>
  <c r="X2601" i="1"/>
  <c r="X2602" i="1"/>
  <c r="X2603" i="1"/>
  <c r="X2604" i="1"/>
  <c r="X2605" i="1"/>
  <c r="X2606" i="1"/>
  <c r="X2607" i="1"/>
  <c r="X2608" i="1"/>
  <c r="X2609" i="1"/>
  <c r="X2610" i="1"/>
  <c r="X2611" i="1"/>
  <c r="X2612" i="1"/>
  <c r="X2613" i="1"/>
  <c r="X2614" i="1"/>
  <c r="X2615" i="1"/>
  <c r="X2616" i="1"/>
  <c r="X2617" i="1"/>
  <c r="X2618" i="1"/>
  <c r="X2619" i="1"/>
  <c r="X2620" i="1"/>
  <c r="X2621" i="1"/>
  <c r="X2622" i="1"/>
  <c r="X2623" i="1"/>
  <c r="X2624" i="1"/>
  <c r="X2625" i="1"/>
  <c r="X2626" i="1"/>
  <c r="X2627" i="1"/>
  <c r="X2628" i="1"/>
  <c r="X2629" i="1"/>
  <c r="X2630" i="1"/>
  <c r="X2631" i="1"/>
  <c r="X2632" i="1"/>
  <c r="X2633" i="1"/>
  <c r="X2634" i="1"/>
  <c r="X2635" i="1"/>
  <c r="X2636" i="1"/>
  <c r="X2637" i="1"/>
  <c r="X2638" i="1"/>
  <c r="X2639" i="1"/>
  <c r="X2640" i="1"/>
  <c r="X2641" i="1"/>
  <c r="X2642" i="1"/>
  <c r="X2643" i="1"/>
  <c r="X2644" i="1"/>
  <c r="X2645" i="1"/>
  <c r="X2646" i="1"/>
  <c r="X2647" i="1"/>
  <c r="X2648" i="1"/>
  <c r="X2649" i="1"/>
  <c r="X2650" i="1"/>
  <c r="X2651" i="1"/>
  <c r="X2652" i="1"/>
  <c r="X2653" i="1"/>
  <c r="X2654" i="1"/>
  <c r="X2655" i="1"/>
  <c r="X2656" i="1"/>
  <c r="X2657" i="1"/>
  <c r="X2658" i="1"/>
  <c r="X2659" i="1"/>
  <c r="X2660" i="1"/>
  <c r="X2661" i="1"/>
  <c r="X2662" i="1"/>
  <c r="X2663" i="1"/>
  <c r="X2664" i="1"/>
  <c r="X2665" i="1"/>
  <c r="X2666" i="1"/>
  <c r="X2667" i="1"/>
  <c r="X2668" i="1"/>
  <c r="X2669" i="1"/>
  <c r="X2670" i="1"/>
  <c r="X2671" i="1"/>
  <c r="X2672" i="1"/>
  <c r="X2673" i="1"/>
  <c r="X2674" i="1"/>
  <c r="X2675" i="1"/>
  <c r="X2676" i="1"/>
  <c r="X2677" i="1"/>
  <c r="X2678" i="1"/>
  <c r="X2679" i="1"/>
  <c r="X2680" i="1"/>
  <c r="X2681" i="1"/>
  <c r="X2682" i="1"/>
  <c r="X2683" i="1"/>
  <c r="X2684" i="1"/>
  <c r="X2685" i="1"/>
  <c r="X2686" i="1"/>
  <c r="X2687" i="1"/>
  <c r="X2688" i="1"/>
  <c r="X2689" i="1"/>
  <c r="X2690" i="1"/>
  <c r="X2691" i="1"/>
  <c r="X2692" i="1"/>
  <c r="X2693" i="1"/>
  <c r="X2694" i="1"/>
  <c r="X2695" i="1"/>
  <c r="X2696" i="1"/>
  <c r="X2697" i="1"/>
  <c r="X2698" i="1"/>
  <c r="X2699" i="1"/>
  <c r="X2700" i="1"/>
  <c r="X2701" i="1"/>
  <c r="X2702" i="1"/>
  <c r="X2703" i="1"/>
  <c r="X2704" i="1"/>
  <c r="X2705" i="1"/>
  <c r="X2706" i="1"/>
  <c r="X2707" i="1"/>
  <c r="X2708" i="1"/>
  <c r="X2709" i="1"/>
  <c r="X2710" i="1"/>
  <c r="X2711" i="1"/>
  <c r="X2712" i="1"/>
  <c r="X2713" i="1"/>
  <c r="X2714" i="1"/>
  <c r="X2715" i="1"/>
  <c r="X2716" i="1"/>
  <c r="X2717" i="1"/>
  <c r="X2718" i="1"/>
  <c r="X2719" i="1"/>
  <c r="X2720" i="1"/>
  <c r="X2721" i="1"/>
  <c r="X2722" i="1"/>
  <c r="X2723" i="1"/>
  <c r="X2724" i="1"/>
  <c r="X2725" i="1"/>
  <c r="X2726" i="1"/>
  <c r="X2727" i="1"/>
  <c r="X2728" i="1"/>
  <c r="X2729" i="1"/>
  <c r="X2730" i="1"/>
  <c r="X2731" i="1"/>
  <c r="X2732" i="1"/>
  <c r="X2733" i="1"/>
  <c r="X2734" i="1"/>
  <c r="X2735" i="1"/>
  <c r="X2736" i="1"/>
  <c r="X2737" i="1"/>
  <c r="X2738" i="1"/>
  <c r="X2739" i="1"/>
  <c r="X2740" i="1"/>
  <c r="X2741" i="1"/>
  <c r="X2742" i="1"/>
  <c r="X2743" i="1"/>
  <c r="X2744" i="1"/>
  <c r="X2745" i="1"/>
  <c r="X2746" i="1"/>
  <c r="X2747" i="1"/>
  <c r="X2748" i="1"/>
  <c r="X2749" i="1"/>
  <c r="X2750" i="1"/>
  <c r="X2751" i="1"/>
  <c r="X2752" i="1"/>
  <c r="X2753" i="1"/>
  <c r="X2754" i="1"/>
  <c r="X2755" i="1"/>
  <c r="X2756" i="1"/>
  <c r="X2757" i="1"/>
  <c r="X2758" i="1"/>
  <c r="X2759" i="1"/>
  <c r="X2760" i="1"/>
  <c r="X2761" i="1"/>
  <c r="X2762" i="1"/>
  <c r="X2763" i="1"/>
  <c r="X2764" i="1"/>
  <c r="X2765" i="1"/>
  <c r="X2766" i="1"/>
  <c r="X2767" i="1"/>
  <c r="X2768" i="1"/>
  <c r="X2769" i="1"/>
  <c r="X2770" i="1"/>
  <c r="X2771" i="1"/>
  <c r="X2772" i="1"/>
  <c r="X2773" i="1"/>
  <c r="X2774" i="1"/>
  <c r="X2775" i="1"/>
  <c r="X2776" i="1"/>
  <c r="X2777" i="1"/>
  <c r="X2778" i="1"/>
  <c r="X2779" i="1"/>
  <c r="X2780" i="1"/>
  <c r="X2781" i="1"/>
  <c r="X2782" i="1"/>
  <c r="X2783" i="1"/>
  <c r="X2784" i="1"/>
  <c r="X2785" i="1"/>
  <c r="X2786" i="1"/>
  <c r="X2787" i="1"/>
  <c r="X2788" i="1"/>
  <c r="X2789" i="1"/>
  <c r="X2790" i="1"/>
  <c r="X2791" i="1"/>
  <c r="X2792" i="1"/>
  <c r="X2793" i="1"/>
  <c r="X2794" i="1"/>
  <c r="X2795" i="1"/>
  <c r="X2796" i="1"/>
  <c r="X2797" i="1"/>
  <c r="X2798" i="1"/>
  <c r="X2799" i="1"/>
  <c r="X2800" i="1"/>
  <c r="X2801" i="1"/>
  <c r="X2802" i="1"/>
  <c r="X2803" i="1"/>
  <c r="X2804" i="1"/>
  <c r="X2805" i="1"/>
  <c r="X2806" i="1"/>
  <c r="X2807" i="1"/>
  <c r="X2808" i="1"/>
  <c r="X2809" i="1"/>
  <c r="X2810" i="1"/>
  <c r="X2811" i="1"/>
  <c r="X2812" i="1"/>
  <c r="X2813" i="1"/>
  <c r="X2814" i="1"/>
  <c r="X2815" i="1"/>
  <c r="X2816" i="1"/>
  <c r="X2817" i="1"/>
  <c r="X2818" i="1"/>
  <c r="X2819" i="1"/>
  <c r="X2820" i="1"/>
  <c r="X2821" i="1"/>
  <c r="X2822" i="1"/>
  <c r="X2823" i="1"/>
  <c r="X2824" i="1"/>
  <c r="X2825" i="1"/>
  <c r="X2826" i="1"/>
  <c r="X2827" i="1"/>
  <c r="X2828" i="1"/>
  <c r="X2829" i="1"/>
  <c r="X2830" i="1"/>
  <c r="X2831" i="1"/>
  <c r="X2832" i="1"/>
  <c r="X2833" i="1"/>
  <c r="X2834" i="1"/>
  <c r="X2835" i="1"/>
  <c r="X2836" i="1"/>
  <c r="X2837" i="1"/>
  <c r="X2838" i="1"/>
  <c r="X2839" i="1"/>
  <c r="X2840" i="1"/>
  <c r="X2841" i="1"/>
  <c r="X2842" i="1"/>
  <c r="X2843" i="1"/>
  <c r="X2844" i="1"/>
  <c r="X2845" i="1"/>
  <c r="X2846" i="1"/>
  <c r="X2847" i="1"/>
  <c r="X2848" i="1"/>
  <c r="X2849" i="1"/>
  <c r="X2850" i="1"/>
  <c r="X2851" i="1"/>
  <c r="X2852" i="1"/>
  <c r="X2853" i="1"/>
  <c r="X2854" i="1"/>
  <c r="X2855" i="1"/>
  <c r="X2856" i="1"/>
  <c r="X2857" i="1"/>
  <c r="X2858" i="1"/>
  <c r="X2859" i="1"/>
  <c r="X2860" i="1"/>
  <c r="X2861" i="1"/>
  <c r="X2862" i="1"/>
  <c r="X2863" i="1"/>
  <c r="X2864" i="1"/>
  <c r="X2865" i="1"/>
  <c r="X2866" i="1"/>
  <c r="X2867" i="1"/>
  <c r="X2868" i="1"/>
  <c r="X2869" i="1"/>
  <c r="X2870" i="1"/>
  <c r="X2871" i="1"/>
  <c r="X2872" i="1"/>
  <c r="X2873" i="1"/>
  <c r="X2874" i="1"/>
  <c r="X2875" i="1"/>
  <c r="X2876" i="1"/>
  <c r="X2877" i="1"/>
  <c r="X2878" i="1"/>
  <c r="X2879" i="1"/>
  <c r="X2880" i="1"/>
  <c r="X2881" i="1"/>
  <c r="X2882" i="1"/>
  <c r="X2883" i="1"/>
  <c r="X2884" i="1"/>
  <c r="X2885" i="1"/>
  <c r="X2886" i="1"/>
  <c r="X2887" i="1"/>
  <c r="X2888" i="1"/>
  <c r="X2889" i="1"/>
  <c r="X2890" i="1"/>
  <c r="X2891" i="1"/>
  <c r="X2892" i="1"/>
  <c r="X2893" i="1"/>
  <c r="X2894" i="1"/>
  <c r="X2895" i="1"/>
  <c r="X2896" i="1"/>
  <c r="X2897" i="1"/>
  <c r="X2898" i="1"/>
  <c r="X2899" i="1"/>
  <c r="X2900" i="1"/>
  <c r="X2901" i="1"/>
  <c r="X2902" i="1"/>
  <c r="X2903" i="1"/>
  <c r="X2904" i="1"/>
  <c r="X2905" i="1"/>
  <c r="X2906" i="1"/>
  <c r="X2907" i="1"/>
  <c r="X2908" i="1"/>
  <c r="X2909" i="1"/>
  <c r="X2910" i="1"/>
  <c r="X2911" i="1"/>
  <c r="X2912" i="1"/>
  <c r="X2913" i="1"/>
  <c r="X2914" i="1"/>
  <c r="X2915" i="1"/>
  <c r="X2916" i="1"/>
  <c r="X2917" i="1"/>
  <c r="X2918" i="1"/>
  <c r="X2919" i="1"/>
  <c r="X2920" i="1"/>
  <c r="X2921" i="1"/>
  <c r="X2922" i="1"/>
  <c r="X2923" i="1"/>
  <c r="X2924" i="1"/>
  <c r="X2925" i="1"/>
  <c r="X2926" i="1"/>
  <c r="X2927" i="1"/>
  <c r="X2928" i="1"/>
  <c r="X2929" i="1"/>
  <c r="X2930" i="1"/>
  <c r="X2931" i="1"/>
  <c r="X2932" i="1"/>
  <c r="X2933" i="1"/>
  <c r="X2934" i="1"/>
  <c r="X2935" i="1"/>
  <c r="X2936" i="1"/>
  <c r="X2937" i="1"/>
  <c r="X2938" i="1"/>
  <c r="X2939" i="1"/>
  <c r="X2940" i="1"/>
  <c r="X2941" i="1"/>
  <c r="X2942" i="1"/>
  <c r="X2943" i="1"/>
  <c r="X2944" i="1"/>
  <c r="X2945" i="1"/>
  <c r="X2946" i="1"/>
  <c r="X2947" i="1"/>
  <c r="X2948" i="1"/>
  <c r="X2949" i="1"/>
  <c r="X2950" i="1"/>
  <c r="X2951" i="1"/>
  <c r="X2952" i="1"/>
  <c r="X2953" i="1"/>
  <c r="X2954" i="1"/>
  <c r="X2955" i="1"/>
  <c r="X2956" i="1"/>
  <c r="X2957" i="1"/>
  <c r="X2958" i="1"/>
  <c r="X2959" i="1"/>
  <c r="X2960" i="1"/>
  <c r="X2961" i="1"/>
  <c r="X2962" i="1"/>
  <c r="X2963" i="1"/>
  <c r="X2964" i="1"/>
  <c r="X2965" i="1"/>
  <c r="X2966" i="1"/>
  <c r="X2967" i="1"/>
  <c r="X2968" i="1"/>
  <c r="X2969" i="1"/>
  <c r="X2970" i="1"/>
  <c r="X2971" i="1"/>
  <c r="X2972" i="1"/>
  <c r="X2973" i="1"/>
  <c r="X2974" i="1"/>
  <c r="X2975" i="1"/>
  <c r="X2976" i="1"/>
  <c r="X2977" i="1"/>
  <c r="X2978" i="1"/>
  <c r="X2979" i="1"/>
  <c r="X2980" i="1"/>
  <c r="X2981" i="1"/>
  <c r="X2982" i="1"/>
  <c r="X2983" i="1"/>
  <c r="X2984" i="1"/>
  <c r="X2985" i="1"/>
  <c r="X2986" i="1"/>
  <c r="X2987" i="1"/>
  <c r="X2988" i="1"/>
  <c r="X2989" i="1"/>
  <c r="X2990" i="1"/>
  <c r="X2991" i="1"/>
  <c r="X2992" i="1"/>
  <c r="X2993" i="1"/>
  <c r="X2994" i="1"/>
  <c r="X2995" i="1"/>
  <c r="X2996" i="1"/>
  <c r="X2997" i="1"/>
  <c r="X2998" i="1"/>
  <c r="X2999" i="1"/>
  <c r="X3000" i="1"/>
  <c r="X3001" i="1"/>
  <c r="X3002" i="1"/>
  <c r="X3003" i="1"/>
  <c r="X3004" i="1"/>
  <c r="X3005" i="1"/>
  <c r="X3006" i="1"/>
  <c r="X3007" i="1"/>
  <c r="X3008" i="1"/>
  <c r="X3009" i="1"/>
  <c r="X3010" i="1"/>
  <c r="X3011" i="1"/>
  <c r="X3012" i="1"/>
  <c r="X3013" i="1"/>
  <c r="X3014" i="1"/>
  <c r="X3015" i="1"/>
  <c r="X3016" i="1"/>
  <c r="X3017" i="1"/>
  <c r="X3018" i="1"/>
  <c r="X3019" i="1"/>
  <c r="X3020" i="1"/>
  <c r="X3021" i="1"/>
  <c r="X3022" i="1"/>
  <c r="X3023" i="1"/>
  <c r="X3024" i="1"/>
  <c r="X3025" i="1"/>
  <c r="X3026" i="1"/>
  <c r="X3027" i="1"/>
  <c r="X3028" i="1"/>
  <c r="X3029" i="1"/>
  <c r="X3030" i="1"/>
  <c r="X3031" i="1"/>
  <c r="X3032" i="1"/>
  <c r="X3033" i="1"/>
  <c r="X3034" i="1"/>
  <c r="X3035" i="1"/>
  <c r="B3084" i="1" l="1"/>
  <c r="H200" i="10" l="1"/>
  <c r="Z224" i="10"/>
  <c r="Z248" i="10"/>
  <c r="H22" i="10"/>
  <c r="C89" i="16" s="1"/>
  <c r="C21" i="10"/>
  <c r="C68" i="16" s="1"/>
  <c r="I89" i="7"/>
  <c r="I71" i="7"/>
  <c r="X14" i="1"/>
  <c r="X13" i="1"/>
  <c r="X12" i="1"/>
  <c r="X11" i="1"/>
  <c r="X10" i="1"/>
  <c r="X9" i="1"/>
  <c r="I181" i="7"/>
  <c r="I182" i="7"/>
  <c r="I183" i="7"/>
  <c r="I184" i="7"/>
  <c r="I185" i="7"/>
  <c r="I186" i="7"/>
  <c r="I187" i="7"/>
  <c r="I188" i="7"/>
  <c r="I189" i="7"/>
  <c r="I190" i="7"/>
  <c r="I191" i="7"/>
  <c r="I192" i="7"/>
  <c r="I193" i="7"/>
  <c r="I194" i="7"/>
  <c r="I195" i="7"/>
  <c r="I196" i="7"/>
  <c r="I197" i="7"/>
  <c r="I198" i="7"/>
  <c r="I199" i="7"/>
  <c r="I200" i="7"/>
  <c r="I201" i="7"/>
  <c r="I202" i="7"/>
  <c r="I203" i="7"/>
  <c r="B7" i="12"/>
  <c r="C7" i="12" s="1"/>
  <c r="C23" i="10"/>
  <c r="C67" i="16" s="1"/>
  <c r="C50" i="8" s="1"/>
  <c r="D334" i="6"/>
  <c r="D58" i="6"/>
  <c r="D40" i="6"/>
  <c r="I288" i="7"/>
  <c r="I289" i="7"/>
  <c r="I217" i="7"/>
  <c r="I128" i="7"/>
  <c r="D26" i="11"/>
  <c r="H3100" i="1"/>
  <c r="D27" i="11"/>
  <c r="D28" i="11"/>
  <c r="D29" i="11"/>
  <c r="D30" i="11"/>
  <c r="D31" i="11"/>
  <c r="D32" i="11"/>
  <c r="D34" i="11"/>
  <c r="D41" i="11"/>
  <c r="D43" i="11"/>
  <c r="D44" i="11"/>
  <c r="D45" i="11"/>
  <c r="D46" i="11"/>
  <c r="D47" i="11"/>
  <c r="D48" i="11"/>
  <c r="D54" i="11"/>
  <c r="D55" i="11"/>
  <c r="D56" i="11"/>
  <c r="D62" i="11"/>
  <c r="D65" i="11"/>
  <c r="D66" i="11"/>
  <c r="D75" i="11"/>
  <c r="D77" i="11"/>
  <c r="D78" i="11"/>
  <c r="D80" i="11"/>
  <c r="D86" i="11"/>
  <c r="D87" i="11"/>
  <c r="D88" i="11"/>
  <c r="D89" i="11"/>
  <c r="D90" i="11"/>
  <c r="D91" i="11"/>
  <c r="D92" i="11"/>
  <c r="D93" i="11"/>
  <c r="D95" i="11"/>
  <c r="D96" i="11"/>
  <c r="D97" i="11"/>
  <c r="D104" i="11"/>
  <c r="D105" i="11"/>
  <c r="D106" i="11"/>
  <c r="D107" i="11"/>
  <c r="D108" i="11"/>
  <c r="D109" i="11"/>
  <c r="D110" i="11"/>
  <c r="D111" i="11"/>
  <c r="D118" i="11"/>
  <c r="D119" i="11"/>
  <c r="D121" i="11"/>
  <c r="D122" i="11"/>
  <c r="D123" i="11"/>
  <c r="D124" i="11"/>
  <c r="D126" i="11"/>
  <c r="D127" i="11"/>
  <c r="D128" i="11"/>
  <c r="D129" i="11"/>
  <c r="D135" i="11"/>
  <c r="D136" i="11"/>
  <c r="D137" i="11"/>
  <c r="D138" i="11"/>
  <c r="D139" i="11"/>
  <c r="D140" i="11"/>
  <c r="D142" i="11"/>
  <c r="D148" i="11"/>
  <c r="D150" i="11"/>
  <c r="D153" i="11"/>
  <c r="D154" i="11"/>
  <c r="D156" i="11"/>
  <c r="D157" i="11"/>
  <c r="D158" i="11"/>
  <c r="D159" i="11"/>
  <c r="D160" i="11"/>
  <c r="D167" i="11"/>
  <c r="D169" i="11"/>
  <c r="D170" i="11"/>
  <c r="D172" i="11"/>
  <c r="D174" i="11"/>
  <c r="D180" i="11"/>
  <c r="D182" i="11"/>
  <c r="D183" i="11"/>
  <c r="D184" i="11"/>
  <c r="D186" i="11"/>
  <c r="D188" i="11"/>
  <c r="D189" i="11"/>
  <c r="D192" i="11"/>
  <c r="D198" i="11"/>
  <c r="D199" i="11"/>
  <c r="D200" i="11"/>
  <c r="D201" i="11"/>
  <c r="D204" i="11"/>
  <c r="D205" i="11"/>
  <c r="D211" i="11"/>
  <c r="D213" i="11"/>
  <c r="D215" i="11"/>
  <c r="C69" i="8"/>
  <c r="B69" i="8"/>
  <c r="B21" i="10"/>
  <c r="C64" i="16" s="1"/>
  <c r="T154" i="10"/>
  <c r="C97" i="16"/>
  <c r="C98" i="16" s="1"/>
  <c r="G21" i="10"/>
  <c r="C84" i="16" s="1"/>
  <c r="F21" i="10"/>
  <c r="C80" i="16" s="1"/>
  <c r="E21" i="10"/>
  <c r="C76" i="16" s="1"/>
  <c r="D21" i="10"/>
  <c r="C72" i="16" s="1"/>
  <c r="Z249" i="10"/>
  <c r="Z108" i="10"/>
  <c r="Z225" i="10"/>
  <c r="H201" i="10"/>
  <c r="T177" i="10"/>
  <c r="T131" i="10"/>
  <c r="T85" i="10"/>
  <c r="D231" i="6"/>
  <c r="C199" i="6" s="1"/>
  <c r="I279" i="7"/>
  <c r="I238" i="7"/>
  <c r="I236" i="7"/>
  <c r="I228" i="7"/>
  <c r="I213" i="7"/>
  <c r="I210" i="7"/>
  <c r="I165" i="7"/>
  <c r="I166" i="7"/>
  <c r="I167" i="7"/>
  <c r="I168" i="7"/>
  <c r="I169" i="7"/>
  <c r="I170" i="7"/>
  <c r="I171" i="7"/>
  <c r="I172" i="7"/>
  <c r="I173" i="7"/>
  <c r="I174" i="7"/>
  <c r="I175" i="7"/>
  <c r="I176" i="7"/>
  <c r="I177" i="7"/>
  <c r="I178" i="7"/>
  <c r="I179" i="7"/>
  <c r="I180"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33" i="7"/>
  <c r="F362" i="7"/>
  <c r="D76" i="6"/>
  <c r="C9" i="9"/>
  <c r="X8" i="1"/>
  <c r="Y8" i="1"/>
  <c r="B3083" i="1" s="1"/>
  <c r="I345" i="7"/>
  <c r="I346" i="7"/>
  <c r="I347" i="7"/>
  <c r="I106" i="7"/>
  <c r="I101" i="7"/>
  <c r="I102" i="7"/>
  <c r="I78" i="7"/>
  <c r="I79" i="7"/>
  <c r="I24" i="7"/>
  <c r="I359" i="7"/>
  <c r="I360" i="7"/>
  <c r="I361" i="7"/>
  <c r="I358" i="7"/>
  <c r="I357" i="7"/>
  <c r="I356" i="7"/>
  <c r="I355" i="7"/>
  <c r="I354" i="7"/>
  <c r="I353" i="7"/>
  <c r="I352" i="7"/>
  <c r="I351" i="7"/>
  <c r="I350" i="7"/>
  <c r="I349" i="7"/>
  <c r="I348" i="7"/>
  <c r="I344" i="7"/>
  <c r="I343" i="7"/>
  <c r="I340" i="7"/>
  <c r="I339" i="7"/>
  <c r="I338" i="7"/>
  <c r="I337" i="7"/>
  <c r="I336" i="7"/>
  <c r="I335" i="7"/>
  <c r="I334" i="7"/>
  <c r="I333" i="7"/>
  <c r="I332" i="7"/>
  <c r="I331" i="7"/>
  <c r="I330" i="7"/>
  <c r="I329" i="7"/>
  <c r="I328" i="7"/>
  <c r="I327" i="7"/>
  <c r="I326" i="7"/>
  <c r="I325" i="7"/>
  <c r="I324" i="7"/>
  <c r="I323" i="7"/>
  <c r="I322" i="7"/>
  <c r="I319" i="7"/>
  <c r="I317" i="7"/>
  <c r="I316" i="7"/>
  <c r="I303" i="7"/>
  <c r="I302" i="7"/>
  <c r="I301" i="7"/>
  <c r="I300" i="7"/>
  <c r="I293" i="7"/>
  <c r="I292" i="7"/>
  <c r="I291" i="7"/>
  <c r="I290" i="7"/>
  <c r="I284" i="7"/>
  <c r="I283" i="7"/>
  <c r="I282" i="7"/>
  <c r="I280" i="7"/>
  <c r="I278" i="7"/>
  <c r="I277" i="7"/>
  <c r="I276" i="7"/>
  <c r="I275" i="7"/>
  <c r="I274" i="7"/>
  <c r="I273" i="7"/>
  <c r="I272" i="7"/>
  <c r="I271" i="7"/>
  <c r="I270" i="7"/>
  <c r="I269" i="7"/>
  <c r="I268" i="7"/>
  <c r="I267" i="7"/>
  <c r="I266" i="7"/>
  <c r="I265" i="7"/>
  <c r="I264" i="7"/>
  <c r="I263" i="7"/>
  <c r="I262" i="7"/>
  <c r="I261" i="7"/>
  <c r="I260" i="7"/>
  <c r="I259" i="7"/>
  <c r="I258" i="7"/>
  <c r="I257" i="7"/>
  <c r="I256" i="7"/>
  <c r="I255" i="7"/>
  <c r="I254" i="7"/>
  <c r="I253" i="7"/>
  <c r="I252" i="7"/>
  <c r="I251" i="7"/>
  <c r="I250" i="7"/>
  <c r="I249" i="7"/>
  <c r="I248" i="7"/>
  <c r="I247" i="7"/>
  <c r="I246" i="7"/>
  <c r="I245" i="7"/>
  <c r="I244" i="7"/>
  <c r="I243" i="7"/>
  <c r="I242" i="7"/>
  <c r="I241" i="7"/>
  <c r="I240" i="7"/>
  <c r="I239" i="7"/>
  <c r="I237" i="7"/>
  <c r="I235" i="7"/>
  <c r="I234" i="7"/>
  <c r="I233" i="7"/>
  <c r="I232" i="7"/>
  <c r="I229" i="7"/>
  <c r="I227" i="7"/>
  <c r="I226" i="7"/>
  <c r="I225" i="7"/>
  <c r="I224" i="7"/>
  <c r="I223" i="7"/>
  <c r="I222" i="7"/>
  <c r="I221" i="7"/>
  <c r="I220" i="7"/>
  <c r="I219" i="7"/>
  <c r="I218" i="7"/>
  <c r="I216" i="7"/>
  <c r="I215" i="7"/>
  <c r="I214" i="7"/>
  <c r="I212" i="7"/>
  <c r="I211" i="7"/>
  <c r="I209" i="7"/>
  <c r="I208" i="7"/>
  <c r="I207" i="7"/>
  <c r="I206" i="7"/>
  <c r="I205" i="7"/>
  <c r="I204" i="7"/>
  <c r="I127" i="7"/>
  <c r="I126" i="7"/>
  <c r="I125" i="7"/>
  <c r="I124" i="7"/>
  <c r="I123" i="7"/>
  <c r="I122" i="7"/>
  <c r="I121" i="7"/>
  <c r="I120" i="7"/>
  <c r="I119" i="7"/>
  <c r="I118" i="7"/>
  <c r="I117" i="7"/>
  <c r="I113" i="7"/>
  <c r="I112" i="7"/>
  <c r="I111" i="7"/>
  <c r="I110" i="7"/>
  <c r="I109" i="7"/>
  <c r="I108" i="7"/>
  <c r="I107" i="7"/>
  <c r="I105" i="7"/>
  <c r="I104" i="7"/>
  <c r="I100" i="7"/>
  <c r="I99" i="7"/>
  <c r="I98" i="7"/>
  <c r="I97" i="7"/>
  <c r="I96" i="7"/>
  <c r="I95" i="7"/>
  <c r="I94" i="7"/>
  <c r="I93" i="7"/>
  <c r="I92" i="7"/>
  <c r="I91" i="7"/>
  <c r="I90" i="7"/>
  <c r="I88" i="7"/>
  <c r="I87" i="7"/>
  <c r="I81" i="7"/>
  <c r="I80" i="7"/>
  <c r="I77" i="7"/>
  <c r="I76" i="7"/>
  <c r="I75" i="7"/>
  <c r="I74" i="7"/>
  <c r="I73" i="7"/>
  <c r="I72" i="7"/>
  <c r="I70" i="7"/>
  <c r="I69" i="7"/>
  <c r="I68" i="7"/>
  <c r="I67" i="7"/>
  <c r="I66" i="7"/>
  <c r="I65" i="7"/>
  <c r="I64"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29" i="7"/>
  <c r="I28" i="7"/>
  <c r="I27" i="7"/>
  <c r="I26" i="7"/>
  <c r="I25" i="7"/>
  <c r="I23" i="7"/>
  <c r="I22" i="7"/>
  <c r="I21" i="7"/>
  <c r="I20" i="7"/>
  <c r="I19" i="7"/>
  <c r="I18" i="7"/>
  <c r="I17" i="7"/>
  <c r="I16" i="7"/>
  <c r="I15" i="7"/>
  <c r="I14" i="7"/>
  <c r="I13" i="7"/>
  <c r="I12" i="7"/>
  <c r="I11" i="7"/>
  <c r="I10" i="7"/>
  <c r="I9" i="7"/>
  <c r="I8" i="7"/>
  <c r="I7" i="7"/>
  <c r="G362" i="7"/>
  <c r="D352" i="6"/>
  <c r="D25" i="11"/>
  <c r="D151" i="11"/>
  <c r="B83" i="16"/>
  <c r="B87" i="16"/>
  <c r="D23" i="10"/>
  <c r="C71" i="16" s="1"/>
  <c r="C51" i="8" s="1"/>
  <c r="C22" i="10"/>
  <c r="C69" i="16" s="1"/>
  <c r="B22" i="10"/>
  <c r="C65" i="16" s="1"/>
  <c r="B95" i="16"/>
  <c r="B91" i="16"/>
  <c r="B88" i="16"/>
  <c r="B96" i="16"/>
  <c r="D84" i="16"/>
  <c r="D80" i="16"/>
  <c r="B79" i="16"/>
  <c r="D76" i="16"/>
  <c r="B75" i="16"/>
  <c r="D72" i="16"/>
  <c r="B71" i="16"/>
  <c r="D64" i="16"/>
  <c r="D68" i="16"/>
  <c r="B63" i="16"/>
  <c r="B67" i="16"/>
  <c r="G25" i="10"/>
  <c r="E85" i="16" s="1"/>
  <c r="G24" i="10"/>
  <c r="F25" i="10"/>
  <c r="E81" i="16" s="1"/>
  <c r="F24" i="10"/>
  <c r="E25" i="10"/>
  <c r="E77" i="16" s="1"/>
  <c r="E24" i="10"/>
  <c r="D25" i="10"/>
  <c r="E73" i="16" s="1"/>
  <c r="D24" i="10"/>
  <c r="C24" i="10"/>
  <c r="C25" i="10"/>
  <c r="E69" i="16" s="1"/>
  <c r="B24" i="10"/>
  <c r="B25" i="10"/>
  <c r="E65" i="16" s="1"/>
  <c r="I22" i="10"/>
  <c r="C93" i="16" s="1"/>
  <c r="C94" i="16" s="1"/>
  <c r="B62" i="8" s="1"/>
  <c r="C62" i="8" s="1"/>
  <c r="D234" i="11"/>
  <c r="D236" i="11"/>
  <c r="D235" i="11"/>
  <c r="D223" i="11"/>
  <c r="D241" i="12"/>
  <c r="D240" i="12"/>
  <c r="E34" i="12" s="1"/>
  <c r="B34" i="12" s="1"/>
  <c r="D239" i="12"/>
  <c r="E29" i="12" s="1"/>
  <c r="B29" i="12" s="1"/>
  <c r="C29" i="12" s="1"/>
  <c r="D238" i="12"/>
  <c r="E24" i="12" s="1"/>
  <c r="B24" i="12" s="1"/>
  <c r="D235" i="12"/>
  <c r="E31" i="12" s="1"/>
  <c r="B31" i="12" s="1"/>
  <c r="D234" i="12"/>
  <c r="D233" i="12"/>
  <c r="E35" i="12" s="1"/>
  <c r="B35" i="12" s="1"/>
  <c r="C35" i="12" s="1"/>
  <c r="D232" i="12"/>
  <c r="E30" i="12" s="1"/>
  <c r="B30" i="12" s="1"/>
  <c r="D231" i="12"/>
  <c r="E26" i="12" s="1"/>
  <c r="B26" i="12" s="1"/>
  <c r="D230" i="12"/>
  <c r="D229" i="12"/>
  <c r="D228" i="12"/>
  <c r="E33" i="12" s="1"/>
  <c r="B33" i="12" s="1"/>
  <c r="D227" i="12"/>
  <c r="E32" i="12" s="1"/>
  <c r="B32" i="12" s="1"/>
  <c r="D226" i="12"/>
  <c r="D225" i="12"/>
  <c r="E25" i="12" s="1"/>
  <c r="B25" i="12" s="1"/>
  <c r="C25" i="12" s="1"/>
  <c r="D224" i="12"/>
  <c r="E23" i="12" s="1"/>
  <c r="B23" i="12" s="1"/>
  <c r="E86" i="12"/>
  <c r="B86" i="12" s="1"/>
  <c r="E84" i="12"/>
  <c r="B84" i="12" s="1"/>
  <c r="E82" i="12"/>
  <c r="B82" i="12" s="1"/>
  <c r="E79" i="12"/>
  <c r="B79" i="12" s="1"/>
  <c r="E78" i="12"/>
  <c r="B78" i="12" s="1"/>
  <c r="E76" i="12"/>
  <c r="B76" i="12" s="1"/>
  <c r="E75" i="12"/>
  <c r="B75" i="12" s="1"/>
  <c r="E74" i="12"/>
  <c r="B74" i="12" s="1"/>
  <c r="E73" i="12"/>
  <c r="B73" i="12" s="1"/>
  <c r="E72" i="12"/>
  <c r="B72" i="12" s="1"/>
  <c r="E69" i="12"/>
  <c r="B69" i="12" s="1"/>
  <c r="E68" i="12"/>
  <c r="B68" i="12" s="1"/>
  <c r="E67" i="12"/>
  <c r="B67" i="12" s="1"/>
  <c r="E66" i="12"/>
  <c r="B66" i="12" s="1"/>
  <c r="E111" i="12"/>
  <c r="B111" i="12" s="1"/>
  <c r="E109" i="12"/>
  <c r="B109" i="12" s="1"/>
  <c r="E107" i="12"/>
  <c r="B107" i="12" s="1"/>
  <c r="E104" i="12"/>
  <c r="B104" i="12" s="1"/>
  <c r="E103" i="12"/>
  <c r="B103" i="12" s="1"/>
  <c r="E101" i="12"/>
  <c r="B101" i="12" s="1"/>
  <c r="E100" i="12"/>
  <c r="B100" i="12" s="1"/>
  <c r="E99" i="12"/>
  <c r="B99" i="12" s="1"/>
  <c r="E98" i="12"/>
  <c r="B98" i="12" s="1"/>
  <c r="E97" i="12"/>
  <c r="B97" i="12" s="1"/>
  <c r="E94" i="12"/>
  <c r="B94" i="12" s="1"/>
  <c r="E93" i="12"/>
  <c r="B93" i="12" s="1"/>
  <c r="E92" i="12"/>
  <c r="B92" i="12" s="1"/>
  <c r="E91" i="12"/>
  <c r="B91" i="12" s="1"/>
  <c r="C322" i="12"/>
  <c r="D111" i="12" s="1"/>
  <c r="C321" i="12"/>
  <c r="D109" i="12" s="1"/>
  <c r="C299" i="12"/>
  <c r="D86" i="12" s="1"/>
  <c r="C298" i="12"/>
  <c r="D84" i="12" s="1"/>
  <c r="C316" i="12"/>
  <c r="D103" i="12" s="1"/>
  <c r="C293" i="12"/>
  <c r="D78" i="12" s="1"/>
  <c r="F51" i="12"/>
  <c r="B51" i="12" s="1"/>
  <c r="C275" i="12"/>
  <c r="D51" i="12" s="1"/>
  <c r="C274" i="12"/>
  <c r="D49" i="12" s="1"/>
  <c r="B49" i="12" s="1"/>
  <c r="C49" i="12" s="1"/>
  <c r="F35" i="12"/>
  <c r="C304" i="12"/>
  <c r="D92" i="12" s="1"/>
  <c r="C305" i="12"/>
  <c r="D93" i="12" s="1"/>
  <c r="C306" i="12"/>
  <c r="D94" i="12" s="1"/>
  <c r="C308" i="12"/>
  <c r="D95" i="12" s="1"/>
  <c r="B95" i="12" s="1"/>
  <c r="C95" i="12" s="1"/>
  <c r="C310" i="12"/>
  <c r="D97" i="12" s="1"/>
  <c r="C311" i="12"/>
  <c r="D98" i="12" s="1"/>
  <c r="C312" i="12"/>
  <c r="D99" i="12" s="1"/>
  <c r="C313" i="12"/>
  <c r="D100" i="12" s="1"/>
  <c r="C314" i="12"/>
  <c r="D101" i="12" s="1"/>
  <c r="C315" i="12"/>
  <c r="D102" i="12" s="1"/>
  <c r="B102" i="12" s="1"/>
  <c r="C102" i="12" s="1"/>
  <c r="C317" i="12"/>
  <c r="D104" i="12" s="1"/>
  <c r="C318" i="12"/>
  <c r="D105" i="12" s="1"/>
  <c r="B105" i="12" s="1"/>
  <c r="C105" i="12" s="1"/>
  <c r="C319" i="12"/>
  <c r="D110" i="12" s="1"/>
  <c r="B110" i="12" s="1"/>
  <c r="C110" i="12" s="1"/>
  <c r="C320" i="12"/>
  <c r="D107" i="12" s="1"/>
  <c r="C303" i="12"/>
  <c r="D91" i="12" s="1"/>
  <c r="C281" i="12"/>
  <c r="D67" i="12" s="1"/>
  <c r="C282" i="12"/>
  <c r="D68" i="12" s="1"/>
  <c r="C283" i="12"/>
  <c r="D69" i="12" s="1"/>
  <c r="C285" i="12"/>
  <c r="D70" i="12" s="1"/>
  <c r="B70" i="12" s="1"/>
  <c r="C70" i="12" s="1"/>
  <c r="C287" i="12"/>
  <c r="D72" i="12" s="1"/>
  <c r="C288" i="12"/>
  <c r="D73" i="12" s="1"/>
  <c r="C289" i="12"/>
  <c r="D74" i="12" s="1"/>
  <c r="C290" i="12"/>
  <c r="D75" i="12" s="1"/>
  <c r="C291" i="12"/>
  <c r="D76" i="12" s="1"/>
  <c r="C292" i="12"/>
  <c r="D77" i="12" s="1"/>
  <c r="B77" i="12" s="1"/>
  <c r="C77" i="12" s="1"/>
  <c r="C294" i="12"/>
  <c r="D79" i="12" s="1"/>
  <c r="C295" i="12"/>
  <c r="D80" i="12" s="1"/>
  <c r="B80" i="12" s="1"/>
  <c r="C80" i="12" s="1"/>
  <c r="C296" i="12"/>
  <c r="D85" i="12" s="1"/>
  <c r="B85" i="12" s="1"/>
  <c r="C85" i="12" s="1"/>
  <c r="C297" i="12"/>
  <c r="D82" i="12" s="1"/>
  <c r="C280" i="12"/>
  <c r="D66" i="12" s="1"/>
  <c r="F31" i="12"/>
  <c r="B47" i="12"/>
  <c r="F44" i="12"/>
  <c r="B44" i="12" s="1"/>
  <c r="F33" i="12"/>
  <c r="F32" i="12"/>
  <c r="F30" i="12"/>
  <c r="F29" i="12"/>
  <c r="F24" i="12"/>
  <c r="C257" i="12"/>
  <c r="D24" i="12" s="1"/>
  <c r="C259" i="12"/>
  <c r="D26" i="12" s="1"/>
  <c r="C261" i="12"/>
  <c r="D27" i="12" s="1"/>
  <c r="B27" i="12" s="1"/>
  <c r="C27" i="12" s="1"/>
  <c r="C264" i="12"/>
  <c r="D30" i="12" s="1"/>
  <c r="C265" i="12"/>
  <c r="D31" i="12" s="1"/>
  <c r="C266" i="12"/>
  <c r="D32" i="12" s="1"/>
  <c r="C267" i="12"/>
  <c r="D33" i="12" s="1"/>
  <c r="C268" i="12"/>
  <c r="D34" i="12" s="1"/>
  <c r="C270" i="12"/>
  <c r="D44" i="12" s="1"/>
  <c r="C271" i="12"/>
  <c r="D45" i="12" s="1"/>
  <c r="B45" i="12" s="1"/>
  <c r="C45" i="12" s="1"/>
  <c r="C272" i="12"/>
  <c r="D46" i="12" s="1"/>
  <c r="B46" i="12" s="1"/>
  <c r="C46" i="12" s="1"/>
  <c r="C273" i="12"/>
  <c r="D47" i="12" s="1"/>
  <c r="C256" i="12"/>
  <c r="D23" i="12" s="1"/>
  <c r="F23" i="12"/>
  <c r="D219" i="11"/>
  <c r="D222" i="11"/>
  <c r="D229" i="11"/>
  <c r="D230" i="11"/>
  <c r="D232" i="11"/>
  <c r="E22" i="10"/>
  <c r="C77" i="16" s="1"/>
  <c r="J9" i="11"/>
  <c r="B33" i="16" s="1"/>
  <c r="I9" i="11"/>
  <c r="B34" i="16" s="1"/>
  <c r="F22" i="10"/>
  <c r="C81" i="16" s="1"/>
  <c r="B23" i="10"/>
  <c r="C63" i="16" s="1"/>
  <c r="D22" i="10"/>
  <c r="C73" i="16" s="1"/>
  <c r="E23" i="10"/>
  <c r="C75" i="16" s="1"/>
  <c r="C52" i="8" s="1"/>
  <c r="F23" i="10"/>
  <c r="C79" i="16" s="1"/>
  <c r="C55" i="8" s="1"/>
  <c r="G23" i="10"/>
  <c r="C83" i="16" s="1"/>
  <c r="C53" i="8" s="1"/>
  <c r="G22" i="10"/>
  <c r="C85" i="16" s="1"/>
  <c r="B63" i="8" l="1"/>
  <c r="C63" i="8" s="1"/>
  <c r="C90" i="16"/>
  <c r="B61" i="8" s="1"/>
  <c r="C105" i="16"/>
  <c r="C106" i="16" s="1"/>
  <c r="B103" i="16"/>
  <c r="C100" i="16"/>
  <c r="B104" i="16"/>
  <c r="C101" i="16"/>
  <c r="I362" i="7"/>
  <c r="F33" i="16"/>
  <c r="D181" i="6" s="1"/>
  <c r="D182" i="6" s="1"/>
  <c r="J26" i="6" s="1"/>
  <c r="J25" i="6" s="1"/>
  <c r="C33" i="16" s="1"/>
  <c r="D81" i="12"/>
  <c r="B81" i="12" s="1"/>
  <c r="C81" i="12" s="1"/>
  <c r="D50" i="12"/>
  <c r="B50" i="12" s="1"/>
  <c r="C50" i="12" s="1"/>
  <c r="D106" i="12"/>
  <c r="B106" i="12" s="1"/>
  <c r="C106" i="12" s="1"/>
  <c r="C103" i="12"/>
  <c r="C32" i="12"/>
  <c r="C104" i="12"/>
  <c r="C78" i="12"/>
  <c r="C51" i="12"/>
  <c r="C111" i="12"/>
  <c r="C33" i="12"/>
  <c r="C75" i="12"/>
  <c r="C69" i="12"/>
  <c r="C26" i="12"/>
  <c r="C47" i="12"/>
  <c r="C24" i="12"/>
  <c r="C99" i="12"/>
  <c r="C76" i="12"/>
  <c r="C93" i="12"/>
  <c r="C73" i="12"/>
  <c r="C84" i="12"/>
  <c r="C79" i="12"/>
  <c r="C74" i="12"/>
  <c r="C94" i="12"/>
  <c r="C97" i="12"/>
  <c r="C100" i="12"/>
  <c r="C86" i="12"/>
  <c r="C98" i="12"/>
  <c r="C109" i="12"/>
  <c r="H219" i="11"/>
  <c r="I219" i="11" s="1"/>
  <c r="C44" i="12"/>
  <c r="C30" i="12"/>
  <c r="F192" i="11"/>
  <c r="G192" i="11" s="1"/>
  <c r="H180" i="11"/>
  <c r="I180" i="11" s="1"/>
  <c r="F157" i="11"/>
  <c r="G157" i="11" s="1"/>
  <c r="H47" i="11"/>
  <c r="I47" i="11" s="1"/>
  <c r="C91" i="12"/>
  <c r="C107" i="12"/>
  <c r="C67" i="12"/>
  <c r="C101" i="12"/>
  <c r="C68" i="12"/>
  <c r="C31" i="12"/>
  <c r="C92" i="12"/>
  <c r="C72" i="12"/>
  <c r="C82" i="12"/>
  <c r="C34" i="12"/>
  <c r="C23" i="12"/>
  <c r="C66" i="12"/>
  <c r="F105" i="11"/>
  <c r="G105" i="11" s="1"/>
  <c r="F201" i="11"/>
  <c r="G201" i="11" s="1"/>
  <c r="H184" i="11"/>
  <c r="I184" i="11" s="1"/>
  <c r="F167" i="11"/>
  <c r="G167" i="11" s="1"/>
  <c r="F148" i="11"/>
  <c r="G148" i="11" s="1"/>
  <c r="H126" i="11"/>
  <c r="I126" i="11" s="1"/>
  <c r="F109" i="11"/>
  <c r="G109" i="11" s="1"/>
  <c r="H92" i="11"/>
  <c r="I92" i="11" s="1"/>
  <c r="H56" i="11"/>
  <c r="I56" i="11" s="1"/>
  <c r="H32" i="11"/>
  <c r="I32" i="11" s="1"/>
  <c r="H213" i="11"/>
  <c r="I213" i="11" s="1"/>
  <c r="H121" i="11"/>
  <c r="I121" i="11" s="1"/>
  <c r="F104" i="11"/>
  <c r="G104" i="11" s="1"/>
  <c r="H46" i="11"/>
  <c r="I46" i="11" s="1"/>
  <c r="H234" i="11"/>
  <c r="I234" i="11" s="1"/>
  <c r="H151" i="11"/>
  <c r="I151" i="11" s="1"/>
  <c r="F150" i="11"/>
  <c r="G150" i="11" s="1"/>
  <c r="H111" i="11"/>
  <c r="I111" i="11" s="1"/>
  <c r="H215" i="11"/>
  <c r="I215" i="11" s="1"/>
  <c r="H123" i="11"/>
  <c r="I123" i="11" s="1"/>
  <c r="H89" i="11"/>
  <c r="I89" i="11" s="1"/>
  <c r="F48" i="11"/>
  <c r="G48" i="11" s="1"/>
  <c r="F188" i="11"/>
  <c r="G188" i="11" s="1"/>
  <c r="H118" i="11"/>
  <c r="I118" i="11" s="1"/>
  <c r="F55" i="11"/>
  <c r="G55" i="11" s="1"/>
  <c r="F31" i="11"/>
  <c r="G31" i="11" s="1"/>
  <c r="F93" i="11"/>
  <c r="G93" i="11" s="1"/>
  <c r="F204" i="11"/>
  <c r="G204" i="11" s="1"/>
  <c r="F170" i="11"/>
  <c r="G170" i="11" s="1"/>
  <c r="F95" i="11"/>
  <c r="G95" i="11" s="1"/>
  <c r="H78" i="11"/>
  <c r="I78" i="11" s="1"/>
  <c r="H236" i="11"/>
  <c r="I236" i="11" s="1"/>
  <c r="F124" i="11"/>
  <c r="G124" i="11" s="1"/>
  <c r="F107" i="11"/>
  <c r="G107" i="11" s="1"/>
  <c r="H54" i="11"/>
  <c r="I54" i="11" s="1"/>
  <c r="F65" i="11"/>
  <c r="G65" i="11" s="1"/>
  <c r="H211" i="11"/>
  <c r="I211" i="11" s="1"/>
  <c r="H189" i="11"/>
  <c r="I189" i="11" s="1"/>
  <c r="H172" i="11"/>
  <c r="I172" i="11" s="1"/>
  <c r="F136" i="11"/>
  <c r="G136" i="11" s="1"/>
  <c r="F62" i="11"/>
  <c r="G62" i="11" s="1"/>
  <c r="F44" i="11"/>
  <c r="G44" i="11" s="1"/>
  <c r="F3077" i="1"/>
  <c r="C41" i="11"/>
  <c r="E41" i="11" s="1"/>
  <c r="D69" i="8"/>
  <c r="E69" i="8" s="1"/>
  <c r="F34" i="16"/>
  <c r="D150" i="6" s="1"/>
  <c r="H204" i="11"/>
  <c r="I204" i="11" s="1"/>
  <c r="C47" i="11"/>
  <c r="B99" i="16"/>
  <c r="C139" i="11"/>
  <c r="C122" i="11"/>
  <c r="C32" i="11"/>
  <c r="E32" i="11" s="1"/>
  <c r="C92" i="11"/>
  <c r="E92" i="11" s="1"/>
  <c r="C56" i="11"/>
  <c r="E56" i="11" s="1"/>
  <c r="C75" i="11"/>
  <c r="E75" i="11" s="1"/>
  <c r="C167" i="11"/>
  <c r="E167" i="11" s="1"/>
  <c r="C109" i="11"/>
  <c r="E109" i="11" s="1"/>
  <c r="C95" i="11"/>
  <c r="E95" i="11" s="1"/>
  <c r="E35" i="11"/>
  <c r="C78" i="11"/>
  <c r="E78" i="11" s="1"/>
  <c r="C28" i="11"/>
  <c r="E28" i="11" s="1"/>
  <c r="C105" i="11"/>
  <c r="E105" i="11" s="1"/>
  <c r="C88" i="11"/>
  <c r="E88" i="11" s="1"/>
  <c r="H192" i="11"/>
  <c r="I192" i="11" s="1"/>
  <c r="C201" i="11"/>
  <c r="E201" i="11" s="1"/>
  <c r="C184" i="11"/>
  <c r="E184" i="11" s="1"/>
  <c r="C170" i="11"/>
  <c r="E170" i="11" s="1"/>
  <c r="C192" i="11"/>
  <c r="E192" i="11" s="1"/>
  <c r="L3241" i="1"/>
  <c r="L3147" i="1"/>
  <c r="L3172" i="1"/>
  <c r="L3165" i="1"/>
  <c r="L3198" i="1"/>
  <c r="L3186" i="1"/>
  <c r="L3220" i="1"/>
  <c r="L3111" i="1"/>
  <c r="L3105" i="1"/>
  <c r="B38" i="13" s="1"/>
  <c r="L3170" i="1"/>
  <c r="C90" i="11"/>
  <c r="E90" i="11" s="1"/>
  <c r="F54" i="11"/>
  <c r="G54" i="11" s="1"/>
  <c r="C65" i="11"/>
  <c r="E65" i="11" s="1"/>
  <c r="C127" i="11"/>
  <c r="E127" i="11" s="1"/>
  <c r="C126" i="11"/>
  <c r="E126" i="11" s="1"/>
  <c r="L3175" i="1"/>
  <c r="L3261" i="1"/>
  <c r="C57" i="11"/>
  <c r="E57" i="11" s="1"/>
  <c r="L3171" i="1"/>
  <c r="D37" i="13" s="1"/>
  <c r="L3284" i="1"/>
  <c r="G45" i="13" s="1"/>
  <c r="L3197" i="1"/>
  <c r="F92" i="11"/>
  <c r="G92" i="11" s="1"/>
  <c r="H95" i="11"/>
  <c r="I95" i="11" s="1"/>
  <c r="C190" i="11"/>
  <c r="E190" i="11" s="1"/>
  <c r="C66" i="11"/>
  <c r="E66" i="11" s="1"/>
  <c r="F47" i="11"/>
  <c r="G47" i="11" s="1"/>
  <c r="L3177" i="1"/>
  <c r="L3205" i="1"/>
  <c r="L3287" i="1"/>
  <c r="C183" i="11"/>
  <c r="E183" i="11" s="1"/>
  <c r="C218" i="11"/>
  <c r="E218" i="11" s="1"/>
  <c r="H109" i="11"/>
  <c r="I109" i="11" s="1"/>
  <c r="C23" i="11"/>
  <c r="E23" i="11" s="1"/>
  <c r="F123" i="11"/>
  <c r="G123" i="11" s="1"/>
  <c r="H127" i="11"/>
  <c r="I127" i="11" s="1"/>
  <c r="F127" i="11"/>
  <c r="G127" i="11" s="1"/>
  <c r="H62" i="11"/>
  <c r="I62" i="11" s="1"/>
  <c r="D23" i="11"/>
  <c r="L3185" i="1"/>
  <c r="L3190" i="1"/>
  <c r="L3277" i="1"/>
  <c r="L3102" i="1"/>
  <c r="C61" i="11"/>
  <c r="E61" i="11" s="1"/>
  <c r="D57" i="11"/>
  <c r="H57" i="11" s="1"/>
  <c r="I57" i="11" s="1"/>
  <c r="L3143" i="1"/>
  <c r="C37" i="13" s="1"/>
  <c r="L3130" i="1"/>
  <c r="L3169" i="1"/>
  <c r="L3163" i="1"/>
  <c r="L3203" i="1"/>
  <c r="L3195" i="1"/>
  <c r="L3233" i="1"/>
  <c r="L3224" i="1"/>
  <c r="L3218" i="1"/>
  <c r="L3257" i="1"/>
  <c r="L3250" i="1"/>
  <c r="L3258" i="1"/>
  <c r="L3283" i="1"/>
  <c r="L3276" i="1"/>
  <c r="C80" i="11"/>
  <c r="E80" i="11" s="1"/>
  <c r="L3168" i="1"/>
  <c r="L3194" i="1"/>
  <c r="L3202" i="1"/>
  <c r="L3231" i="1"/>
  <c r="L3223" i="1"/>
  <c r="L3217" i="1"/>
  <c r="H38" i="13" s="1"/>
  <c r="L3256" i="1"/>
  <c r="L3249" i="1"/>
  <c r="L3244" i="1"/>
  <c r="F39" i="13" s="1"/>
  <c r="L3282" i="1"/>
  <c r="L3275" i="1"/>
  <c r="L3270" i="1"/>
  <c r="C234" i="11"/>
  <c r="E234" i="11" s="1"/>
  <c r="C44" i="11"/>
  <c r="E44" i="11" s="1"/>
  <c r="H136" i="11"/>
  <c r="I136" i="11" s="1"/>
  <c r="L3142" i="1"/>
  <c r="L3201" i="1"/>
  <c r="E45" i="13" s="1"/>
  <c r="C236" i="11"/>
  <c r="E236" i="11" s="1"/>
  <c r="C233" i="11"/>
  <c r="L3101" i="1"/>
  <c r="L3136" i="1"/>
  <c r="L3162" i="1"/>
  <c r="D38" i="13" s="1"/>
  <c r="F236" i="11"/>
  <c r="G236" i="11" s="1"/>
  <c r="L3222" i="1"/>
  <c r="L3230" i="1"/>
  <c r="D218" i="11"/>
  <c r="F218" i="11" s="1"/>
  <c r="G218" i="11" s="1"/>
  <c r="L3274" i="1"/>
  <c r="C31" i="11"/>
  <c r="E31" i="11" s="1"/>
  <c r="H55" i="11"/>
  <c r="I55" i="11" s="1"/>
  <c r="C108" i="11"/>
  <c r="L3117" i="1"/>
  <c r="B45" i="13" s="1"/>
  <c r="L3109" i="1"/>
  <c r="L3189" i="1"/>
  <c r="E38" i="13" s="1"/>
  <c r="L3271" i="1"/>
  <c r="G39" i="13" s="1"/>
  <c r="L3259" i="1"/>
  <c r="C148" i="11"/>
  <c r="E148" i="11" s="1"/>
  <c r="C151" i="11"/>
  <c r="E151" i="11" s="1"/>
  <c r="L3280" i="1"/>
  <c r="C64" i="11"/>
  <c r="E64" i="11" s="1"/>
  <c r="L3229" i="1"/>
  <c r="C91" i="11"/>
  <c r="D233" i="11"/>
  <c r="C55" i="11"/>
  <c r="E55" i="11" s="1"/>
  <c r="C106" i="11"/>
  <c r="E106" i="11" s="1"/>
  <c r="C89" i="11"/>
  <c r="E89" i="11" s="1"/>
  <c r="C157" i="11"/>
  <c r="E157" i="11" s="1"/>
  <c r="C94" i="11"/>
  <c r="E94" i="11" s="1"/>
  <c r="L3268" i="1"/>
  <c r="L3278" i="1"/>
  <c r="L3116" i="1"/>
  <c r="C142" i="11"/>
  <c r="E142" i="11" s="1"/>
  <c r="C141" i="11"/>
  <c r="C107" i="11"/>
  <c r="E107" i="11" s="1"/>
  <c r="C73" i="11"/>
  <c r="E73" i="11" s="1"/>
  <c r="L3108" i="1"/>
  <c r="L3255" i="1"/>
  <c r="L3150" i="1"/>
  <c r="C189" i="11"/>
  <c r="E189" i="11" s="1"/>
  <c r="C119" i="11"/>
  <c r="E119" i="11" s="1"/>
  <c r="L3110" i="1"/>
  <c r="F230" i="11"/>
  <c r="G230" i="11" s="1"/>
  <c r="H230" i="11"/>
  <c r="I230" i="11" s="1"/>
  <c r="F229" i="11"/>
  <c r="G229" i="11" s="1"/>
  <c r="H229" i="11"/>
  <c r="I229" i="11" s="1"/>
  <c r="H182" i="11"/>
  <c r="I182" i="11" s="1"/>
  <c r="F182" i="11"/>
  <c r="G182" i="11" s="1"/>
  <c r="F154" i="11"/>
  <c r="G154" i="11" s="1"/>
  <c r="H154" i="11"/>
  <c r="I154" i="11" s="1"/>
  <c r="F80" i="11"/>
  <c r="G80" i="11" s="1"/>
  <c r="H80" i="11"/>
  <c r="I80" i="11" s="1"/>
  <c r="C213" i="11"/>
  <c r="E213" i="11" s="1"/>
  <c r="C172" i="11"/>
  <c r="E172" i="11" s="1"/>
  <c r="C97" i="11"/>
  <c r="E97" i="11" s="1"/>
  <c r="C63" i="11"/>
  <c r="E63" i="11" s="1"/>
  <c r="C87" i="11"/>
  <c r="E87" i="11" s="1"/>
  <c r="C46" i="11"/>
  <c r="E46" i="11" s="1"/>
  <c r="C181" i="11"/>
  <c r="E181" i="11" s="1"/>
  <c r="F184" i="11"/>
  <c r="G184" i="11" s="1"/>
  <c r="D73" i="11"/>
  <c r="C62" i="11"/>
  <c r="E62" i="11" s="1"/>
  <c r="H167" i="11"/>
  <c r="I167" i="11" s="1"/>
  <c r="C27" i="11"/>
  <c r="H48" i="11"/>
  <c r="I48" i="11" s="1"/>
  <c r="L3232" i="1"/>
  <c r="C104" i="11"/>
  <c r="E104" i="11" s="1"/>
  <c r="D141" i="11"/>
  <c r="C124" i="11"/>
  <c r="E124" i="11" s="1"/>
  <c r="C198" i="11"/>
  <c r="E198" i="11" s="1"/>
  <c r="F121" i="11"/>
  <c r="G121" i="11" s="1"/>
  <c r="F32" i="11"/>
  <c r="G32" i="11" s="1"/>
  <c r="H124" i="11"/>
  <c r="I124" i="11" s="1"/>
  <c r="C159" i="11"/>
  <c r="E159" i="11" s="1"/>
  <c r="D64" i="11"/>
  <c r="H64" i="11" s="1"/>
  <c r="I64" i="11" s="1"/>
  <c r="C222" i="11"/>
  <c r="E222" i="11" s="1"/>
  <c r="L3212" i="1"/>
  <c r="L3226" i="1"/>
  <c r="H37" i="13" s="1"/>
  <c r="L3251" i="1"/>
  <c r="L3245" i="1"/>
  <c r="L3285" i="1"/>
  <c r="C59" i="11"/>
  <c r="F78" i="11"/>
  <c r="G78" i="11" s="1"/>
  <c r="C229" i="11"/>
  <c r="E229" i="11" s="1"/>
  <c r="F213" i="11"/>
  <c r="G213" i="11" s="1"/>
  <c r="F172" i="11"/>
  <c r="G172" i="11" s="1"/>
  <c r="C138" i="11"/>
  <c r="E138" i="11" s="1"/>
  <c r="H107" i="11"/>
  <c r="I107" i="11" s="1"/>
  <c r="C25" i="11"/>
  <c r="E25" i="11" s="1"/>
  <c r="C156" i="11"/>
  <c r="E156" i="11" s="1"/>
  <c r="C121" i="11"/>
  <c r="E121" i="11" s="1"/>
  <c r="H201" i="11"/>
  <c r="I201" i="11" s="1"/>
  <c r="L3119" i="1"/>
  <c r="L3149" i="1"/>
  <c r="C30" i="11"/>
  <c r="E30" i="11" s="1"/>
  <c r="C136" i="11"/>
  <c r="E136" i="11" s="1"/>
  <c r="C204" i="11"/>
  <c r="H198" i="11"/>
  <c r="I198" i="11" s="1"/>
  <c r="F198" i="11"/>
  <c r="G198" i="11" s="1"/>
  <c r="F66" i="11"/>
  <c r="G66" i="11" s="1"/>
  <c r="H66" i="11"/>
  <c r="I66" i="11" s="1"/>
  <c r="H29" i="11"/>
  <c r="I29" i="11" s="1"/>
  <c r="F29" i="11"/>
  <c r="G29" i="11" s="1"/>
  <c r="H186" i="11"/>
  <c r="I186" i="11" s="1"/>
  <c r="F186" i="11"/>
  <c r="G186" i="11" s="1"/>
  <c r="F34" i="11"/>
  <c r="G34" i="11" s="1"/>
  <c r="H34" i="11"/>
  <c r="I34" i="11" s="1"/>
  <c r="C128" i="11"/>
  <c r="E128" i="11" s="1"/>
  <c r="F89" i="11"/>
  <c r="G89" i="11" s="1"/>
  <c r="H65" i="11"/>
  <c r="I65" i="11" s="1"/>
  <c r="C118" i="11"/>
  <c r="E118" i="11" s="1"/>
  <c r="C232" i="11"/>
  <c r="E232" i="11" s="1"/>
  <c r="D94" i="11"/>
  <c r="F219" i="11"/>
  <c r="G219" i="11" s="1"/>
  <c r="F189" i="11"/>
  <c r="G189" i="11" s="1"/>
  <c r="H150" i="11"/>
  <c r="I150" i="11" s="1"/>
  <c r="H157" i="11"/>
  <c r="I157" i="11" s="1"/>
  <c r="L3106" i="1"/>
  <c r="C29" i="11"/>
  <c r="E29" i="11" s="1"/>
  <c r="C186" i="11"/>
  <c r="E186" i="11" s="1"/>
  <c r="C111" i="11"/>
  <c r="E111" i="11" s="1"/>
  <c r="C96" i="11"/>
  <c r="E96" i="11" s="1"/>
  <c r="D59" i="11"/>
  <c r="F126" i="11"/>
  <c r="G126" i="11" s="1"/>
  <c r="C77" i="11"/>
  <c r="F111" i="11"/>
  <c r="G111" i="11" s="1"/>
  <c r="C202" i="11"/>
  <c r="C93" i="11"/>
  <c r="E93" i="11" s="1"/>
  <c r="C58" i="11"/>
  <c r="E58" i="11" s="1"/>
  <c r="C219" i="11"/>
  <c r="E219" i="11" s="1"/>
  <c r="H148" i="11"/>
  <c r="I148" i="11" s="1"/>
  <c r="C235" i="11"/>
  <c r="L3121" i="1"/>
  <c r="C140" i="11"/>
  <c r="E140" i="11" s="1"/>
  <c r="C123" i="11"/>
  <c r="E123" i="11" s="1"/>
  <c r="C180" i="11"/>
  <c r="E180" i="11" s="1"/>
  <c r="L3225" i="1"/>
  <c r="H44" i="11"/>
  <c r="I44" i="11" s="1"/>
  <c r="C221" i="11"/>
  <c r="E221" i="11" s="1"/>
  <c r="C199" i="11"/>
  <c r="E199" i="11" s="1"/>
  <c r="C182" i="11"/>
  <c r="E182" i="11" s="1"/>
  <c r="D221" i="11"/>
  <c r="F221" i="11" s="1"/>
  <c r="G221" i="11" s="1"/>
  <c r="L3120" i="1"/>
  <c r="L3260" i="1"/>
  <c r="F180" i="11"/>
  <c r="G180" i="11" s="1"/>
  <c r="L3221" i="1"/>
  <c r="C48" i="11"/>
  <c r="E48" i="11" s="1"/>
  <c r="H160" i="11"/>
  <c r="I160" i="11" s="1"/>
  <c r="F160" i="11"/>
  <c r="G160" i="11" s="1"/>
  <c r="F142" i="11"/>
  <c r="G142" i="11" s="1"/>
  <c r="H142" i="11"/>
  <c r="I142" i="11" s="1"/>
  <c r="F223" i="11"/>
  <c r="G223" i="11" s="1"/>
  <c r="H223" i="11"/>
  <c r="I223" i="11" s="1"/>
  <c r="L3114" i="1"/>
  <c r="B37" i="13" s="1"/>
  <c r="F26" i="11"/>
  <c r="G26" i="11" s="1"/>
  <c r="H26" i="11"/>
  <c r="I26" i="11" s="1"/>
  <c r="C22" i="11"/>
  <c r="E22" i="11" s="1"/>
  <c r="D22" i="11"/>
  <c r="L3176" i="1"/>
  <c r="F159" i="11"/>
  <c r="G159" i="11" s="1"/>
  <c r="H159" i="11"/>
  <c r="I159" i="11" s="1"/>
  <c r="C125" i="11"/>
  <c r="E125" i="11" s="1"/>
  <c r="D125" i="11"/>
  <c r="D74" i="11"/>
  <c r="H74" i="11" s="1"/>
  <c r="I74" i="11" s="1"/>
  <c r="C74" i="11"/>
  <c r="E74" i="11" s="1"/>
  <c r="F235" i="11"/>
  <c r="G235" i="11" s="1"/>
  <c r="H235" i="11"/>
  <c r="I235" i="11" s="1"/>
  <c r="D79" i="11"/>
  <c r="C79" i="11"/>
  <c r="B3085" i="1"/>
  <c r="J29" i="13" s="1"/>
  <c r="F3122" i="1"/>
  <c r="C205" i="11"/>
  <c r="E205" i="11" s="1"/>
  <c r="L3253" i="1"/>
  <c r="D185" i="11"/>
  <c r="C185" i="11"/>
  <c r="D168" i="11"/>
  <c r="C168" i="11"/>
  <c r="E168" i="11" s="1"/>
  <c r="D149" i="11"/>
  <c r="C149" i="11"/>
  <c r="E149" i="11" s="1"/>
  <c r="H110" i="11"/>
  <c r="I110" i="11" s="1"/>
  <c r="F110" i="11"/>
  <c r="G110" i="11" s="1"/>
  <c r="C76" i="11"/>
  <c r="E76" i="11" s="1"/>
  <c r="D76" i="11"/>
  <c r="H76" i="11" s="1"/>
  <c r="I76" i="11" s="1"/>
  <c r="C33" i="11"/>
  <c r="E33" i="11" s="1"/>
  <c r="D33" i="11"/>
  <c r="L3204" i="1"/>
  <c r="H205" i="11"/>
  <c r="I205" i="11" s="1"/>
  <c r="F205" i="11"/>
  <c r="G205" i="11" s="1"/>
  <c r="L3103" i="1"/>
  <c r="B39" i="13" s="1"/>
  <c r="L3104" i="1"/>
  <c r="C214" i="11"/>
  <c r="E214" i="11" s="1"/>
  <c r="D214" i="11"/>
  <c r="H28" i="11"/>
  <c r="I28" i="11" s="1"/>
  <c r="F28" i="11"/>
  <c r="G28" i="11" s="1"/>
  <c r="C160" i="11"/>
  <c r="E160" i="11" s="1"/>
  <c r="C187" i="11"/>
  <c r="E187" i="11" s="1"/>
  <c r="D187" i="11"/>
  <c r="D152" i="11"/>
  <c r="C152" i="11"/>
  <c r="E152" i="11" s="1"/>
  <c r="C129" i="11"/>
  <c r="E129" i="11" s="1"/>
  <c r="D117" i="11"/>
  <c r="H117" i="11" s="1"/>
  <c r="I117" i="11" s="1"/>
  <c r="C117" i="11"/>
  <c r="E117" i="11" s="1"/>
  <c r="C60" i="11"/>
  <c r="E60" i="11" s="1"/>
  <c r="D60" i="11"/>
  <c r="F128" i="11"/>
  <c r="G128" i="11" s="1"/>
  <c r="H128" i="11"/>
  <c r="I128" i="11" s="1"/>
  <c r="L3254" i="1"/>
  <c r="F37" i="13" s="1"/>
  <c r="L3273" i="1"/>
  <c r="L3286" i="1"/>
  <c r="D171" i="11"/>
  <c r="C171" i="11"/>
  <c r="H105" i="11"/>
  <c r="I105" i="11" s="1"/>
  <c r="H25" i="11"/>
  <c r="I25" i="11" s="1"/>
  <c r="F25" i="11"/>
  <c r="G25" i="11" s="1"/>
  <c r="H31" i="11"/>
  <c r="I31" i="11" s="1"/>
  <c r="L3215" i="1"/>
  <c r="H39" i="13" s="1"/>
  <c r="L3216" i="1"/>
  <c r="F46" i="11"/>
  <c r="G46" i="11" s="1"/>
  <c r="H188" i="11"/>
  <c r="I188" i="11" s="1"/>
  <c r="C43" i="11"/>
  <c r="E43" i="11" s="1"/>
  <c r="H41" i="11"/>
  <c r="I41" i="11" s="1"/>
  <c r="F41" i="11"/>
  <c r="G41" i="11" s="1"/>
  <c r="H158" i="11"/>
  <c r="I158" i="11" s="1"/>
  <c r="F158" i="11"/>
  <c r="G158" i="11" s="1"/>
  <c r="L3148" i="1"/>
  <c r="L3132" i="1"/>
  <c r="C39" i="13" s="1"/>
  <c r="L3133" i="1"/>
  <c r="C26" i="11"/>
  <c r="E26" i="11" s="1"/>
  <c r="L3279" i="1"/>
  <c r="C220" i="11"/>
  <c r="E220" i="11" s="1"/>
  <c r="D220" i="11"/>
  <c r="L3213" i="1"/>
  <c r="L3272" i="1"/>
  <c r="F140" i="11"/>
  <c r="G140" i="11" s="1"/>
  <c r="H140" i="11"/>
  <c r="I140" i="11" s="1"/>
  <c r="H87" i="11"/>
  <c r="I87" i="11" s="1"/>
  <c r="F87" i="11"/>
  <c r="G87" i="11" s="1"/>
  <c r="H90" i="11"/>
  <c r="I90" i="11" s="1"/>
  <c r="F90" i="11"/>
  <c r="G90" i="11" s="1"/>
  <c r="C135" i="11"/>
  <c r="E135" i="11" s="1"/>
  <c r="H119" i="11"/>
  <c r="I119" i="11" s="1"/>
  <c r="F119" i="11"/>
  <c r="G119" i="11" s="1"/>
  <c r="C188" i="11"/>
  <c r="E188" i="11" s="1"/>
  <c r="F129" i="11"/>
  <c r="G129" i="11" s="1"/>
  <c r="H129" i="11"/>
  <c r="I129" i="11" s="1"/>
  <c r="E161" i="11"/>
  <c r="L3178" i="1"/>
  <c r="L3288" i="1"/>
  <c r="H3122" i="1"/>
  <c r="C153" i="11"/>
  <c r="C200" i="11"/>
  <c r="E200" i="11" s="1"/>
  <c r="F156" i="11"/>
  <c r="G156" i="11" s="1"/>
  <c r="H156" i="11"/>
  <c r="I156" i="11" s="1"/>
  <c r="D61" i="11"/>
  <c r="F30" i="11"/>
  <c r="G30" i="11" s="1"/>
  <c r="H30" i="11"/>
  <c r="I30" i="11" s="1"/>
  <c r="D202" i="11"/>
  <c r="L3129" i="1"/>
  <c r="L3141" i="1"/>
  <c r="L3135" i="1"/>
  <c r="L3174" i="1"/>
  <c r="D45" i="13" s="1"/>
  <c r="L3167" i="1"/>
  <c r="L3161" i="1"/>
  <c r="D39" i="13" s="1"/>
  <c r="L3200" i="1"/>
  <c r="L3193" i="1"/>
  <c r="L3188" i="1"/>
  <c r="E39" i="13" s="1"/>
  <c r="L3248" i="1"/>
  <c r="L3243" i="1"/>
  <c r="F31" i="13" s="1"/>
  <c r="L3281" i="1"/>
  <c r="G37" i="13" s="1"/>
  <c r="L3269" i="1"/>
  <c r="H170" i="11"/>
  <c r="I170" i="11" s="1"/>
  <c r="C223" i="11"/>
  <c r="E223" i="11" s="1"/>
  <c r="F56" i="11"/>
  <c r="G56" i="11" s="1"/>
  <c r="C211" i="11"/>
  <c r="E211" i="11" s="1"/>
  <c r="C154" i="11"/>
  <c r="E154" i="11" s="1"/>
  <c r="L3100" i="1"/>
  <c r="L3144" i="1"/>
  <c r="L3138" i="1"/>
  <c r="L3131" i="1"/>
  <c r="C31" i="13" s="1"/>
  <c r="L3164" i="1"/>
  <c r="L3196" i="1"/>
  <c r="L3219" i="1"/>
  <c r="L3113" i="1"/>
  <c r="C230" i="11"/>
  <c r="E230" i="11" s="1"/>
  <c r="C54" i="11"/>
  <c r="E54" i="11" s="1"/>
  <c r="C191" i="11"/>
  <c r="E191" i="11" s="1"/>
  <c r="C34" i="11"/>
  <c r="E34" i="11" s="1"/>
  <c r="C174" i="11"/>
  <c r="E174" i="11" s="1"/>
  <c r="C110" i="11"/>
  <c r="C215" i="11"/>
  <c r="E215" i="11" s="1"/>
  <c r="C158" i="11"/>
  <c r="E158" i="11" s="1"/>
  <c r="D173" i="11"/>
  <c r="C173" i="11"/>
  <c r="H86" i="11"/>
  <c r="I86" i="11" s="1"/>
  <c r="F86" i="11"/>
  <c r="G86" i="11" s="1"/>
  <c r="F183" i="11"/>
  <c r="G183" i="11" s="1"/>
  <c r="H183" i="11"/>
  <c r="I183" i="11" s="1"/>
  <c r="L3107" i="1"/>
  <c r="F222" i="11"/>
  <c r="G222" i="11" s="1"/>
  <c r="H222" i="11"/>
  <c r="I222" i="11" s="1"/>
  <c r="L3166" i="1"/>
  <c r="L3160" i="1"/>
  <c r="D31" i="13" s="1"/>
  <c r="L3228" i="1"/>
  <c r="L3242" i="1"/>
  <c r="B3093" i="1"/>
  <c r="F274" i="13" s="1"/>
  <c r="C42" i="11"/>
  <c r="E42" i="11" s="1"/>
  <c r="B3092" i="1"/>
  <c r="F283" i="13" s="1"/>
  <c r="D42" i="11"/>
  <c r="D120" i="11"/>
  <c r="C120" i="11"/>
  <c r="E120" i="11" s="1"/>
  <c r="L3173" i="1"/>
  <c r="H104" i="11"/>
  <c r="I104" i="11" s="1"/>
  <c r="F215" i="11"/>
  <c r="G215" i="11" s="1"/>
  <c r="C45" i="11"/>
  <c r="L3112" i="1"/>
  <c r="L3134" i="1"/>
  <c r="C38" i="13" s="1"/>
  <c r="D63" i="11"/>
  <c r="H88" i="11"/>
  <c r="I88" i="11" s="1"/>
  <c r="F88" i="11"/>
  <c r="G88" i="11" s="1"/>
  <c r="D190" i="11"/>
  <c r="L3140" i="1"/>
  <c r="H135" i="11"/>
  <c r="I135" i="11" s="1"/>
  <c r="F135" i="11"/>
  <c r="G135" i="11" s="1"/>
  <c r="L3115" i="1"/>
  <c r="L3146" i="1"/>
  <c r="C45" i="13" s="1"/>
  <c r="C216" i="11"/>
  <c r="D216" i="11"/>
  <c r="H97" i="11"/>
  <c r="I97" i="11" s="1"/>
  <c r="F97" i="11"/>
  <c r="G97" i="11" s="1"/>
  <c r="D212" i="11"/>
  <c r="C212" i="11"/>
  <c r="E212" i="11" s="1"/>
  <c r="D155" i="11"/>
  <c r="C155" i="11"/>
  <c r="E155" i="11" s="1"/>
  <c r="C137" i="11"/>
  <c r="E137" i="11" s="1"/>
  <c r="D98" i="11"/>
  <c r="C98" i="11"/>
  <c r="E98" i="11" s="1"/>
  <c r="C86" i="11"/>
  <c r="E86" i="11" s="1"/>
  <c r="G3122" i="1"/>
  <c r="F174" i="11"/>
  <c r="G174" i="11" s="1"/>
  <c r="H174" i="11"/>
  <c r="I174" i="11" s="1"/>
  <c r="F234" i="11"/>
  <c r="G234" i="11" s="1"/>
  <c r="H232" i="11"/>
  <c r="I232" i="11" s="1"/>
  <c r="F232" i="11"/>
  <c r="G232" i="11" s="1"/>
  <c r="C24" i="11"/>
  <c r="E24" i="11" s="1"/>
  <c r="D24" i="11"/>
  <c r="E3122" i="1"/>
  <c r="L3199" i="1"/>
  <c r="L3192" i="1"/>
  <c r="L3187" i="1"/>
  <c r="E31" i="13" s="1"/>
  <c r="L3214" i="1"/>
  <c r="H31" i="13" s="1"/>
  <c r="L3247" i="1"/>
  <c r="L3145" i="1"/>
  <c r="L3139" i="1"/>
  <c r="L3191" i="1"/>
  <c r="D191" i="11"/>
  <c r="F118" i="11"/>
  <c r="G118" i="11" s="1"/>
  <c r="F96" i="11"/>
  <c r="G96" i="11" s="1"/>
  <c r="H96" i="11"/>
  <c r="I96" i="11" s="1"/>
  <c r="C217" i="11"/>
  <c r="E217" i="11" s="1"/>
  <c r="D217" i="11"/>
  <c r="F199" i="11"/>
  <c r="G199" i="11" s="1"/>
  <c r="H199" i="11"/>
  <c r="I199" i="11" s="1"/>
  <c r="F151" i="11"/>
  <c r="G151" i="11" s="1"/>
  <c r="F211" i="11"/>
  <c r="G211" i="11" s="1"/>
  <c r="L3118" i="1"/>
  <c r="H93" i="11"/>
  <c r="I93" i="11" s="1"/>
  <c r="D231" i="11"/>
  <c r="C231" i="11"/>
  <c r="E231" i="11" s="1"/>
  <c r="L3159" i="1"/>
  <c r="L3227" i="1"/>
  <c r="L3252" i="1"/>
  <c r="L3246" i="1"/>
  <c r="F138" i="11"/>
  <c r="G138" i="11" s="1"/>
  <c r="H138" i="11"/>
  <c r="I138" i="11" s="1"/>
  <c r="E67" i="11"/>
  <c r="L3137" i="1"/>
  <c r="B3086" i="1"/>
  <c r="J37" i="13" s="1"/>
  <c r="D203" i="11"/>
  <c r="C203" i="11"/>
  <c r="E203" i="11" s="1"/>
  <c r="C169" i="11"/>
  <c r="E169" i="11" s="1"/>
  <c r="C150" i="11"/>
  <c r="E150" i="11" s="1"/>
  <c r="D181" i="11"/>
  <c r="D58" i="11"/>
  <c r="D3122" i="1"/>
  <c r="L3158" i="1"/>
  <c r="B372" i="7"/>
  <c r="G11" i="11" s="1"/>
  <c r="B373" i="7"/>
  <c r="H11" i="11" s="1"/>
  <c r="B371" i="7"/>
  <c r="F11" i="11" s="1"/>
  <c r="B370" i="7"/>
  <c r="E11" i="11" s="1"/>
  <c r="B369" i="7"/>
  <c r="D11" i="11" s="1"/>
  <c r="B368" i="7"/>
  <c r="B11" i="11" s="1"/>
  <c r="B367" i="7"/>
  <c r="C290" i="6"/>
  <c r="C411" i="6"/>
  <c r="G411" i="6" s="1"/>
  <c r="H411" i="6" s="1"/>
  <c r="C78" i="16"/>
  <c r="B52" i="8" s="1"/>
  <c r="C86" i="16"/>
  <c r="B53" i="8" s="1"/>
  <c r="C82" i="16"/>
  <c r="B55" i="8" s="1"/>
  <c r="C74" i="16"/>
  <c r="B51" i="8" s="1"/>
  <c r="C70" i="16"/>
  <c r="B50" i="8" s="1"/>
  <c r="C54" i="8"/>
  <c r="C99" i="16"/>
  <c r="C66" i="16"/>
  <c r="B54" i="8" s="1"/>
  <c r="E117" i="13" l="1"/>
  <c r="J117" i="13"/>
  <c r="C117" i="13"/>
  <c r="D117" i="13"/>
  <c r="B117" i="13"/>
  <c r="H117" i="13"/>
  <c r="K117" i="13"/>
  <c r="I117" i="13"/>
  <c r="D446" i="6"/>
  <c r="C368" i="6" s="1"/>
  <c r="E368" i="6" s="1"/>
  <c r="F368" i="6" s="1"/>
  <c r="L117" i="13"/>
  <c r="M117" i="13"/>
  <c r="B123" i="13"/>
  <c r="J123" i="13"/>
  <c r="K123" i="13"/>
  <c r="E123" i="13"/>
  <c r="C123" i="13"/>
  <c r="D29" i="13"/>
  <c r="H123" i="13"/>
  <c r="D123" i="13"/>
  <c r="M123" i="13"/>
  <c r="I123" i="13"/>
  <c r="L123" i="13"/>
  <c r="D452" i="6"/>
  <c r="G29" i="13"/>
  <c r="F189" i="13"/>
  <c r="G189" i="13"/>
  <c r="J189" i="13"/>
  <c r="D189" i="13"/>
  <c r="G452" i="6"/>
  <c r="K189" i="13"/>
  <c r="I189" i="13"/>
  <c r="H189" i="13"/>
  <c r="E189" i="13"/>
  <c r="C189" i="13"/>
  <c r="B189" i="13"/>
  <c r="G131" i="13"/>
  <c r="C131" i="13"/>
  <c r="D131" i="13"/>
  <c r="E131" i="13"/>
  <c r="J131" i="13"/>
  <c r="K131" i="13"/>
  <c r="E438" i="6"/>
  <c r="F131" i="13"/>
  <c r="M131" i="13"/>
  <c r="B131" i="13"/>
  <c r="L131" i="13"/>
  <c r="B29" i="13"/>
  <c r="K101" i="13"/>
  <c r="B101" i="13"/>
  <c r="B452" i="6"/>
  <c r="J101" i="13"/>
  <c r="M101" i="13"/>
  <c r="I101" i="13"/>
  <c r="C101" i="13"/>
  <c r="H101" i="13"/>
  <c r="L101" i="13"/>
  <c r="F101" i="13"/>
  <c r="G101" i="13"/>
  <c r="B31" i="13"/>
  <c r="B41" i="13"/>
  <c r="B205" i="13"/>
  <c r="G205" i="13"/>
  <c r="C326" i="13" s="1" a="1"/>
  <c r="C326" i="13" s="1"/>
  <c r="D205" i="13"/>
  <c r="C293" i="13" s="1" a="1"/>
  <c r="C293" i="13" s="1"/>
  <c r="E205" i="13"/>
  <c r="C304" i="13" s="1" a="1"/>
  <c r="C304" i="13" s="1"/>
  <c r="F205" i="13"/>
  <c r="C315" i="13" s="1" a="1"/>
  <c r="C315" i="13" s="1"/>
  <c r="C205" i="13"/>
  <c r="C271" i="13" s="1" a="1"/>
  <c r="C271" i="13" s="1"/>
  <c r="E204" i="13"/>
  <c r="G204" i="13"/>
  <c r="C204" i="13"/>
  <c r="F204" i="13"/>
  <c r="B204" i="13"/>
  <c r="H43" i="13"/>
  <c r="D204" i="13"/>
  <c r="J145" i="13"/>
  <c r="D145" i="13"/>
  <c r="G145" i="13"/>
  <c r="E452" i="6"/>
  <c r="E145" i="13"/>
  <c r="M145" i="13"/>
  <c r="B145" i="13"/>
  <c r="F145" i="13"/>
  <c r="C145" i="13"/>
  <c r="K145" i="13"/>
  <c r="E29" i="13"/>
  <c r="L145" i="13"/>
  <c r="C446" i="6"/>
  <c r="G73" i="13"/>
  <c r="J73" i="13"/>
  <c r="F73" i="13"/>
  <c r="I73" i="13"/>
  <c r="M73" i="13"/>
  <c r="H73" i="13"/>
  <c r="K73" i="13"/>
  <c r="D315" i="13" s="1" a="1"/>
  <c r="D315" i="13" s="1"/>
  <c r="L73" i="13"/>
  <c r="E73" i="13"/>
  <c r="D73" i="13"/>
  <c r="F93" i="13"/>
  <c r="H93" i="13"/>
  <c r="C93" i="13"/>
  <c r="L93" i="13"/>
  <c r="B28" i="13"/>
  <c r="B444" i="6"/>
  <c r="C340" i="6" s="1"/>
  <c r="E340" i="6" s="1"/>
  <c r="F340" i="6" s="1"/>
  <c r="I93" i="13"/>
  <c r="B93" i="13"/>
  <c r="J93" i="13"/>
  <c r="B32" i="13"/>
  <c r="G93" i="13"/>
  <c r="M93" i="13"/>
  <c r="K93" i="13"/>
  <c r="B446" i="6"/>
  <c r="C95" i="13"/>
  <c r="H95" i="13"/>
  <c r="K95" i="13"/>
  <c r="I95" i="13"/>
  <c r="J95" i="13"/>
  <c r="M95" i="13"/>
  <c r="L95" i="13"/>
  <c r="F95" i="13"/>
  <c r="G95" i="13"/>
  <c r="B95" i="13"/>
  <c r="D159" i="13"/>
  <c r="H159" i="13"/>
  <c r="F32" i="13"/>
  <c r="F28" i="13"/>
  <c r="B159" i="13"/>
  <c r="G159" i="13"/>
  <c r="F444" i="6"/>
  <c r="C409" i="6" s="1"/>
  <c r="E159" i="13"/>
  <c r="F159" i="13"/>
  <c r="L159" i="13"/>
  <c r="I159" i="13"/>
  <c r="C159" i="13"/>
  <c r="M159" i="13"/>
  <c r="B239" i="13"/>
  <c r="G239" i="13"/>
  <c r="C330" i="13" s="1" a="1"/>
  <c r="C330" i="13" s="1"/>
  <c r="E239" i="13"/>
  <c r="C308" i="13" s="1" a="1"/>
  <c r="C308" i="13" s="1"/>
  <c r="C239" i="13"/>
  <c r="C275" i="13" s="1" a="1"/>
  <c r="C275" i="13" s="1"/>
  <c r="F239" i="13"/>
  <c r="C319" i="13" s="1" a="1"/>
  <c r="C319" i="13" s="1"/>
  <c r="D239" i="13"/>
  <c r="C297" i="13" s="1" a="1"/>
  <c r="C297" i="13" s="1"/>
  <c r="C452" i="6"/>
  <c r="J79" i="13"/>
  <c r="M79" i="13"/>
  <c r="I79" i="13"/>
  <c r="K79" i="13"/>
  <c r="L79" i="13"/>
  <c r="H79" i="13"/>
  <c r="G79" i="13"/>
  <c r="E79" i="13"/>
  <c r="F79" i="13"/>
  <c r="D79" i="13"/>
  <c r="C29" i="13"/>
  <c r="H28" i="13"/>
  <c r="C203" i="13"/>
  <c r="G203" i="13"/>
  <c r="B203" i="13"/>
  <c r="H32" i="13"/>
  <c r="E203" i="13"/>
  <c r="F203" i="13"/>
  <c r="D203" i="13"/>
  <c r="G41" i="13"/>
  <c r="G31" i="13"/>
  <c r="C438" i="6"/>
  <c r="D65" i="13"/>
  <c r="M65" i="13"/>
  <c r="E65" i="13"/>
  <c r="I65" i="13"/>
  <c r="G65" i="13"/>
  <c r="L65" i="13"/>
  <c r="J65" i="13"/>
  <c r="F65" i="13"/>
  <c r="K65" i="13"/>
  <c r="H65" i="13"/>
  <c r="D197" i="13"/>
  <c r="C292" i="13" s="1" a="1"/>
  <c r="C292" i="13" s="1"/>
  <c r="E197" i="13"/>
  <c r="C303" i="13" s="1" a="1"/>
  <c r="C303" i="13" s="1"/>
  <c r="C197" i="13"/>
  <c r="C270" i="13" s="1" a="1"/>
  <c r="C270" i="13" s="1"/>
  <c r="B197" i="13"/>
  <c r="F197" i="13"/>
  <c r="C314" i="13" s="1" a="1"/>
  <c r="C314" i="13" s="1"/>
  <c r="G197" i="13"/>
  <c r="C325" i="13" s="1" a="1"/>
  <c r="C325" i="13" s="1"/>
  <c r="E109" i="13"/>
  <c r="J109" i="13"/>
  <c r="M109" i="13"/>
  <c r="L109" i="13"/>
  <c r="K109" i="13"/>
  <c r="D109" i="13"/>
  <c r="B109" i="13"/>
  <c r="C109" i="13"/>
  <c r="D438" i="6"/>
  <c r="C367" i="6" s="1"/>
  <c r="I109" i="13"/>
  <c r="H109" i="13"/>
  <c r="B115" i="13"/>
  <c r="L115" i="13"/>
  <c r="D115" i="13"/>
  <c r="D444" i="6"/>
  <c r="C375" i="6" s="1"/>
  <c r="G375" i="6" s="1"/>
  <c r="H375" i="6" s="1"/>
  <c r="K115" i="13"/>
  <c r="C115" i="13"/>
  <c r="D32" i="13"/>
  <c r="J115" i="13"/>
  <c r="M115" i="13"/>
  <c r="H115" i="13"/>
  <c r="I115" i="13"/>
  <c r="D28" i="13"/>
  <c r="E115" i="13"/>
  <c r="C138" i="13"/>
  <c r="E138" i="13"/>
  <c r="E43" i="13"/>
  <c r="M138" i="13"/>
  <c r="E445" i="6"/>
  <c r="L138" i="13"/>
  <c r="K138" i="13"/>
  <c r="D138" i="13"/>
  <c r="G138" i="13"/>
  <c r="J138" i="13"/>
  <c r="B138" i="13"/>
  <c r="F138" i="13"/>
  <c r="H161" i="13"/>
  <c r="D161" i="13"/>
  <c r="G161" i="13"/>
  <c r="B161" i="13"/>
  <c r="F161" i="13"/>
  <c r="L161" i="13"/>
  <c r="E161" i="13"/>
  <c r="M161" i="13"/>
  <c r="I161" i="13"/>
  <c r="C161" i="13"/>
  <c r="F446" i="6"/>
  <c r="C402" i="6" s="1"/>
  <c r="E402" i="6" s="1"/>
  <c r="F402" i="6" s="1"/>
  <c r="L139" i="13"/>
  <c r="D139" i="13"/>
  <c r="M139" i="13"/>
  <c r="J139" i="13"/>
  <c r="K139" i="13"/>
  <c r="E139" i="13"/>
  <c r="E446" i="6"/>
  <c r="C385" i="6" s="1"/>
  <c r="D385" i="6" s="1"/>
  <c r="F139" i="13"/>
  <c r="C139" i="13"/>
  <c r="G139" i="13"/>
  <c r="B139" i="13"/>
  <c r="E37" i="13"/>
  <c r="G247" i="13"/>
  <c r="C247" i="13"/>
  <c r="D247" i="13"/>
  <c r="B247" i="13"/>
  <c r="E247" i="13"/>
  <c r="F247" i="13"/>
  <c r="B181" i="13"/>
  <c r="G444" i="6"/>
  <c r="C426" i="6" s="1"/>
  <c r="D181" i="13"/>
  <c r="I181" i="13"/>
  <c r="K181" i="13"/>
  <c r="G181" i="13"/>
  <c r="C181" i="13"/>
  <c r="G28" i="13"/>
  <c r="H181" i="13"/>
  <c r="J181" i="13"/>
  <c r="E181" i="13"/>
  <c r="F181" i="13"/>
  <c r="G32" i="13"/>
  <c r="C445" i="6"/>
  <c r="E72" i="13"/>
  <c r="M72" i="13"/>
  <c r="L72" i="13"/>
  <c r="J72" i="13"/>
  <c r="C43" i="13"/>
  <c r="K72" i="13"/>
  <c r="H72" i="13"/>
  <c r="G72" i="13"/>
  <c r="F72" i="13"/>
  <c r="I72" i="13"/>
  <c r="D72" i="13"/>
  <c r="D153" i="13"/>
  <c r="C153" i="13"/>
  <c r="F438" i="6"/>
  <c r="C401" i="6" s="1"/>
  <c r="E153" i="13"/>
  <c r="G153" i="13"/>
  <c r="F153" i="13"/>
  <c r="B153" i="13"/>
  <c r="E314" i="13" s="1" a="1"/>
  <c r="E314" i="13" s="1"/>
  <c r="I153" i="13"/>
  <c r="L153" i="13"/>
  <c r="M153" i="13"/>
  <c r="H153" i="13"/>
  <c r="K183" i="13"/>
  <c r="I183" i="13"/>
  <c r="D183" i="13"/>
  <c r="J183" i="13"/>
  <c r="G183" i="13"/>
  <c r="C183" i="13"/>
  <c r="B183" i="13"/>
  <c r="H183" i="13"/>
  <c r="E183" i="13"/>
  <c r="F183" i="13"/>
  <c r="G446" i="6"/>
  <c r="D43" i="13"/>
  <c r="B116" i="13"/>
  <c r="E116" i="13"/>
  <c r="D116" i="13"/>
  <c r="M116" i="13"/>
  <c r="K116" i="13"/>
  <c r="H116" i="13"/>
  <c r="C116" i="13"/>
  <c r="L116" i="13"/>
  <c r="D445" i="6"/>
  <c r="J116" i="13"/>
  <c r="I116" i="13"/>
  <c r="C444" i="6"/>
  <c r="E71" i="13"/>
  <c r="C32" i="13"/>
  <c r="I71" i="13"/>
  <c r="L71" i="13"/>
  <c r="F71" i="13"/>
  <c r="J71" i="13"/>
  <c r="K71" i="13"/>
  <c r="G71" i="13"/>
  <c r="C28" i="13"/>
  <c r="H71" i="13"/>
  <c r="M71" i="13"/>
  <c r="D71" i="13"/>
  <c r="L94" i="13"/>
  <c r="G94" i="13"/>
  <c r="C94" i="13"/>
  <c r="K94" i="13"/>
  <c r="F94" i="13"/>
  <c r="M94" i="13"/>
  <c r="I94" i="13"/>
  <c r="B445" i="6"/>
  <c r="J94" i="13"/>
  <c r="B94" i="13"/>
  <c r="B43" i="13"/>
  <c r="H94" i="13"/>
  <c r="F285" i="13"/>
  <c r="B104" i="8"/>
  <c r="B103" i="8"/>
  <c r="C56" i="8"/>
  <c r="D54" i="8" s="1"/>
  <c r="E54" i="8" s="1"/>
  <c r="B56" i="8"/>
  <c r="C61" i="8"/>
  <c r="C64" i="8" s="1"/>
  <c r="C103" i="8"/>
  <c r="C104" i="8"/>
  <c r="B64" i="8"/>
  <c r="G290" i="6"/>
  <c r="H290" i="6" s="1"/>
  <c r="C102" i="16"/>
  <c r="D411" i="6"/>
  <c r="E411" i="6"/>
  <c r="F411" i="6" s="1"/>
  <c r="E11" i="9"/>
  <c r="D77" i="6"/>
  <c r="F169" i="11"/>
  <c r="G169" i="11" s="1"/>
  <c r="E79" i="11"/>
  <c r="F200" i="11"/>
  <c r="G200" i="11" s="1"/>
  <c r="F71" i="12"/>
  <c r="B71" i="12" s="1"/>
  <c r="C71" i="12" s="1"/>
  <c r="F83" i="12"/>
  <c r="B83" i="12" s="1"/>
  <c r="C83" i="12" s="1"/>
  <c r="F106" i="11"/>
  <c r="G106" i="11" s="1"/>
  <c r="F43" i="11"/>
  <c r="G43" i="11" s="1"/>
  <c r="F137" i="11"/>
  <c r="G137" i="11" s="1"/>
  <c r="F75" i="11"/>
  <c r="G75" i="11" s="1"/>
  <c r="E110" i="11"/>
  <c r="E141" i="11"/>
  <c r="E47" i="11"/>
  <c r="E235" i="11"/>
  <c r="E173" i="11"/>
  <c r="E204" i="11"/>
  <c r="G28" i="12"/>
  <c r="B28" i="12" s="1"/>
  <c r="C28" i="12" s="1"/>
  <c r="G48" i="12"/>
  <c r="B48" i="12" s="1"/>
  <c r="C48" i="12" s="1"/>
  <c r="H200" i="11"/>
  <c r="I200" i="11" s="1"/>
  <c r="H75" i="11"/>
  <c r="I75" i="11" s="1"/>
  <c r="H169" i="11"/>
  <c r="I169" i="11" s="1"/>
  <c r="H43" i="11"/>
  <c r="I43" i="11" s="1"/>
  <c r="H106" i="11"/>
  <c r="I106" i="11" s="1"/>
  <c r="F108" i="12"/>
  <c r="B108" i="12" s="1"/>
  <c r="H139" i="11" s="1"/>
  <c r="I139" i="11" s="1"/>
  <c r="H137" i="11"/>
  <c r="I137" i="11" s="1"/>
  <c r="F96" i="12"/>
  <c r="B96" i="12" s="1"/>
  <c r="H185" i="11" s="1"/>
  <c r="I185" i="11" s="1"/>
  <c r="B46" i="16"/>
  <c r="F46" i="16" s="1"/>
  <c r="D187" i="6" s="1"/>
  <c r="D167" i="6"/>
  <c r="D168" i="6" s="1"/>
  <c r="I26" i="6" s="1"/>
  <c r="D11" i="9"/>
  <c r="I11" i="9"/>
  <c r="J11" i="9" s="1"/>
  <c r="G11" i="9"/>
  <c r="F11" i="9"/>
  <c r="H11" i="9"/>
  <c r="H218" i="11"/>
  <c r="I218" i="11" s="1"/>
  <c r="H221" i="11"/>
  <c r="I221" i="11" s="1"/>
  <c r="F64" i="11"/>
  <c r="G64" i="11" s="1"/>
  <c r="F57" i="11"/>
  <c r="G57" i="11" s="1"/>
  <c r="F23" i="11"/>
  <c r="G23" i="11" s="1"/>
  <c r="H23" i="11"/>
  <c r="I23" i="11" s="1"/>
  <c r="C358" i="6"/>
  <c r="G358" i="6" s="1"/>
  <c r="H358" i="6" s="1"/>
  <c r="C419" i="6"/>
  <c r="D419" i="6" s="1"/>
  <c r="C360" i="13" a="1"/>
  <c r="C360" i="13" s="1"/>
  <c r="B360" i="13" s="1" a="1"/>
  <c r="B360" i="13" s="1"/>
  <c r="D360" i="13" s="1"/>
  <c r="C349" i="13" a="1"/>
  <c r="C349" i="13" s="1"/>
  <c r="B349" i="13" s="1" a="1"/>
  <c r="B349" i="13" s="1"/>
  <c r="D349" i="13" s="1"/>
  <c r="C338" i="13" a="1"/>
  <c r="C338" i="13" s="1"/>
  <c r="F73" i="11"/>
  <c r="G73" i="11" s="1"/>
  <c r="H73" i="11"/>
  <c r="I73" i="11" s="1"/>
  <c r="H141" i="11"/>
  <c r="I141" i="11" s="1"/>
  <c r="F141" i="11"/>
  <c r="G141" i="11" s="1"/>
  <c r="F117" i="11"/>
  <c r="G117" i="11" s="1"/>
  <c r="H94" i="11"/>
  <c r="I94" i="11" s="1"/>
  <c r="F94" i="11"/>
  <c r="G94" i="11" s="1"/>
  <c r="H187" i="11"/>
  <c r="I187" i="11" s="1"/>
  <c r="F187" i="11"/>
  <c r="G187" i="11" s="1"/>
  <c r="E290" i="6"/>
  <c r="F290" i="6" s="1"/>
  <c r="F152" i="11"/>
  <c r="G152" i="11" s="1"/>
  <c r="H152" i="11"/>
  <c r="I152" i="11" s="1"/>
  <c r="F125" i="11"/>
  <c r="G125" i="11" s="1"/>
  <c r="H125" i="11"/>
  <c r="I125" i="11" s="1"/>
  <c r="F74" i="11"/>
  <c r="G74" i="11" s="1"/>
  <c r="H61" i="11"/>
  <c r="I61" i="11" s="1"/>
  <c r="F61" i="11"/>
  <c r="G61" i="11" s="1"/>
  <c r="H79" i="11"/>
  <c r="I79" i="11" s="1"/>
  <c r="F79" i="11"/>
  <c r="G79" i="11" s="1"/>
  <c r="C332" i="6"/>
  <c r="H149" i="11"/>
  <c r="I149" i="11" s="1"/>
  <c r="F149" i="11"/>
  <c r="G149" i="11" s="1"/>
  <c r="F76" i="11"/>
  <c r="G76" i="11" s="1"/>
  <c r="E245" i="11"/>
  <c r="H33" i="11"/>
  <c r="I33" i="11" s="1"/>
  <c r="F33" i="11"/>
  <c r="G33" i="11" s="1"/>
  <c r="C350" i="6"/>
  <c r="D350" i="6" s="1"/>
  <c r="H220" i="11"/>
  <c r="I220" i="11" s="1"/>
  <c r="F220" i="11"/>
  <c r="G220" i="11" s="1"/>
  <c r="H60" i="11"/>
  <c r="I60" i="11" s="1"/>
  <c r="F60" i="11"/>
  <c r="G60" i="11" s="1"/>
  <c r="F214" i="11"/>
  <c r="G214" i="11" s="1"/>
  <c r="H214" i="11"/>
  <c r="I214" i="11" s="1"/>
  <c r="C349" i="6"/>
  <c r="F168" i="11"/>
  <c r="G168" i="11" s="1"/>
  <c r="H168" i="11"/>
  <c r="I168" i="11" s="1"/>
  <c r="H22" i="11"/>
  <c r="I22" i="11" s="1"/>
  <c r="F22" i="11"/>
  <c r="G22" i="11" s="1"/>
  <c r="F120" i="11"/>
  <c r="G120" i="11" s="1"/>
  <c r="H120" i="11"/>
  <c r="I120" i="11" s="1"/>
  <c r="H42" i="11"/>
  <c r="I42" i="11" s="1"/>
  <c r="F42" i="11"/>
  <c r="G42" i="11" s="1"/>
  <c r="F212" i="11"/>
  <c r="G212" i="11" s="1"/>
  <c r="H212" i="11"/>
  <c r="I212" i="11" s="1"/>
  <c r="F305" i="13"/>
  <c r="F272" i="13"/>
  <c r="F327" i="13"/>
  <c r="F316" i="13"/>
  <c r="F294" i="13"/>
  <c r="F296" i="13" s="1"/>
  <c r="F155" i="11"/>
  <c r="G155" i="11" s="1"/>
  <c r="H155" i="11"/>
  <c r="I155" i="11" s="1"/>
  <c r="F58" i="11"/>
  <c r="G58" i="11" s="1"/>
  <c r="H58" i="11"/>
  <c r="I58" i="11" s="1"/>
  <c r="F173" i="11"/>
  <c r="G173" i="11" s="1"/>
  <c r="H173" i="11"/>
  <c r="I173" i="11" s="1"/>
  <c r="F181" i="11"/>
  <c r="G181" i="11" s="1"/>
  <c r="H181" i="11"/>
  <c r="I181" i="11" s="1"/>
  <c r="H203" i="11"/>
  <c r="I203" i="11" s="1"/>
  <c r="F203" i="11"/>
  <c r="G203" i="11" s="1"/>
  <c r="H24" i="11"/>
  <c r="I24" i="11" s="1"/>
  <c r="F24" i="11"/>
  <c r="G24" i="11" s="1"/>
  <c r="H190" i="11"/>
  <c r="I190" i="11" s="1"/>
  <c r="F190" i="11"/>
  <c r="G190" i="11" s="1"/>
  <c r="E246" i="11"/>
  <c r="F231" i="11"/>
  <c r="G231" i="11" s="1"/>
  <c r="H231" i="11"/>
  <c r="I231" i="11" s="1"/>
  <c r="F63" i="11"/>
  <c r="G63" i="11" s="1"/>
  <c r="H63" i="11"/>
  <c r="I63" i="11" s="1"/>
  <c r="C384" i="6"/>
  <c r="F191" i="11"/>
  <c r="G191" i="11" s="1"/>
  <c r="H191" i="11"/>
  <c r="I191" i="11" s="1"/>
  <c r="F217" i="11"/>
  <c r="G217" i="11" s="1"/>
  <c r="H217" i="11"/>
  <c r="I217" i="11" s="1"/>
  <c r="F98" i="11"/>
  <c r="G98" i="11" s="1"/>
  <c r="H98" i="11"/>
  <c r="I98" i="11" s="1"/>
  <c r="B374" i="7"/>
  <c r="C11" i="11"/>
  <c r="D290" i="6"/>
  <c r="C295" i="13" l="1" a="1"/>
  <c r="C295" i="13" s="1"/>
  <c r="C317" i="13" a="1"/>
  <c r="C317" i="13" s="1"/>
  <c r="D271" i="13" a="1"/>
  <c r="D271" i="13" s="1"/>
  <c r="K85" i="13"/>
  <c r="C85" i="13"/>
  <c r="F85" i="13"/>
  <c r="J85" i="13"/>
  <c r="M85" i="13"/>
  <c r="L85" i="13"/>
  <c r="I85" i="13"/>
  <c r="H85" i="13"/>
  <c r="G85" i="13"/>
  <c r="B85" i="13"/>
  <c r="B436" i="6"/>
  <c r="C273" i="13" a="1"/>
  <c r="C273" i="13" s="1"/>
  <c r="B336" i="13" a="1"/>
  <c r="B336" i="13" s="1"/>
  <c r="D336" i="13" s="1"/>
  <c r="C110" i="6" s="1"/>
  <c r="C281" i="13" a="1"/>
  <c r="C281" i="13" s="1"/>
  <c r="C436" i="6"/>
  <c r="C360" i="6" s="1"/>
  <c r="J63" i="13"/>
  <c r="K63" i="13"/>
  <c r="M63" i="13"/>
  <c r="E63" i="13"/>
  <c r="F63" i="13"/>
  <c r="L63" i="13"/>
  <c r="D63" i="13"/>
  <c r="H63" i="13"/>
  <c r="I63" i="13"/>
  <c r="G63" i="13"/>
  <c r="D326" i="13" a="1"/>
  <c r="D326" i="13" s="1"/>
  <c r="E282" i="13" a="1"/>
  <c r="E282" i="13" s="1"/>
  <c r="C229" i="6" s="1"/>
  <c r="D229" i="6" s="1"/>
  <c r="B271" i="13" a="1"/>
  <c r="B271" i="13" s="1"/>
  <c r="E326" i="13" a="1"/>
  <c r="E326" i="13" s="1"/>
  <c r="C298" i="6" s="1"/>
  <c r="D298" i="6" s="1"/>
  <c r="H87" i="13"/>
  <c r="F87" i="13"/>
  <c r="C87" i="13"/>
  <c r="L87" i="13"/>
  <c r="B325" i="13" s="1" a="1"/>
  <c r="B325" i="13" s="1"/>
  <c r="B438" i="6"/>
  <c r="J87" i="13"/>
  <c r="G87" i="13"/>
  <c r="K87" i="13"/>
  <c r="I87" i="13"/>
  <c r="M87" i="13"/>
  <c r="B87" i="13"/>
  <c r="C328" i="13" a="1"/>
  <c r="C328" i="13" s="1"/>
  <c r="D435" i="6"/>
  <c r="D106" i="13"/>
  <c r="E106" i="13"/>
  <c r="K106" i="13"/>
  <c r="L106" i="13"/>
  <c r="M106" i="13"/>
  <c r="J106" i="13"/>
  <c r="B106" i="13"/>
  <c r="H106" i="13"/>
  <c r="C106" i="13"/>
  <c r="I106" i="13"/>
  <c r="C439" i="6"/>
  <c r="J66" i="13"/>
  <c r="H66" i="13"/>
  <c r="F66" i="13"/>
  <c r="L66" i="13"/>
  <c r="K66" i="13"/>
  <c r="G66" i="13"/>
  <c r="D66" i="13"/>
  <c r="I66" i="13"/>
  <c r="E66" i="13"/>
  <c r="M66" i="13"/>
  <c r="D304" i="13" a="1"/>
  <c r="D304" i="13" s="1"/>
  <c r="D172" i="13"/>
  <c r="G172" i="13"/>
  <c r="K172" i="13"/>
  <c r="F172" i="13"/>
  <c r="B172" i="13"/>
  <c r="C172" i="13"/>
  <c r="H172" i="13"/>
  <c r="J172" i="13"/>
  <c r="I172" i="13"/>
  <c r="E172" i="13"/>
  <c r="G435" i="6"/>
  <c r="F198" i="13"/>
  <c r="B198" i="13"/>
  <c r="E198" i="13"/>
  <c r="D198" i="13"/>
  <c r="G198" i="13"/>
  <c r="C198" i="13"/>
  <c r="B282" i="13" a="1"/>
  <c r="B282" i="13" s="1"/>
  <c r="E271" i="13" a="1"/>
  <c r="E271" i="13" s="1"/>
  <c r="C212" i="6" s="1"/>
  <c r="E212" i="6" s="1"/>
  <c r="F212" i="6" s="1"/>
  <c r="L97" i="13"/>
  <c r="J97" i="13"/>
  <c r="K97" i="13"/>
  <c r="F97" i="13"/>
  <c r="H97" i="13"/>
  <c r="I97" i="13"/>
  <c r="G97" i="13"/>
  <c r="B448" i="6"/>
  <c r="C331" i="6" s="1"/>
  <c r="C97" i="13"/>
  <c r="B97" i="13"/>
  <c r="M97" i="13"/>
  <c r="C450" i="6"/>
  <c r="F77" i="13"/>
  <c r="E77" i="13"/>
  <c r="H77" i="13"/>
  <c r="L77" i="13"/>
  <c r="D77" i="13"/>
  <c r="K77" i="13"/>
  <c r="M77" i="13"/>
  <c r="J77" i="13"/>
  <c r="I77" i="13"/>
  <c r="G77" i="13"/>
  <c r="B339" i="13" a="1"/>
  <c r="B339" i="13" s="1"/>
  <c r="D339" i="13" s="1"/>
  <c r="C284" i="13" a="1"/>
  <c r="C284" i="13" s="1"/>
  <c r="B326" i="13" a="1"/>
  <c r="B326" i="13" s="1"/>
  <c r="E304" i="13" a="1"/>
  <c r="E304" i="13" s="1"/>
  <c r="B304" i="13" a="1"/>
  <c r="B304" i="13" s="1"/>
  <c r="E281" i="13" a="1"/>
  <c r="E281" i="13" s="1"/>
  <c r="G439" i="6"/>
  <c r="F176" i="13"/>
  <c r="G176" i="13"/>
  <c r="K176" i="13"/>
  <c r="E176" i="13"/>
  <c r="I176" i="13"/>
  <c r="J176" i="13"/>
  <c r="B176" i="13"/>
  <c r="C176" i="13"/>
  <c r="D176" i="13"/>
  <c r="H176" i="13"/>
  <c r="E328" i="13" a="1"/>
  <c r="E328" i="13" s="1"/>
  <c r="C305" i="6" s="1"/>
  <c r="E292" i="13" a="1"/>
  <c r="E292" i="13" s="1"/>
  <c r="C246" i="6" s="1"/>
  <c r="K175" i="13"/>
  <c r="J175" i="13"/>
  <c r="F175" i="13"/>
  <c r="G438" i="6"/>
  <c r="I175" i="13"/>
  <c r="C175" i="13"/>
  <c r="B175" i="13"/>
  <c r="D175" i="13"/>
  <c r="E175" i="13"/>
  <c r="H175" i="13"/>
  <c r="G175" i="13"/>
  <c r="E317" i="13" a="1"/>
  <c r="E317" i="13" s="1"/>
  <c r="C288" i="6" s="1"/>
  <c r="E288" i="6" s="1"/>
  <c r="F288" i="6" s="1"/>
  <c r="M84" i="13"/>
  <c r="K84" i="13"/>
  <c r="I84" i="13"/>
  <c r="B84" i="13"/>
  <c r="F84" i="13"/>
  <c r="C84" i="13"/>
  <c r="H84" i="13"/>
  <c r="L84" i="13"/>
  <c r="B435" i="6"/>
  <c r="J84" i="13"/>
  <c r="G84" i="13"/>
  <c r="B293" i="13" a="1"/>
  <c r="B293" i="13" s="1"/>
  <c r="E107" i="13"/>
  <c r="I107" i="13"/>
  <c r="D436" i="6"/>
  <c r="C377" i="6" s="1"/>
  <c r="E377" i="6" s="1"/>
  <c r="F377" i="6" s="1"/>
  <c r="D107" i="13"/>
  <c r="C107" i="13"/>
  <c r="K107" i="13"/>
  <c r="B107" i="13"/>
  <c r="L107" i="13"/>
  <c r="J107" i="13"/>
  <c r="M107" i="13"/>
  <c r="H107" i="13"/>
  <c r="E293" i="13" a="1"/>
  <c r="E293" i="13" s="1"/>
  <c r="C247" i="6" s="1"/>
  <c r="D247" i="6" s="1"/>
  <c r="E284" i="13" a="1"/>
  <c r="E284" i="13" s="1"/>
  <c r="C237" i="6" s="1"/>
  <c r="D237" i="6" s="1"/>
  <c r="L121" i="13"/>
  <c r="D121" i="13"/>
  <c r="E296" i="13" s="1" a="1"/>
  <c r="E296" i="13" s="1"/>
  <c r="E121" i="13"/>
  <c r="M121" i="13"/>
  <c r="C121" i="13"/>
  <c r="K121" i="13"/>
  <c r="D450" i="6"/>
  <c r="C369" i="6" s="1"/>
  <c r="I121" i="13"/>
  <c r="B121" i="13"/>
  <c r="H121" i="13"/>
  <c r="J121" i="13"/>
  <c r="E110" i="13"/>
  <c r="M110" i="13"/>
  <c r="K110" i="13"/>
  <c r="J110" i="13"/>
  <c r="C110" i="13"/>
  <c r="H110" i="13"/>
  <c r="L110" i="13"/>
  <c r="I110" i="13"/>
  <c r="D439" i="6"/>
  <c r="B110" i="13"/>
  <c r="D110" i="13"/>
  <c r="F185" i="13"/>
  <c r="J185" i="13"/>
  <c r="H185" i="13"/>
  <c r="I185" i="13"/>
  <c r="G448" i="6"/>
  <c r="C185" i="13"/>
  <c r="D185" i="13"/>
  <c r="E185" i="13"/>
  <c r="K185" i="13"/>
  <c r="B185" i="13"/>
  <c r="G185" i="13"/>
  <c r="B150" i="13"/>
  <c r="E150" i="13"/>
  <c r="F150" i="13"/>
  <c r="G150" i="13"/>
  <c r="H150" i="13"/>
  <c r="C150" i="13"/>
  <c r="D150" i="13"/>
  <c r="I150" i="13"/>
  <c r="F435" i="6"/>
  <c r="M150" i="13"/>
  <c r="L150" i="13"/>
  <c r="B315" i="13" a="1"/>
  <c r="B315" i="13" s="1"/>
  <c r="K173" i="13"/>
  <c r="B173" i="13"/>
  <c r="I173" i="13"/>
  <c r="G173" i="13"/>
  <c r="J173" i="13"/>
  <c r="D173" i="13"/>
  <c r="F173" i="13"/>
  <c r="G436" i="6"/>
  <c r="C428" i="6" s="1"/>
  <c r="E428" i="6" s="1"/>
  <c r="F428" i="6" s="1"/>
  <c r="C173" i="13"/>
  <c r="E173" i="13"/>
  <c r="H173" i="13"/>
  <c r="F439" i="6"/>
  <c r="B154" i="13"/>
  <c r="M154" i="13"/>
  <c r="C154" i="13"/>
  <c r="D154" i="13"/>
  <c r="I154" i="13"/>
  <c r="L154" i="13"/>
  <c r="E154" i="13"/>
  <c r="F154" i="13"/>
  <c r="H154" i="13"/>
  <c r="G154" i="13"/>
  <c r="D282" i="13" a="1"/>
  <c r="D282" i="13" s="1"/>
  <c r="D293" i="13" a="1"/>
  <c r="D293" i="13" s="1"/>
  <c r="D306" i="13" a="1"/>
  <c r="D306" i="13" s="1"/>
  <c r="B363" i="13" a="1"/>
  <c r="B363" i="13" s="1"/>
  <c r="D363" i="13" s="1"/>
  <c r="C286" i="13" a="1"/>
  <c r="C286" i="13" s="1"/>
  <c r="G129" i="13"/>
  <c r="K129" i="13"/>
  <c r="E436" i="6"/>
  <c r="C394" i="6" s="1"/>
  <c r="G394" i="6" s="1"/>
  <c r="H394" i="6" s="1"/>
  <c r="M129" i="13"/>
  <c r="J129" i="13"/>
  <c r="D129" i="13"/>
  <c r="F129" i="13"/>
  <c r="L129" i="13"/>
  <c r="E129" i="13"/>
  <c r="B129" i="13"/>
  <c r="C129" i="13"/>
  <c r="G209" i="13"/>
  <c r="C327" i="13" s="1" a="1"/>
  <c r="C327" i="13" s="1"/>
  <c r="F209" i="13"/>
  <c r="C294" i="13" s="1" a="1"/>
  <c r="C294" i="13" s="1"/>
  <c r="E209" i="13"/>
  <c r="B209" i="13"/>
  <c r="C283" i="13" s="1" a="1"/>
  <c r="C283" i="13" s="1"/>
  <c r="D209" i="13"/>
  <c r="C296" i="13" s="1" a="1"/>
  <c r="C296" i="13" s="1"/>
  <c r="C209" i="13"/>
  <c r="C274" i="13" s="1" a="1"/>
  <c r="C274" i="13" s="1"/>
  <c r="J137" i="13"/>
  <c r="B317" i="13" s="1" a="1"/>
  <c r="B317" i="13" s="1"/>
  <c r="E28" i="13"/>
  <c r="D137" i="13"/>
  <c r="B273" i="13" s="1" a="1"/>
  <c r="B273" i="13" s="1"/>
  <c r="C137" i="13"/>
  <c r="D284" i="13" s="1" a="1"/>
  <c r="D284" i="13" s="1"/>
  <c r="K137" i="13"/>
  <c r="D317" i="13" s="1" a="1"/>
  <c r="D317" i="13" s="1"/>
  <c r="B137" i="13"/>
  <c r="E444" i="6"/>
  <c r="C392" i="6" s="1"/>
  <c r="E32" i="13"/>
  <c r="M137" i="13"/>
  <c r="D328" i="13" s="1" a="1"/>
  <c r="D328" i="13" s="1"/>
  <c r="E137" i="13"/>
  <c r="D273" i="13" s="1" a="1"/>
  <c r="D273" i="13" s="1"/>
  <c r="G137" i="13"/>
  <c r="D295" i="13" s="1" a="1"/>
  <c r="D295" i="13" s="1"/>
  <c r="L137" i="13"/>
  <c r="B328" i="13" s="1" a="1"/>
  <c r="B328" i="13" s="1"/>
  <c r="F137" i="13"/>
  <c r="B295" i="13" s="1" a="1"/>
  <c r="B295" i="13" s="1"/>
  <c r="C88" i="13"/>
  <c r="F88" i="13"/>
  <c r="G88" i="13"/>
  <c r="H88" i="13"/>
  <c r="I88" i="13"/>
  <c r="B439" i="6"/>
  <c r="J88" i="13"/>
  <c r="K88" i="13"/>
  <c r="B88" i="13"/>
  <c r="L88" i="13"/>
  <c r="M88" i="13"/>
  <c r="E303" i="13" a="1"/>
  <c r="E303" i="13" s="1"/>
  <c r="F194" i="13"/>
  <c r="C194" i="13"/>
  <c r="D194" i="13"/>
  <c r="E194" i="13"/>
  <c r="B194" i="13"/>
  <c r="G194" i="13"/>
  <c r="E273" i="13" a="1"/>
  <c r="E273" i="13" s="1"/>
  <c r="C219" i="6" s="1"/>
  <c r="B99" i="13"/>
  <c r="C99" i="13"/>
  <c r="I99" i="13"/>
  <c r="K99" i="13"/>
  <c r="J99" i="13"/>
  <c r="B450" i="6"/>
  <c r="C341" i="6" s="1"/>
  <c r="E341" i="6" s="1"/>
  <c r="F341" i="6" s="1"/>
  <c r="L99" i="13"/>
  <c r="G99" i="13"/>
  <c r="F99" i="13"/>
  <c r="M99" i="13"/>
  <c r="H99" i="13"/>
  <c r="B306" i="13" a="1"/>
  <c r="B306" i="13" s="1"/>
  <c r="B361" i="13" a="1"/>
  <c r="B361" i="13" s="1"/>
  <c r="D361" i="13" s="1"/>
  <c r="E315" i="13" a="1"/>
  <c r="E315" i="13" s="1"/>
  <c r="C281" i="6" s="1"/>
  <c r="G281" i="6" s="1"/>
  <c r="H281" i="6" s="1"/>
  <c r="C435" i="6"/>
  <c r="J62" i="13"/>
  <c r="K62" i="13"/>
  <c r="L62" i="13"/>
  <c r="M62" i="13"/>
  <c r="D62" i="13"/>
  <c r="H62" i="13"/>
  <c r="I62" i="13"/>
  <c r="E62" i="13"/>
  <c r="F62" i="13"/>
  <c r="G62" i="13"/>
  <c r="L143" i="13"/>
  <c r="F143" i="13"/>
  <c r="E143" i="13"/>
  <c r="M143" i="13"/>
  <c r="D143" i="13"/>
  <c r="B143" i="13"/>
  <c r="G143" i="13"/>
  <c r="C143" i="13"/>
  <c r="K143" i="13"/>
  <c r="J143" i="13"/>
  <c r="E450" i="6"/>
  <c r="C386" i="6" s="1"/>
  <c r="C306" i="13" a="1"/>
  <c r="C306" i="13" s="1"/>
  <c r="B337" i="13" a="1"/>
  <c r="B337" i="13" s="1"/>
  <c r="D337" i="13" s="1"/>
  <c r="C111" i="6" s="1"/>
  <c r="C282" i="13" a="1"/>
  <c r="C282" i="13" s="1"/>
  <c r="C340" i="13"/>
  <c r="E327" i="13" a="1"/>
  <c r="E327" i="13" s="1"/>
  <c r="C299" i="6" s="1"/>
  <c r="E316" i="13" a="1"/>
  <c r="E316" i="13" s="1"/>
  <c r="C282" i="6" s="1"/>
  <c r="D51" i="8"/>
  <c r="E51" i="8" s="1"/>
  <c r="F51" i="8" s="1"/>
  <c r="D53" i="8"/>
  <c r="E53" i="8" s="1"/>
  <c r="F53" i="8" s="1"/>
  <c r="D55" i="8"/>
  <c r="E55" i="8" s="1"/>
  <c r="F55" i="8" s="1"/>
  <c r="D52" i="8"/>
  <c r="E52" i="8" s="1"/>
  <c r="F52" i="8" s="1"/>
  <c r="D50" i="8"/>
  <c r="E50" i="8" s="1"/>
  <c r="D188" i="6"/>
  <c r="J31" i="6" s="1"/>
  <c r="C46" i="16" s="1"/>
  <c r="G349" i="6"/>
  <c r="H349" i="6" s="1"/>
  <c r="F153" i="11"/>
  <c r="G153" i="11" s="1"/>
  <c r="G162" i="11" s="1"/>
  <c r="F12" i="11" s="1"/>
  <c r="F185" i="11"/>
  <c r="G185" i="11" s="1"/>
  <c r="G193" i="11" s="1"/>
  <c r="G12" i="11" s="1"/>
  <c r="F122" i="11"/>
  <c r="G122" i="11" s="1"/>
  <c r="G130" i="11" s="1"/>
  <c r="E12" i="11" s="1"/>
  <c r="F233" i="11"/>
  <c r="G233" i="11" s="1"/>
  <c r="G237" i="11" s="1"/>
  <c r="H14" i="11" s="1"/>
  <c r="F91" i="11"/>
  <c r="G91" i="11" s="1"/>
  <c r="G99" i="11" s="1"/>
  <c r="D12" i="11" s="1"/>
  <c r="F171" i="11"/>
  <c r="G171" i="11" s="1"/>
  <c r="G175" i="11" s="1"/>
  <c r="F14" i="11" s="1"/>
  <c r="F202" i="11"/>
  <c r="G202" i="11" s="1"/>
  <c r="G206" i="11" s="1"/>
  <c r="G14" i="11" s="1"/>
  <c r="F27" i="11"/>
  <c r="G27" i="11" s="1"/>
  <c r="G36" i="11" s="1"/>
  <c r="B12" i="11" s="1"/>
  <c r="F77" i="11"/>
  <c r="G77" i="11" s="1"/>
  <c r="G81" i="11" s="1"/>
  <c r="C14" i="11" s="1"/>
  <c r="F59" i="11"/>
  <c r="G59" i="11" s="1"/>
  <c r="G68" i="11" s="1"/>
  <c r="C12" i="11" s="1"/>
  <c r="F45" i="11"/>
  <c r="G45" i="11" s="1"/>
  <c r="G49" i="11" s="1"/>
  <c r="B14" i="11" s="1"/>
  <c r="F216" i="11"/>
  <c r="G216" i="11" s="1"/>
  <c r="G224" i="11" s="1"/>
  <c r="H12" i="11" s="1"/>
  <c r="F139" i="11"/>
  <c r="G139" i="11" s="1"/>
  <c r="G143" i="11" s="1"/>
  <c r="E14" i="11" s="1"/>
  <c r="F108" i="11"/>
  <c r="G108" i="11" s="1"/>
  <c r="G112" i="11" s="1"/>
  <c r="D14" i="11" s="1"/>
  <c r="H216" i="11"/>
  <c r="I216" i="11" s="1"/>
  <c r="I224" i="11" s="1"/>
  <c r="H13" i="11" s="1"/>
  <c r="E216" i="11"/>
  <c r="E224" i="11" s="1"/>
  <c r="H10" i="11" s="1"/>
  <c r="E202" i="11"/>
  <c r="E206" i="11" s="1"/>
  <c r="G16" i="11" s="1"/>
  <c r="B43" i="16" s="1"/>
  <c r="F43" i="16" s="1"/>
  <c r="E27" i="11"/>
  <c r="E36" i="11" s="1"/>
  <c r="B10" i="11" s="1"/>
  <c r="H122" i="11"/>
  <c r="I122" i="11" s="1"/>
  <c r="I130" i="11" s="1"/>
  <c r="E13" i="11" s="1"/>
  <c r="H153" i="11"/>
  <c r="I153" i="11" s="1"/>
  <c r="I162" i="11" s="1"/>
  <c r="F13" i="11" s="1"/>
  <c r="E91" i="11"/>
  <c r="E99" i="11" s="1"/>
  <c r="D10" i="11" s="1"/>
  <c r="E59" i="11"/>
  <c r="E68" i="11" s="1"/>
  <c r="C10" i="11" s="1"/>
  <c r="H91" i="11"/>
  <c r="I91" i="11" s="1"/>
  <c r="I99" i="11" s="1"/>
  <c r="D13" i="11" s="1"/>
  <c r="E139" i="11"/>
  <c r="E143" i="11" s="1"/>
  <c r="E16" i="11" s="1"/>
  <c r="B42" i="16" s="1"/>
  <c r="F42" i="16" s="1"/>
  <c r="E185" i="11"/>
  <c r="E193" i="11" s="1"/>
  <c r="G10" i="11" s="1"/>
  <c r="E108" i="11"/>
  <c r="E112" i="11" s="1"/>
  <c r="D16" i="11" s="1"/>
  <c r="B41" i="16" s="1"/>
  <c r="F41" i="16" s="1"/>
  <c r="H59" i="11"/>
  <c r="I59" i="11" s="1"/>
  <c r="I68" i="11" s="1"/>
  <c r="C13" i="11" s="1"/>
  <c r="E233" i="11"/>
  <c r="E237" i="11" s="1"/>
  <c r="H16" i="11" s="1"/>
  <c r="B44" i="16" s="1"/>
  <c r="F44" i="16" s="1"/>
  <c r="E171" i="11"/>
  <c r="E175" i="11" s="1"/>
  <c r="F16" i="11" s="1"/>
  <c r="B45" i="16" s="1"/>
  <c r="F45" i="16" s="1"/>
  <c r="D123" i="6" s="1"/>
  <c r="E153" i="11"/>
  <c r="E162" i="11" s="1"/>
  <c r="F10" i="11" s="1"/>
  <c r="E122" i="11"/>
  <c r="E130" i="11" s="1"/>
  <c r="E10" i="11" s="1"/>
  <c r="E77" i="11"/>
  <c r="E81" i="11" s="1"/>
  <c r="C16" i="11" s="1"/>
  <c r="B39" i="16" s="1"/>
  <c r="F39" i="16" s="1"/>
  <c r="E45" i="11"/>
  <c r="E49" i="11" s="1"/>
  <c r="B16" i="11" s="1"/>
  <c r="B40" i="16" s="1"/>
  <c r="F40" i="16" s="1"/>
  <c r="H171" i="11"/>
  <c r="I171" i="11" s="1"/>
  <c r="I175" i="11" s="1"/>
  <c r="F15" i="11" s="1"/>
  <c r="H108" i="11"/>
  <c r="I108" i="11" s="1"/>
  <c r="I112" i="11" s="1"/>
  <c r="D15" i="11" s="1"/>
  <c r="H233" i="11"/>
  <c r="I233" i="11" s="1"/>
  <c r="I237" i="11" s="1"/>
  <c r="H15" i="11" s="1"/>
  <c r="H202" i="11"/>
  <c r="I202" i="11" s="1"/>
  <c r="I206" i="11" s="1"/>
  <c r="G15" i="11" s="1"/>
  <c r="H77" i="11"/>
  <c r="I77" i="11" s="1"/>
  <c r="I81" i="11" s="1"/>
  <c r="C15" i="11" s="1"/>
  <c r="C96" i="12"/>
  <c r="H27" i="11"/>
  <c r="I27" i="11" s="1"/>
  <c r="I36" i="11" s="1"/>
  <c r="B13" i="11" s="1"/>
  <c r="C108" i="12"/>
  <c r="H45" i="11"/>
  <c r="I45" i="11" s="1"/>
  <c r="I49" i="11" s="1"/>
  <c r="B15" i="11" s="1"/>
  <c r="I143" i="11"/>
  <c r="E15" i="11" s="1"/>
  <c r="D87" i="6"/>
  <c r="D375" i="6"/>
  <c r="E375" i="6"/>
  <c r="F375" i="6" s="1"/>
  <c r="G368" i="6"/>
  <c r="H368" i="6" s="1"/>
  <c r="E295" i="13" a="1"/>
  <c r="E295" i="13" s="1"/>
  <c r="C254" i="6" s="1"/>
  <c r="E254" i="6" s="1"/>
  <c r="F254" i="6" s="1"/>
  <c r="D358" i="6"/>
  <c r="D402" i="6"/>
  <c r="G402" i="6"/>
  <c r="H402" i="6" s="1"/>
  <c r="G350" i="6"/>
  <c r="H350" i="6" s="1"/>
  <c r="C121" i="6"/>
  <c r="E121" i="6" s="1"/>
  <c r="F121" i="6" s="1"/>
  <c r="G385" i="6"/>
  <c r="H385" i="6" s="1"/>
  <c r="D368" i="6"/>
  <c r="C342" i="6"/>
  <c r="G342" i="6" s="1"/>
  <c r="H342" i="6" s="1"/>
  <c r="E358" i="6"/>
  <c r="F358" i="6" s="1"/>
  <c r="C119" i="6"/>
  <c r="G119" i="6" s="1"/>
  <c r="H119" i="6" s="1"/>
  <c r="G419" i="6"/>
  <c r="H419" i="6" s="1"/>
  <c r="E419" i="6"/>
  <c r="F419" i="6" s="1"/>
  <c r="E385" i="6"/>
  <c r="F385" i="6" s="1"/>
  <c r="C228" i="6"/>
  <c r="D228" i="6" s="1"/>
  <c r="E244" i="11"/>
  <c r="I16" i="11" s="1"/>
  <c r="B47" i="16" s="1"/>
  <c r="E350" i="6"/>
  <c r="F350" i="6" s="1"/>
  <c r="D340" i="6"/>
  <c r="G401" i="6"/>
  <c r="H401" i="6" s="1"/>
  <c r="D401" i="6"/>
  <c r="E401" i="6"/>
  <c r="F401" i="6" s="1"/>
  <c r="D349" i="6"/>
  <c r="E349" i="6"/>
  <c r="F349" i="6" s="1"/>
  <c r="D426" i="6"/>
  <c r="G426" i="6"/>
  <c r="H426" i="6" s="1"/>
  <c r="E426" i="6"/>
  <c r="F426" i="6" s="1"/>
  <c r="G340" i="6"/>
  <c r="H340" i="6" s="1"/>
  <c r="E409" i="6"/>
  <c r="F409" i="6" s="1"/>
  <c r="D409" i="6"/>
  <c r="G409" i="6"/>
  <c r="H409" i="6" s="1"/>
  <c r="C280" i="6"/>
  <c r="E332" i="6"/>
  <c r="F332" i="6" s="1"/>
  <c r="G332" i="6"/>
  <c r="H332" i="6" s="1"/>
  <c r="D332" i="6"/>
  <c r="F329" i="13"/>
  <c r="C420" i="6"/>
  <c r="G367" i="6"/>
  <c r="H367" i="6" s="1"/>
  <c r="E367" i="6"/>
  <c r="F367" i="6" s="1"/>
  <c r="D367" i="6"/>
  <c r="C351" i="6"/>
  <c r="C362" i="13"/>
  <c r="B362" i="13" s="1" a="1"/>
  <c r="B362" i="13" s="1"/>
  <c r="D362" i="13" s="1"/>
  <c r="I193" i="11"/>
  <c r="G13" i="11" s="1"/>
  <c r="F307" i="13"/>
  <c r="F318" i="13"/>
  <c r="C403" i="6"/>
  <c r="C351" i="13"/>
  <c r="B351" i="13" s="1" a="1"/>
  <c r="B351" i="13" s="1"/>
  <c r="D351" i="13" s="1"/>
  <c r="G384" i="6"/>
  <c r="H384" i="6" s="1"/>
  <c r="D384" i="6"/>
  <c r="E384" i="6"/>
  <c r="F384" i="6" s="1"/>
  <c r="F54" i="8"/>
  <c r="E306" i="13" l="1" a="1"/>
  <c r="E306" i="13" s="1"/>
  <c r="G306" i="13" s="1"/>
  <c r="C101" i="6" s="1"/>
  <c r="E101" i="6" s="1"/>
  <c r="F101" i="6" s="1"/>
  <c r="D325" i="13" a="1"/>
  <c r="D325" i="13" s="1"/>
  <c r="D305" i="13" a="1"/>
  <c r="D305" i="13" s="1"/>
  <c r="E308" i="13" a="1"/>
  <c r="E308" i="13" s="1"/>
  <c r="C285" i="13" a="1"/>
  <c r="C285" i="13" s="1"/>
  <c r="B285" i="13" a="1"/>
  <c r="B285" i="13" s="1"/>
  <c r="C309" i="13" a="1"/>
  <c r="C309" i="13" s="1"/>
  <c r="B270" i="13" a="1"/>
  <c r="B270" i="13" s="1"/>
  <c r="E272" i="13" a="1"/>
  <c r="E272" i="13" s="1"/>
  <c r="C213" i="6" s="1"/>
  <c r="G213" i="6" s="1"/>
  <c r="H213" i="6" s="1"/>
  <c r="G282" i="13"/>
  <c r="C56" i="6" s="1"/>
  <c r="E56" i="6" s="1"/>
  <c r="F56" i="6" s="1"/>
  <c r="D285" i="13" a="1"/>
  <c r="D285" i="13" s="1"/>
  <c r="D296" i="13" a="1"/>
  <c r="D296" i="13" s="1"/>
  <c r="D327" i="13" a="1"/>
  <c r="D327" i="13" s="1"/>
  <c r="C276" i="13" a="1"/>
  <c r="C276" i="13" s="1"/>
  <c r="D316" i="13" a="1"/>
  <c r="D316" i="13" s="1"/>
  <c r="C361" i="6"/>
  <c r="G361" i="6" s="1"/>
  <c r="H361" i="6" s="1"/>
  <c r="B274" i="13" a="1"/>
  <c r="B274" i="13" s="1"/>
  <c r="B303" i="13" a="1"/>
  <c r="B303" i="13" s="1"/>
  <c r="G271" i="13"/>
  <c r="C38" i="6" s="1"/>
  <c r="D38" i="6" s="1"/>
  <c r="D270" i="13" a="1"/>
  <c r="D270" i="13" s="1"/>
  <c r="B327" i="13" a="1"/>
  <c r="B327" i="13" s="1"/>
  <c r="B292" i="13" a="1"/>
  <c r="B292" i="13" s="1"/>
  <c r="B316" i="13" a="1"/>
  <c r="B316" i="13" s="1"/>
  <c r="C298" i="13" a="1"/>
  <c r="C298" i="13" s="1"/>
  <c r="D303" i="13" a="1"/>
  <c r="D303" i="13" s="1"/>
  <c r="D272" i="13" a="1"/>
  <c r="D272" i="13" s="1"/>
  <c r="B314" i="13" a="1"/>
  <c r="B314" i="13" s="1"/>
  <c r="D314" i="13" a="1"/>
  <c r="D314" i="13" s="1"/>
  <c r="D283" i="13" a="1"/>
  <c r="D283" i="13" s="1"/>
  <c r="B296" i="13" a="1"/>
  <c r="B296" i="13" s="1"/>
  <c r="D292" i="13" a="1"/>
  <c r="D292" i="13" s="1"/>
  <c r="D308" i="13" a="1"/>
  <c r="D308" i="13" s="1"/>
  <c r="B283" i="13" a="1"/>
  <c r="B283" i="13" s="1"/>
  <c r="B338" i="13" a="1"/>
  <c r="B338" i="13" s="1"/>
  <c r="D338" i="13" s="1"/>
  <c r="C112" i="6" s="1"/>
  <c r="D112" i="6" s="1"/>
  <c r="B305" i="13" a="1"/>
  <c r="B305" i="13" s="1"/>
  <c r="C418" i="6"/>
  <c r="E418" i="6" s="1"/>
  <c r="F418" i="6" s="1"/>
  <c r="C305" i="13" a="1"/>
  <c r="C305" i="13" s="1"/>
  <c r="E392" i="6"/>
  <c r="F392" i="6" s="1"/>
  <c r="G392" i="6"/>
  <c r="H392" i="6" s="1"/>
  <c r="D392" i="6"/>
  <c r="C316" i="13" a="1"/>
  <c r="C316" i="13" s="1"/>
  <c r="B281" i="13" a="1"/>
  <c r="B281" i="13" s="1"/>
  <c r="E270" i="13" a="1"/>
  <c r="E270" i="13" s="1"/>
  <c r="E305" i="13" a="1"/>
  <c r="E305" i="13" s="1"/>
  <c r="B308" i="13" a="1"/>
  <c r="B308" i="13" s="1"/>
  <c r="E274" i="13" a="1"/>
  <c r="E274" i="13" s="1"/>
  <c r="C220" i="6" s="1"/>
  <c r="D220" i="6" s="1"/>
  <c r="B342" i="13" a="1"/>
  <c r="B342" i="13" s="1"/>
  <c r="D342" i="13" s="1"/>
  <c r="C122" i="6" s="1"/>
  <c r="G122" i="6" s="1"/>
  <c r="H122" i="6" s="1"/>
  <c r="C287" i="13" a="1"/>
  <c r="C287" i="13" s="1"/>
  <c r="E325" i="13" a="1"/>
  <c r="E325" i="13" s="1"/>
  <c r="C297" i="6" s="1"/>
  <c r="C320" i="13" a="1"/>
  <c r="C320" i="13" s="1"/>
  <c r="E298" i="13" a="1"/>
  <c r="E298" i="13" s="1"/>
  <c r="C257" i="6" s="1"/>
  <c r="D257" i="6" s="1"/>
  <c r="D297" i="13" a="1"/>
  <c r="D297" i="13" s="1"/>
  <c r="D286" i="13" a="1"/>
  <c r="D286" i="13" s="1"/>
  <c r="E276" i="13" a="1"/>
  <c r="E276" i="13" s="1"/>
  <c r="C222" i="6" s="1"/>
  <c r="E435" i="6"/>
  <c r="M128" i="13"/>
  <c r="B128" i="13"/>
  <c r="C128" i="13"/>
  <c r="J128" i="13"/>
  <c r="D128" i="13"/>
  <c r="F128" i="13"/>
  <c r="E128" i="13"/>
  <c r="G128" i="13"/>
  <c r="K128" i="13"/>
  <c r="L128" i="13"/>
  <c r="E330" i="13" a="1"/>
  <c r="E330" i="13" s="1"/>
  <c r="C307" i="6" s="1"/>
  <c r="D307" i="6" s="1"/>
  <c r="E286" i="13" a="1"/>
  <c r="E286" i="13" s="1"/>
  <c r="C239" i="6" s="1"/>
  <c r="B275" i="13" a="1"/>
  <c r="B275" i="13" s="1"/>
  <c r="D319" i="13" a="1"/>
  <c r="D319" i="13" s="1"/>
  <c r="E297" i="13" a="1"/>
  <c r="E297" i="13" s="1"/>
  <c r="C256" i="6" s="1"/>
  <c r="E320" i="13" a="1"/>
  <c r="E320" i="13" s="1"/>
  <c r="C291" i="6" s="1"/>
  <c r="D291" i="6" s="1"/>
  <c r="E331" i="13" a="1"/>
  <c r="E331" i="13" s="1"/>
  <c r="C308" i="6" s="1"/>
  <c r="B330" i="13" a="1"/>
  <c r="B330" i="13" s="1"/>
  <c r="E275" i="13" a="1"/>
  <c r="E275" i="13" s="1"/>
  <c r="C221" i="6" s="1"/>
  <c r="D221" i="6" s="1"/>
  <c r="B286" i="13" a="1"/>
  <c r="B286" i="13" s="1"/>
  <c r="E283" i="13" a="1"/>
  <c r="E283" i="13" s="1"/>
  <c r="C230" i="6" s="1"/>
  <c r="E285" i="13" a="1"/>
  <c r="E285" i="13" s="1"/>
  <c r="D281" i="13" a="1"/>
  <c r="D281" i="13" s="1"/>
  <c r="G281" i="13" s="1"/>
  <c r="B297" i="13" a="1"/>
  <c r="B297" i="13" s="1"/>
  <c r="B340" i="13" a="1"/>
  <c r="B340" i="13" s="1"/>
  <c r="D340" i="13" s="1"/>
  <c r="C120" i="6" s="1"/>
  <c r="E120" i="6" s="1"/>
  <c r="F120" i="6" s="1"/>
  <c r="D309" i="13" a="1"/>
  <c r="D309" i="13" s="1"/>
  <c r="D275" i="13" a="1"/>
  <c r="D275" i="13" s="1"/>
  <c r="D274" i="13" a="1"/>
  <c r="D274" i="13" s="1"/>
  <c r="E439" i="6"/>
  <c r="F132" i="13"/>
  <c r="L132" i="13"/>
  <c r="M132" i="13"/>
  <c r="E132" i="13"/>
  <c r="B132" i="13"/>
  <c r="C132" i="13"/>
  <c r="D132" i="13"/>
  <c r="G132" i="13"/>
  <c r="K132" i="13"/>
  <c r="J132" i="13"/>
  <c r="B319" i="13" a="1"/>
  <c r="B319" i="13" s="1"/>
  <c r="B320" i="13" a="1"/>
  <c r="B320" i="13" s="1"/>
  <c r="B272" i="13" a="1"/>
  <c r="B272" i="13" s="1"/>
  <c r="B284" i="13" a="1"/>
  <c r="B284" i="13" s="1"/>
  <c r="G284" i="13" s="1"/>
  <c r="B309" i="13" a="1"/>
  <c r="B309" i="13" s="1"/>
  <c r="C272" i="13" a="1"/>
  <c r="C272" i="13" s="1"/>
  <c r="E287" i="13" a="1"/>
  <c r="E287" i="13" s="1"/>
  <c r="C240" i="6" s="1"/>
  <c r="E240" i="6" s="1"/>
  <c r="F240" i="6" s="1"/>
  <c r="C331" i="13" a="1"/>
  <c r="C331" i="13" s="1"/>
  <c r="D330" i="13" a="1"/>
  <c r="D330" i="13" s="1"/>
  <c r="E307" i="13" a="1"/>
  <c r="E307" i="13" s="1"/>
  <c r="D307" i="13" a="1"/>
  <c r="D307" i="13" s="1"/>
  <c r="C307" i="13" a="1"/>
  <c r="C307" i="13" s="1"/>
  <c r="B307" i="13" a="1"/>
  <c r="B307" i="13" s="1"/>
  <c r="E318" i="13" a="1"/>
  <c r="E318" i="13" s="1"/>
  <c r="C289" i="6" s="1"/>
  <c r="C318" i="13" a="1"/>
  <c r="C318" i="13" s="1"/>
  <c r="B318" i="13" a="1"/>
  <c r="B318" i="13" s="1"/>
  <c r="D318" i="13" a="1"/>
  <c r="D318" i="13" s="1"/>
  <c r="E329" i="13" a="1"/>
  <c r="E329" i="13" s="1"/>
  <c r="C306" i="6" s="1"/>
  <c r="C329" i="13" a="1"/>
  <c r="C329" i="13" s="1"/>
  <c r="D329" i="13" a="1"/>
  <c r="D329" i="13" s="1"/>
  <c r="B329" i="13" a="1"/>
  <c r="B329" i="13" s="1"/>
  <c r="E56" i="8"/>
  <c r="F50" i="8"/>
  <c r="G50" i="8"/>
  <c r="F47" i="16"/>
  <c r="D175" i="6" s="1"/>
  <c r="G295" i="13"/>
  <c r="C83" i="6" s="1"/>
  <c r="G83" i="6" s="1"/>
  <c r="H83" i="6" s="1"/>
  <c r="G325" i="13"/>
  <c r="G328" i="13"/>
  <c r="C156" i="6" s="1"/>
  <c r="D156" i="6" s="1"/>
  <c r="G326" i="13"/>
  <c r="C147" i="6" s="1"/>
  <c r="D147" i="6" s="1"/>
  <c r="G273" i="13"/>
  <c r="C46" i="6" s="1"/>
  <c r="E46" i="6" s="1"/>
  <c r="F46" i="6" s="1"/>
  <c r="G317" i="13"/>
  <c r="C137" i="6" s="1"/>
  <c r="E137" i="6" s="1"/>
  <c r="F137" i="6" s="1"/>
  <c r="G315" i="13"/>
  <c r="C130" i="6" s="1"/>
  <c r="E130" i="6" s="1"/>
  <c r="F130" i="6" s="1"/>
  <c r="C271" i="6"/>
  <c r="E271" i="6" s="1"/>
  <c r="F271" i="6" s="1"/>
  <c r="C264" i="6"/>
  <c r="E264" i="6" s="1"/>
  <c r="F264" i="6" s="1"/>
  <c r="G304" i="13"/>
  <c r="C94" i="6" s="1"/>
  <c r="D94" i="6" s="1"/>
  <c r="C263" i="6"/>
  <c r="E263" i="6" s="1"/>
  <c r="F263" i="6" s="1"/>
  <c r="G293" i="13"/>
  <c r="C74" i="6" s="1"/>
  <c r="D74" i="6" s="1"/>
  <c r="D160" i="6"/>
  <c r="B294" i="13" a="1"/>
  <c r="B294" i="13" s="1"/>
  <c r="C174" i="6"/>
  <c r="D174" i="6" s="1"/>
  <c r="C333" i="6"/>
  <c r="D333" i="6" s="1"/>
  <c r="G428" i="6"/>
  <c r="H428" i="6" s="1"/>
  <c r="C378" i="6"/>
  <c r="G378" i="6" s="1"/>
  <c r="H378" i="6" s="1"/>
  <c r="D428" i="6"/>
  <c r="G254" i="6"/>
  <c r="H254" i="6" s="1"/>
  <c r="C343" i="6"/>
  <c r="D343" i="6" s="1"/>
  <c r="G121" i="6"/>
  <c r="H121" i="6" s="1"/>
  <c r="C376" i="6"/>
  <c r="E376" i="6" s="1"/>
  <c r="F376" i="6" s="1"/>
  <c r="D341" i="6"/>
  <c r="D294" i="13" a="1"/>
  <c r="D294" i="13" s="1"/>
  <c r="G341" i="6"/>
  <c r="H341" i="6" s="1"/>
  <c r="E237" i="6"/>
  <c r="F237" i="6" s="1"/>
  <c r="G237" i="6"/>
  <c r="H237" i="6" s="1"/>
  <c r="D254" i="6"/>
  <c r="C255" i="6"/>
  <c r="G255" i="6" s="1"/>
  <c r="H255" i="6" s="1"/>
  <c r="E9" i="11"/>
  <c r="B29" i="16" s="1"/>
  <c r="F29" i="16" s="1"/>
  <c r="E294" i="13" a="1"/>
  <c r="E294" i="13" s="1"/>
  <c r="C248" i="6" s="1"/>
  <c r="D248" i="6" s="1"/>
  <c r="E298" i="6"/>
  <c r="F298" i="6" s="1"/>
  <c r="G298" i="6"/>
  <c r="H298" i="6" s="1"/>
  <c r="D121" i="6"/>
  <c r="D394" i="6"/>
  <c r="E394" i="6"/>
  <c r="F394" i="6" s="1"/>
  <c r="E281" i="6"/>
  <c r="F281" i="6" s="1"/>
  <c r="D281" i="6"/>
  <c r="G377" i="6"/>
  <c r="H377" i="6" s="1"/>
  <c r="D377" i="6"/>
  <c r="D9" i="11"/>
  <c r="B28" i="16" s="1"/>
  <c r="F28" i="16" s="1"/>
  <c r="D288" i="6"/>
  <c r="E247" i="6"/>
  <c r="F247" i="6" s="1"/>
  <c r="C412" i="6"/>
  <c r="G412" i="6" s="1"/>
  <c r="H412" i="6" s="1"/>
  <c r="G247" i="6"/>
  <c r="H247" i="6" s="1"/>
  <c r="C429" i="6"/>
  <c r="D429" i="6" s="1"/>
  <c r="D342" i="6"/>
  <c r="D119" i="6"/>
  <c r="E342" i="6"/>
  <c r="F342" i="6" s="1"/>
  <c r="G331" i="6"/>
  <c r="H331" i="6" s="1"/>
  <c r="E331" i="6"/>
  <c r="F331" i="6" s="1"/>
  <c r="D331" i="6"/>
  <c r="H9" i="11"/>
  <c r="B31" i="16" s="1"/>
  <c r="F31" i="16" s="1"/>
  <c r="D212" i="6"/>
  <c r="G288" i="6"/>
  <c r="H288" i="6" s="1"/>
  <c r="G228" i="6"/>
  <c r="H228" i="6" s="1"/>
  <c r="E119" i="6"/>
  <c r="F119" i="6" s="1"/>
  <c r="E228" i="6"/>
  <c r="F228" i="6" s="1"/>
  <c r="G212" i="6"/>
  <c r="H212" i="6" s="1"/>
  <c r="C359" i="6"/>
  <c r="D359" i="6" s="1"/>
  <c r="G229" i="6"/>
  <c r="H229" i="6" s="1"/>
  <c r="B9" i="11"/>
  <c r="B27" i="16" s="1"/>
  <c r="F27" i="16" s="1"/>
  <c r="E229" i="6"/>
  <c r="F229" i="6" s="1"/>
  <c r="C9" i="11"/>
  <c r="B26" i="16" s="1"/>
  <c r="F26" i="16" s="1"/>
  <c r="D111" i="6"/>
  <c r="E111" i="6"/>
  <c r="F111" i="6" s="1"/>
  <c r="G111" i="6"/>
  <c r="H111" i="6" s="1"/>
  <c r="F9" i="11"/>
  <c r="B32" i="16" s="1"/>
  <c r="F32" i="16" s="1"/>
  <c r="D113" i="6" s="1"/>
  <c r="D219" i="6"/>
  <c r="E219" i="6"/>
  <c r="F219" i="6" s="1"/>
  <c r="G219" i="6"/>
  <c r="H219" i="6" s="1"/>
  <c r="G9" i="11"/>
  <c r="B30" i="16" s="1"/>
  <c r="F30" i="16" s="1"/>
  <c r="E280" i="6"/>
  <c r="F280" i="6" s="1"/>
  <c r="D280" i="6"/>
  <c r="G280" i="6"/>
  <c r="H280" i="6" s="1"/>
  <c r="D305" i="6"/>
  <c r="E305" i="6"/>
  <c r="F305" i="6" s="1"/>
  <c r="G305" i="6"/>
  <c r="H305" i="6" s="1"/>
  <c r="G282" i="6"/>
  <c r="H282" i="6" s="1"/>
  <c r="D282" i="6"/>
  <c r="E282" i="6"/>
  <c r="F282" i="6" s="1"/>
  <c r="D246" i="6"/>
  <c r="G246" i="6"/>
  <c r="H246" i="6" s="1"/>
  <c r="E246" i="6"/>
  <c r="F246" i="6" s="1"/>
  <c r="D110" i="6"/>
  <c r="G110" i="6"/>
  <c r="H110" i="6" s="1"/>
  <c r="E110" i="6"/>
  <c r="F110" i="6" s="1"/>
  <c r="D403" i="6"/>
  <c r="D404" i="6" s="1"/>
  <c r="F321" i="6" s="1"/>
  <c r="E403" i="6"/>
  <c r="F403" i="6" s="1"/>
  <c r="F404" i="6" s="1"/>
  <c r="F322" i="6" s="1"/>
  <c r="G403" i="6"/>
  <c r="H403" i="6" s="1"/>
  <c r="H404" i="6" s="1"/>
  <c r="F323" i="6" s="1"/>
  <c r="C173" i="6"/>
  <c r="D386" i="6"/>
  <c r="D387" i="6" s="1"/>
  <c r="E321" i="6" s="1"/>
  <c r="E386" i="6"/>
  <c r="F386" i="6" s="1"/>
  <c r="F387" i="6" s="1"/>
  <c r="E322" i="6" s="1"/>
  <c r="G386" i="6"/>
  <c r="H386" i="6" s="1"/>
  <c r="H387" i="6" s="1"/>
  <c r="E323" i="6" s="1"/>
  <c r="E420" i="6"/>
  <c r="F420" i="6" s="1"/>
  <c r="G420" i="6"/>
  <c r="H420" i="6" s="1"/>
  <c r="D420" i="6"/>
  <c r="E360" i="6"/>
  <c r="F360" i="6" s="1"/>
  <c r="D360" i="6"/>
  <c r="G360" i="6"/>
  <c r="H360" i="6" s="1"/>
  <c r="C410" i="6"/>
  <c r="C393" i="6"/>
  <c r="D299" i="6"/>
  <c r="G299" i="6"/>
  <c r="H299" i="6" s="1"/>
  <c r="E299" i="6"/>
  <c r="F299" i="6" s="1"/>
  <c r="D369" i="6"/>
  <c r="E369" i="6"/>
  <c r="F369" i="6" s="1"/>
  <c r="F370" i="6" s="1"/>
  <c r="G369" i="6"/>
  <c r="H369" i="6" s="1"/>
  <c r="H370" i="6" s="1"/>
  <c r="D351" i="6"/>
  <c r="D353" i="6" s="1"/>
  <c r="G351" i="6"/>
  <c r="H351" i="6" s="1"/>
  <c r="E351" i="6"/>
  <c r="F351" i="6" s="1"/>
  <c r="F353" i="6" s="1"/>
  <c r="C427" i="6"/>
  <c r="G53" i="8"/>
  <c r="G52" i="8"/>
  <c r="G51" i="8"/>
  <c r="G55" i="8"/>
  <c r="G54" i="8"/>
  <c r="G303" i="13" l="1"/>
  <c r="G418" i="6"/>
  <c r="H418" i="6" s="1"/>
  <c r="D287" i="13" a="1"/>
  <c r="D287" i="13" s="1"/>
  <c r="D418" i="6"/>
  <c r="B331" i="13" a="1"/>
  <c r="B331" i="13" s="1"/>
  <c r="D361" i="6"/>
  <c r="D362" i="6" s="1"/>
  <c r="C326" i="6" s="1"/>
  <c r="D39" i="16" s="1"/>
  <c r="B287" i="13" a="1"/>
  <c r="B287" i="13" s="1"/>
  <c r="G287" i="13" s="1"/>
  <c r="C67" i="6" s="1"/>
  <c r="E67" i="6" s="1"/>
  <c r="F67" i="6" s="1"/>
  <c r="C395" i="6"/>
  <c r="G395" i="6" s="1"/>
  <c r="H395" i="6" s="1"/>
  <c r="D298" i="13" a="1"/>
  <c r="D298" i="13" s="1"/>
  <c r="D331" i="13" a="1"/>
  <c r="D331" i="13" s="1"/>
  <c r="G331" i="13" s="1"/>
  <c r="C159" i="6" s="1"/>
  <c r="F421" i="6"/>
  <c r="G322" i="6" s="1"/>
  <c r="D320" i="13" a="1"/>
  <c r="D320" i="13" s="1"/>
  <c r="G320" i="13" s="1"/>
  <c r="C140" i="6" s="1"/>
  <c r="D276" i="13" a="1"/>
  <c r="D276" i="13" s="1"/>
  <c r="E361" i="6"/>
  <c r="F361" i="6" s="1"/>
  <c r="G272" i="13"/>
  <c r="C39" i="6" s="1"/>
  <c r="D39" i="6" s="1"/>
  <c r="B298" i="13" a="1"/>
  <c r="B298" i="13" s="1"/>
  <c r="G270" i="13"/>
  <c r="C37" i="6" s="1"/>
  <c r="E37" i="6" s="1"/>
  <c r="F37" i="6" s="1"/>
  <c r="B276" i="13" a="1"/>
  <c r="B276" i="13" s="1"/>
  <c r="E309" i="13" a="1"/>
  <c r="E309" i="13" s="1"/>
  <c r="C274" i="6" s="1"/>
  <c r="D274" i="6" s="1"/>
  <c r="C211" i="6"/>
  <c r="G211" i="6" s="1"/>
  <c r="H211" i="6" s="1"/>
  <c r="H214" i="6" s="1"/>
  <c r="B201" i="6" s="1"/>
  <c r="D114" i="6"/>
  <c r="F26" i="6" s="1"/>
  <c r="C322" i="6"/>
  <c r="H353" i="6"/>
  <c r="C323" i="6" s="1"/>
  <c r="F56" i="8"/>
  <c r="H50" i="8" s="1"/>
  <c r="G56" i="8"/>
  <c r="D161" i="6"/>
  <c r="D271" i="6"/>
  <c r="G327" i="13"/>
  <c r="C148" i="6" s="1"/>
  <c r="G148" i="6" s="1"/>
  <c r="H148" i="6" s="1"/>
  <c r="G318" i="13"/>
  <c r="C138" i="6" s="1"/>
  <c r="G138" i="6" s="1"/>
  <c r="H138" i="6" s="1"/>
  <c r="G329" i="13"/>
  <c r="C157" i="6" s="1"/>
  <c r="G330" i="13"/>
  <c r="C158" i="6" s="1"/>
  <c r="D158" i="6" s="1"/>
  <c r="G263" i="6"/>
  <c r="H263" i="6" s="1"/>
  <c r="D264" i="6"/>
  <c r="G271" i="6"/>
  <c r="H271" i="6" s="1"/>
  <c r="C64" i="6"/>
  <c r="G64" i="6" s="1"/>
  <c r="H64" i="6" s="1"/>
  <c r="D263" i="6"/>
  <c r="G319" i="13"/>
  <c r="C139" i="6" s="1"/>
  <c r="E139" i="6" s="1"/>
  <c r="F139" i="6" s="1"/>
  <c r="G314" i="13"/>
  <c r="C129" i="6" s="1"/>
  <c r="D129" i="6" s="1"/>
  <c r="G316" i="13"/>
  <c r="C131" i="6" s="1"/>
  <c r="G131" i="6" s="1"/>
  <c r="H131" i="6" s="1"/>
  <c r="C93" i="6"/>
  <c r="G93" i="6" s="1"/>
  <c r="H93" i="6" s="1"/>
  <c r="G264" i="6"/>
  <c r="H264" i="6" s="1"/>
  <c r="G292" i="13"/>
  <c r="C73" i="6" s="1"/>
  <c r="D73" i="6" s="1"/>
  <c r="G297" i="13"/>
  <c r="C85" i="6" s="1"/>
  <c r="G85" i="6" s="1"/>
  <c r="H85" i="6" s="1"/>
  <c r="C272" i="6"/>
  <c r="G272" i="6" s="1"/>
  <c r="H272" i="6" s="1"/>
  <c r="G307" i="13"/>
  <c r="C102" i="6" s="1"/>
  <c r="C265" i="6"/>
  <c r="E265" i="6" s="1"/>
  <c r="F265" i="6" s="1"/>
  <c r="F266" i="6" s="1"/>
  <c r="E200" i="6" s="1"/>
  <c r="G305" i="13"/>
  <c r="C95" i="6" s="1"/>
  <c r="G95" i="6" s="1"/>
  <c r="H95" i="6" s="1"/>
  <c r="C273" i="6"/>
  <c r="E273" i="6" s="1"/>
  <c r="F273" i="6" s="1"/>
  <c r="G308" i="13"/>
  <c r="C103" i="6" s="1"/>
  <c r="D103" i="6" s="1"/>
  <c r="G296" i="13"/>
  <c r="C84" i="6" s="1"/>
  <c r="D84" i="6" s="1"/>
  <c r="G294" i="13"/>
  <c r="C75" i="6" s="1"/>
  <c r="E75" i="6" s="1"/>
  <c r="F75" i="6" s="1"/>
  <c r="G275" i="13"/>
  <c r="C48" i="6" s="1"/>
  <c r="G48" i="6" s="1"/>
  <c r="H48" i="6" s="1"/>
  <c r="G283" i="13"/>
  <c r="C57" i="6" s="1"/>
  <c r="G286" i="13"/>
  <c r="C66" i="6" s="1"/>
  <c r="D66" i="6" s="1"/>
  <c r="G285" i="13"/>
  <c r="C65" i="6" s="1"/>
  <c r="E65" i="6" s="1"/>
  <c r="F65" i="6" s="1"/>
  <c r="G274" i="13"/>
  <c r="C47" i="6" s="1"/>
  <c r="G47" i="6" s="1"/>
  <c r="H47" i="6" s="1"/>
  <c r="H421" i="6"/>
  <c r="G323" i="6" s="1"/>
  <c r="D344" i="6"/>
  <c r="B326" i="6" s="1"/>
  <c r="D40" i="16" s="1"/>
  <c r="D335" i="6"/>
  <c r="B321" i="6" s="1"/>
  <c r="C321" i="6"/>
  <c r="D370" i="6"/>
  <c r="D321" i="6" s="1"/>
  <c r="D323" i="6"/>
  <c r="D322" i="6"/>
  <c r="E297" i="6"/>
  <c r="F297" i="6" s="1"/>
  <c r="F300" i="6" s="1"/>
  <c r="G200" i="6" s="1"/>
  <c r="E222" i="6"/>
  <c r="F222" i="6" s="1"/>
  <c r="D256" i="6"/>
  <c r="E174" i="6"/>
  <c r="F174" i="6" s="1"/>
  <c r="G174" i="6"/>
  <c r="H174" i="6" s="1"/>
  <c r="D378" i="6"/>
  <c r="E333" i="6"/>
  <c r="F333" i="6" s="1"/>
  <c r="D120" i="6"/>
  <c r="G120" i="6"/>
  <c r="H120" i="6" s="1"/>
  <c r="E112" i="6"/>
  <c r="F112" i="6" s="1"/>
  <c r="F114" i="6" s="1"/>
  <c r="G112" i="6"/>
  <c r="H112" i="6" s="1"/>
  <c r="H114" i="6" s="1"/>
  <c r="G220" i="6"/>
  <c r="H220" i="6" s="1"/>
  <c r="E220" i="6"/>
  <c r="F220" i="6" s="1"/>
  <c r="D421" i="6"/>
  <c r="G321" i="6" s="1"/>
  <c r="G333" i="6"/>
  <c r="H333" i="6" s="1"/>
  <c r="E213" i="6"/>
  <c r="F213" i="6" s="1"/>
  <c r="E378" i="6"/>
  <c r="F378" i="6" s="1"/>
  <c r="F379" i="6" s="1"/>
  <c r="D324" i="6" s="1"/>
  <c r="D213" i="6"/>
  <c r="G257" i="6"/>
  <c r="H257" i="6" s="1"/>
  <c r="E257" i="6"/>
  <c r="F257" i="6" s="1"/>
  <c r="G343" i="6"/>
  <c r="H343" i="6" s="1"/>
  <c r="E343" i="6"/>
  <c r="F343" i="6" s="1"/>
  <c r="F344" i="6" s="1"/>
  <c r="G240" i="6"/>
  <c r="H240" i="6" s="1"/>
  <c r="D240" i="6"/>
  <c r="C55" i="6"/>
  <c r="G55" i="6" s="1"/>
  <c r="H55" i="6" s="1"/>
  <c r="G307" i="6"/>
  <c r="H307" i="6" s="1"/>
  <c r="E307" i="6"/>
  <c r="F307" i="6" s="1"/>
  <c r="G248" i="6"/>
  <c r="H248" i="6" s="1"/>
  <c r="H249" i="6" s="1"/>
  <c r="D201" i="6" s="1"/>
  <c r="G376" i="6"/>
  <c r="H376" i="6" s="1"/>
  <c r="H379" i="6" s="1"/>
  <c r="D325" i="6" s="1"/>
  <c r="D376" i="6"/>
  <c r="D297" i="6"/>
  <c r="G297" i="6"/>
  <c r="H297" i="6" s="1"/>
  <c r="H300" i="6" s="1"/>
  <c r="G201" i="6" s="1"/>
  <c r="E248" i="6"/>
  <c r="F248" i="6" s="1"/>
  <c r="F249" i="6" s="1"/>
  <c r="D200" i="6" s="1"/>
  <c r="D255" i="6"/>
  <c r="G137" i="6"/>
  <c r="H137" i="6" s="1"/>
  <c r="C146" i="6"/>
  <c r="D146" i="6" s="1"/>
  <c r="E255" i="6"/>
  <c r="F255" i="6" s="1"/>
  <c r="E74" i="6"/>
  <c r="F74" i="6" s="1"/>
  <c r="G156" i="6"/>
  <c r="H156" i="6" s="1"/>
  <c r="G38" i="6"/>
  <c r="H38" i="6" s="1"/>
  <c r="G359" i="6"/>
  <c r="H359" i="6" s="1"/>
  <c r="E412" i="6"/>
  <c r="F412" i="6" s="1"/>
  <c r="D412" i="6"/>
  <c r="E429" i="6"/>
  <c r="F429" i="6" s="1"/>
  <c r="E38" i="6"/>
  <c r="F38" i="6" s="1"/>
  <c r="E221" i="6"/>
  <c r="F221" i="6" s="1"/>
  <c r="G221" i="6"/>
  <c r="H221" i="6" s="1"/>
  <c r="E359" i="6"/>
  <c r="F359" i="6" s="1"/>
  <c r="D137" i="6"/>
  <c r="D101" i="6"/>
  <c r="E156" i="6"/>
  <c r="F156" i="6" s="1"/>
  <c r="E147" i="6"/>
  <c r="F147" i="6" s="1"/>
  <c r="G147" i="6"/>
  <c r="H147" i="6" s="1"/>
  <c r="E94" i="6"/>
  <c r="F94" i="6" s="1"/>
  <c r="G74" i="6"/>
  <c r="H74" i="6" s="1"/>
  <c r="G429" i="6"/>
  <c r="H429" i="6" s="1"/>
  <c r="D222" i="6"/>
  <c r="G222" i="6"/>
  <c r="H222" i="6" s="1"/>
  <c r="G94" i="6"/>
  <c r="H94" i="6" s="1"/>
  <c r="D130" i="6"/>
  <c r="G130" i="6"/>
  <c r="H130" i="6" s="1"/>
  <c r="G101" i="6"/>
  <c r="H101" i="6" s="1"/>
  <c r="C238" i="6"/>
  <c r="G56" i="6"/>
  <c r="H56" i="6" s="1"/>
  <c r="D83" i="6"/>
  <c r="D283" i="6"/>
  <c r="F199" i="6" s="1"/>
  <c r="D46" i="6"/>
  <c r="F283" i="6"/>
  <c r="F200" i="6" s="1"/>
  <c r="D122" i="6"/>
  <c r="G256" i="6"/>
  <c r="H256" i="6" s="1"/>
  <c r="E122" i="6"/>
  <c r="F122" i="6" s="1"/>
  <c r="F124" i="6" s="1"/>
  <c r="G46" i="6"/>
  <c r="H46" i="6" s="1"/>
  <c r="E256" i="6"/>
  <c r="F256" i="6" s="1"/>
  <c r="E83" i="6"/>
  <c r="F83" i="6" s="1"/>
  <c r="H283" i="6"/>
  <c r="F201" i="6" s="1"/>
  <c r="D56" i="6"/>
  <c r="G291" i="6"/>
  <c r="H291" i="6" s="1"/>
  <c r="E291" i="6"/>
  <c r="F291" i="6" s="1"/>
  <c r="D149" i="6"/>
  <c r="D308" i="6"/>
  <c r="G308" i="6"/>
  <c r="H308" i="6" s="1"/>
  <c r="E308" i="6"/>
  <c r="F308" i="6" s="1"/>
  <c r="D249" i="6"/>
  <c r="D199" i="6" s="1"/>
  <c r="E230" i="6"/>
  <c r="F230" i="6" s="1"/>
  <c r="C200" i="6" s="1"/>
  <c r="G230" i="6"/>
  <c r="H230" i="6" s="1"/>
  <c r="C201" i="6" s="1"/>
  <c r="D230" i="6"/>
  <c r="D232" i="6" s="1"/>
  <c r="E393" i="6"/>
  <c r="F393" i="6" s="1"/>
  <c r="D393" i="6"/>
  <c r="G393" i="6"/>
  <c r="H393" i="6" s="1"/>
  <c r="E306" i="6"/>
  <c r="F306" i="6" s="1"/>
  <c r="D306" i="6"/>
  <c r="G306" i="6"/>
  <c r="H306" i="6" s="1"/>
  <c r="D427" i="6"/>
  <c r="D430" i="6" s="1"/>
  <c r="G326" i="6" s="1"/>
  <c r="D44" i="16" s="1"/>
  <c r="E427" i="6"/>
  <c r="F427" i="6" s="1"/>
  <c r="G427" i="6"/>
  <c r="H427" i="6" s="1"/>
  <c r="D173" i="6"/>
  <c r="D176" i="6" s="1"/>
  <c r="I31" i="6" s="1"/>
  <c r="C47" i="16" s="1"/>
  <c r="D104" i="8" s="1"/>
  <c r="E104" i="8" s="1"/>
  <c r="E173" i="6"/>
  <c r="F173" i="6" s="1"/>
  <c r="G173" i="6"/>
  <c r="H173" i="6" s="1"/>
  <c r="G410" i="6"/>
  <c r="H410" i="6" s="1"/>
  <c r="H413" i="6" s="1"/>
  <c r="D410" i="6"/>
  <c r="E410" i="6"/>
  <c r="F410" i="6" s="1"/>
  <c r="E289" i="6"/>
  <c r="F289" i="6" s="1"/>
  <c r="G289" i="6"/>
  <c r="H289" i="6" s="1"/>
  <c r="D289" i="6"/>
  <c r="D292" i="6" s="1"/>
  <c r="F204" i="6" s="1"/>
  <c r="E43" i="16" s="1"/>
  <c r="E239" i="6"/>
  <c r="F239" i="6" s="1"/>
  <c r="G239" i="6"/>
  <c r="H239" i="6" s="1"/>
  <c r="D239" i="6"/>
  <c r="G276" i="13" l="1"/>
  <c r="C49" i="6" s="1"/>
  <c r="E49" i="6" s="1"/>
  <c r="F49" i="6" s="1"/>
  <c r="G298" i="13"/>
  <c r="C86" i="6" s="1"/>
  <c r="D86" i="6" s="1"/>
  <c r="E395" i="6"/>
  <c r="F395" i="6" s="1"/>
  <c r="F396" i="6" s="1"/>
  <c r="E324" i="6" s="1"/>
  <c r="D395" i="6"/>
  <c r="D396" i="6" s="1"/>
  <c r="E326" i="6" s="1"/>
  <c r="D42" i="16" s="1"/>
  <c r="G309" i="13"/>
  <c r="C104" i="6" s="1"/>
  <c r="E104" i="6" s="1"/>
  <c r="F104" i="6" s="1"/>
  <c r="E211" i="6"/>
  <c r="F211" i="6" s="1"/>
  <c r="F214" i="6" s="1"/>
  <c r="B200" i="6" s="1"/>
  <c r="D211" i="6"/>
  <c r="D214" i="6" s="1"/>
  <c r="B199" i="6" s="1"/>
  <c r="H176" i="6"/>
  <c r="I30" i="6" s="1"/>
  <c r="F176" i="6"/>
  <c r="I29" i="6" s="1"/>
  <c r="F232" i="6"/>
  <c r="H232" i="6"/>
  <c r="F29" i="6"/>
  <c r="F28" i="6"/>
  <c r="H335" i="6"/>
  <c r="B323" i="6" s="1"/>
  <c r="F27" i="6"/>
  <c r="H396" i="6"/>
  <c r="E325" i="6" s="1"/>
  <c r="H124" i="6"/>
  <c r="F30" i="6" s="1"/>
  <c r="F335" i="6"/>
  <c r="B322" i="6" s="1"/>
  <c r="E64" i="6"/>
  <c r="F64" i="6" s="1"/>
  <c r="D64" i="6"/>
  <c r="D93" i="6"/>
  <c r="E93" i="6"/>
  <c r="F93" i="6" s="1"/>
  <c r="G274" i="6"/>
  <c r="H274" i="6" s="1"/>
  <c r="E274" i="6"/>
  <c r="F274" i="6" s="1"/>
  <c r="E272" i="6"/>
  <c r="F272" i="6" s="1"/>
  <c r="D272" i="6"/>
  <c r="D265" i="6"/>
  <c r="D266" i="6" s="1"/>
  <c r="E199" i="6" s="1"/>
  <c r="G273" i="6"/>
  <c r="H273" i="6" s="1"/>
  <c r="D273" i="6"/>
  <c r="G265" i="6"/>
  <c r="H265" i="6" s="1"/>
  <c r="H266" i="6" s="1"/>
  <c r="E201" i="6" s="1"/>
  <c r="D320" i="6"/>
  <c r="D28" i="16" s="1"/>
  <c r="F362" i="6"/>
  <c r="C324" i="6" s="1"/>
  <c r="H362" i="6"/>
  <c r="C325" i="6" s="1"/>
  <c r="B324" i="6"/>
  <c r="H344" i="6"/>
  <c r="B325" i="6" s="1"/>
  <c r="F325" i="6"/>
  <c r="D258" i="6"/>
  <c r="D204" i="6" s="1"/>
  <c r="E41" i="16" s="1"/>
  <c r="D223" i="6"/>
  <c r="B204" i="6" s="1"/>
  <c r="E40" i="16" s="1"/>
  <c r="G40" i="16" s="1"/>
  <c r="C89" i="8" s="1"/>
  <c r="E238" i="6"/>
  <c r="F238" i="6" s="1"/>
  <c r="F241" i="6" s="1"/>
  <c r="C202" i="6" s="1"/>
  <c r="D300" i="6"/>
  <c r="G199" i="6" s="1"/>
  <c r="F223" i="6"/>
  <c r="B202" i="6" s="1"/>
  <c r="D379" i="6"/>
  <c r="D326" i="6" s="1"/>
  <c r="D41" i="16" s="1"/>
  <c r="D124" i="6"/>
  <c r="F31" i="6" s="1"/>
  <c r="C45" i="16" s="1"/>
  <c r="H258" i="6"/>
  <c r="D203" i="6" s="1"/>
  <c r="G146" i="6"/>
  <c r="H146" i="6" s="1"/>
  <c r="E146" i="6"/>
  <c r="F146" i="6" s="1"/>
  <c r="G129" i="6"/>
  <c r="H129" i="6" s="1"/>
  <c r="H132" i="6" s="1"/>
  <c r="G28" i="6" s="1"/>
  <c r="E129" i="6"/>
  <c r="F129" i="6" s="1"/>
  <c r="D413" i="6"/>
  <c r="D55" i="6"/>
  <c r="G73" i="6"/>
  <c r="H73" i="6" s="1"/>
  <c r="E55" i="6"/>
  <c r="F55" i="6" s="1"/>
  <c r="E148" i="6"/>
  <c r="F148" i="6" s="1"/>
  <c r="E73" i="6"/>
  <c r="F73" i="6" s="1"/>
  <c r="D148" i="6"/>
  <c r="E84" i="6"/>
  <c r="F84" i="6" s="1"/>
  <c r="G84" i="6"/>
  <c r="H84" i="6" s="1"/>
  <c r="D75" i="6"/>
  <c r="D78" i="6" s="1"/>
  <c r="G75" i="6"/>
  <c r="H75" i="6" s="1"/>
  <c r="D131" i="6"/>
  <c r="D132" i="6" s="1"/>
  <c r="G26" i="6" s="1"/>
  <c r="G49" i="6"/>
  <c r="H49" i="6" s="1"/>
  <c r="H50" i="6" s="1"/>
  <c r="B30" i="6" s="1"/>
  <c r="E131" i="6"/>
  <c r="F131" i="6" s="1"/>
  <c r="D48" i="6"/>
  <c r="G39" i="6"/>
  <c r="H39" i="6" s="1"/>
  <c r="G103" i="6"/>
  <c r="H103" i="6" s="1"/>
  <c r="E103" i="6"/>
  <c r="F103" i="6" s="1"/>
  <c r="F258" i="6"/>
  <c r="D202" i="6" s="1"/>
  <c r="E39" i="6"/>
  <c r="F39" i="6" s="1"/>
  <c r="F41" i="6" s="1"/>
  <c r="F413" i="6"/>
  <c r="E48" i="6"/>
  <c r="F48" i="6" s="1"/>
  <c r="G86" i="6"/>
  <c r="H86" i="6" s="1"/>
  <c r="G65" i="6"/>
  <c r="H65" i="6" s="1"/>
  <c r="D65" i="6"/>
  <c r="F430" i="6"/>
  <c r="G324" i="6" s="1"/>
  <c r="H223" i="6"/>
  <c r="B203" i="6" s="1"/>
  <c r="G37" i="6"/>
  <c r="H37" i="6" s="1"/>
  <c r="D139" i="6"/>
  <c r="D238" i="6"/>
  <c r="D37" i="6"/>
  <c r="D41" i="6" s="1"/>
  <c r="B26" i="6" s="1"/>
  <c r="G139" i="6"/>
  <c r="H139" i="6" s="1"/>
  <c r="G66" i="6"/>
  <c r="H66" i="6" s="1"/>
  <c r="D67" i="6"/>
  <c r="G67" i="6"/>
  <c r="H67" i="6" s="1"/>
  <c r="H430" i="6"/>
  <c r="G325" i="6" s="1"/>
  <c r="H96" i="6"/>
  <c r="E28" i="6" s="1"/>
  <c r="D47" i="6"/>
  <c r="E85" i="6"/>
  <c r="F85" i="6" s="1"/>
  <c r="D85" i="6"/>
  <c r="D88" i="6" s="1"/>
  <c r="D31" i="6" s="1"/>
  <c r="C41" i="16" s="1"/>
  <c r="B90" i="8" s="1"/>
  <c r="E138" i="6"/>
  <c r="F138" i="6" s="1"/>
  <c r="D138" i="6"/>
  <c r="E95" i="6"/>
  <c r="F95" i="6" s="1"/>
  <c r="E66" i="6"/>
  <c r="F66" i="6" s="1"/>
  <c r="D95" i="6"/>
  <c r="G238" i="6"/>
  <c r="H238" i="6" s="1"/>
  <c r="H241" i="6" s="1"/>
  <c r="C203" i="6" s="1"/>
  <c r="E47" i="6"/>
  <c r="F47" i="6" s="1"/>
  <c r="F309" i="6"/>
  <c r="G202" i="6" s="1"/>
  <c r="G158" i="6"/>
  <c r="H158" i="6" s="1"/>
  <c r="E158" i="6"/>
  <c r="F158" i="6" s="1"/>
  <c r="F292" i="6"/>
  <c r="F202" i="6" s="1"/>
  <c r="E140" i="6"/>
  <c r="F140" i="6" s="1"/>
  <c r="D140" i="6"/>
  <c r="G140" i="6"/>
  <c r="H140" i="6" s="1"/>
  <c r="H309" i="6"/>
  <c r="G203" i="6" s="1"/>
  <c r="D159" i="6"/>
  <c r="G159" i="6"/>
  <c r="H159" i="6" s="1"/>
  <c r="E159" i="6"/>
  <c r="F159" i="6" s="1"/>
  <c r="D309" i="6"/>
  <c r="G204" i="6" s="1"/>
  <c r="E44" i="16" s="1"/>
  <c r="G44" i="16" s="1"/>
  <c r="H292" i="6"/>
  <c r="F203" i="6" s="1"/>
  <c r="G102" i="6"/>
  <c r="H102" i="6" s="1"/>
  <c r="E102" i="6"/>
  <c r="F102" i="6" s="1"/>
  <c r="D102" i="6"/>
  <c r="G57" i="6"/>
  <c r="H57" i="6" s="1"/>
  <c r="H59" i="6" s="1"/>
  <c r="D57" i="6"/>
  <c r="E57" i="6"/>
  <c r="F57" i="6" s="1"/>
  <c r="D157" i="6"/>
  <c r="E157" i="6"/>
  <c r="F157" i="6" s="1"/>
  <c r="G157" i="6"/>
  <c r="H157" i="6" s="1"/>
  <c r="E86" i="6" l="1"/>
  <c r="F86" i="6" s="1"/>
  <c r="D49" i="6"/>
  <c r="D50" i="6" s="1"/>
  <c r="B31" i="6" s="1"/>
  <c r="C40" i="16" s="1"/>
  <c r="B89" i="8" s="1"/>
  <c r="D104" i="6"/>
  <c r="D105" i="6" s="1"/>
  <c r="E31" i="6" s="1"/>
  <c r="C42" i="16" s="1"/>
  <c r="B91" i="8" s="1"/>
  <c r="G104" i="6"/>
  <c r="H104" i="6" s="1"/>
  <c r="H105" i="6" s="1"/>
  <c r="E30" i="6" s="1"/>
  <c r="F105" i="6"/>
  <c r="E29" i="6" s="1"/>
  <c r="D275" i="6"/>
  <c r="E204" i="6" s="1"/>
  <c r="E42" i="16" s="1"/>
  <c r="G42" i="16" s="1"/>
  <c r="H275" i="6"/>
  <c r="E203" i="6" s="1"/>
  <c r="H41" i="6"/>
  <c r="B28" i="6" s="1"/>
  <c r="F88" i="6"/>
  <c r="D29" i="6" s="1"/>
  <c r="F25" i="6"/>
  <c r="C32" i="16" s="1"/>
  <c r="E320" i="6"/>
  <c r="D29" i="16" s="1"/>
  <c r="F151" i="6"/>
  <c r="H27" i="6" s="1"/>
  <c r="C28" i="6"/>
  <c r="H88" i="6"/>
  <c r="D30" i="6" s="1"/>
  <c r="B27" i="6"/>
  <c r="F275" i="6"/>
  <c r="E202" i="6" s="1"/>
  <c r="F78" i="6"/>
  <c r="D27" i="6" s="1"/>
  <c r="F59" i="6"/>
  <c r="C27" i="6" s="1"/>
  <c r="H78" i="6"/>
  <c r="D28" i="6" s="1"/>
  <c r="F162" i="6"/>
  <c r="H29" i="6" s="1"/>
  <c r="H162" i="6"/>
  <c r="H30" i="6" s="1"/>
  <c r="H151" i="6"/>
  <c r="H28" i="6" s="1"/>
  <c r="C92" i="8"/>
  <c r="F96" i="6"/>
  <c r="E27" i="6" s="1"/>
  <c r="D96" i="6"/>
  <c r="E26" i="6" s="1"/>
  <c r="F68" i="6"/>
  <c r="C29" i="6" s="1"/>
  <c r="D198" i="6"/>
  <c r="E28" i="16" s="1"/>
  <c r="G28" i="16" s="1"/>
  <c r="C79" i="8" s="1"/>
  <c r="B320" i="6"/>
  <c r="D27" i="16" s="1"/>
  <c r="G320" i="6"/>
  <c r="D31" i="16" s="1"/>
  <c r="I25" i="6"/>
  <c r="C34" i="16" s="1"/>
  <c r="D26" i="6"/>
  <c r="D151" i="6"/>
  <c r="H26" i="6" s="1"/>
  <c r="C320" i="6"/>
  <c r="D26" i="16" s="1"/>
  <c r="G198" i="6"/>
  <c r="E31" i="16" s="1"/>
  <c r="F326" i="6"/>
  <c r="D43" i="16" s="1"/>
  <c r="G43" i="16" s="1"/>
  <c r="F324" i="6"/>
  <c r="F320" i="6" s="1"/>
  <c r="D30" i="16" s="1"/>
  <c r="G41" i="16"/>
  <c r="D241" i="6"/>
  <c r="C204" i="6" s="1"/>
  <c r="E39" i="16" s="1"/>
  <c r="G39" i="16" s="1"/>
  <c r="B198" i="6"/>
  <c r="E27" i="16" s="1"/>
  <c r="D59" i="6"/>
  <c r="C26" i="6" s="1"/>
  <c r="F132" i="6"/>
  <c r="G27" i="6" s="1"/>
  <c r="F50" i="6"/>
  <c r="B29" i="6" s="1"/>
  <c r="D68" i="6"/>
  <c r="C31" i="6" s="1"/>
  <c r="C39" i="16" s="1"/>
  <c r="B93" i="8" s="1"/>
  <c r="H68" i="6"/>
  <c r="C30" i="6" s="1"/>
  <c r="H141" i="6"/>
  <c r="G30" i="6" s="1"/>
  <c r="F141" i="6"/>
  <c r="G29" i="6" s="1"/>
  <c r="D141" i="6"/>
  <c r="G31" i="6" s="1"/>
  <c r="C43" i="16" s="1"/>
  <c r="B94" i="8" s="1"/>
  <c r="D162" i="6"/>
  <c r="H31" i="6" s="1"/>
  <c r="C44" i="16" s="1"/>
  <c r="B92" i="8" s="1"/>
  <c r="F198" i="6"/>
  <c r="E30" i="16" s="1"/>
  <c r="C198" i="6"/>
  <c r="E26" i="16" s="1"/>
  <c r="E198" i="6" l="1"/>
  <c r="E29" i="16" s="1"/>
  <c r="G29" i="16" s="1"/>
  <c r="C80" i="8" s="1"/>
  <c r="G27" i="16"/>
  <c r="C78" i="8" s="1"/>
  <c r="B95" i="8"/>
  <c r="D103" i="8"/>
  <c r="E103" i="8" s="1"/>
  <c r="C94" i="8"/>
  <c r="C91" i="8"/>
  <c r="C93" i="8"/>
  <c r="C90" i="8"/>
  <c r="H25" i="6"/>
  <c r="C31" i="16" s="1"/>
  <c r="B81" i="8" s="1"/>
  <c r="D25" i="6"/>
  <c r="C28" i="16" s="1"/>
  <c r="B79" i="8" s="1"/>
  <c r="G26" i="16"/>
  <c r="C82" i="8" s="1"/>
  <c r="G30" i="16"/>
  <c r="C83" i="8" s="1"/>
  <c r="C25" i="6"/>
  <c r="C26" i="16" s="1"/>
  <c r="B82" i="8" s="1"/>
  <c r="B25" i="6"/>
  <c r="C27" i="16" s="1"/>
  <c r="B78" i="8" s="1"/>
  <c r="E25" i="6"/>
  <c r="C29" i="16" s="1"/>
  <c r="B80" i="8" s="1"/>
  <c r="G31" i="16"/>
  <c r="C81" i="8" s="1"/>
  <c r="G25" i="6"/>
  <c r="C30" i="16" s="1"/>
  <c r="B83" i="8" s="1"/>
  <c r="C84" i="8" l="1"/>
  <c r="F104" i="8"/>
  <c r="C95" i="8"/>
  <c r="C44" i="8"/>
  <c r="B84" i="8"/>
  <c r="C43" i="8"/>
  <c r="E36" i="8" l="1"/>
  <c r="G104" i="8"/>
  <c r="B43" i="8"/>
  <c r="B44" i="8"/>
  <c r="D44" i="8" s="1"/>
  <c r="F103" i="8"/>
  <c r="H104" i="8" l="1"/>
  <c r="C36" i="8"/>
  <c r="G103" i="8"/>
  <c r="H103" i="8" s="1"/>
  <c r="E35" i="8"/>
  <c r="D43" i="8"/>
  <c r="E44" i="8"/>
  <c r="E43" i="8" l="1"/>
  <c r="D36" i="8"/>
  <c r="F44" i="8"/>
  <c r="B36" i="8" s="1"/>
  <c r="C35" i="8"/>
  <c r="F43" i="8" l="1"/>
  <c r="B35" i="8" s="1"/>
  <c r="D3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srichardson</author>
  </authors>
  <commentList>
    <comment ref="B83" authorId="0" shapeId="0" xr:uid="{00000000-0006-0000-0100-000002000000}">
      <text>
        <r>
          <rPr>
            <sz val="10"/>
            <rFont val="Arial"/>
            <family val="2"/>
          </rPr>
          <t>923 Net Generation from Electric Utilities, NAICS Cogen and NAICS non-cogen (MWh) instead of ISO-NE value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tc={F3540C4C-BA00-4D8F-82F4-9312E2F52777}</author>
  </authors>
  <commentList>
    <comment ref="A40" authorId="0" shapeId="0" xr:uid="{F3540C4C-BA00-4D8F-82F4-9312E2F52777}">
      <text>
        <t>[Threaded comment]
Your version of Excel allows you to read this threaded comment; however, any edits to it will get removed if the file is opened in a newer version of Excel. Learn more: https://go.microsoft.com/fwlink/?linkid=870924
Comment:
    Formatting here and update possibly since above link isn’t working</t>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<sst xmlns="http://schemas.openxmlformats.org/spreadsheetml/2006/main" count="42496" uniqueCount="4584">
  <si>
    <t>Contents</t>
  </si>
  <si>
    <t>Links to Worksheets</t>
  </si>
  <si>
    <t>Emission Factors</t>
  </si>
  <si>
    <t>State and Province Summary</t>
  </si>
  <si>
    <t>Generation Load Imports</t>
  </si>
  <si>
    <t>EIA and EPA CO2e</t>
  </si>
  <si>
    <t>EIA Form 923</t>
  </si>
  <si>
    <t>EPA Part 75</t>
  </si>
  <si>
    <t>GIS CO2e</t>
  </si>
  <si>
    <t>GIS Heat Input</t>
  </si>
  <si>
    <t>GIS</t>
  </si>
  <si>
    <t>End of Table</t>
  </si>
  <si>
    <t>Draft 2024 GHG Emission Factors (EFs) for Massachusetts Retail Sellers of Electricity GHG Reporting</t>
  </si>
  <si>
    <r>
      <t>The</t>
    </r>
    <r>
      <rPr>
        <b/>
        <sz val="12"/>
        <color indexed="8"/>
        <rFont val="Aptos"/>
        <family val="2"/>
      </rPr>
      <t xml:space="preserve"> Initial Emission Factors </t>
    </r>
    <r>
      <rPr>
        <sz val="12"/>
        <color indexed="8"/>
        <rFont val="Aptos"/>
        <family val="2"/>
      </rPr>
      <t>summarizes the initial Massachusetts-based and ISO-NE Regional non-biogenic and biogenic CO2e emission rates for Massachusetts retail sellers of electricity in pounds of CO2e per MWh, after accounting for all GIS certificates.</t>
    </r>
  </si>
  <si>
    <r>
      <rPr>
        <b/>
        <sz val="12"/>
        <color indexed="8"/>
        <rFont val="Aptos"/>
        <family val="2"/>
      </rPr>
      <t xml:space="preserve">Specific Generation from Massachusetts Retail Sellers: MWh and GHGs </t>
    </r>
    <r>
      <rPr>
        <sz val="12"/>
        <color indexed="8"/>
        <rFont val="Aptos"/>
        <family val="2"/>
      </rPr>
      <t>summarizes the specific MWh and non-biogenic and biogenic CO2e emissions claimed by retail sellers in their GHG tabs and optional AQ31 reports.</t>
    </r>
  </si>
  <si>
    <r>
      <rPr>
        <b/>
        <sz val="12"/>
        <rFont val="Aptos"/>
        <family val="2"/>
      </rPr>
      <t>MWh</t>
    </r>
    <r>
      <rPr>
        <sz val="12"/>
        <rFont val="Aptos"/>
        <family val="2"/>
      </rPr>
      <t>: Displays generation and load for each ISO-New England state, and imports from outside ISO-NE, adjusted by GIS certificates. Calculates power exported from states and provinces, and Massachusetts' share of this exported power. Also displays specific generation reported by MA retail sellers.</t>
    </r>
  </si>
  <si>
    <r>
      <rPr>
        <b/>
        <sz val="12"/>
        <rFont val="Aptos"/>
        <family val="2"/>
      </rPr>
      <t>lb CO2e</t>
    </r>
    <r>
      <rPr>
        <sz val="12"/>
        <rFont val="Aptos"/>
        <family val="2"/>
      </rPr>
      <t>: Displays emissions from each state and province adjusted by GIS certificates. Calculates emissions exported from states and provinces using export emission rates from the 'State &amp; Province Summary' tab, and Massachusetts' share of these exported emissions.</t>
    </r>
  </si>
  <si>
    <r>
      <rPr>
        <b/>
        <sz val="12"/>
        <rFont val="Aptos"/>
        <family val="2"/>
      </rPr>
      <t>lb CO2e/MWh</t>
    </r>
    <r>
      <rPr>
        <sz val="12"/>
        <rFont val="Aptos"/>
        <family val="2"/>
      </rPr>
      <t>: Calculates MA-Based and Regional Emission Rates from Electricity Consumption Emissions (including for GIS certificates) and Electric Load (including GIS certificates and pumping).</t>
    </r>
  </si>
  <si>
    <t xml:space="preserve">Specific Generation from Massachusetts Retail Sellers: MWh and GHGs </t>
  </si>
  <si>
    <t>Total</t>
  </si>
  <si>
    <t>From Competitive Suppliers &amp; Electric Utilities
(GHG tab)</t>
  </si>
  <si>
    <t>MWh</t>
  </si>
  <si>
    <t>Non-Biogenic CO2e (lb)</t>
  </si>
  <si>
    <t>The Initial GHG Emission Factor values are calculated prior to the inclusion of MA Retail Seller GHG reporting data.</t>
  </si>
  <si>
    <t>The Final GHG Emission Factors account for Massachusetts Retail Seller's specific GIS certificates and are to be used for MA Retail Seller GHG reporting.</t>
  </si>
  <si>
    <t>Emissions Type</t>
  </si>
  <si>
    <t>Initial Massachusetts-Based</t>
  </si>
  <si>
    <t>Initial Regional</t>
  </si>
  <si>
    <t>Final Massachusetts-
Based</t>
  </si>
  <si>
    <t>Final Regional</t>
  </si>
  <si>
    <t>Non-biogenic EF (lb CO2e/MWh)</t>
  </si>
  <si>
    <t>Biogenic EF (lb CO2/MWh)</t>
  </si>
  <si>
    <t>State</t>
  </si>
  <si>
    <t>MA</t>
  </si>
  <si>
    <t>ME</t>
  </si>
  <si>
    <t>NH</t>
  </si>
  <si>
    <t>VT</t>
  </si>
  <si>
    <t>CT</t>
  </si>
  <si>
    <t>RI</t>
  </si>
  <si>
    <t>ISO-NE States TOTAL</t>
  </si>
  <si>
    <t>Maine Emissions Adjustment to Account for Northern Maine Independent System Administrator (NMISA)</t>
  </si>
  <si>
    <t xml:space="preserve">NMISA Generation (MWh) </t>
  </si>
  <si>
    <t xml:space="preserve">ISO ME Generation (MWh) </t>
  </si>
  <si>
    <t xml:space="preserve">Total ME Generation (MWh) </t>
  </si>
  <si>
    <t>ISO Gen % of Total ME Generation</t>
  </si>
  <si>
    <t>Maine GHG Generation emissions were adjusted to match the geographic scope of the EIA emissions data to that of ISO generation data.</t>
  </si>
  <si>
    <t>State Exported GHG Generation Emissions (excluding GIS certificates)</t>
  </si>
  <si>
    <t>Exported GHG Generation Emissions (excluding GIS certificates)</t>
  </si>
  <si>
    <t>ISO-NE Emissions and Emissions Rate (Factor) based on region-wide generation and imports</t>
  </si>
  <si>
    <t>Non-Biogenic CO2e</t>
  </si>
  <si>
    <t>Biogenic CO2</t>
  </si>
  <si>
    <t>State/Province</t>
  </si>
  <si>
    <t>NY</t>
  </si>
  <si>
    <t>NB</t>
  </si>
  <si>
    <t>Q</t>
  </si>
  <si>
    <t>TOTAL</t>
  </si>
  <si>
    <t>Explanation</t>
  </si>
  <si>
    <t>State &amp; Province Generation</t>
  </si>
  <si>
    <t>GIS Transfers (Net) to and from State</t>
  </si>
  <si>
    <t>GIS Stay-In-State</t>
  </si>
  <si>
    <t>GIS Removed-From-State</t>
  </si>
  <si>
    <t>State Emission Rates for Exported Emissions (set to zero if MSS emissions exceed generation emissions)</t>
  </si>
  <si>
    <t>Data Source(s) of Value:</t>
  </si>
  <si>
    <t>EIA Form 923 and EPA Part 75</t>
  </si>
  <si>
    <t xml:space="preserve">MSS, NON &amp; IMP GIS certificates </t>
  </si>
  <si>
    <t>MSS GIS certificates</t>
  </si>
  <si>
    <t>Settled &amp; Reserved GIS certificates removed</t>
  </si>
  <si>
    <t>Workbook Source of Value(s)</t>
  </si>
  <si>
    <t>from Worksheet:</t>
  </si>
  <si>
    <t>Value Adjusts:</t>
  </si>
  <si>
    <t>state, province and region import emissions</t>
  </si>
  <si>
    <t>state and province emissions</t>
  </si>
  <si>
    <t>State and Province emissions associated with GIS</t>
  </si>
  <si>
    <t>emission exported from New England states</t>
  </si>
  <si>
    <t>MA-Based and Regional Emission Rates</t>
  </si>
  <si>
    <t xml:space="preserve">emissions exported from New England States </t>
  </si>
  <si>
    <t>emissions exported from New England States</t>
  </si>
  <si>
    <t>on Worksheet</t>
  </si>
  <si>
    <t>from State &amp; Province Generation</t>
  </si>
  <si>
    <t>from GIS Transfers (Net) to and from State</t>
  </si>
  <si>
    <t>from GIS Stay-In-State</t>
  </si>
  <si>
    <t>from GIS Removed-From-State</t>
  </si>
  <si>
    <t>System Mix Emission Rates (lbs CO2e/MWh)</t>
  </si>
  <si>
    <t>State Emission Rates (lbs CO2e/MWh) for Exported Emissions (set to zero if MSS emissions exceed generation emissions)</t>
  </si>
  <si>
    <t>System Mix Emission Rates (lbs CO2/MWh)</t>
  </si>
  <si>
    <t>State Emission Rates (lbs CO2/MWh)  for Exported Emissions (set to zero if MSS emissions exceed generation emissions)</t>
  </si>
  <si>
    <t>MWh from:</t>
  </si>
  <si>
    <t>State Generation</t>
  </si>
  <si>
    <t>Net GIS Transfers to and from State</t>
  </si>
  <si>
    <t>Data Source:</t>
  </si>
  <si>
    <t>NE-ISO, NY-ISO, Statistics Canada</t>
  </si>
  <si>
    <t>GIS Summary Table</t>
  </si>
  <si>
    <t>GIS State/Province Tables</t>
  </si>
  <si>
    <t>specifically:</t>
  </si>
  <si>
    <t>ISO-NE (MSS and IMP)</t>
  </si>
  <si>
    <r>
      <rPr>
        <i/>
        <u/>
        <sz val="12"/>
        <rFont val="Aptos"/>
        <family val="2"/>
      </rPr>
      <t>NON Generation from State</t>
    </r>
    <r>
      <rPr>
        <sz val="12"/>
        <rFont val="Aptos"/>
        <family val="2"/>
      </rPr>
      <t xml:space="preserve">
MSS, NON, IMP imported into State
MSS, NON, IMP exported out of State</t>
    </r>
  </si>
  <si>
    <t>MSS Settle In State</t>
  </si>
  <si>
    <t xml:space="preserve">MSS Settle Out of State </t>
  </si>
  <si>
    <t>worksheet link from tab:</t>
  </si>
  <si>
    <t xml:space="preserve">GIS </t>
  </si>
  <si>
    <t>Adjusts:</t>
  </si>
  <si>
    <t>state, province and region 
generation</t>
  </si>
  <si>
    <t>state, province and region 
load and generation</t>
  </si>
  <si>
    <t>MA Import Need [Column H] and State/Province Net Export amounts</t>
  </si>
  <si>
    <t>Exported GHG Emissions from remaining New England states emissions</t>
  </si>
  <si>
    <t>State/Province/Region  Generation Type</t>
  </si>
  <si>
    <t>ISO State Generation</t>
  </si>
  <si>
    <t>CT Generation</t>
  </si>
  <si>
    <t>CT Certificates Settling in State</t>
  </si>
  <si>
    <t>CT Certificates Settling Out of State</t>
  </si>
  <si>
    <t>CT Net Generation from Certificates</t>
  </si>
  <si>
    <t>MA Generation</t>
  </si>
  <si>
    <t>MA Certificates Settling in State</t>
  </si>
  <si>
    <t>MA Certificates Settling Out of State</t>
  </si>
  <si>
    <t>MA Net Generation from Certificates</t>
  </si>
  <si>
    <t>ME Generation</t>
  </si>
  <si>
    <t>ME Certificates Settling in State</t>
  </si>
  <si>
    <t>ME Certificates Settling Out of State</t>
  </si>
  <si>
    <t>ME Net Generation from Certificates</t>
  </si>
  <si>
    <t>NH Generation</t>
  </si>
  <si>
    <t>NH Certificates Settling in State</t>
  </si>
  <si>
    <t>NH Certificates Settling Out of State</t>
  </si>
  <si>
    <t>NH Net Generation from Certificates</t>
  </si>
  <si>
    <t>RI Generation</t>
  </si>
  <si>
    <t>RI Certificates Settling Out of State</t>
  </si>
  <si>
    <t>RI Net Generation from Certificates</t>
  </si>
  <si>
    <t>VT Generation</t>
  </si>
  <si>
    <t>VT Certificates Settling in State</t>
  </si>
  <si>
    <t>VT Certificates Settling Out of State</t>
  </si>
  <si>
    <t>VT Net Generation from Certificates</t>
  </si>
  <si>
    <t>NY Generation</t>
  </si>
  <si>
    <t>NY Net Generation Imported into ISO-NE</t>
  </si>
  <si>
    <t>NY Certificates Settling Out of State</t>
  </si>
  <si>
    <t>NY Net Generation from Certificates</t>
  </si>
  <si>
    <t>NB Generation</t>
  </si>
  <si>
    <t>NB Net Generation Imported into ISO-NE</t>
  </si>
  <si>
    <t>NB Certificates Settling Out of Province</t>
  </si>
  <si>
    <t>NB Net Generation from Certificates</t>
  </si>
  <si>
    <t>Q Generation</t>
  </si>
  <si>
    <t>Q Net Generation Imported into ISO-NE</t>
  </si>
  <si>
    <t>Q Certificates Settling Out of Province</t>
  </si>
  <si>
    <t>Q Net Generation from Certificates</t>
  </si>
  <si>
    <t>ISO-NE Generation</t>
  </si>
  <si>
    <t>ISO-NE Certificates Settling in States</t>
  </si>
  <si>
    <t>ISO-NE Certificates Settling Out of States</t>
  </si>
  <si>
    <t>ISO-NE Net Generation from Certificates</t>
  </si>
  <si>
    <t>Extra-NE Generation</t>
  </si>
  <si>
    <t>Extra-NE Net Generation Imported into ISO-NE</t>
  </si>
  <si>
    <t>Extra-NE Certificates Settling Out of States/Province</t>
  </si>
  <si>
    <t>Extra-NE Net Generation from Certificates</t>
  </si>
  <si>
    <t>End of Worksheet</t>
  </si>
  <si>
    <t>GENERATION, LOAD, AND IMPORTS INTO ISO-NEW ENGLAND</t>
  </si>
  <si>
    <t>ISO-New England Energy, Load, and Demand Reports</t>
  </si>
  <si>
    <t>ISO-NE uses EIA-923 generation value for VT (below).</t>
  </si>
  <si>
    <t>*In these states, the load is greater than the generation.</t>
  </si>
  <si>
    <t>Generation and Load Data for ISO New England States (GWh)</t>
  </si>
  <si>
    <t xml:space="preserve">Generation and Load </t>
  </si>
  <si>
    <t>Year</t>
  </si>
  <si>
    <t>ISO-NE TOTAL</t>
  </si>
  <si>
    <t>MAINE</t>
  </si>
  <si>
    <t>NEW HAMPSHIRE</t>
  </si>
  <si>
    <t>VERMONT*</t>
  </si>
  <si>
    <t>CONNECTICUT</t>
  </si>
  <si>
    <t>RHODE ISLAND</t>
  </si>
  <si>
    <t>MASSACHUSETTS*</t>
  </si>
  <si>
    <t>MA Gen/Load</t>
  </si>
  <si>
    <t>Update Date</t>
  </si>
  <si>
    <t>Data Source</t>
  </si>
  <si>
    <t>Links</t>
  </si>
  <si>
    <t>Generation (GWh)</t>
  </si>
  <si>
    <t>N/A</t>
  </si>
  <si>
    <t>ISO Gen-Nel-ISO-States (Revised published: 11/13/2025)</t>
  </si>
  <si>
    <t>Load (GWh)</t>
  </si>
  <si>
    <t>ISO-NE 2024 Forecast Data File_NEL_tab 1 History Column F</t>
  </si>
  <si>
    <t>ISO New England - Energy, Load, and Demand Reports (iso-ne.com)</t>
  </si>
  <si>
    <t xml:space="preserve"> Load with Pumping (GWh)</t>
  </si>
  <si>
    <t>State's load plus state's portion of pumping</t>
  </si>
  <si>
    <t>Net Imports and Exports of Energy from Outside ISO New England Control Areas (GWh)</t>
  </si>
  <si>
    <t>State/Province/Item</t>
  </si>
  <si>
    <t>GWh</t>
  </si>
  <si>
    <t>Pumping/Charging Load (from ISO)</t>
  </si>
  <si>
    <t>ISO-NE Net Energy and Peak Load by Source</t>
  </si>
  <si>
    <t>New York</t>
  </si>
  <si>
    <t>New Brunswick</t>
  </si>
  <si>
    <t>Quebec</t>
  </si>
  <si>
    <t>Actual Imports</t>
  </si>
  <si>
    <t>"Imports" = Generation-Load (GWh)</t>
  </si>
  <si>
    <t>calculated</t>
  </si>
  <si>
    <t xml:space="preserve"> Pumping = Actual Imports -"Imports" (GWh)</t>
  </si>
  <si>
    <t>Generation Data for Vermont and Areas Outside ISO New England (MWh)</t>
  </si>
  <si>
    <t>Notes</t>
  </si>
  <si>
    <t>Vermont</t>
  </si>
  <si>
    <t>EIA Net Generation (MWh)</t>
  </si>
  <si>
    <t>from 923 tab filtered for only Electric Utilities, NAICS Cogen, and NAICS Non-Cogen</t>
  </si>
  <si>
    <t>Northern Maine</t>
  </si>
  <si>
    <t>NMISA</t>
  </si>
  <si>
    <t>data via email</t>
  </si>
  <si>
    <t xml:space="preserve">Statistics Canada </t>
  </si>
  <si>
    <t>Table 25-10-0020-01 Electric Power, annual generation by class of producer</t>
  </si>
  <si>
    <t>Emissions for Canadian Provinces use data obtained from Environment Canada, Statistics Canada, NEPOOL-GIS and fuel-specific emission factors from the 'GWPs &amp; Fuel EFs' tab.</t>
  </si>
  <si>
    <t>Generation CO2e emissions from these tables are summarized in Column C of the 'State &amp; Province Summary' tab.</t>
  </si>
  <si>
    <t>Generation Emissions Summary by State or Province</t>
  </si>
  <si>
    <t>Emissions (lb CO2e)</t>
  </si>
  <si>
    <t>Non-Biogenic CO2e Total</t>
  </si>
  <si>
    <t>CO2e from CO2 from Non-Biogenic Fuels (Non-Part 75 units)</t>
  </si>
  <si>
    <t>CO2e from CO2 from Non-Biogenic Fuels (Part 75 units)</t>
  </si>
  <si>
    <t>CO2e from CH4 from Non-Biogenic Fuels</t>
  </si>
  <si>
    <t>CO2e from N2O from Non-Biogenic Fuels</t>
  </si>
  <si>
    <t>CO2e from CH4 from Biogenic Fuels</t>
  </si>
  <si>
    <t>CO2e from N2O from Biogenic Fuels</t>
  </si>
  <si>
    <t>Generation Emissions Calculations by State (1 Non-Biogenic and 1 Biogenic Table each) or Province (1 Table each)</t>
  </si>
  <si>
    <t>MASSACHUSETTS Emissions from Non-Biogenic Fuels</t>
  </si>
  <si>
    <t>Fuel Type</t>
  </si>
  <si>
    <t>Fuel Codes from EIA</t>
  </si>
  <si>
    <t>Form 923 Heat Input Consumed for Electricity by non-Part 75 units (MMBtu) To calculate CO2</t>
  </si>
  <si>
    <t>Form 923 All Heat Consumed for Electricity (MMBtu) To calculate CH4 and N2O</t>
  </si>
  <si>
    <t>Calculated CO2 (lb)</t>
  </si>
  <si>
    <t>CH4 (lb)</t>
  </si>
  <si>
    <t>CO2e (lb) from CH4</t>
  </si>
  <si>
    <t>N2O (lb)</t>
  </si>
  <si>
    <t>CO2e (lb) from N2O</t>
  </si>
  <si>
    <t>bituminous coal</t>
  </si>
  <si>
    <t>BIT</t>
  </si>
  <si>
    <t>sub-bituminous coal</t>
  </si>
  <si>
    <t>SUB</t>
  </si>
  <si>
    <t>distillate petroleum</t>
  </si>
  <si>
    <t>DFO</t>
  </si>
  <si>
    <t>natural gas (without fuel cell natural gas)</t>
  </si>
  <si>
    <t>NG</t>
  </si>
  <si>
    <t>non-biogenic component of municipal solid waste</t>
  </si>
  <si>
    <t>MSN</t>
  </si>
  <si>
    <t>other</t>
  </si>
  <si>
    <t>OTH</t>
  </si>
  <si>
    <t>tire derived fuel</t>
  </si>
  <si>
    <t>TDF</t>
  </si>
  <si>
    <t>petroleum coke</t>
  </si>
  <si>
    <t>PC</t>
  </si>
  <si>
    <t>residual petroleum</t>
  </si>
  <si>
    <t>RFO</t>
  </si>
  <si>
    <t>jet fuel</t>
  </si>
  <si>
    <t>JF</t>
  </si>
  <si>
    <t>kerosene</t>
  </si>
  <si>
    <t>KER</t>
  </si>
  <si>
    <t>waste oil</t>
  </si>
  <si>
    <t>WO</t>
  </si>
  <si>
    <t>gaseous propane</t>
  </si>
  <si>
    <t>PG</t>
  </si>
  <si>
    <t>fuel cell natural gas</t>
  </si>
  <si>
    <t>FC NG</t>
  </si>
  <si>
    <t>TOTAL CO2e</t>
  </si>
  <si>
    <t>MASSACHUSETTS Emissions from Biogenic Fuels</t>
  </si>
  <si>
    <t>landfill gas</t>
  </si>
  <si>
    <t>LFG</t>
  </si>
  <si>
    <t>biogenic component of municipal solid waste</t>
  </si>
  <si>
    <t>MSB</t>
  </si>
  <si>
    <t>black liquor</t>
  </si>
  <si>
    <t>BLQ</t>
  </si>
  <si>
    <t>wood/wood waste solids</t>
  </si>
  <si>
    <t>WDS</t>
  </si>
  <si>
    <t>sludge waste</t>
  </si>
  <si>
    <t>SLW</t>
  </si>
  <si>
    <t>other biomass solids</t>
  </si>
  <si>
    <t>OBS</t>
  </si>
  <si>
    <t>other biomass liquids</t>
  </si>
  <si>
    <t>OBL</t>
  </si>
  <si>
    <t>other biomass gas</t>
  </si>
  <si>
    <t>OBG</t>
  </si>
  <si>
    <t>CONNECTICUT Emissions from Non-Biogenic Fuels</t>
  </si>
  <si>
    <t>CONNECTICUT Emissions from Biogenic Fuels</t>
  </si>
  <si>
    <t>MAINE Emissions from Non-Biogenic Fuels</t>
  </si>
  <si>
    <t>natural gas</t>
  </si>
  <si>
    <t>MAINE Emissions from Biogenic Fuels</t>
  </si>
  <si>
    <t>NEW HAMPSHIRE Emissions from Non-Biogenic Fuels</t>
  </si>
  <si>
    <t>NEW HAMPSHIRE Emissions from Biogenic Fuels</t>
  </si>
  <si>
    <t>NEW YORK Emissions from Non-Biogenic Fuels</t>
  </si>
  <si>
    <t>NEW YORK Emissions from Biogenic Fuels</t>
  </si>
  <si>
    <t>RHODE ISLAND Emissions from Non-Biogenic Fuels</t>
  </si>
  <si>
    <t>RHODE ISLAND Emissions from Biogenic Fuels</t>
  </si>
  <si>
    <t>VERMONT Emissions from Non-Biogenic Fuels</t>
  </si>
  <si>
    <t>VERMONT Emissions from Biogenic Fuels</t>
  </si>
  <si>
    <t>QUEBEC Generation Emissions from Non-Biogenic and Biogenic Fuel Types</t>
  </si>
  <si>
    <t>Emission/Fuel Types</t>
  </si>
  <si>
    <t>Year for which Data has been entered</t>
  </si>
  <si>
    <t>Statistics Canada &amp; NEPOOL-GIS: Electricity Generation (MWh)</t>
  </si>
  <si>
    <t>Environment Canada GHG emissions (kilo metric tons CO2e)</t>
  </si>
  <si>
    <t>Non-Biogenic</t>
  </si>
  <si>
    <t>Biogenic Total</t>
  </si>
  <si>
    <t>wood &amp; wood energy used as fuel</t>
  </si>
  <si>
    <t>landfill gas (methane)</t>
  </si>
  <si>
    <t>The MWh from biogenic fuel types are already included in the Environment Canada GWh. They are shown here for purposes of calculating Biogenic CO2.</t>
  </si>
  <si>
    <t>12/8/23 - Table for biogenic fuel types is now 25-10-0084-01 beginning 2020. Formerly CANSIM Table 25-10-0019-01 (formerly Table 127-0006)</t>
  </si>
  <si>
    <t>NEW BRUNSWICK Generation Emissions from Non-Biogenic Fuel Types</t>
  </si>
  <si>
    <t>U.S. Department of Energy, The Energy Information Administration (EIA)</t>
  </si>
  <si>
    <t>Codes for Columns Y and Z Look ups:</t>
  </si>
  <si>
    <t>EIA-923 Monthly Generation and Fuel Consumption Time Series File,  2024 Final Data</t>
  </si>
  <si>
    <t>GT</t>
  </si>
  <si>
    <t>Sources: EIA-923 and EIA-860 Reports</t>
  </si>
  <si>
    <t>Column W update year:</t>
  </si>
  <si>
    <t>Release Date 9/18/25</t>
  </si>
  <si>
    <t>Form EIA-923 detailed data with previous form data (EIA-906/920) - U.S. Energy Information Administration (EIA)</t>
  </si>
  <si>
    <t>Annual 923 Data</t>
  </si>
  <si>
    <t>Manual Exclusion</t>
  </si>
  <si>
    <t>Calculations from 923 Data: Columns X, Y, Z</t>
  </si>
  <si>
    <t>Plant Id</t>
  </si>
  <si>
    <t>Combined Heat And
Power Plant</t>
  </si>
  <si>
    <t>Nuclear Unit Id</t>
  </si>
  <si>
    <t>Plant Name</t>
  </si>
  <si>
    <t>Operator Name</t>
  </si>
  <si>
    <t>Operator Id</t>
  </si>
  <si>
    <t>Plant State</t>
  </si>
  <si>
    <t>Census Region</t>
  </si>
  <si>
    <t>NERC Region</t>
  </si>
  <si>
    <t>NAICS Code</t>
  </si>
  <si>
    <t>EIA Sector Number</t>
  </si>
  <si>
    <t>Sector Name</t>
  </si>
  <si>
    <t>Reported
Prime Mover</t>
  </si>
  <si>
    <t>Reported
Fuel Type Code</t>
  </si>
  <si>
    <t>MER
Fuel Type Code</t>
  </si>
  <si>
    <t>Physical
Unit Label</t>
  </si>
  <si>
    <t>Year-To-Date Total Fuel Consumption
Quantity</t>
  </si>
  <si>
    <t>Year-To-Date Electric Fuel Consumption
Quantity</t>
  </si>
  <si>
    <t>Year-To-Date Total Fuel Consumption
MMBtu</t>
  </si>
  <si>
    <t>Year-To-Date Elec Fuel Consumption
MMBtu</t>
  </si>
  <si>
    <t>Year-To-Date Net Generation
(Megawatthours)</t>
  </si>
  <si>
    <t>YEAR</t>
  </si>
  <si>
    <t>MMBtu from CO2 calculations, because Part 75 CO2 used instead</t>
  </si>
  <si>
    <t>Unit HEAT RATES (Electric MMBTU/MWh)</t>
  </si>
  <si>
    <t>CHP NG Heat Rates (Total MMBTU/MWh)</t>
  </si>
  <si>
    <t>CHP DFO Heat Rates (Total MMBTU/MWh)</t>
  </si>
  <si>
    <t>N</t>
  </si>
  <si>
    <t>.</t>
  </si>
  <si>
    <t>Ashokan</t>
  </si>
  <si>
    <t>New York Power Authority</t>
  </si>
  <si>
    <t>MAT</t>
  </si>
  <si>
    <t>NPCC</t>
  </si>
  <si>
    <t>Electric Utility</t>
  </si>
  <si>
    <t>HY</t>
  </si>
  <si>
    <t>WAT</t>
  </si>
  <si>
    <t>HYC</t>
  </si>
  <si>
    <t/>
  </si>
  <si>
    <t>Rocky River (CT)</t>
  </si>
  <si>
    <t>FirstLight Power Resources Services LLC</t>
  </si>
  <si>
    <t>NEW</t>
  </si>
  <si>
    <t>NAICS-22 Non-Cogen</t>
  </si>
  <si>
    <t>PS</t>
  </si>
  <si>
    <t>HPS</t>
  </si>
  <si>
    <t>megawatthours</t>
  </si>
  <si>
    <t>Branford</t>
  </si>
  <si>
    <t>Connecticut Jet Power LLC</t>
  </si>
  <si>
    <t>WOO</t>
  </si>
  <si>
    <t>barrels</t>
  </si>
  <si>
    <t>Bulls Bridge</t>
  </si>
  <si>
    <t>Cos Cob</t>
  </si>
  <si>
    <t>Devon Station</t>
  </si>
  <si>
    <t>Devon Power LLC</t>
  </si>
  <si>
    <t>x</t>
  </si>
  <si>
    <t>mcf</t>
  </si>
  <si>
    <t>Montville Station</t>
  </si>
  <si>
    <t>Montville Power LLC</t>
  </si>
  <si>
    <t>IC</t>
  </si>
  <si>
    <t>ST</t>
  </si>
  <si>
    <t>Northfield Mountain</t>
  </si>
  <si>
    <t>FirstLight Power Resources, Inc. - MA</t>
  </si>
  <si>
    <t>Scotland Dam</t>
  </si>
  <si>
    <t>Shepaug</t>
  </si>
  <si>
    <t>Stevenson</t>
  </si>
  <si>
    <t>Taftville</t>
  </si>
  <si>
    <t>Tunnel</t>
  </si>
  <si>
    <t>Rainbow (CT)</t>
  </si>
  <si>
    <t>Farmington River Power Company</t>
  </si>
  <si>
    <t>Falls Village</t>
  </si>
  <si>
    <t>Franklin Drive</t>
  </si>
  <si>
    <t>Middletown</t>
  </si>
  <si>
    <t>Middletown Power LLC</t>
  </si>
  <si>
    <t>Torrington Terminal</t>
  </si>
  <si>
    <t>Millstone</t>
  </si>
  <si>
    <t>Dominion Energy Nuclear Conn Inc</t>
  </si>
  <si>
    <t>NUC</t>
  </si>
  <si>
    <t>Bridgeport Station</t>
  </si>
  <si>
    <t>Generation Bridge II Connecticut, LLC</t>
  </si>
  <si>
    <t>CA</t>
  </si>
  <si>
    <t>High Falls</t>
  </si>
  <si>
    <t>Central Hudson Gas &amp; Elec Corp</t>
  </si>
  <si>
    <t>Tenth Street</t>
  </si>
  <si>
    <t>City of Norwich - (CT)</t>
  </si>
  <si>
    <t>J C McNeil</t>
  </si>
  <si>
    <t>City of Burlington Electric - (VT)</t>
  </si>
  <si>
    <t>WWW</t>
  </si>
  <si>
    <t>short tons</t>
  </si>
  <si>
    <t>Upper Mechanicville</t>
  </si>
  <si>
    <t>New York State Elec &amp; Gas Corp</t>
  </si>
  <si>
    <t>W K Sanders</t>
  </si>
  <si>
    <t>Village of Morrisville - (VT)</t>
  </si>
  <si>
    <t>East Barnet</t>
  </si>
  <si>
    <t>Green Mountain Power Corp</t>
  </si>
  <si>
    <t>Charles E Monty</t>
  </si>
  <si>
    <t>Brookfield White Pine Hydro LLC</t>
  </si>
  <si>
    <t>Jarvis (Hinckley)</t>
  </si>
  <si>
    <t>Ellsworth Hydro Station</t>
  </si>
  <si>
    <t>Brookfield Black Bear Hydro, LLC</t>
  </si>
  <si>
    <t>Milford Hydro Station</t>
  </si>
  <si>
    <t>Stillwater Hydro Station</t>
  </si>
  <si>
    <t>Bonny Eagle</t>
  </si>
  <si>
    <t>BA</t>
  </si>
  <si>
    <t>MWH</t>
  </si>
  <si>
    <t>Brunswick Hydro</t>
  </si>
  <si>
    <t>Cape Gas Turbine</t>
  </si>
  <si>
    <t>FPL Energy Cape LLC</t>
  </si>
  <si>
    <t>Cataract Hydro</t>
  </si>
  <si>
    <t>Deer Rips</t>
  </si>
  <si>
    <t>Gulf Island</t>
  </si>
  <si>
    <t>Harris Hydro</t>
  </si>
  <si>
    <t>Hiram</t>
  </si>
  <si>
    <t>Messalonskee 2 (Oakland)</t>
  </si>
  <si>
    <t>Messalonskee Stream Hydro LLC</t>
  </si>
  <si>
    <t>Messalonskee 3</t>
  </si>
  <si>
    <t>Messalonskee 5</t>
  </si>
  <si>
    <t>North Gorham</t>
  </si>
  <si>
    <t>Shawmut</t>
  </si>
  <si>
    <t>Skelton</t>
  </si>
  <si>
    <t>William F Wyman Hybrid</t>
  </si>
  <si>
    <t>FPL Energy Wyman LLC</t>
  </si>
  <si>
    <t>West Buxton</t>
  </si>
  <si>
    <t>Weston Hydro</t>
  </si>
  <si>
    <t>Williams Hydro</t>
  </si>
  <si>
    <t>Wyman Hydro</t>
  </si>
  <si>
    <t>Squa Pan Hydro Station</t>
  </si>
  <si>
    <t>Algonquin Northern Maine</t>
  </si>
  <si>
    <t>Exelon Framingham LLC</t>
  </si>
  <si>
    <t>Constellation Power, Inc</t>
  </si>
  <si>
    <t>Mystic Generating Station</t>
  </si>
  <si>
    <t>Constellation Mystic Power LLC</t>
  </si>
  <si>
    <t>Exelon Medway LLC</t>
  </si>
  <si>
    <t>Y</t>
  </si>
  <si>
    <t>Kendall Square Station</t>
  </si>
  <si>
    <t>Kendall Green Energy, LLC</t>
  </si>
  <si>
    <t>NAICS-22 Cogen</t>
  </si>
  <si>
    <t>Oak Bluffs Diesel Generating Facility</t>
  </si>
  <si>
    <t>Vineyard Reliability LLC</t>
  </si>
  <si>
    <t>Canal</t>
  </si>
  <si>
    <t>Canal Generating LLC</t>
  </si>
  <si>
    <t>Boatlock</t>
  </si>
  <si>
    <t>City of Holyoke Gas and Electric Dept.</t>
  </si>
  <si>
    <t>Chemical</t>
  </si>
  <si>
    <t>Hadley Falls</t>
  </si>
  <si>
    <t>Riverside Holyoke</t>
  </si>
  <si>
    <t>Nantucket Hybrid</t>
  </si>
  <si>
    <t>Nantucket Electric Co</t>
  </si>
  <si>
    <t>Deerfield 5</t>
  </si>
  <si>
    <t>Great River Hydro, LLC</t>
  </si>
  <si>
    <t>Cabot</t>
  </si>
  <si>
    <t>Cobble Mountain</t>
  </si>
  <si>
    <t>Gardners Falls</t>
  </si>
  <si>
    <t>Central Rivers Power MA, LLC</t>
  </si>
  <si>
    <t>Putts Bridge</t>
  </si>
  <si>
    <t>Redbridge</t>
  </si>
  <si>
    <t>Potter Station 2</t>
  </si>
  <si>
    <t>Town of Braintree - (MA)</t>
  </si>
  <si>
    <t>High Street Station</t>
  </si>
  <si>
    <t>Town of Ipswich - (MA)</t>
  </si>
  <si>
    <t>Waters River</t>
  </si>
  <si>
    <t>City of Peabody - (MA)</t>
  </si>
  <si>
    <t>Cleary Flood Hybrid</t>
  </si>
  <si>
    <t>City of Taunton</t>
  </si>
  <si>
    <t>Comerford</t>
  </si>
  <si>
    <t>S C Moore</t>
  </si>
  <si>
    <t>Vernon Dam</t>
  </si>
  <si>
    <t>Wilder</t>
  </si>
  <si>
    <t>Amoskeag</t>
  </si>
  <si>
    <t>Central Rivers Power NH, LLC</t>
  </si>
  <si>
    <t>Ayers Island</t>
  </si>
  <si>
    <t>Eastman Falls</t>
  </si>
  <si>
    <t>Garvins Falls</t>
  </si>
  <si>
    <t>Gorham</t>
  </si>
  <si>
    <t>Hooksett</t>
  </si>
  <si>
    <t>Jackman</t>
  </si>
  <si>
    <t>Lost Nation</t>
  </si>
  <si>
    <t>Granite Shore Power</t>
  </si>
  <si>
    <t>Merrimack</t>
  </si>
  <si>
    <t>COL</t>
  </si>
  <si>
    <t>Schiller</t>
  </si>
  <si>
    <t>ORW</t>
  </si>
  <si>
    <t>Smith (NH)</t>
  </si>
  <si>
    <t>White Lake</t>
  </si>
  <si>
    <t>Danskammer Generating Station</t>
  </si>
  <si>
    <t>Danskammer Energy</t>
  </si>
  <si>
    <t>Dashville</t>
  </si>
  <si>
    <t>Neversink</t>
  </si>
  <si>
    <t>South Cairo</t>
  </si>
  <si>
    <t>Sturgeon</t>
  </si>
  <si>
    <t>Coxsackie</t>
  </si>
  <si>
    <t>Arthur Kill Generating Station</t>
  </si>
  <si>
    <t>NRG Arthur Kill Operations Inc</t>
  </si>
  <si>
    <t>East River</t>
  </si>
  <si>
    <t>Consolidated Edison Co-NY Inc</t>
  </si>
  <si>
    <t>Gowanus Gas Turbines Generating</t>
  </si>
  <si>
    <t>U S Power Generating Company LLC</t>
  </si>
  <si>
    <t>Narrows Gas Turbines Generating</t>
  </si>
  <si>
    <t>Ravenswood</t>
  </si>
  <si>
    <t>Ravenswood Operations LLC</t>
  </si>
  <si>
    <t>59th Street</t>
  </si>
  <si>
    <t>74th Street</t>
  </si>
  <si>
    <t>E F Barrett</t>
  </si>
  <si>
    <t>National Grid Generation LLC</t>
  </si>
  <si>
    <t>East Hampton</t>
  </si>
  <si>
    <t>Glenwood</t>
  </si>
  <si>
    <t>Northport</t>
  </si>
  <si>
    <t>Port Jefferson</t>
  </si>
  <si>
    <t>Shoreham</t>
  </si>
  <si>
    <t>South Hampton</t>
  </si>
  <si>
    <t>Southold</t>
  </si>
  <si>
    <t>Cadyville</t>
  </si>
  <si>
    <t>Greenidge Generation LLC</t>
  </si>
  <si>
    <t>Greenidge Generation Holdings LLC</t>
  </si>
  <si>
    <t>Harris Lake</t>
  </si>
  <si>
    <t>High Falls - Saranac NY</t>
  </si>
  <si>
    <t>Kent Falls</t>
  </si>
  <si>
    <t>Bethlehem Energy Center</t>
  </si>
  <si>
    <t>GB II New York LLC</t>
  </si>
  <si>
    <t>Allens Falls</t>
  </si>
  <si>
    <t>Erie Boulevard Hydropower LP</t>
  </si>
  <si>
    <t>Beardslee</t>
  </si>
  <si>
    <t>Belfort</t>
  </si>
  <si>
    <t>Bennetts Bridge</t>
  </si>
  <si>
    <t>Black River</t>
  </si>
  <si>
    <t>Blake</t>
  </si>
  <si>
    <t>Browns Falls</t>
  </si>
  <si>
    <t>Chasm</t>
  </si>
  <si>
    <t>Colton</t>
  </si>
  <si>
    <t>Deferiet</t>
  </si>
  <si>
    <t>Eagle</t>
  </si>
  <si>
    <t>Eel Weir</t>
  </si>
  <si>
    <t>Effley</t>
  </si>
  <si>
    <t>Elmer</t>
  </si>
  <si>
    <t>Ephratah</t>
  </si>
  <si>
    <t>East Norfolk</t>
  </si>
  <si>
    <t>Five Falls</t>
  </si>
  <si>
    <t>Flat Rock</t>
  </si>
  <si>
    <t>Franklin (NY)</t>
  </si>
  <si>
    <t>Fulton Hydro</t>
  </si>
  <si>
    <t>Glenwood Hydro</t>
  </si>
  <si>
    <t>Granby</t>
  </si>
  <si>
    <t>Hannawa</t>
  </si>
  <si>
    <t>Herrings</t>
  </si>
  <si>
    <t>Heuvelton</t>
  </si>
  <si>
    <t>High Dam</t>
  </si>
  <si>
    <t>Oswego City of</t>
  </si>
  <si>
    <t>High Falls - Croghan NY</t>
  </si>
  <si>
    <t>Higley</t>
  </si>
  <si>
    <t>Hydraulic Race</t>
  </si>
  <si>
    <t>Inghams</t>
  </si>
  <si>
    <t>Johnsonville Dam</t>
  </si>
  <si>
    <t>Kamargo</t>
  </si>
  <si>
    <t>Lighthouse Hill</t>
  </si>
  <si>
    <t>Macomb</t>
  </si>
  <si>
    <t>Minetto</t>
  </si>
  <si>
    <t>Moshier</t>
  </si>
  <si>
    <t>Nine Mile Point Nuclear Station</t>
  </si>
  <si>
    <t>Constellation Nuclear</t>
  </si>
  <si>
    <t>Norfolk</t>
  </si>
  <si>
    <t>Norwood</t>
  </si>
  <si>
    <t>Oswego Harbor Power</t>
  </si>
  <si>
    <t>Oswego Falls East</t>
  </si>
  <si>
    <t>Oswego Falls West</t>
  </si>
  <si>
    <t>Parishville</t>
  </si>
  <si>
    <t>Piercefield</t>
  </si>
  <si>
    <t>Prospect</t>
  </si>
  <si>
    <t>Rainbow Falls Hydro</t>
  </si>
  <si>
    <t>Raymondville</t>
  </si>
  <si>
    <t>South Edwards</t>
  </si>
  <si>
    <t>School Street</t>
  </si>
  <si>
    <t>Schaghticoke</t>
  </si>
  <si>
    <t>Schuylerville</t>
  </si>
  <si>
    <t>Sewalls</t>
  </si>
  <si>
    <t>Sherman Island</t>
  </si>
  <si>
    <t>Soft Maple</t>
  </si>
  <si>
    <t>South Colton</t>
  </si>
  <si>
    <t>Spier Falls</t>
  </si>
  <si>
    <t>Stark</t>
  </si>
  <si>
    <t>Stewarts Bridge</t>
  </si>
  <si>
    <t>Sugar Island</t>
  </si>
  <si>
    <t>Taylorville</t>
  </si>
  <si>
    <t>Trenton Falls</t>
  </si>
  <si>
    <t>Varick</t>
  </si>
  <si>
    <t>Waterport</t>
  </si>
  <si>
    <t>Yaleville</t>
  </si>
  <si>
    <t>Bowline Point</t>
  </si>
  <si>
    <t>Bowline, LLC</t>
  </si>
  <si>
    <t>Grahamsville</t>
  </si>
  <si>
    <t>Hillburn</t>
  </si>
  <si>
    <t>Alliance NYGT, LLC</t>
  </si>
  <si>
    <t>Mongaup Falls</t>
  </si>
  <si>
    <t>Eagle Creek Renewable Energy, LLC</t>
  </si>
  <si>
    <t>Rio</t>
  </si>
  <si>
    <t>Shoemaker</t>
  </si>
  <si>
    <t>Swinging Bridge 2</t>
  </si>
  <si>
    <t>Rochester 26</t>
  </si>
  <si>
    <t>Rochester Gas &amp; Electric Corp</t>
  </si>
  <si>
    <t>Rochester 5</t>
  </si>
  <si>
    <t>Plant No 1 Freeport</t>
  </si>
  <si>
    <t>Village of Freeport - (NY)</t>
  </si>
  <si>
    <t>Plant No 2 Freeport</t>
  </si>
  <si>
    <t>Greenport</t>
  </si>
  <si>
    <t>Village of Greenport - (NY)</t>
  </si>
  <si>
    <t>S A Carlson</t>
  </si>
  <si>
    <t>Jamestown Board of Public Util</t>
  </si>
  <si>
    <t>Crescent</t>
  </si>
  <si>
    <t>Vischer Ferry</t>
  </si>
  <si>
    <t>Blenheim Gilboa</t>
  </si>
  <si>
    <t>Lewiston Niagara</t>
  </si>
  <si>
    <t>Robert Moses Niagara</t>
  </si>
  <si>
    <t>Robert Moses Power Dam</t>
  </si>
  <si>
    <t>Charles P Keller</t>
  </si>
  <si>
    <t>Village of Rockville Centre - (NY)</t>
  </si>
  <si>
    <t>Watertown</t>
  </si>
  <si>
    <t>City of Watertown - (NY)</t>
  </si>
  <si>
    <t>Manchester Street</t>
  </si>
  <si>
    <t>Manchester Street, LLC.</t>
  </si>
  <si>
    <t>Ascutney</t>
  </si>
  <si>
    <t>Smith (VT)</t>
  </si>
  <si>
    <t>Cavendish</t>
  </si>
  <si>
    <t>Clark Falls</t>
  </si>
  <si>
    <t>Fairfax Falls</t>
  </si>
  <si>
    <t>Glen</t>
  </si>
  <si>
    <t>Lower Middlebury</t>
  </si>
  <si>
    <t>Milton</t>
  </si>
  <si>
    <t>Peterson</t>
  </si>
  <si>
    <t>Pittsford</t>
  </si>
  <si>
    <t>Rutland</t>
  </si>
  <si>
    <t>Salisbury</t>
  </si>
  <si>
    <t>Silver Lake (VT)</t>
  </si>
  <si>
    <t>Weybridge</t>
  </si>
  <si>
    <t>Newport</t>
  </si>
  <si>
    <t>Great Bay Hydro Corp</t>
  </si>
  <si>
    <t>Berlin 5</t>
  </si>
  <si>
    <t>Colchester 16</t>
  </si>
  <si>
    <t>Essex Junction 19</t>
  </si>
  <si>
    <t>Marshfield 6</t>
  </si>
  <si>
    <t>Middlesex 2</t>
  </si>
  <si>
    <t>West Danville 15</t>
  </si>
  <si>
    <t>Bellows Falls</t>
  </si>
  <si>
    <t>Harriman</t>
  </si>
  <si>
    <t>Canaan</t>
  </si>
  <si>
    <t>West Charleston</t>
  </si>
  <si>
    <t>Barton Village, Inc</t>
  </si>
  <si>
    <t>Burlington GT</t>
  </si>
  <si>
    <t>Great Falls (VT)</t>
  </si>
  <si>
    <t>The Town of Lyndon Electric Department</t>
  </si>
  <si>
    <t>Morrisville</t>
  </si>
  <si>
    <t>Cadys Falls</t>
  </si>
  <si>
    <t>Sherman</t>
  </si>
  <si>
    <t>Deerfield 2</t>
  </si>
  <si>
    <t>West Tisbury Generating Facility</t>
  </si>
  <si>
    <t>Stony Brook</t>
  </si>
  <si>
    <t>Massachusetts Mun Wholes Electric Co</t>
  </si>
  <si>
    <t>PV</t>
  </si>
  <si>
    <t>SUN</t>
  </si>
  <si>
    <t>Deerfield 3</t>
  </si>
  <si>
    <t>James A Fitzpatrick</t>
  </si>
  <si>
    <t>Seabrook</t>
  </si>
  <si>
    <t>NextEra Energy Seabrook LLC</t>
  </si>
  <si>
    <t>Deerfield 4</t>
  </si>
  <si>
    <t>R E Ginna Nuclear Power Plant</t>
  </si>
  <si>
    <t>Shrewsbury</t>
  </si>
  <si>
    <t>Town of Shrewsbury - (MA)</t>
  </si>
  <si>
    <t>New Haven Harbor</t>
  </si>
  <si>
    <t>Dwight</t>
  </si>
  <si>
    <t>Indian Orchard</t>
  </si>
  <si>
    <t>Turners Falls</t>
  </si>
  <si>
    <t>Proctor</t>
  </si>
  <si>
    <t>Beldens</t>
  </si>
  <si>
    <t>Carver Falls</t>
  </si>
  <si>
    <t>Gorge 18</t>
  </si>
  <si>
    <t>Mcindoes</t>
  </si>
  <si>
    <t>Mill C</t>
  </si>
  <si>
    <t>Vergennes 9</t>
  </si>
  <si>
    <t>Waterbury 22</t>
  </si>
  <si>
    <t>Rainbow Falls Auscble</t>
  </si>
  <si>
    <t>E J West</t>
  </si>
  <si>
    <t>Searsburg</t>
  </si>
  <si>
    <t>Block Island</t>
  </si>
  <si>
    <t>Block Island Utility District</t>
  </si>
  <si>
    <t>Wilkins Station</t>
  </si>
  <si>
    <t>Town of Marblehead - (MA)</t>
  </si>
  <si>
    <t>Highgate Falls</t>
  </si>
  <si>
    <t>Village of Swanton - (VT)</t>
  </si>
  <si>
    <t>A L Pierce</t>
  </si>
  <si>
    <t>MPH AL Pierce, LLC</t>
  </si>
  <si>
    <t>MLG</t>
  </si>
  <si>
    <t>Wrightsville Hydro Plant</t>
  </si>
  <si>
    <t>Washington Electric Coop - (VT)</t>
  </si>
  <si>
    <t>Bolton Falls</t>
  </si>
  <si>
    <t>Wading River</t>
  </si>
  <si>
    <t>Richard M Flynn</t>
  </si>
  <si>
    <t>Searsburg Wind Turbine</t>
  </si>
  <si>
    <t>WT</t>
  </si>
  <si>
    <t>WND</t>
  </si>
  <si>
    <t>Front Street</t>
  </si>
  <si>
    <t>City of Chicopee - (MA)</t>
  </si>
  <si>
    <t>Princeton Wind Farm</t>
  </si>
  <si>
    <t>Town of Princeton - (MA)</t>
  </si>
  <si>
    <t>Talcville</t>
  </si>
  <si>
    <t>Allegany Cogen</t>
  </si>
  <si>
    <t>Allegany Generating Station, LLC</t>
  </si>
  <si>
    <t>Glenwood Landing</t>
  </si>
  <si>
    <t>Vernon Boulevard</t>
  </si>
  <si>
    <t>Joseph J Seymour Power Project</t>
  </si>
  <si>
    <t>Brentwood</t>
  </si>
  <si>
    <t>Hell Gate</t>
  </si>
  <si>
    <t>Harlem River Yard</t>
  </si>
  <si>
    <t>North 1st</t>
  </si>
  <si>
    <t>Newington</t>
  </si>
  <si>
    <t>Fife Brook</t>
  </si>
  <si>
    <t>Bear Swamp Power Company LLC</t>
  </si>
  <si>
    <t>Bear Swamp</t>
  </si>
  <si>
    <t>Roseton Generating Facility</t>
  </si>
  <si>
    <t>CCI Roseton LLC</t>
  </si>
  <si>
    <t>Holtsville</t>
  </si>
  <si>
    <t>Pouch</t>
  </si>
  <si>
    <t>IMT Transfer NY</t>
  </si>
  <si>
    <t>PSEG- Provport Coal Storage</t>
  </si>
  <si>
    <t>PSEG Power Connecticut LLC</t>
  </si>
  <si>
    <t>Astoria Generating Station</t>
  </si>
  <si>
    <t>Cherry Street</t>
  </si>
  <si>
    <t>Town of Hudson - (MA)</t>
  </si>
  <si>
    <t>Cabot Holyoke</t>
  </si>
  <si>
    <t>RED-Rochester, LLC</t>
  </si>
  <si>
    <t>Industrial NAICS Cogen</t>
  </si>
  <si>
    <t>General Electric Aircraft Engines</t>
  </si>
  <si>
    <t>Industrial NAICS Non-Cogen</t>
  </si>
  <si>
    <t>Hillsborough Hosiery</t>
  </si>
  <si>
    <t>Silverstreet Hydro</t>
  </si>
  <si>
    <t>Derby Hydro</t>
  </si>
  <si>
    <t>McCallum Enterprises I LP</t>
  </si>
  <si>
    <t>Lockwood Hydroelectric Facility</t>
  </si>
  <si>
    <t>Merimil Ltd Partnership</t>
  </si>
  <si>
    <t>Hampton Facility</t>
  </si>
  <si>
    <t>Foss Manufacturing Company LLC</t>
  </si>
  <si>
    <t>Stevens Mills Dam</t>
  </si>
  <si>
    <t>Hampshire Paper</t>
  </si>
  <si>
    <t>Hampshire Paper Co Inc</t>
  </si>
  <si>
    <t>Hollow Dam Power Partnership</t>
  </si>
  <si>
    <t>Ampersand Hollow Dam Hydro LLC</t>
  </si>
  <si>
    <t>Deweys Mill</t>
  </si>
  <si>
    <t>M Street Jet</t>
  </si>
  <si>
    <t>Massachusetts Bay Trans Auth</t>
  </si>
  <si>
    <t>Mine Falls Generating Station</t>
  </si>
  <si>
    <t>City of Nashua, NH</t>
  </si>
  <si>
    <t>Anson Abenaki Hydros</t>
  </si>
  <si>
    <t>Castleton Energy Center</t>
  </si>
  <si>
    <t>Fortistar Castleton Power</t>
  </si>
  <si>
    <t>Moose River</t>
  </si>
  <si>
    <t>EONY Generation Limited</t>
  </si>
  <si>
    <t>Philadlephia</t>
  </si>
  <si>
    <t>Lower Saranac Hydroelectric Facility</t>
  </si>
  <si>
    <t>Central Rivers Power US, LLC</t>
  </si>
  <si>
    <t>Warrensburg Hydroelectric</t>
  </si>
  <si>
    <t>Boralex Hydro Operations Inc</t>
  </si>
  <si>
    <t>Middle Falls Hydro</t>
  </si>
  <si>
    <t>Sissonville Hydro</t>
  </si>
  <si>
    <t>New York State Dam Hydro</t>
  </si>
  <si>
    <t>Diana Hydroelectric</t>
  </si>
  <si>
    <t>Dolgeville Hydro</t>
  </si>
  <si>
    <t>West Enfield Hydro</t>
  </si>
  <si>
    <t>Clement Dam Hydro LLC</t>
  </si>
  <si>
    <t>Cornell Hydro</t>
  </si>
  <si>
    <t>Commercial NAICS Non-Cogen</t>
  </si>
  <si>
    <t>Bridgewater Power LP</t>
  </si>
  <si>
    <t>Bridgewater Power Co LP</t>
  </si>
  <si>
    <t>Dutchess Cnty Resource Recovery Facility</t>
  </si>
  <si>
    <t>Dutchess County RRA</t>
  </si>
  <si>
    <t>Commercial NAICS Cogen</t>
  </si>
  <si>
    <t>Bellingham Cogeneration Facility</t>
  </si>
  <si>
    <t>Northeast Energy Associates LP</t>
  </si>
  <si>
    <t>ReEnergy Livermore Falls</t>
  </si>
  <si>
    <t>Clark University</t>
  </si>
  <si>
    <t>Indian Orchard Plant 1</t>
  </si>
  <si>
    <t>Solutia Inc-Indian</t>
  </si>
  <si>
    <t>ReEnergy Black River</t>
  </si>
  <si>
    <t>Black River Generation LLC</t>
  </si>
  <si>
    <t>Fourth Branch Hydroelectric Facility</t>
  </si>
  <si>
    <t>Albany Engineering Corporation</t>
  </si>
  <si>
    <t>Upper Beaver Falls Project</t>
  </si>
  <si>
    <t>Rumford Falls Hydro Facility</t>
  </si>
  <si>
    <t>Brookfield Power New England</t>
  </si>
  <si>
    <t>Sheldon Springs Hydroelectric</t>
  </si>
  <si>
    <t>Rumford Cogeneration</t>
  </si>
  <si>
    <t>ND Paper, Inc.</t>
  </si>
  <si>
    <t>Wheelabrator Hudson Falls</t>
  </si>
  <si>
    <t>Wheelabrator Environmental Systems</t>
  </si>
  <si>
    <t>Finch Paper</t>
  </si>
  <si>
    <t>Finch Paper LLC</t>
  </si>
  <si>
    <t>WDL</t>
  </si>
  <si>
    <t>Milton Hydro</t>
  </si>
  <si>
    <t>SFR Hydro Cor</t>
  </si>
  <si>
    <t>Lederle Laboratories</t>
  </si>
  <si>
    <t>Veolia NA - Municipal &amp; Commercial Business</t>
  </si>
  <si>
    <t>Benton Falls Associates</t>
  </si>
  <si>
    <t>Essex Hydro Associates LLC</t>
  </si>
  <si>
    <t>Dodge Falls Associates</t>
  </si>
  <si>
    <t>Dodge Falls Associates LP</t>
  </si>
  <si>
    <t>Feeder Dam Hydro Plant</t>
  </si>
  <si>
    <t>Beebee Island Hydro Plant</t>
  </si>
  <si>
    <t>Dexter Plant</t>
  </si>
  <si>
    <t>Theresa Plant</t>
  </si>
  <si>
    <t>Diamond Island Plant</t>
  </si>
  <si>
    <t>Hailesboro 4 Plant</t>
  </si>
  <si>
    <t>Copenhagen Plant</t>
  </si>
  <si>
    <t>Pyrites Plant</t>
  </si>
  <si>
    <t>Brassua Hydroelectric Project</t>
  </si>
  <si>
    <t>Brassua Hydroelectric LP</t>
  </si>
  <si>
    <t>Boott Hydropower</t>
  </si>
  <si>
    <t xml:space="preserve">Boott Hydro, LLC - Hybrid </t>
  </si>
  <si>
    <t>Algonquin Windsor Locks</t>
  </si>
  <si>
    <t>Ahlstrom Power Windsor Locks LLC</t>
  </si>
  <si>
    <t>Errol Hydroelectric Project</t>
  </si>
  <si>
    <t>Errol Hydroelectric Co LLC</t>
  </si>
  <si>
    <t>Gilman Mill</t>
  </si>
  <si>
    <t>Ampersand Gilman Hydro LP</t>
  </si>
  <si>
    <t>Woodland Pulp, LLC</t>
  </si>
  <si>
    <t>Woodland Pulp LLC</t>
  </si>
  <si>
    <t>CH Resources Beaver Falls</t>
  </si>
  <si>
    <t>Lakeside Beaver Falls LLC</t>
  </si>
  <si>
    <t>Carthage Energy LLC</t>
  </si>
  <si>
    <t>CH Resources Syracuse</t>
  </si>
  <si>
    <t>Lakeside Syracuse LLC</t>
  </si>
  <si>
    <t>Covanta Hempstead</t>
  </si>
  <si>
    <t>Covanta Hempstead Company</t>
  </si>
  <si>
    <t>Covanta Southeastern Connecticut Company</t>
  </si>
  <si>
    <t>Black River Hydro Associates</t>
  </si>
  <si>
    <t>Pepperell Hydro Power Plant</t>
  </si>
  <si>
    <t>Red Shield Envir Old Town Facility</t>
  </si>
  <si>
    <t>Selkirk Cogen</t>
  </si>
  <si>
    <t>Selkirk Cogen Partners LP</t>
  </si>
  <si>
    <t>Masspower</t>
  </si>
  <si>
    <t>Barker Lower</t>
  </si>
  <si>
    <t>KEI (Maine) Power Management (III) LLC</t>
  </si>
  <si>
    <t>Lachute Hydro Lower</t>
  </si>
  <si>
    <t>Lachute Hydro Upper</t>
  </si>
  <si>
    <t>Indeck Jonesboro Energy Center</t>
  </si>
  <si>
    <t>Stored Solar J&amp;WE</t>
  </si>
  <si>
    <t>Indeck West Enfield Energy Center</t>
  </si>
  <si>
    <t>Port Leyden Hydroelectric Project</t>
  </si>
  <si>
    <t>Lyonsdale Hydroelectric Co., Inc.</t>
  </si>
  <si>
    <t>Deer Island Treatment Plant</t>
  </si>
  <si>
    <t>Massachusetts Wtr Rauth-Deer I</t>
  </si>
  <si>
    <t>Mcf</t>
  </si>
  <si>
    <t>Oakdale Power Station</t>
  </si>
  <si>
    <t>Massachusetts Water Res Auth</t>
  </si>
  <si>
    <t>Cosgrove Intake and Power Station</t>
  </si>
  <si>
    <t>NE Renewable Springfield, LLC</t>
  </si>
  <si>
    <t>NE Renewable Whitefield, LLC</t>
  </si>
  <si>
    <t>Center Falls</t>
  </si>
  <si>
    <t>Hollingworth &amp; Vose Co Center Falls</t>
  </si>
  <si>
    <t>Kings Falls Hydroelectric</t>
  </si>
  <si>
    <t>Medical Area Total Energy Plant</t>
  </si>
  <si>
    <t>MATEP LLC</t>
  </si>
  <si>
    <t>Victory Mills</t>
  </si>
  <si>
    <t>Pittsfield Generating LP</t>
  </si>
  <si>
    <t>Pittsfield Generating Company, LP</t>
  </si>
  <si>
    <t>Valley Falls Hydroelectric Facility</t>
  </si>
  <si>
    <t>Valley Falls Associates</t>
  </si>
  <si>
    <t>MMWAC Resource Recovery Facility</t>
  </si>
  <si>
    <t>Maine Waste to Energy</t>
  </si>
  <si>
    <t>International Paper Jay Hydro</t>
  </si>
  <si>
    <t>Eagle Point Energy Center</t>
  </si>
  <si>
    <t>Eagle Point Energy Center, LLC</t>
  </si>
  <si>
    <t>Otis Hydro</t>
  </si>
  <si>
    <t>International Paper Riley Hydro</t>
  </si>
  <si>
    <t>International Paper Livermore Hydro</t>
  </si>
  <si>
    <t>Univ of Massachusetts Medical Center</t>
  </si>
  <si>
    <t>University of Massachusetts Medical</t>
  </si>
  <si>
    <t>China Mill Hydro</t>
  </si>
  <si>
    <t>New Hampshire Hydro Associates</t>
  </si>
  <si>
    <t>Normanskill Hydro Project</t>
  </si>
  <si>
    <t>Watervliet City of</t>
  </si>
  <si>
    <t>Ottauquechee Hydro</t>
  </si>
  <si>
    <t>South Oaks Hospital</t>
  </si>
  <si>
    <t>South Oak Hospital</t>
  </si>
  <si>
    <t>International Paper Woronoco Mill</t>
  </si>
  <si>
    <t>Union Falls</t>
  </si>
  <si>
    <t>Union Falls Hydro Power LP</t>
  </si>
  <si>
    <t>Blackstone/Tupperware</t>
  </si>
  <si>
    <t>Blackstone Hydro Inc.</t>
  </si>
  <si>
    <t>US Gypsum Oakfield</t>
  </si>
  <si>
    <t>U S Gypsum Co</t>
  </si>
  <si>
    <t>NE Renewable Bethlehem, LLC</t>
  </si>
  <si>
    <t>Regional Waste Systems</t>
  </si>
  <si>
    <t>Ecomaine</t>
  </si>
  <si>
    <t>Robbins Lumber</t>
  </si>
  <si>
    <t>Robbins Lumber Inc</t>
  </si>
  <si>
    <t>Bucksport Generation LLC</t>
  </si>
  <si>
    <t>Hewittville Hydroelectric</t>
  </si>
  <si>
    <t>Unionville Hydro Project 2499 NY</t>
  </si>
  <si>
    <t>Worumbo Hydro Station</t>
  </si>
  <si>
    <t>Dahowa Hydro</t>
  </si>
  <si>
    <t>GR Catalyst Two LLC</t>
  </si>
  <si>
    <t>Lower Village Water Power Project</t>
  </si>
  <si>
    <t>Sugar River Power LLC</t>
  </si>
  <si>
    <t>SEMASS Resource Recovery</t>
  </si>
  <si>
    <t>SEMASS Partnership</t>
  </si>
  <si>
    <t>Bethpage Power Plant</t>
  </si>
  <si>
    <t>Calpine Eastern Corp</t>
  </si>
  <si>
    <t>Pembroke Hydro</t>
  </si>
  <si>
    <t>Chasm Hydro Partnership</t>
  </si>
  <si>
    <t>Ampersand Chasm Hydro LLC</t>
  </si>
  <si>
    <t>Newfound Hydroelectric</t>
  </si>
  <si>
    <t>Rolfe Canal Hydro</t>
  </si>
  <si>
    <t>Briar-Hydro Associates</t>
  </si>
  <si>
    <t>Penacook Lower Falls</t>
  </si>
  <si>
    <t>Newport Hydro</t>
  </si>
  <si>
    <t>Ridgewood Providence Power</t>
  </si>
  <si>
    <t>Rhode Island LFG Genco</t>
  </si>
  <si>
    <t>Cornell University Central Heat</t>
  </si>
  <si>
    <t>Cornell University</t>
  </si>
  <si>
    <t>Gregg Falls</t>
  </si>
  <si>
    <t>Somerset Plant</t>
  </si>
  <si>
    <t>Sappi Fine Paper North America-Somerset</t>
  </si>
  <si>
    <t>Penacook Upper Falls Hydro</t>
  </si>
  <si>
    <t>Bronx Zoo</t>
  </si>
  <si>
    <t>New York Zoological Society</t>
  </si>
  <si>
    <t>Indeck Silver Springs Energy Center</t>
  </si>
  <si>
    <t>Indeck-Energy Serv Silver Spg</t>
  </si>
  <si>
    <t>Indeck Oswego Energy Center</t>
  </si>
  <si>
    <t>Indeck-Oswego Ltd Partnership</t>
  </si>
  <si>
    <t>Indeck Yerkes Energy Center</t>
  </si>
  <si>
    <t>Indeck-Yerkes Ltd Partnership</t>
  </si>
  <si>
    <t>Indeck Corinth Energy Center</t>
  </si>
  <si>
    <t>Indeck-Corinth Ltd Partnership</t>
  </si>
  <si>
    <t>Reworld Niagara I</t>
  </si>
  <si>
    <t>Reworld Niagara I, LLC</t>
  </si>
  <si>
    <t>Glen Park Hydroelectric Project</t>
  </si>
  <si>
    <t>Fort Miller Hydroelectric Facility</t>
  </si>
  <si>
    <t>Fort Miller Associates</t>
  </si>
  <si>
    <t>Boltonville Hydro Associates</t>
  </si>
  <si>
    <t>Lawrence Hydroelectric Associates</t>
  </si>
  <si>
    <t>New Milford Gas Recovery</t>
  </si>
  <si>
    <t>WM Renewable Energy LLC</t>
  </si>
  <si>
    <t>High Acres Gas Recovery</t>
  </si>
  <si>
    <t>Central Power Plant</t>
  </si>
  <si>
    <t>State of Rhode Island</t>
  </si>
  <si>
    <t>Covanta Bristol Energy</t>
  </si>
  <si>
    <t>Covanta Bristol Inc</t>
  </si>
  <si>
    <t>Reworld Babylon Inc</t>
  </si>
  <si>
    <t>ReEnergy Stratton LLC</t>
  </si>
  <si>
    <t>Lyonsdale Associates</t>
  </si>
  <si>
    <t>Huntington Resource Recovery Facility</t>
  </si>
  <si>
    <t>Huntington Resource Recovery</t>
  </si>
  <si>
    <t>Covanta Haverhill</t>
  </si>
  <si>
    <t>Ogden Projects Inc-Haverhill</t>
  </si>
  <si>
    <t>Onondaga County Resource Recovery</t>
  </si>
  <si>
    <t>Covanta Onondega LP</t>
  </si>
  <si>
    <t>Gardiner</t>
  </si>
  <si>
    <t>Pumpkin Hill</t>
  </si>
  <si>
    <t>KEI (Maine) Power Management (II) LLC</t>
  </si>
  <si>
    <t>Salmon Falls</t>
  </si>
  <si>
    <t>Somersworth Lower Great Dam</t>
  </si>
  <si>
    <t>Huntington Falls</t>
  </si>
  <si>
    <t>NE Renewable Tamworth, LLC</t>
  </si>
  <si>
    <t>Pontook Hydro Facility</t>
  </si>
  <si>
    <t>Pontook Operating LP</t>
  </si>
  <si>
    <t>Sterling Power Plant</t>
  </si>
  <si>
    <t>Sterling Power Partners LP</t>
  </si>
  <si>
    <t>Pejepscot Hydroelectric Project</t>
  </si>
  <si>
    <t>Topsham Hydro Partners</t>
  </si>
  <si>
    <t>Chicopee Hydroelectric Station</t>
  </si>
  <si>
    <t>Wheelabrator Concord Facility</t>
  </si>
  <si>
    <t>Wheelabrator North Andover</t>
  </si>
  <si>
    <t>Wheelabrator Millbury Facility</t>
  </si>
  <si>
    <t>Wheelabrator Saugus</t>
  </si>
  <si>
    <t>Wheelabrator Westchester</t>
  </si>
  <si>
    <t>Wheelabrator Bridgeport</t>
  </si>
  <si>
    <t>Oswego County Energy Recovery</t>
  </si>
  <si>
    <t>Oswego County</t>
  </si>
  <si>
    <t>Rousselot Inc</t>
  </si>
  <si>
    <t>Carr Street Generating Station</t>
  </si>
  <si>
    <t>Carr Street Generating Sta LP</t>
  </si>
  <si>
    <t>Aziscohos Hydroelectric Project</t>
  </si>
  <si>
    <t>Ryegate Associates, LLC</t>
  </si>
  <si>
    <t>Ocean State Power</t>
  </si>
  <si>
    <t>Ocean State Power Co</t>
  </si>
  <si>
    <t>West Delaware Tunnel Plant</t>
  </si>
  <si>
    <t>Little Falls Hydro</t>
  </si>
  <si>
    <t>MacArthur Waste to Energy Facility</t>
  </si>
  <si>
    <t>Reworld MacArthur Renewable Energy</t>
  </si>
  <si>
    <t>Rhode Island Hospital</t>
  </si>
  <si>
    <t>Dartmouth Power Associates LP</t>
  </si>
  <si>
    <t>Morris Energy Operations Company, LLC</t>
  </si>
  <si>
    <t>Hartford Hospital Cogeneration</t>
  </si>
  <si>
    <t>Cartier Energy, LLC</t>
  </si>
  <si>
    <t>FC</t>
  </si>
  <si>
    <t>NewYork-Presbyterian Brooklyn Methodist</t>
  </si>
  <si>
    <t>NewYork-Presbyterian Brooklyn Methodist Hospital</t>
  </si>
  <si>
    <t>Riverbay</t>
  </si>
  <si>
    <t>Riverbay Corp</t>
  </si>
  <si>
    <t>Upper Barker</t>
  </si>
  <si>
    <t>Rensselaer Cogen</t>
  </si>
  <si>
    <t>Rensselaer Generating LLC</t>
  </si>
  <si>
    <t>Lockport Energy Associates LP</t>
  </si>
  <si>
    <t>Indeck Olean Energy Center</t>
  </si>
  <si>
    <t>Indeck-Olean Ltd Partnership</t>
  </si>
  <si>
    <t>Ticonderoga Mill</t>
  </si>
  <si>
    <t>Sylvamo North America LLC</t>
  </si>
  <si>
    <t>OG</t>
  </si>
  <si>
    <t>OOG</t>
  </si>
  <si>
    <t>Kennedy International Airport Cogen</t>
  </si>
  <si>
    <t>KIAC Partners</t>
  </si>
  <si>
    <t>Mechanic Falls</t>
  </si>
  <si>
    <t>KEI (Maine) Power Management (IV) LLC</t>
  </si>
  <si>
    <t>Pittsfield Hydro</t>
  </si>
  <si>
    <t>World Generation X</t>
  </si>
  <si>
    <t>North American Energy Services</t>
  </si>
  <si>
    <t>Great Lakes Hydro America - ME</t>
  </si>
  <si>
    <t>Great Lakes Hydro America LLC</t>
  </si>
  <si>
    <t>Hydro Kennebec Project</t>
  </si>
  <si>
    <t>Hydro Kennebec LLC</t>
  </si>
  <si>
    <t>Stony Brook Cogen Plant</t>
  </si>
  <si>
    <t>Nissequoque Cogen Partners</t>
  </si>
  <si>
    <t>Gillette SBMC</t>
  </si>
  <si>
    <t>The Gillette Company</t>
  </si>
  <si>
    <t>Erving Paper Mills</t>
  </si>
  <si>
    <t>Erving Paper Mills Inc</t>
  </si>
  <si>
    <t>Pfizer Groton Plant</t>
  </si>
  <si>
    <t>Pfizer Inc</t>
  </si>
  <si>
    <t>Goodwin Hydroelectric</t>
  </si>
  <si>
    <t>Metropolitan Dist of Hartford</t>
  </si>
  <si>
    <t>Ocean State Power II</t>
  </si>
  <si>
    <t>Chace Mill Winooski One</t>
  </si>
  <si>
    <t>EHC West Hopkinton</t>
  </si>
  <si>
    <t>Alice Falls Hydro Project</t>
  </si>
  <si>
    <t>Stillwater Hydro Electric Project</t>
  </si>
  <si>
    <t>GR Catalyst One, LLC</t>
  </si>
  <si>
    <t>Dartmouth College Heating Plant</t>
  </si>
  <si>
    <t>Dartmouth College</t>
  </si>
  <si>
    <t>Rollinsford</t>
  </si>
  <si>
    <t>Mascoma Hydro</t>
  </si>
  <si>
    <t>Seven Hills New Hampshire</t>
  </si>
  <si>
    <t>Sithe Independence Station</t>
  </si>
  <si>
    <t>Sithe/Independence LLC</t>
  </si>
  <si>
    <t>Lochmere Hydroelectric Plant</t>
  </si>
  <si>
    <t>Wappinger Falls Hydroelectric</t>
  </si>
  <si>
    <t>Windsor Machinery Co Inc</t>
  </si>
  <si>
    <t>Saranac Facility</t>
  </si>
  <si>
    <t>Saranac Power Partners LP</t>
  </si>
  <si>
    <t>Curtis Palmer Hydroelectric</t>
  </si>
  <si>
    <t>Palmer Hydroelectric</t>
  </si>
  <si>
    <t>Tanner Street Generation</t>
  </si>
  <si>
    <t>BT Generation Holdings, LLC</t>
  </si>
  <si>
    <t>Massena Energy Facility</t>
  </si>
  <si>
    <t>Power City Partners LP</t>
  </si>
  <si>
    <t>Batavia Power Plant</t>
  </si>
  <si>
    <t>Seneca Power Partners LP</t>
  </si>
  <si>
    <t>Pratt &amp; Whitney</t>
  </si>
  <si>
    <t>United Technologies</t>
  </si>
  <si>
    <t>NE Renewable Fitchburg, LLC</t>
  </si>
  <si>
    <t>Berlin Gorham</t>
  </si>
  <si>
    <t>Turnkey Landfill Gas Recovery</t>
  </si>
  <si>
    <t>Thundermist Hydro</t>
  </si>
  <si>
    <t>City of Woonsocket</t>
  </si>
  <si>
    <t>Lower Beaver Falls Project</t>
  </si>
  <si>
    <t>Wheelabrator Lisbon</t>
  </si>
  <si>
    <t>NYU Langone Hospital- Brooklyn</t>
  </si>
  <si>
    <t>NYU Langone Health</t>
  </si>
  <si>
    <t>South Glens Falls Hydroelectric</t>
  </si>
  <si>
    <t>Seneca Energy</t>
  </si>
  <si>
    <t>Seneca Energy II</t>
  </si>
  <si>
    <t>Plymouth State College Cogeneration</t>
  </si>
  <si>
    <t>Plymouth State University</t>
  </si>
  <si>
    <t>Milford Power LP</t>
  </si>
  <si>
    <t>Milford Power LLC</t>
  </si>
  <si>
    <t>New York University Central Plant</t>
  </si>
  <si>
    <t>New York University</t>
  </si>
  <si>
    <t>Bassett Medical Center</t>
  </si>
  <si>
    <t>Bassett Healthcare</t>
  </si>
  <si>
    <t>Phoenix Hydro Project</t>
  </si>
  <si>
    <t>Dunn Paper</t>
  </si>
  <si>
    <t>BiOrigin Specialty Products</t>
  </si>
  <si>
    <t>Mass Inst Tech Cntrl Utilities/Cogen Plt</t>
  </si>
  <si>
    <t>Massachusetts Inst of Tech</t>
  </si>
  <si>
    <t>Brooklyn Navy Yard Cogeneration</t>
  </si>
  <si>
    <t>Brooklyn Navy Yard Cogen PLP</t>
  </si>
  <si>
    <t>Wellesley College Central Utility Plant</t>
  </si>
  <si>
    <t>Wellesley College</t>
  </si>
  <si>
    <t>Hudson Falls Hydroelectric Project</t>
  </si>
  <si>
    <t>Nashua Plant</t>
  </si>
  <si>
    <t>NextEra Renewable Fuels, LLC</t>
  </si>
  <si>
    <t>Dighton Power Plant</t>
  </si>
  <si>
    <t>Dighton Power, LLC</t>
  </si>
  <si>
    <t>CS</t>
  </si>
  <si>
    <t>Androscoggin Energy Center</t>
  </si>
  <si>
    <t>JGT2 Energy LLC</t>
  </si>
  <si>
    <t>Berkshire Power</t>
  </si>
  <si>
    <t>Berkshire Power Co LLC</t>
  </si>
  <si>
    <t>Bridgeport Energy Project</t>
  </si>
  <si>
    <t>Bridgeport Energy LLC</t>
  </si>
  <si>
    <t>Tiverton Power Plant</t>
  </si>
  <si>
    <t>Tiverton Power LLC</t>
  </si>
  <si>
    <t>Maine Independence Station</t>
  </si>
  <si>
    <t>Casco Bay Energy Co LLC</t>
  </si>
  <si>
    <t>Millennium Power</t>
  </si>
  <si>
    <t>Millennium Power Company, LLC</t>
  </si>
  <si>
    <t>MM Taunton Energy</t>
  </si>
  <si>
    <t>MM Taunton Energy LLC</t>
  </si>
  <si>
    <t>Rumford Power LLC</t>
  </si>
  <si>
    <t>Rumford Power</t>
  </si>
  <si>
    <t>Rhode Island State Energy Center</t>
  </si>
  <si>
    <t>RISEC Operating Services</t>
  </si>
  <si>
    <t>Milford Power Project</t>
  </si>
  <si>
    <t>Milford Power Co LLC</t>
  </si>
  <si>
    <t>Lake Road Generating Plant</t>
  </si>
  <si>
    <t>Lake Road Generating Co LP</t>
  </si>
  <si>
    <t>MM Albany Energy</t>
  </si>
  <si>
    <t>MM Albany Energy LLC</t>
  </si>
  <si>
    <t>Granite Ridge</t>
  </si>
  <si>
    <t>Granite Ridge Energy LLC</t>
  </si>
  <si>
    <t>ANP Bellingham Energy Project</t>
  </si>
  <si>
    <t>Bellingham Power Generation LLC</t>
  </si>
  <si>
    <t>ANP Blackstone Energy Project</t>
  </si>
  <si>
    <t>ANP Blackstone Energy Company LLC</t>
  </si>
  <si>
    <t>Astoria Gas Turbines</t>
  </si>
  <si>
    <t>NRG Astoria Gas Turbine Operations Inc</t>
  </si>
  <si>
    <t>Medway Hydro</t>
  </si>
  <si>
    <t>Westbrook Energy Center Power Plant</t>
  </si>
  <si>
    <t>Westbrook Energy Center</t>
  </si>
  <si>
    <t>Fore River Generating Station</t>
  </si>
  <si>
    <t>Calpine Fore River Energy Center, LLC</t>
  </si>
  <si>
    <t>Astoria Energy</t>
  </si>
  <si>
    <t>Astoria Energy LLC</t>
  </si>
  <si>
    <t>Athens Generating Plant</t>
  </si>
  <si>
    <t>New Athens Generating Company LLC</t>
  </si>
  <si>
    <t>Wallingford Energy</t>
  </si>
  <si>
    <t>Wallingford Energy LLC</t>
  </si>
  <si>
    <t>Newington Energy Center</t>
  </si>
  <si>
    <t>Essential Power Operating Services, LLC</t>
  </si>
  <si>
    <t>Bayswater Peaking Facility LLC</t>
  </si>
  <si>
    <t>Model City Energy Facility</t>
  </si>
  <si>
    <t>Model City Energy LLC</t>
  </si>
  <si>
    <t>Madison Windpower LLC</t>
  </si>
  <si>
    <t>Edgewood Energy LLC</t>
  </si>
  <si>
    <t>MPH Cross Island Power</t>
  </si>
  <si>
    <t>Shoreham Energy LLC</t>
  </si>
  <si>
    <t>Fenner Wind</t>
  </si>
  <si>
    <t>CHI Energy Inc</t>
  </si>
  <si>
    <t>Quinebaug Lower Project</t>
  </si>
  <si>
    <t>Quinebaug Associates LLC</t>
  </si>
  <si>
    <t>Hawkeye Energy Greenport LLC</t>
  </si>
  <si>
    <t>Equus Freeport Power</t>
  </si>
  <si>
    <t>Equus Power I, L.P.</t>
  </si>
  <si>
    <t>CPV Towantic Energy Center</t>
  </si>
  <si>
    <t>CPV Towantic, LLC</t>
  </si>
  <si>
    <t>Jamaica Bay Peaking</t>
  </si>
  <si>
    <t>Jamaica Bay Peaking Facility, LLC</t>
  </si>
  <si>
    <t>Pinelawn Power LLC</t>
  </si>
  <si>
    <t>Waterside Power, LLC</t>
  </si>
  <si>
    <t>Zeltmann</t>
  </si>
  <si>
    <t>Caithness Long Island Energy Center</t>
  </si>
  <si>
    <t>Caithness Long Island, LLC</t>
  </si>
  <si>
    <t>Ontario LFGTE</t>
  </si>
  <si>
    <t>Empire Generating Co LLC</t>
  </si>
  <si>
    <t>Maple Ridge Wind Farm</t>
  </si>
  <si>
    <t>Flat Rock Windpower, LLC</t>
  </si>
  <si>
    <t>Modern Innovative Energy LLC</t>
  </si>
  <si>
    <t>Innovative Energy Systems Inc</t>
  </si>
  <si>
    <t>Colonie LFGTE Facility</t>
  </si>
  <si>
    <t>Lempster Wind LLC</t>
  </si>
  <si>
    <t>Avangrid Power LLC</t>
  </si>
  <si>
    <t>Ameresco Chicopee Energy</t>
  </si>
  <si>
    <t>AMERESCO Chicopee Energy LLC</t>
  </si>
  <si>
    <t>Mars Hill Wind Farm Project</t>
  </si>
  <si>
    <t>Evergreen Wind, LLC</t>
  </si>
  <si>
    <t>Chaffee Gas Recovery</t>
  </si>
  <si>
    <t>Fitchburg Gas Recovery</t>
  </si>
  <si>
    <t>Steel Winds Wind Farm</t>
  </si>
  <si>
    <t>Munnsville Wind Farm LLC</t>
  </si>
  <si>
    <t>Big Sky Wind, LLC</t>
  </si>
  <si>
    <t>Clinton</t>
  </si>
  <si>
    <t>Valcour Operating Services, LLC</t>
  </si>
  <si>
    <t>Ellenburg</t>
  </si>
  <si>
    <t>Bliss (NY)</t>
  </si>
  <si>
    <t>Waterbury Generation</t>
  </si>
  <si>
    <t>Engie North America</t>
  </si>
  <si>
    <t>Dutch Hill Wind Project</t>
  </si>
  <si>
    <t>Cohocton Wind Project</t>
  </si>
  <si>
    <t>Lyons Falls Hydroelectric</t>
  </si>
  <si>
    <t>Northbrook Lyons Falls LLC</t>
  </si>
  <si>
    <t>Gouldtown</t>
  </si>
  <si>
    <t>Kosterville</t>
  </si>
  <si>
    <t>Kleen Energy Systems Project</t>
  </si>
  <si>
    <t>Kleen Energy Systems, LLC</t>
  </si>
  <si>
    <t>Hull Wind II</t>
  </si>
  <si>
    <t>Hull Municipal Light Plant</t>
  </si>
  <si>
    <t>Kibby Wind Facility</t>
  </si>
  <si>
    <t>Helix Maine Wind Development, LLC</t>
  </si>
  <si>
    <t>Plainfield Renewable Energy LLC</t>
  </si>
  <si>
    <t>Plainfield Renewable Energy, LLC</t>
  </si>
  <si>
    <t>Marble River Wind Farm</t>
  </si>
  <si>
    <t>Marble River, LLC</t>
  </si>
  <si>
    <t>Altona</t>
  </si>
  <si>
    <t>Wethersfield</t>
  </si>
  <si>
    <t>Chateaugay</t>
  </si>
  <si>
    <t>Fairfield University CHP Plant</t>
  </si>
  <si>
    <t>Fairfield University</t>
  </si>
  <si>
    <t>Brookfield Power Glen Falls Hydro</t>
  </si>
  <si>
    <t>CPV Valley Energy Center</t>
  </si>
  <si>
    <t>CPV Valley, LLC</t>
  </si>
  <si>
    <t>High Sheldon Wind Farm</t>
  </si>
  <si>
    <t>Invenergy Services LLC</t>
  </si>
  <si>
    <t>DANC LFGTE Facility</t>
  </si>
  <si>
    <t>Clinton LFGTE Facility</t>
  </si>
  <si>
    <t>Hyland LFGTE Facility</t>
  </si>
  <si>
    <t>Stetson Wind I</t>
  </si>
  <si>
    <t>Rollins Wind Project</t>
  </si>
  <si>
    <t>Stetson Wind II</t>
  </si>
  <si>
    <t>Oakfield Wind Project</t>
  </si>
  <si>
    <t>Onward Energy</t>
  </si>
  <si>
    <t>Fulton LFGTE Facility</t>
  </si>
  <si>
    <t>Waste Management Crossroads LFGTE</t>
  </si>
  <si>
    <t>GenConn Middletown LLC</t>
  </si>
  <si>
    <t>GenConn Devon LLC</t>
  </si>
  <si>
    <t>Steel Winds II</t>
  </si>
  <si>
    <t>Sheffield Wind</t>
  </si>
  <si>
    <t>Bull Hill Wind Project</t>
  </si>
  <si>
    <t>Beaver Ridge Wind</t>
  </si>
  <si>
    <t>CPV Beaver Ridge Wind LLC</t>
  </si>
  <si>
    <t>HSCo CHP</t>
  </si>
  <si>
    <t>Orono Hydro Station</t>
  </si>
  <si>
    <t>Cricket Valley Energy</t>
  </si>
  <si>
    <t>Cricket Valley Energy Center LLC</t>
  </si>
  <si>
    <t>Chautauqua LFGTE Facility</t>
  </si>
  <si>
    <t>Chautauqua Green Energy, LLC</t>
  </si>
  <si>
    <t>MA Military Reservation Wind Project</t>
  </si>
  <si>
    <t>Air Force Civil Engineer Center</t>
  </si>
  <si>
    <t>Dorchester Solar Site</t>
  </si>
  <si>
    <t>Massachusetts Electric Co</t>
  </si>
  <si>
    <t>Haverhill Solar Power Project</t>
  </si>
  <si>
    <t>NEDC Solar Site</t>
  </si>
  <si>
    <t>Hardscrabble Wind Power LLC</t>
  </si>
  <si>
    <t>Fox Island Wind LLC</t>
  </si>
  <si>
    <t>New England Wind LLC</t>
  </si>
  <si>
    <t>Oneida Herkimer</t>
  </si>
  <si>
    <t>Notus Wind 1</t>
  </si>
  <si>
    <t>Notus Clean Energy LLC</t>
  </si>
  <si>
    <t>Dartmouth Solar</t>
  </si>
  <si>
    <t>Consolidated Edison Development Inc.</t>
  </si>
  <si>
    <t>Chittenden County Solar Partners</t>
  </si>
  <si>
    <t>Chittenden County Solar Partners LLC</t>
  </si>
  <si>
    <t>Bingham Wind</t>
  </si>
  <si>
    <t>Record Hill Wind</t>
  </si>
  <si>
    <t>Record Hill Wind LLC</t>
  </si>
  <si>
    <t>Long Island Solar Farm LLC</t>
  </si>
  <si>
    <t>Bridge Street 1 &amp; 2</t>
  </si>
  <si>
    <t>Connecticut Mun Elec Engy Coop</t>
  </si>
  <si>
    <t>Fort Hill 1, 2, 3 &amp; 4</t>
  </si>
  <si>
    <t>Fishers Island 1</t>
  </si>
  <si>
    <t>Gary Court 1 &amp; 2</t>
  </si>
  <si>
    <t>Jewett City 1</t>
  </si>
  <si>
    <t>LNG 1 &amp; 2</t>
  </si>
  <si>
    <t>Lebanon Pines 1 &amp; 2</t>
  </si>
  <si>
    <t>Water Treatment 1 &amp; 2</t>
  </si>
  <si>
    <t>Norwich WWTP</t>
  </si>
  <si>
    <t>Henkel U.S. Operations Corporation</t>
  </si>
  <si>
    <t>Astoria Energy II</t>
  </si>
  <si>
    <t>Astoria Energy II LLC</t>
  </si>
  <si>
    <t>Foxwoods CoGen</t>
  </si>
  <si>
    <t>Foxwoods Resort Casino</t>
  </si>
  <si>
    <t>Indian Orchard PV Facility</t>
  </si>
  <si>
    <t>Western Massachusetts Electric Company</t>
  </si>
  <si>
    <t>Silver Lake Solar Photovoltaic Facility</t>
  </si>
  <si>
    <t>Norden 1-3</t>
  </si>
  <si>
    <t>Third Taxing District of Norwalk</t>
  </si>
  <si>
    <t>Stephentown Spindle</t>
  </si>
  <si>
    <t>Convergent Energy and Power LP</t>
  </si>
  <si>
    <t>FW</t>
  </si>
  <si>
    <t>Berkshire Wind Power Project</t>
  </si>
  <si>
    <t>Peak Power 1 Cogen</t>
  </si>
  <si>
    <t>Peak Power 1, LLC</t>
  </si>
  <si>
    <t>OBP Cogen</t>
  </si>
  <si>
    <t>OBP Cogen LLC</t>
  </si>
  <si>
    <t>Middlebury College</t>
  </si>
  <si>
    <t>Middlebury College Biomass</t>
  </si>
  <si>
    <t>Dartmouth II Solar</t>
  </si>
  <si>
    <t>Ipswich Wind Turbine</t>
  </si>
  <si>
    <t>Howard Wind Farm</t>
  </si>
  <si>
    <t>Howard Wind LLC (Longroad)</t>
  </si>
  <si>
    <t>Holyoke Solar Cooperative at Mueller</t>
  </si>
  <si>
    <t>Holyoke Solar LLC</t>
  </si>
  <si>
    <t>Douglas Solar</t>
  </si>
  <si>
    <t>Town of Uxbridge MA at Commerce Dr</t>
  </si>
  <si>
    <t>Luminace Solar Net Metering, LLC</t>
  </si>
  <si>
    <t>Town of Norfolk MA at Medway Branch</t>
  </si>
  <si>
    <t>Luminace Solar Massachusetts, LLC</t>
  </si>
  <si>
    <t>Kingdom Community Wind</t>
  </si>
  <si>
    <t>Groveland Solar</t>
  </si>
  <si>
    <t>Shrewsbury Solar</t>
  </si>
  <si>
    <t>Boston Scientific Solar</t>
  </si>
  <si>
    <t>Consolidated Edison Solutions Inc.</t>
  </si>
  <si>
    <t>Granite Reliable Power</t>
  </si>
  <si>
    <t>NexteraEnergy</t>
  </si>
  <si>
    <t>Mt Wachusett Community College</t>
  </si>
  <si>
    <t>Spruce Mountain WInd</t>
  </si>
  <si>
    <t>CPV Spruce Mountain Wind LLC</t>
  </si>
  <si>
    <t>Padelford Solar</t>
  </si>
  <si>
    <t>Block Island Wind Farm</t>
  </si>
  <si>
    <t>Deepwater Wind Block Island LLC</t>
  </si>
  <si>
    <t>WS</t>
  </si>
  <si>
    <t>Burgess BioPower</t>
  </si>
  <si>
    <t>Berlin Station, LLC</t>
  </si>
  <si>
    <t>Charlestown Wind Turbine</t>
  </si>
  <si>
    <t>MWRA Charlestown</t>
  </si>
  <si>
    <t>Kimberly Clark-Unit 1,2,3</t>
  </si>
  <si>
    <t>Kimberly-Clark Corporation</t>
  </si>
  <si>
    <t>Stony Creek Wind Farm NY</t>
  </si>
  <si>
    <t>Green Meadows</t>
  </si>
  <si>
    <t>Altus Power America Management, LLC</t>
  </si>
  <si>
    <t>Cellu Tissue</t>
  </si>
  <si>
    <t>Dunn Paper East Hartford, LLC</t>
  </si>
  <si>
    <t>Groton Wind LLC</t>
  </si>
  <si>
    <t>SVEP Solar Project Company</t>
  </si>
  <si>
    <t>CVI CleanCapital Solar 1 LLC</t>
  </si>
  <si>
    <t>Williamstown Solar</t>
  </si>
  <si>
    <t>Twin Rivers Paper Co LLC</t>
  </si>
  <si>
    <t>PUR</t>
  </si>
  <si>
    <t>Danbury Hospital Cogen Plant</t>
  </si>
  <si>
    <t>Danbury Hospital</t>
  </si>
  <si>
    <t>Eastern Maine Medical Center</t>
  </si>
  <si>
    <t>SUNY Old Westbury College</t>
  </si>
  <si>
    <t>University of Rochester</t>
  </si>
  <si>
    <t>Wesleyan University Cogen 1</t>
  </si>
  <si>
    <t>Wesleyan University</t>
  </si>
  <si>
    <t>UCONN Cogen Facility</t>
  </si>
  <si>
    <t>University of Connecticut</t>
  </si>
  <si>
    <t>Williams College - Campus CHP</t>
  </si>
  <si>
    <t>President &amp; Trustees of Williams College</t>
  </si>
  <si>
    <t>Smith College Central Heating Plant</t>
  </si>
  <si>
    <t>The Trustees of Smith College</t>
  </si>
  <si>
    <t>William Floyd School District</t>
  </si>
  <si>
    <t>Wilson Solar (MA)</t>
  </si>
  <si>
    <t>UNH 7.9 MW Plant</t>
  </si>
  <si>
    <t>Emcor Energy Services</t>
  </si>
  <si>
    <t>Rand Whitney CHP Plant</t>
  </si>
  <si>
    <t>Rand Whitney Containerboard L.P.</t>
  </si>
  <si>
    <t>Amherst College Co Gen</t>
  </si>
  <si>
    <t>Amherst College</t>
  </si>
  <si>
    <t>HVCC Cogen Plant</t>
  </si>
  <si>
    <t>Hudson Valley Community College</t>
  </si>
  <si>
    <t>Monroe Community College Plant</t>
  </si>
  <si>
    <t>Monroe County (NY)</t>
  </si>
  <si>
    <t>NFM Solar Power LLC</t>
  </si>
  <si>
    <t>West Greenwich Solar</t>
  </si>
  <si>
    <t>CCSU Co-Gen-STBY Gen</t>
  </si>
  <si>
    <t>Central Connecticut State University</t>
  </si>
  <si>
    <t>CCSU Fuel Cell Project</t>
  </si>
  <si>
    <t>New Britain Renewable Energy, LLC</t>
  </si>
  <si>
    <t>Georgia Mountain Community Wind Farm</t>
  </si>
  <si>
    <t>Greenbacker Renewable Energy Corporation</t>
  </si>
  <si>
    <t>Acushnet AD Makepeace</t>
  </si>
  <si>
    <t>CleanCapital Holdings</t>
  </si>
  <si>
    <t>Acushnet Hawes Reed Road</t>
  </si>
  <si>
    <t>Easthampton Landfill-City of Easthampton</t>
  </si>
  <si>
    <t>Mass Midstate Solar 3</t>
  </si>
  <si>
    <t>Mass Midstate Solar 2</t>
  </si>
  <si>
    <t>Mass Midstate Solar 1</t>
  </si>
  <si>
    <t>Millbury Solar</t>
  </si>
  <si>
    <t>Leicester One MA Solar LLC</t>
  </si>
  <si>
    <t>Freetown Solar</t>
  </si>
  <si>
    <t>Mass Solar, LLC</t>
  </si>
  <si>
    <t>Bradley Energy Center</t>
  </si>
  <si>
    <t>Ameresco Select Inc</t>
  </si>
  <si>
    <t>Quittacas Pond Solar</t>
  </si>
  <si>
    <t>Northbridge Solar</t>
  </si>
  <si>
    <t>CES Sterling LLC</t>
  </si>
  <si>
    <t>SunEdison LLC</t>
  </si>
  <si>
    <t>Synergy Biogas</t>
  </si>
  <si>
    <t>CH4 Biogas LLC</t>
  </si>
  <si>
    <t>Bellingham PV</t>
  </si>
  <si>
    <t>Terraform Arcadia</t>
  </si>
  <si>
    <t>Marshfield PV</t>
  </si>
  <si>
    <t>Orange PV</t>
  </si>
  <si>
    <t>Maynard PV</t>
  </si>
  <si>
    <t>Southbridge PV</t>
  </si>
  <si>
    <t>Montefieor Medical Center Moses Division</t>
  </si>
  <si>
    <t>Montefiore Medical Center Moses Division</t>
  </si>
  <si>
    <t>Westford Solar Park</t>
  </si>
  <si>
    <t>MN8 Energy LLC</t>
  </si>
  <si>
    <t>SunGen Sharon 1 LLC</t>
  </si>
  <si>
    <t>Owens Corning at Bethlehem</t>
  </si>
  <si>
    <t>Luminace Solar Holding, LLC</t>
  </si>
  <si>
    <t>Bridgeport Fuel Cell, LLC</t>
  </si>
  <si>
    <t>Somers Solar Center, LLC</t>
  </si>
  <si>
    <t>Merrimac Solar</t>
  </si>
  <si>
    <t>Cottage Street Solar Facility</t>
  </si>
  <si>
    <t>Forbes Street Solar</t>
  </si>
  <si>
    <t>Town of East Bridgewater CSG</t>
  </si>
  <si>
    <t>Tesla Inc.</t>
  </si>
  <si>
    <t>Saddleback Ridge Wind Farm</t>
  </si>
  <si>
    <t>CPV Saddleback Ridge Wind, LLC</t>
  </si>
  <si>
    <t>Canton Mountain Wind</t>
  </si>
  <si>
    <t>CPV Canton Mountain Wind LLC</t>
  </si>
  <si>
    <t>Berkshire 1</t>
  </si>
  <si>
    <t>PPS Berkshire Solar LLC</t>
  </si>
  <si>
    <t>Port Richmond WWT Solar</t>
  </si>
  <si>
    <t>North Brookfield</t>
  </si>
  <si>
    <t>Cape Cod Air Force Station - 6 SWS</t>
  </si>
  <si>
    <t>US Air Force</t>
  </si>
  <si>
    <t>Frito Lay Incorporated</t>
  </si>
  <si>
    <t>Frito Lay Incorporated Dayville</t>
  </si>
  <si>
    <t>Oswegatchie</t>
  </si>
  <si>
    <t>Upper Newton Falls</t>
  </si>
  <si>
    <t>Braley Road 2</t>
  </si>
  <si>
    <t>Dartmouth</t>
  </si>
  <si>
    <t>Hancock Wind Plant</t>
  </si>
  <si>
    <t>Axio Green LLC</t>
  </si>
  <si>
    <t>Tihonet Solar</t>
  </si>
  <si>
    <t>Marsh Hill Wind Farm</t>
  </si>
  <si>
    <t>Cassadaga Wind Farm</t>
  </si>
  <si>
    <t>Brentwood Solar</t>
  </si>
  <si>
    <t>CD US Solar MT1 LLC</t>
  </si>
  <si>
    <t>Deer Park</t>
  </si>
  <si>
    <t>Dennison</t>
  </si>
  <si>
    <t>North County</t>
  </si>
  <si>
    <t>Riverhead</t>
  </si>
  <si>
    <t>Cohalan</t>
  </si>
  <si>
    <t>Sheldon Solar</t>
  </si>
  <si>
    <t>Excelsior Energy Capital</t>
  </si>
  <si>
    <t>Sudbury Landfill</t>
  </si>
  <si>
    <t>Heliovaas LLC</t>
  </si>
  <si>
    <t>Berkley East Solar LLC</t>
  </si>
  <si>
    <t>Stuyvesant Falls</t>
  </si>
  <si>
    <t>Fusion Solar Center LLC</t>
  </si>
  <si>
    <t>Fusion Solar Centre, L.L.C</t>
  </si>
  <si>
    <t>Integrys MA Solar, LLC - Ashburnham Site</t>
  </si>
  <si>
    <t>Integrys MA Solar, LLC</t>
  </si>
  <si>
    <t>Open View Solar Farm</t>
  </si>
  <si>
    <t>Cross Pollination Inc</t>
  </si>
  <si>
    <t>Walpole Solar 2</t>
  </si>
  <si>
    <t>Walpole Solar 2, LLC</t>
  </si>
  <si>
    <t>Gardner Solar 1</t>
  </si>
  <si>
    <t>Gardner Solar 1, LLC</t>
  </si>
  <si>
    <t>Camelot Wind LLC</t>
  </si>
  <si>
    <t>Technology Drive Solar</t>
  </si>
  <si>
    <t>Fairview Farms Solar</t>
  </si>
  <si>
    <t>NuGen Capital Management</t>
  </si>
  <si>
    <t>Copenhagen Wind Farm</t>
  </si>
  <si>
    <t>EDF Renewable Asset Holdings, Inc.</t>
  </si>
  <si>
    <t>Dept of Corrections NCCI Wind</t>
  </si>
  <si>
    <t>Southbridge Landfill Gas-to-Energy</t>
  </si>
  <si>
    <t>Southbridge Recycling and Disposal Park</t>
  </si>
  <si>
    <t>Scituate PV</t>
  </si>
  <si>
    <t>AES Distributed Energy</t>
  </si>
  <si>
    <t>Bolton PV</t>
  </si>
  <si>
    <t>Stow PV</t>
  </si>
  <si>
    <t>Agawam Solar</t>
  </si>
  <si>
    <t>Citizens Enterprises Corporation</t>
  </si>
  <si>
    <t>Rehoboth Solar</t>
  </si>
  <si>
    <t>Chicopee Solar</t>
  </si>
  <si>
    <t>Route 57 Solar</t>
  </si>
  <si>
    <t>EBZ Solar</t>
  </si>
  <si>
    <t>Whately Solar</t>
  </si>
  <si>
    <t>Ball Mountain Hydro</t>
  </si>
  <si>
    <t>West Davisville Solar</t>
  </si>
  <si>
    <t>651 Chase Solar NG</t>
  </si>
  <si>
    <t>Whitcomb Solar Farm</t>
  </si>
  <si>
    <t>ERWR Whitcomb Farm Solar LLC</t>
  </si>
  <si>
    <t>Jericho Power</t>
  </si>
  <si>
    <t>Jericho Power LLC</t>
  </si>
  <si>
    <t>Brewster Landfill</t>
  </si>
  <si>
    <t>Clean Focus Yield, LLC</t>
  </si>
  <si>
    <t>Chatham Landfill</t>
  </si>
  <si>
    <t>Harwich Landfill</t>
  </si>
  <si>
    <t>Katama Farm</t>
  </si>
  <si>
    <t>Nunnepog</t>
  </si>
  <si>
    <t>Barnstable Landfill</t>
  </si>
  <si>
    <t>Dennis Landfill</t>
  </si>
  <si>
    <t>Lepomis PV Energy LLC</t>
  </si>
  <si>
    <t>Rockland Solar CSG</t>
  </si>
  <si>
    <t>Acushnet-Braley Road 1</t>
  </si>
  <si>
    <t>Acushnet- High Hill</t>
  </si>
  <si>
    <t>Dartmouth Landfill</t>
  </si>
  <si>
    <t>Easton Landfill</t>
  </si>
  <si>
    <t>Ludlow Landfill</t>
  </si>
  <si>
    <t>Methuen Landfill</t>
  </si>
  <si>
    <t>Plymouth Site 1</t>
  </si>
  <si>
    <t>EDF Lancaster</t>
  </si>
  <si>
    <t>Franklin 1</t>
  </si>
  <si>
    <t>CD US Solar MT 2 LLC</t>
  </si>
  <si>
    <t>Franklin 2</t>
  </si>
  <si>
    <t>Passadumkeag Windpark LLC</t>
  </si>
  <si>
    <t>Southern Power Co</t>
  </si>
  <si>
    <t>Brockelman</t>
  </si>
  <si>
    <t>Beverly</t>
  </si>
  <si>
    <t>Johnston LFG Turbine Plant</t>
  </si>
  <si>
    <t>Sutter Greenworks LLC</t>
  </si>
  <si>
    <t>Sterlington Greenworks LLC</t>
  </si>
  <si>
    <t>Leavenworth Greenworks LLC</t>
  </si>
  <si>
    <t>WED NK Green</t>
  </si>
  <si>
    <t>WED NK Green LLC</t>
  </si>
  <si>
    <t>WED Coventry 1</t>
  </si>
  <si>
    <t>WED Coventry One, LLC</t>
  </si>
  <si>
    <t>WED Coventry 2</t>
  </si>
  <si>
    <t>WED Coventry Two, LLC</t>
  </si>
  <si>
    <t>WED Coventry 3</t>
  </si>
  <si>
    <t>WED Coventry Three, LLC</t>
  </si>
  <si>
    <t>WED Coventry 4</t>
  </si>
  <si>
    <t>WED Coventry Four, LLC</t>
  </si>
  <si>
    <t>WED Coventry 5</t>
  </si>
  <si>
    <t>WED Coventry 6</t>
  </si>
  <si>
    <t>Devens</t>
  </si>
  <si>
    <t>Browne Solar LLC</t>
  </si>
  <si>
    <t>Indian Hill Solar LLC</t>
  </si>
  <si>
    <t>State Street Solar LLC</t>
  </si>
  <si>
    <t>Westborough Solar LLC</t>
  </si>
  <si>
    <t>SunRay Power LLC</t>
  </si>
  <si>
    <t>True North</t>
  </si>
  <si>
    <t>Grafton Solar</t>
  </si>
  <si>
    <t>Shaffer</t>
  </si>
  <si>
    <t>CD US Solar MT3, LLC</t>
  </si>
  <si>
    <t>Backus Microgrid Project</t>
  </si>
  <si>
    <t>Stillwater B</t>
  </si>
  <si>
    <t>Orono B</t>
  </si>
  <si>
    <t>St. Albans SPEED Project</t>
  </si>
  <si>
    <t>St. Albans Solar Partners, LLC</t>
  </si>
  <si>
    <t>Albany Medical Ctr Cogen Plant</t>
  </si>
  <si>
    <t>Albany Medical Center</t>
  </si>
  <si>
    <t>Ayers Village Solar</t>
  </si>
  <si>
    <t>Monson Solar</t>
  </si>
  <si>
    <t>Sullivan Solar</t>
  </si>
  <si>
    <t>Winchendon Solar</t>
  </si>
  <si>
    <t>KS Solar Six LLC</t>
  </si>
  <si>
    <t>Kearsarge Solar LLC</t>
  </si>
  <si>
    <t>Cornell Snyder Road Solar Array</t>
  </si>
  <si>
    <t>Ulysses Solar, LLC</t>
  </si>
  <si>
    <t>Clarendon Solar Farm</t>
  </si>
  <si>
    <t>Clarendon Solar Farm, LLC</t>
  </si>
  <si>
    <t>Claire Solar Farm</t>
  </si>
  <si>
    <t>Claire Solar Partners LLC</t>
  </si>
  <si>
    <t>Hadley Solar NG, LLC</t>
  </si>
  <si>
    <t>265 Pleasant Solar NG, LLC</t>
  </si>
  <si>
    <t>Antares-GRE 314 East Lyme LLC</t>
  </si>
  <si>
    <t>Acton Solar Landfill</t>
  </si>
  <si>
    <t>Tisbury Landfill Solar</t>
  </si>
  <si>
    <t>Town of Williamson Landfill PV</t>
  </si>
  <si>
    <t>Future Generation Wind</t>
  </si>
  <si>
    <t>Clarkson Solar</t>
  </si>
  <si>
    <t>Twiss Street Solar</t>
  </si>
  <si>
    <t>Chicopee River Solar</t>
  </si>
  <si>
    <t>Chicopee Granby Road Solar</t>
  </si>
  <si>
    <t>Jericho Rise Wind Farm LLC</t>
  </si>
  <si>
    <t>Charlton Solar I CSG</t>
  </si>
  <si>
    <t>Charlton Solar I, LLC</t>
  </si>
  <si>
    <t>631-56 Airport Owner, LLC</t>
  </si>
  <si>
    <t>Main Street Solar Project</t>
  </si>
  <si>
    <t>NBC Field's Point Wind Farm</t>
  </si>
  <si>
    <t>Narragansett Bay Commission</t>
  </si>
  <si>
    <t>Subase Microgrid Project</t>
  </si>
  <si>
    <t>Steel Sun</t>
  </si>
  <si>
    <t>Framingham State University Plant</t>
  </si>
  <si>
    <t>Framingham State University</t>
  </si>
  <si>
    <t>Charlotte Solar LLC VT</t>
  </si>
  <si>
    <t>Scituate Wind</t>
  </si>
  <si>
    <t>Scituate Wind LLC</t>
  </si>
  <si>
    <t>Fairhaven Wind</t>
  </si>
  <si>
    <t>Fairhaven Wind LLC</t>
  </si>
  <si>
    <t>Templeton</t>
  </si>
  <si>
    <t>Sunny Templeton, LLC</t>
  </si>
  <si>
    <t>Barton Solar Farm</t>
  </si>
  <si>
    <t>Barton Solar, LLC</t>
  </si>
  <si>
    <t>Leominster (MA)-South Street-R&amp;D</t>
  </si>
  <si>
    <t>South Street Solar, LLC</t>
  </si>
  <si>
    <t>Bourne (MA) - Holliston I</t>
  </si>
  <si>
    <t>NVT LICENSES, LLC</t>
  </si>
  <si>
    <t>BlueWave Capital - Grafton (SREC II)</t>
  </si>
  <si>
    <t>TerraForm Solar XVII, LLC</t>
  </si>
  <si>
    <t>Chester Power Partners</t>
  </si>
  <si>
    <t>Stetson Road Solar - Barre I</t>
  </si>
  <si>
    <t>Barre II Solar Project</t>
  </si>
  <si>
    <t>Chester Solar Farm</t>
  </si>
  <si>
    <t>Concord Solar Farm</t>
  </si>
  <si>
    <t>Adams Farm Solar</t>
  </si>
  <si>
    <t>RGS-Rutland VNM SREC II Project (MA)</t>
  </si>
  <si>
    <t>New Bedford (MA) Plymouth</t>
  </si>
  <si>
    <t>BWC Origination 4, LLC</t>
  </si>
  <si>
    <t>Upper Blackstone (MA) Treasure Valley</t>
  </si>
  <si>
    <t>Nexamp Treasure Valley Solar, LLC</t>
  </si>
  <si>
    <t>Advance Stores Company, Inc</t>
  </si>
  <si>
    <t>Millbrook School</t>
  </si>
  <si>
    <t>Granby LFG</t>
  </si>
  <si>
    <t>Industrial Power Services Corp.</t>
  </si>
  <si>
    <t>Nanticoke LFG</t>
  </si>
  <si>
    <t>Broome Energy Resources, LLC</t>
  </si>
  <si>
    <t>Hunt Farm Solar</t>
  </si>
  <si>
    <t>205 Sturbridge A</t>
  </si>
  <si>
    <t>201 Sturbridge B</t>
  </si>
  <si>
    <t>Spring Hill Road</t>
  </si>
  <si>
    <t>Johnston Solar</t>
  </si>
  <si>
    <t>Concord New Energy</t>
  </si>
  <si>
    <t>Lowell Solar Landfill</t>
  </si>
  <si>
    <t>Kings Park Solar I</t>
  </si>
  <si>
    <t>DG LF Solar, LLC</t>
  </si>
  <si>
    <t>Kings Park Solar II</t>
  </si>
  <si>
    <t>Exelon West Medway II LLC</t>
  </si>
  <si>
    <t>Hunt Road Solar</t>
  </si>
  <si>
    <t>Antrim Wind</t>
  </si>
  <si>
    <t>Antrim Wind Energy LLC</t>
  </si>
  <si>
    <t>Pepperidge Farm Bloomfield</t>
  </si>
  <si>
    <t>Pepperidge Farm, Inc.- Bloomfield</t>
  </si>
  <si>
    <t>Mashpee Landfill Solar</t>
  </si>
  <si>
    <t>Nautilus Solar Solutions</t>
  </si>
  <si>
    <t>Clarkstown Landfill Solar Facility</t>
  </si>
  <si>
    <t>Clarkstown Solar LLC</t>
  </si>
  <si>
    <t>Oxford</t>
  </si>
  <si>
    <t>CVI CleanCapital Solar 6</t>
  </si>
  <si>
    <t>UI RCP New Haven Fuel Cell</t>
  </si>
  <si>
    <t>United Illuminating Co</t>
  </si>
  <si>
    <t>Shoreham Solar Commons</t>
  </si>
  <si>
    <t>Duke Energy Renewables Services</t>
  </si>
  <si>
    <t>UI RCP Bridgeport Seaside</t>
  </si>
  <si>
    <t>Syncarpha Palmer, LLC</t>
  </si>
  <si>
    <t>Federal Road Solar 1, LLC CSG</t>
  </si>
  <si>
    <t>Federal Road Solar 1, LLC</t>
  </si>
  <si>
    <t>BWC Swan Pond River CSG</t>
  </si>
  <si>
    <t>BWC Swan Pond River, LLC</t>
  </si>
  <si>
    <t>Leominster</t>
  </si>
  <si>
    <t>Syncarpha Massachusetts, LLC</t>
  </si>
  <si>
    <t>North Adams Landfill</t>
  </si>
  <si>
    <t>Syncarpha North Adams, LLC</t>
  </si>
  <si>
    <t>Fisher Road Solar</t>
  </si>
  <si>
    <t>Fisher Road Solar I, LLC</t>
  </si>
  <si>
    <t>Palmer Landfill</t>
  </si>
  <si>
    <t>Syncarpha Bondsville, LLC</t>
  </si>
  <si>
    <t>Onondaga County - Metro Water Board</t>
  </si>
  <si>
    <t>Onondaga County - Oak Orchard WWTP</t>
  </si>
  <si>
    <t>Hewlett-Packard (HP) - Andover, MA</t>
  </si>
  <si>
    <t>UDR Glastonbury Fuel Cell</t>
  </si>
  <si>
    <t>UIL Distributed Resources, LLC</t>
  </si>
  <si>
    <t>Town of Needham VNEM CSG</t>
  </si>
  <si>
    <t>Williamsburg Solar LLC VNEM CSG</t>
  </si>
  <si>
    <t>Oneida County- DPW</t>
  </si>
  <si>
    <t>Town of Halfmoon</t>
  </si>
  <si>
    <t>BJ's Wholesale Club, Inc- Uxbridge</t>
  </si>
  <si>
    <t>Cornell Geneva Solar Farm</t>
  </si>
  <si>
    <t>Argos Solar LLC</t>
  </si>
  <si>
    <t>CMEEC - Bozrah</t>
  </si>
  <si>
    <t>Conn Mun Electric Energy Coop</t>
  </si>
  <si>
    <t>Orange County Solar Farm (NY)</t>
  </si>
  <si>
    <t>Onondaga County- Jamesville</t>
  </si>
  <si>
    <t>CED Westfield Solar, LLC</t>
  </si>
  <si>
    <t>West Groton CHP</t>
  </si>
  <si>
    <t>Hollingsworth &amp; Vose Co West Groton</t>
  </si>
  <si>
    <t>Southbridge Solar</t>
  </si>
  <si>
    <t>Sudbury Solar</t>
  </si>
  <si>
    <t>Ecos Energy LLC</t>
  </si>
  <si>
    <t>Vulcraft Solar</t>
  </si>
  <si>
    <t>Soltage VUL 1600 Chemung, LLC</t>
  </si>
  <si>
    <t>SJA Solar LLC-Solterra Monastery CSG</t>
  </si>
  <si>
    <t>SJA Solar, LLC</t>
  </si>
  <si>
    <t>Pfizer Groton Fuel Cell</t>
  </si>
  <si>
    <t>Groton Fuel Cell 1 LLC</t>
  </si>
  <si>
    <t>Pisgah Mountain Wind</t>
  </si>
  <si>
    <t>Pisgah Mountain, LLC</t>
  </si>
  <si>
    <t>Coventry Photovoltaic, LLC</t>
  </si>
  <si>
    <t>Fairhaven C CSG</t>
  </si>
  <si>
    <t>West Bridgewater AB CSG</t>
  </si>
  <si>
    <t>Skidmore College</t>
  </si>
  <si>
    <t>Tompkins Cortland Community College</t>
  </si>
  <si>
    <t>SEC LHNY Solar One, LLC</t>
  </si>
  <si>
    <t>Carver MA 1 Community Solar</t>
  </si>
  <si>
    <t>Navisun LLC</t>
  </si>
  <si>
    <t>Wareham MA 1 Community Solar</t>
  </si>
  <si>
    <t>Brookside</t>
  </si>
  <si>
    <t>Calverton</t>
  </si>
  <si>
    <t>Cummins, Inc</t>
  </si>
  <si>
    <t>Houghton</t>
  </si>
  <si>
    <t>Oneida - South</t>
  </si>
  <si>
    <t>Oneida DG Solar, LLC</t>
  </si>
  <si>
    <t>Oneida - West</t>
  </si>
  <si>
    <t>Athens Energy</t>
  </si>
  <si>
    <t>Athens Energy, LLC</t>
  </si>
  <si>
    <t>OT</t>
  </si>
  <si>
    <t>Hardwick-Athol &amp; Eagle Hill</t>
  </si>
  <si>
    <t>SEC CRSD Solar One, LLC</t>
  </si>
  <si>
    <t>Onondaga County- Clearwater</t>
  </si>
  <si>
    <t>Greene County Meter #1</t>
  </si>
  <si>
    <t>Westport MA 1 Community Solar</t>
  </si>
  <si>
    <t>Westport MA 2 Community Solar</t>
  </si>
  <si>
    <t>Bethlehem - East</t>
  </si>
  <si>
    <t>DG Bethlehem Solar, LLC</t>
  </si>
  <si>
    <t>Bethlehem - West</t>
  </si>
  <si>
    <t>Rail Trail</t>
  </si>
  <si>
    <t>Rising Paper</t>
  </si>
  <si>
    <t>Hampden</t>
  </si>
  <si>
    <t>Little Bay</t>
  </si>
  <si>
    <t>Shirley Water</t>
  </si>
  <si>
    <t>Broome County</t>
  </si>
  <si>
    <t>Stafford Hill Solar Hybrid</t>
  </si>
  <si>
    <t>Limerick Road Solar Farm</t>
  </si>
  <si>
    <t>Limerick Road Solar, LLC</t>
  </si>
  <si>
    <t>GMP Solar - Richmond</t>
  </si>
  <si>
    <t>GMP Solar - Panton Hybrid</t>
  </si>
  <si>
    <t>UI RCP Woodbridge FC</t>
  </si>
  <si>
    <t>Baron Winds Farm</t>
  </si>
  <si>
    <t>CMEEC - Rogers Rd Solar</t>
  </si>
  <si>
    <t>CMEEC - Polaris Park Solar Hybrid</t>
  </si>
  <si>
    <t>CMEEC - Navy NE Trident</t>
  </si>
  <si>
    <t>CMEEC - Norwich Stott St Solar Hybrid</t>
  </si>
  <si>
    <t>Morin Solar 2013 LLC</t>
  </si>
  <si>
    <t>Brookfield Solar 2013 LLC</t>
  </si>
  <si>
    <t>WYM 1250 Palmer LLC</t>
  </si>
  <si>
    <t>Southern Sky Renew Energy Berkley LLC</t>
  </si>
  <si>
    <t>Southern Sky Renewable Energy Berkley, LLC</t>
  </si>
  <si>
    <t>Worcester Landfill</t>
  </si>
  <si>
    <t>City of Worcester DPW</t>
  </si>
  <si>
    <t>Renew Canal 1 CSG LLC</t>
  </si>
  <si>
    <t>NRG Renew Canal 1 LLC</t>
  </si>
  <si>
    <t>Solar Mule, LLC</t>
  </si>
  <si>
    <t>West Brookfield Solar, LLC</t>
  </si>
  <si>
    <t>CVI CleanCapital Solar 7</t>
  </si>
  <si>
    <t>Belchertown</t>
  </si>
  <si>
    <t>Tannery Road Landfill</t>
  </si>
  <si>
    <t>Tannery Road Solar, LLC</t>
  </si>
  <si>
    <t>TRS Fuel Cell</t>
  </si>
  <si>
    <t>TRS Fuel Cell, LLC</t>
  </si>
  <si>
    <t>Wind Colebrook South</t>
  </si>
  <si>
    <t>Stone Hill Solar CSG</t>
  </si>
  <si>
    <t>Bridgewater Solar CSG</t>
  </si>
  <si>
    <t>Holliston Solar CSG</t>
  </si>
  <si>
    <t>Wilmington Solar</t>
  </si>
  <si>
    <t>Fall River Solar CSG</t>
  </si>
  <si>
    <t>Shirley Landfill</t>
  </si>
  <si>
    <t>DDR Shoppers World</t>
  </si>
  <si>
    <t>Meadow Solar</t>
  </si>
  <si>
    <t>Cedarville CSG</t>
  </si>
  <si>
    <t>Deerfield CSG Solar</t>
  </si>
  <si>
    <t>Iron Horse Solar 4, LLC</t>
  </si>
  <si>
    <t>Hampshire College Hybrid</t>
  </si>
  <si>
    <t>Town of Lexington Solar</t>
  </si>
  <si>
    <t>Syncarpha Lexington, LLC</t>
  </si>
  <si>
    <t>Sullivan County - Adult Care Solar</t>
  </si>
  <si>
    <t>Oswego County - Fulton Solar</t>
  </si>
  <si>
    <t>Jefferson-Lewis BOCES Solar</t>
  </si>
  <si>
    <t>Cypress Creek Renewables</t>
  </si>
  <si>
    <t>Orbit Energy RI</t>
  </si>
  <si>
    <t>Anaergia</t>
  </si>
  <si>
    <t>Curtis Hill Solar CSG</t>
  </si>
  <si>
    <t>CCC Solar Holdings LLC</t>
  </si>
  <si>
    <t>Depot Hill Solar CSG</t>
  </si>
  <si>
    <t>Bird Machine Solar Farm</t>
  </si>
  <si>
    <t>Bird Machine Solar Farm, LLC</t>
  </si>
  <si>
    <t>Iron Horse Solar I CSG</t>
  </si>
  <si>
    <t>Iron Horse Solar 1, LLC</t>
  </si>
  <si>
    <t>126 Grove Solar LLC</t>
  </si>
  <si>
    <t>VEC Alburgh Array</t>
  </si>
  <si>
    <t>SoCore Energy LLC</t>
  </si>
  <si>
    <t>Bashaw Solar CSG 1, LLC</t>
  </si>
  <si>
    <t>Bashaw Solar 1, LLC</t>
  </si>
  <si>
    <t>Kearsarge Southwick LLC</t>
  </si>
  <si>
    <t>GMP Solar - Hartford</t>
  </si>
  <si>
    <t>GMP Solar - Williston</t>
  </si>
  <si>
    <t>GMP Solar - Williamstown</t>
  </si>
  <si>
    <t>Sutton Solar CSG</t>
  </si>
  <si>
    <t>Sutton Solar, LLC</t>
  </si>
  <si>
    <t>Nexamp Peak CSG</t>
  </si>
  <si>
    <t>Nexamp Peak, LLC</t>
  </si>
  <si>
    <t>Stafford MS Ground Mount Community Solar</t>
  </si>
  <si>
    <t>Town of Stafford - (CT)</t>
  </si>
  <si>
    <t>Salem Harbor Power Development LP</t>
  </si>
  <si>
    <t>Time Warner Cable - Knowles</t>
  </si>
  <si>
    <t>Mt. Tom Solar Project Hybrid</t>
  </si>
  <si>
    <t>Mt. Tom Solar, LLC</t>
  </si>
  <si>
    <t>Northampton Landfill Solar PV</t>
  </si>
  <si>
    <t>Ameresco Glendale Road Solar PV LLC</t>
  </si>
  <si>
    <t>Hartford Landfill Solar EGF</t>
  </si>
  <si>
    <t>Materials Innovation Recycling Authority</t>
  </si>
  <si>
    <t>Cold River Road Solar</t>
  </si>
  <si>
    <t>AEP Onsite Partners, LLC</t>
  </si>
  <si>
    <t>VEC Magee Hill Solar</t>
  </si>
  <si>
    <t>Chocksett Rd Energy Storage Project</t>
  </si>
  <si>
    <t>Sterling Municipal Light Department</t>
  </si>
  <si>
    <t>Onyx - Lamphear Road CSG</t>
  </si>
  <si>
    <t>Onyx Asset Services Group</t>
  </si>
  <si>
    <t>AIS Solar Project</t>
  </si>
  <si>
    <t>WED Portsmouth One, LLC</t>
  </si>
  <si>
    <t>Musgrave East Solar Farm</t>
  </si>
  <si>
    <t>Artemis Solar LLC</t>
  </si>
  <si>
    <t>Redbrook Community Solar 1</t>
  </si>
  <si>
    <t>Redbrook Solar 1, LLC</t>
  </si>
  <si>
    <t>Brook Street Solar 1 CSG</t>
  </si>
  <si>
    <t>Brook Street Solar 1, LLC</t>
  </si>
  <si>
    <t>Spring Street Solar 1 CSG</t>
  </si>
  <si>
    <t>Spring Street Solar 1, LLC</t>
  </si>
  <si>
    <t>Bullock Road Solar 1</t>
  </si>
  <si>
    <t>Bullock Road Solar 1, LLC</t>
  </si>
  <si>
    <t>Mill Seat Renewable Energy Facility</t>
  </si>
  <si>
    <t>Musgrave West Solar Farm</t>
  </si>
  <si>
    <t>Stafford St Solar 1 CSG</t>
  </si>
  <si>
    <t>Stafford St Solar 1, LLC</t>
  </si>
  <si>
    <t>Stafford St 2 Community Solar</t>
  </si>
  <si>
    <t>Stafford St Solar 2, LLC</t>
  </si>
  <si>
    <t>Stafford St Solar 3 CSG</t>
  </si>
  <si>
    <t>Stafford St Solar 3, LLC</t>
  </si>
  <si>
    <t>Montefiore - Westchester Square</t>
  </si>
  <si>
    <t>Montefiore-Westchester Square</t>
  </si>
  <si>
    <t>New York Presbyterian Hospital-168th St</t>
  </si>
  <si>
    <t>New York Presbyterian Hospital- 168th Street</t>
  </si>
  <si>
    <t>Harford Solar Farm</t>
  </si>
  <si>
    <t>Laertes Solar LLC</t>
  </si>
  <si>
    <t>Deerfield Wind LLC</t>
  </si>
  <si>
    <t>Roaring Brook, LLC</t>
  </si>
  <si>
    <t>Canandaigua Westbrook Solar Array</t>
  </si>
  <si>
    <t>Canandaigua Solar Array</t>
  </si>
  <si>
    <t>BWC Wading River One, Two, Three CSG</t>
  </si>
  <si>
    <t>Ameresco BWC Wading River LLC</t>
  </si>
  <si>
    <t>Syncarpha Freetown</t>
  </si>
  <si>
    <t>Marie's Way Solar I, LLC</t>
  </si>
  <si>
    <t>Elizabeth Mines Solar 1</t>
  </si>
  <si>
    <t>Elizabeth Mines Solar 1, LLC</t>
  </si>
  <si>
    <t>Nebraska Valley Solar Farm</t>
  </si>
  <si>
    <t>Town of Stowe- (VT)</t>
  </si>
  <si>
    <t>Onset East Community Solar Facility</t>
  </si>
  <si>
    <t>Kearsarge Onset LLC</t>
  </si>
  <si>
    <t>Onset West Community Solar Facility</t>
  </si>
  <si>
    <t>Boston Medical Center CHP Plant</t>
  </si>
  <si>
    <t>Boston Medical Center</t>
  </si>
  <si>
    <t>Green Island Hydroelectric Station</t>
  </si>
  <si>
    <t>Finger Lakes Solar I</t>
  </si>
  <si>
    <t>Finger Lakes Solar I, LLC</t>
  </si>
  <si>
    <t>433 Purchase Solar NG, LLC</t>
  </si>
  <si>
    <t>New York Presbyterian Hospital- 68th Street</t>
  </si>
  <si>
    <t>NY - PRESBYTERIAN HOSPITAL- 68TH ST</t>
  </si>
  <si>
    <t>Old Wardour Solar</t>
  </si>
  <si>
    <t>Shuman Solar</t>
  </si>
  <si>
    <t>Vuelta Solar</t>
  </si>
  <si>
    <t>Farley Road Community Solar</t>
  </si>
  <si>
    <t>Farley Road Solar, LLC</t>
  </si>
  <si>
    <t>Belchertown Renewables Community Solar</t>
  </si>
  <si>
    <t>Belchertown Renewables, LLC</t>
  </si>
  <si>
    <t>Theodore Drive Community Solar</t>
  </si>
  <si>
    <t>Theodore Drive Solar, LLC</t>
  </si>
  <si>
    <t>Upton Community Solar</t>
  </si>
  <si>
    <t>Upton Solar, LLC</t>
  </si>
  <si>
    <t>Pleasantdale Road Community Solar</t>
  </si>
  <si>
    <t>Pleasantdale Road Solar, LLC</t>
  </si>
  <si>
    <t>Hatfield Renewables Community Solar</t>
  </si>
  <si>
    <t>Hatfield Renewables, LLC</t>
  </si>
  <si>
    <t>Peterson Road Solar</t>
  </si>
  <si>
    <t>Peterson Road Solar, LLC</t>
  </si>
  <si>
    <t>Sampson Road Community Solar</t>
  </si>
  <si>
    <t>Sampson Road Solar, LLC</t>
  </si>
  <si>
    <t>Golden Hills Solar</t>
  </si>
  <si>
    <t>Golden Hills Solar, LLC</t>
  </si>
  <si>
    <t>Next Generation Solar Farm</t>
  </si>
  <si>
    <t>Grafton PV</t>
  </si>
  <si>
    <t>Barrett PV</t>
  </si>
  <si>
    <t>MDFA Devens-Saratoga</t>
  </si>
  <si>
    <t>Smith &amp; Wesson at Springfield MA PV</t>
  </si>
  <si>
    <t>Centaurus Solar - MA</t>
  </si>
  <si>
    <t>LSE Centaurus LLC</t>
  </si>
  <si>
    <t>Kearsarge Bellingham PV</t>
  </si>
  <si>
    <t>Kearsarge Bellingham LLC</t>
  </si>
  <si>
    <t>Cedar Creek PV</t>
  </si>
  <si>
    <t>Northern Westchester Hospital</t>
  </si>
  <si>
    <t>Letchworth Solar Project</t>
  </si>
  <si>
    <t>Canis Major Solar Farm</t>
  </si>
  <si>
    <t>LSE Canis Major LLC</t>
  </si>
  <si>
    <t>Ashby Duffy CSG Solar Farm</t>
  </si>
  <si>
    <t>LSE Cassiopeia LLC</t>
  </si>
  <si>
    <t>NYC-HH - CONEY ISLAND HOSPITAL</t>
  </si>
  <si>
    <t>NYC-HH Coney Island Hospital</t>
  </si>
  <si>
    <t>NY Times Daily Production Facility</t>
  </si>
  <si>
    <t>The NY Times Production Facility</t>
  </si>
  <si>
    <t>West Boylston Community Shared Solar</t>
  </si>
  <si>
    <t>Town of West Boylston - (MA)</t>
  </si>
  <si>
    <t>The Mount Sinai Hospital</t>
  </si>
  <si>
    <t>Mount Sinai Hospital</t>
  </si>
  <si>
    <t>Big George PV CSG</t>
  </si>
  <si>
    <t>IOS - MEW Phase 1</t>
  </si>
  <si>
    <t>Madison Energy Holdings LLC</t>
  </si>
  <si>
    <t>North Smithfield Solar Power 1</t>
  </si>
  <si>
    <t>Lichtenthal</t>
  </si>
  <si>
    <t>Call Farms 1</t>
  </si>
  <si>
    <t>Call Farms 3</t>
  </si>
  <si>
    <t>SL Babylon</t>
  </si>
  <si>
    <t>SL Babylon, LLC</t>
  </si>
  <si>
    <t>NYU LANGONE HEALTH</t>
  </si>
  <si>
    <t>CED Foster</t>
  </si>
  <si>
    <t>Monroe County Sites A &amp; B</t>
  </si>
  <si>
    <t>Monroe County Sites C, D, &amp; E</t>
  </si>
  <si>
    <t>301 Chestnut Solar NG</t>
  </si>
  <si>
    <t>Antanavica Solar</t>
  </si>
  <si>
    <t>Weston Landfill Solar</t>
  </si>
  <si>
    <t>Ameresco, Inc - Weston</t>
  </si>
  <si>
    <t>Braintree Landfill Solar</t>
  </si>
  <si>
    <t>Ameresco, Inc - Braintree</t>
  </si>
  <si>
    <t>GELD Solar Farm</t>
  </si>
  <si>
    <t>Ameresco, Inc - GELD</t>
  </si>
  <si>
    <t>Town of Rocky Hill PV CSG</t>
  </si>
  <si>
    <t>DG Haverhill CSG</t>
  </si>
  <si>
    <t>DG Haverhill LLC</t>
  </si>
  <si>
    <t>Good Samaritan Hospital</t>
  </si>
  <si>
    <t>DG Crystal Spring CSG</t>
  </si>
  <si>
    <t>DG Crystal Spring LLC</t>
  </si>
  <si>
    <t>Falmouth Landfill Solar</t>
  </si>
  <si>
    <t>Woodhull Hospital</t>
  </si>
  <si>
    <t>The Allen Hospital</t>
  </si>
  <si>
    <t>Mount Sinai Beth Israel</t>
  </si>
  <si>
    <t>Anheuser-Busch Baldwinsville</t>
  </si>
  <si>
    <t>Columbia University - Johnson Farms</t>
  </si>
  <si>
    <t>Time Warner Cable Enterprises - Martino</t>
  </si>
  <si>
    <t>Columbia University - Minisink</t>
  </si>
  <si>
    <t>St. Lawrence University - Sutton</t>
  </si>
  <si>
    <t>DG Foxborough Elm CSG</t>
  </si>
  <si>
    <t>DG Foxborough Elm LLC</t>
  </si>
  <si>
    <t>Town of Foxborough - Landfill (SREC II)</t>
  </si>
  <si>
    <t>Citizens Agawam Landfill Solar</t>
  </si>
  <si>
    <t>Norton Landfill Solar</t>
  </si>
  <si>
    <t>Tyngsborough Solar</t>
  </si>
  <si>
    <t>CED Chicopee Solar</t>
  </si>
  <si>
    <t>UMASS</t>
  </si>
  <si>
    <t>Camden CSD Solar Array</t>
  </si>
  <si>
    <t>WED Kingstown Solar I, LLC - West</t>
  </si>
  <si>
    <t>WED Stilson Solar</t>
  </si>
  <si>
    <t>WED Kingstown Solar I - East Array</t>
  </si>
  <si>
    <t>West Brookfield Solar - Gilbertsville Rd</t>
  </si>
  <si>
    <t>DG Tufts Science LLC CSG</t>
  </si>
  <si>
    <t>DG Tufts Science, LLC</t>
  </si>
  <si>
    <t>DG Dighton LLC CSG</t>
  </si>
  <si>
    <t>DG Dighton, LLC</t>
  </si>
  <si>
    <t>DG Tufts Knoll LLC CSG</t>
  </si>
  <si>
    <t>DG Tufts Knoll, LLC</t>
  </si>
  <si>
    <t>DG Webster LLC CSG</t>
  </si>
  <si>
    <t>DG Webster, LLC</t>
  </si>
  <si>
    <t>Texon Hydroelectric Project</t>
  </si>
  <si>
    <t>Hitchcock Hydro, LLC</t>
  </si>
  <si>
    <t>Seneca Falls Hydroelectric Project</t>
  </si>
  <si>
    <t>C-S Canal Hydro, LLC</t>
  </si>
  <si>
    <t>Waterloo Hydroelectric Project</t>
  </si>
  <si>
    <t>Arkwright Summit Wind Farm LLC</t>
  </si>
  <si>
    <t>Greater New Bedford LFG Utiliz. Facility</t>
  </si>
  <si>
    <t>CommonWealth New Bedford Energy LLC</t>
  </si>
  <si>
    <t>Sikorsky Aircraft CHP</t>
  </si>
  <si>
    <t>Sikorsky Aircraft Corporation</t>
  </si>
  <si>
    <t>IRE Solar I, LLC</t>
  </si>
  <si>
    <t xml:space="preserve">Scotch Settlement        </t>
  </si>
  <si>
    <t>CJ Solar I, LLC</t>
  </si>
  <si>
    <t>Lisbon West</t>
  </si>
  <si>
    <t>COU Solar I, LLC</t>
  </si>
  <si>
    <t>Lisbon East</t>
  </si>
  <si>
    <t>Onyx - Saratoga Springs Landfill Solar C</t>
  </si>
  <si>
    <t>Madison County</t>
  </si>
  <si>
    <t>Onyx - Pembroke Landfill Solar</t>
  </si>
  <si>
    <t>Onyx - Brockton Thatcher Landfill Solar</t>
  </si>
  <si>
    <t>Barrett Farm Solar - Phase I</t>
  </si>
  <si>
    <t>MA Solar Storage 1 Hybrid</t>
  </si>
  <si>
    <t>Origis Energy USA, Inc</t>
  </si>
  <si>
    <t>Solten Plainville 6000, LLC</t>
  </si>
  <si>
    <t>Randolph</t>
  </si>
  <si>
    <t>Seneca Nation Cattaraugus Wind Turbine</t>
  </si>
  <si>
    <t>Seneca Nation</t>
  </si>
  <si>
    <t>Woods Hill Solar</t>
  </si>
  <si>
    <t>Woods Hill Solar, LLC</t>
  </si>
  <si>
    <t>Lockheed Martin RMS Syracuse</t>
  </si>
  <si>
    <t>Naval Sub Base New London Fuel Cell</t>
  </si>
  <si>
    <t>Groton Station Fuel Cell, LLC</t>
  </si>
  <si>
    <t>East Acres Solar NG, LLC</t>
  </si>
  <si>
    <t>Gore Mountain Solar II</t>
  </si>
  <si>
    <t>Gore Mountain Solar II, LLC</t>
  </si>
  <si>
    <t>HGS Solar I</t>
  </si>
  <si>
    <t>HGS solar I, LLC</t>
  </si>
  <si>
    <t>Syncarpha Hancock I CSG</t>
  </si>
  <si>
    <t>Syncarpha Hancock I, LLC</t>
  </si>
  <si>
    <t>Syncarpha Hancock II CSG</t>
  </si>
  <si>
    <t>Syncarpha Hancock II, LLC</t>
  </si>
  <si>
    <t>Syncarpha Hancock III CSG</t>
  </si>
  <si>
    <t>Syncarpha Hancock III, LLC</t>
  </si>
  <si>
    <t>Syncarpha Still River, LLC CSG</t>
  </si>
  <si>
    <t>Syncarpha Still River, LLC</t>
  </si>
  <si>
    <t>Trinity College Fuel Cell</t>
  </si>
  <si>
    <t>City of Rochester Solar</t>
  </si>
  <si>
    <t>Kearsarge Concord II</t>
  </si>
  <si>
    <t>Kearsarge Concord II LLC</t>
  </si>
  <si>
    <t>Kearsarge Granby</t>
  </si>
  <si>
    <t>Kearsarge Granby LLC</t>
  </si>
  <si>
    <t>IKEA New Haven Rooftop PV &amp; Fuel Cell</t>
  </si>
  <si>
    <t>IKEA Property Inc</t>
  </si>
  <si>
    <t>Hope Farm Solar, LLC</t>
  </si>
  <si>
    <t>Adapture Renewables, Inc.</t>
  </si>
  <si>
    <t>Broadalbin</t>
  </si>
  <si>
    <t>Toray Plastic America's CHP Plant</t>
  </si>
  <si>
    <t>Toray Plastics America</t>
  </si>
  <si>
    <t>Duanesburg</t>
  </si>
  <si>
    <t>Johnstown</t>
  </si>
  <si>
    <t>Lincoln Ave Solar Project</t>
  </si>
  <si>
    <t>CVI Renewables Holdings, LLC.</t>
  </si>
  <si>
    <t>Blydenburgh Solar Project</t>
  </si>
  <si>
    <t>Holtsville Solar Project</t>
  </si>
  <si>
    <t>Sharon Springs</t>
  </si>
  <si>
    <t>Amsterdam North</t>
  </si>
  <si>
    <t>Amsterdam South</t>
  </si>
  <si>
    <t>Kearsarge Oppenheim CSG</t>
  </si>
  <si>
    <t>Kearsarge Oppenheim LLC</t>
  </si>
  <si>
    <t>Sunlight Beacon</t>
  </si>
  <si>
    <t>BQ Energy LLC</t>
  </si>
  <si>
    <t>Saint Albans Solar</t>
  </si>
  <si>
    <t>Broadalbin-Perth Solar</t>
  </si>
  <si>
    <t>Coolidge Solar 1, LLC</t>
  </si>
  <si>
    <t>Coolidge Solar I, LLC</t>
  </si>
  <si>
    <t>The Bank of New York</t>
  </si>
  <si>
    <t>Brooklyn Hospital Center</t>
  </si>
  <si>
    <t>Saint Catherine of Siena Medical Center</t>
  </si>
  <si>
    <t>Riverhead Solar Farm</t>
  </si>
  <si>
    <t>Franklin Solar (CT)</t>
  </si>
  <si>
    <t>Wilson Solar (CT)</t>
  </si>
  <si>
    <t>Jefferson Solar (CT)</t>
  </si>
  <si>
    <t>Hamilton Solar</t>
  </si>
  <si>
    <t>Adams Solar</t>
  </si>
  <si>
    <t>Enfield Community Solar</t>
  </si>
  <si>
    <t>Baer Road CSG</t>
  </si>
  <si>
    <t>Scale Sustainable I, LLC</t>
  </si>
  <si>
    <t>Kingsbrook Jewish Medical Center</t>
  </si>
  <si>
    <t>St Johns Riverside Hospital</t>
  </si>
  <si>
    <t>Wareham Solar PV</t>
  </si>
  <si>
    <t>NSTAR Electric Company</t>
  </si>
  <si>
    <t>East Longmeadow Solar PV</t>
  </si>
  <si>
    <t>Greenfield Solar PV</t>
  </si>
  <si>
    <t>Hinsdale Solar PV</t>
  </si>
  <si>
    <t>Savoy Solar PV</t>
  </si>
  <si>
    <t>Southampton Solar PV</t>
  </si>
  <si>
    <t>Springfield Solar PV</t>
  </si>
  <si>
    <t>Hampden Solar PV</t>
  </si>
  <si>
    <t>Town of Branford</t>
  </si>
  <si>
    <t>Southwick Solar PV</t>
  </si>
  <si>
    <t>Sunderland Solar PV</t>
  </si>
  <si>
    <t>Hatfield Solar PV</t>
  </si>
  <si>
    <t>Montague Site 36-Grosolar</t>
  </si>
  <si>
    <t>East Springfield Solar PV</t>
  </si>
  <si>
    <t>Ludlow Site 72 - Conti</t>
  </si>
  <si>
    <t>WED Green Hill, LLC</t>
  </si>
  <si>
    <t>WED Plainfield II, LLC</t>
  </si>
  <si>
    <t>WED Plainfield III, LLC</t>
  </si>
  <si>
    <t>WED Plainfield, LLC</t>
  </si>
  <si>
    <t>WED Shun I, LLC</t>
  </si>
  <si>
    <t>WED Shun II, LLC</t>
  </si>
  <si>
    <t>WED Shun III, LLC</t>
  </si>
  <si>
    <t>WED GW Solar, LLC</t>
  </si>
  <si>
    <t>Palmer</t>
  </si>
  <si>
    <t>Minisink Solar 1 LLC</t>
  </si>
  <si>
    <t>Minisink Community Solar 2 LLC</t>
  </si>
  <si>
    <t>Minisink Solar 2 LLC</t>
  </si>
  <si>
    <t>KCE NY 1</t>
  </si>
  <si>
    <t>KCE NY 1, LLC</t>
  </si>
  <si>
    <t>Kelly Bridge Road Community Solar Farm</t>
  </si>
  <si>
    <t>Generate Capital</t>
  </si>
  <si>
    <t>Hospital Rd Community Solar Farm CSG</t>
  </si>
  <si>
    <t>Pool Brook Rd Community Solar Farm</t>
  </si>
  <si>
    <t>Breesport Road Community Solar Farm</t>
  </si>
  <si>
    <t>Sacket Lake Rd #1 Community Solar Farm</t>
  </si>
  <si>
    <t>Sacket Lake Rd #2 Community Solar Farm</t>
  </si>
  <si>
    <t>Turner Rd Community Solar Project</t>
  </si>
  <si>
    <t>Maimonides Medical Center</t>
  </si>
  <si>
    <t>Hadley 2 Solar, LLC CSG</t>
  </si>
  <si>
    <t>Hadley 2 Solar, LLC</t>
  </si>
  <si>
    <t>East Bridgewater Solar</t>
  </si>
  <si>
    <t>Griffin Road Solar, LLC CSG</t>
  </si>
  <si>
    <t>Griffin Road Solar, LLC</t>
  </si>
  <si>
    <t>Ashby Solar, LLC CSG</t>
  </si>
  <si>
    <t>Ashby Solar, LLC</t>
  </si>
  <si>
    <t>Dudley Solar CSG</t>
  </si>
  <si>
    <t>Dudley Solar, LLC</t>
  </si>
  <si>
    <t>Williamsburg</t>
  </si>
  <si>
    <t>Monson Solar, LLC</t>
  </si>
  <si>
    <t>Ashburnham Energy Storage Project</t>
  </si>
  <si>
    <t>Westminster Renewables, LLC CSG</t>
  </si>
  <si>
    <t>Westminster Renewables, LLC</t>
  </si>
  <si>
    <t>NYC-HH-New Bellevue Hospital</t>
  </si>
  <si>
    <t>Station 9 Energy Storage System</t>
  </si>
  <si>
    <t>Pittsfield 44 - M&amp;W PV</t>
  </si>
  <si>
    <t>Lee Site 31 Solar</t>
  </si>
  <si>
    <t>Plymouth Solar</t>
  </si>
  <si>
    <t>Westchester County Medical Center</t>
  </si>
  <si>
    <t>NYPH-Queens</t>
  </si>
  <si>
    <t>Richmond NMCA</t>
  </si>
  <si>
    <t>Founders Homestead Farms Solar</t>
  </si>
  <si>
    <t>Mattas Farms</t>
  </si>
  <si>
    <t>North Stonington Solar Center, LLC</t>
  </si>
  <si>
    <t>Mechanicville Hydroelectric Station</t>
  </si>
  <si>
    <t>Dynamic - Walpole</t>
  </si>
  <si>
    <t>Gloversville Landfill Solar</t>
  </si>
  <si>
    <t>Gloversville Community Solar LLC</t>
  </si>
  <si>
    <t>Barre Solar III LLC</t>
  </si>
  <si>
    <t>NYP-Lower Manhattan Hospital</t>
  </si>
  <si>
    <t>BWC Origination 18</t>
  </si>
  <si>
    <t>BWC Origination 18, LLC</t>
  </si>
  <si>
    <t>BWC Gibbs Brook</t>
  </si>
  <si>
    <t>BWC Gibbs Brook, LLC</t>
  </si>
  <si>
    <t>BWC Wareham River</t>
  </si>
  <si>
    <t>BWC Wareham River, LLC</t>
  </si>
  <si>
    <t>BWC Harlow Brook</t>
  </si>
  <si>
    <t>BWC Harlow Brook, LLC</t>
  </si>
  <si>
    <t>BWC Pocasset River</t>
  </si>
  <si>
    <t>BWC Pocasset River, LLC</t>
  </si>
  <si>
    <t>GMP Solar/Storage-Milton Hybrid</t>
  </si>
  <si>
    <t>GMP Solar/Storage-Ferrisburgh Hybrid</t>
  </si>
  <si>
    <t>GMP Solar/Storage-Essex Hybrid</t>
  </si>
  <si>
    <t>Pasto Solar</t>
  </si>
  <si>
    <t>Albert Einstein College of Medicine</t>
  </si>
  <si>
    <t>Daum Solar</t>
  </si>
  <si>
    <t>Ellis Solar</t>
  </si>
  <si>
    <t>NYP-Hudson Valley Hospital Center</t>
  </si>
  <si>
    <t>Regeneron Pharmaceuticals Inc.</t>
  </si>
  <si>
    <t>Westminster</t>
  </si>
  <si>
    <t>JLL-One Rockwood Road</t>
  </si>
  <si>
    <t>Mount Sinai South Nassau Hospital</t>
  </si>
  <si>
    <t>St. Johns Episcopal Hospital</t>
  </si>
  <si>
    <t>St. Joseph Hospital</t>
  </si>
  <si>
    <t>St. Joseph Hospital (NY)</t>
  </si>
  <si>
    <t>Mt. Sinai- Morningside</t>
  </si>
  <si>
    <t>Digital Fairfield</t>
  </si>
  <si>
    <t>Bloom Energy</t>
  </si>
  <si>
    <t>RFC</t>
  </si>
  <si>
    <t>Regeneron Tarrytown</t>
  </si>
  <si>
    <t>Washington St Community Solar Farm #4</t>
  </si>
  <si>
    <t>Washington St Community Solar Farm #1</t>
  </si>
  <si>
    <t>Washington St Community Solar Farm #3</t>
  </si>
  <si>
    <t>Gaskill Rd Community Solar Farm CSG</t>
  </si>
  <si>
    <t>Big Tree Community Solar Farm</t>
  </si>
  <si>
    <t>Dryden Rd #2 Community Solar Farm CSG</t>
  </si>
  <si>
    <t>Woodoak Drive Community Solar Farm CSG</t>
  </si>
  <si>
    <t>Burritt Rd Community Solar Farm</t>
  </si>
  <si>
    <t>CMR Solar LLC</t>
  </si>
  <si>
    <t>CMR Solar, LLC</t>
  </si>
  <si>
    <t>Telegraph Rd #1 Community Solar Farm</t>
  </si>
  <si>
    <t>Telegraph Rd #2 Community Solar Farm</t>
  </si>
  <si>
    <t>Route 19 #1 Community Solar Farm</t>
  </si>
  <si>
    <t>Route 19 #2 Community Solar Farm</t>
  </si>
  <si>
    <t>Winchendon Landfill Solar</t>
  </si>
  <si>
    <t>Frey Rd #1 Community Solar Farm</t>
  </si>
  <si>
    <t>KSI II Consolidated, LLC</t>
  </si>
  <si>
    <t>County Route 11 Community Solar Farm</t>
  </si>
  <si>
    <t>Furnace Rd Community Solar Farm</t>
  </si>
  <si>
    <t>Yellow Mills Rd #1 Community Solar Farm</t>
  </si>
  <si>
    <t>Yellow Mills Rd #2 Community Solar Farm</t>
  </si>
  <si>
    <t>Yellow Mills Rd #3 Community Solar Farm</t>
  </si>
  <si>
    <t>Frey Rd #2 Community Solar Farm</t>
  </si>
  <si>
    <t>Route 22 Community Solar Farm CSG</t>
  </si>
  <si>
    <t>Villa Roma Rd #1</t>
  </si>
  <si>
    <t>Villa Roma Rd #2</t>
  </si>
  <si>
    <t>Villa Roma Rd #3 CSG</t>
  </si>
  <si>
    <t>Villa Roma Rd #4 CSG</t>
  </si>
  <si>
    <t>Boas Rd #1 Community Solar Farm</t>
  </si>
  <si>
    <t>Boas Rd #2 Community Solar Farm</t>
  </si>
  <si>
    <t>Boas Rd #3 Community Solar Farm</t>
  </si>
  <si>
    <t>Boas Rd #4 Community Solar Farm</t>
  </si>
  <si>
    <t>Kearsarge Johnstown 1 CSG</t>
  </si>
  <si>
    <t>Kearsarge Johnstown 1 LLC</t>
  </si>
  <si>
    <t>Kearsarge GB</t>
  </si>
  <si>
    <t>Kearsarge GB LLC</t>
  </si>
  <si>
    <t>Kearsarge SKSC1 LLC</t>
  </si>
  <si>
    <t>Kearsarge Uxbridge</t>
  </si>
  <si>
    <t>Kearsarge Uxbridge LLC</t>
  </si>
  <si>
    <t>Kearsarge Johnstown 2 CSG</t>
  </si>
  <si>
    <t>Kearsarge Johnstown 2 LLC</t>
  </si>
  <si>
    <t>Kearsarge Montague</t>
  </si>
  <si>
    <t>Kearsarge Montague LLC</t>
  </si>
  <si>
    <t>Kearsarge SKSC2 LLC</t>
  </si>
  <si>
    <t>Kearsarge Wilmington</t>
  </si>
  <si>
    <t>Kearsarge Wilmington LLC</t>
  </si>
  <si>
    <t>GD Richmond Buttonwoods I, LLC</t>
  </si>
  <si>
    <t>GD West Greenwich Victory I, LLC</t>
  </si>
  <si>
    <t>Jiminy Peak Wind QF</t>
  </si>
  <si>
    <t>Jiminy Peak Mountain Resort, LLC</t>
  </si>
  <si>
    <t>ATT Jericho</t>
  </si>
  <si>
    <t>MER Queens</t>
  </si>
  <si>
    <t>Plainfield Community Solar LLC</t>
  </si>
  <si>
    <t>Plainfield Solar LLC</t>
  </si>
  <si>
    <t>Route 14A CDG Solar North and South LLC</t>
  </si>
  <si>
    <t>Route 14A CDG Solar North and South, LLC</t>
  </si>
  <si>
    <t>Tolland Solar NG LLC</t>
  </si>
  <si>
    <t>Newfield Community Solar LLC</t>
  </si>
  <si>
    <t>Newfield Solar LLC</t>
  </si>
  <si>
    <t>Tanglewood Circle Solar 1 LLC</t>
  </si>
  <si>
    <t>Beebe Substation Battery Storage</t>
  </si>
  <si>
    <t>Derby Fuel Cell</t>
  </si>
  <si>
    <t>Derby Fuel Cell LLC</t>
  </si>
  <si>
    <t>Montefiore Mount Vernon Hospital</t>
  </si>
  <si>
    <t>Outer Cape Community Battery</t>
  </si>
  <si>
    <t>Eversource</t>
  </si>
  <si>
    <t>CBP Solar</t>
  </si>
  <si>
    <t>Powerflex</t>
  </si>
  <si>
    <t>Kinder Morgan Fordham</t>
  </si>
  <si>
    <t>ALDI DC 2</t>
  </si>
  <si>
    <t>Rockland Bakery Inc.</t>
  </si>
  <si>
    <t>West Water Street</t>
  </si>
  <si>
    <t>Manchester Community College East</t>
  </si>
  <si>
    <t>Manchester Community College North</t>
  </si>
  <si>
    <t>Minuteman Energy Storage</t>
  </si>
  <si>
    <t>Minuteman Energy Storage, LLC</t>
  </si>
  <si>
    <t>Washburn Road Solar</t>
  </si>
  <si>
    <t>REA Investments, LLC</t>
  </si>
  <si>
    <t>Happy Hollow CSG Hybrid</t>
  </si>
  <si>
    <t>DWW Solar ll</t>
  </si>
  <si>
    <t>DWW Solar ll LLC</t>
  </si>
  <si>
    <t>Nautilus Goat Island Solar LLC (CSG)</t>
  </si>
  <si>
    <t>CED Northampton Solar LLC Hybrid</t>
  </si>
  <si>
    <t>Steel Sun 2: 2303-III-9 Hamburg Tpke</t>
  </si>
  <si>
    <t>Steel Sun 2: 2303-III-4 Hamburg Tpke</t>
  </si>
  <si>
    <t>Steel Sun 2: 2303-III-2 Hamburg Tpke</t>
  </si>
  <si>
    <t>Homer Street West</t>
  </si>
  <si>
    <t>Homer Street East</t>
  </si>
  <si>
    <t>MHG Wallingford</t>
  </si>
  <si>
    <t>Standard Solar</t>
  </si>
  <si>
    <t>East Hampton Energy Storage Center</t>
  </si>
  <si>
    <t>East Hampton Energy Storage Center, LLC</t>
  </si>
  <si>
    <t>Montauk Energy Storage Center</t>
  </si>
  <si>
    <t>Montauk Energy Storage Center, LLC</t>
  </si>
  <si>
    <t>Harbec Energy</t>
  </si>
  <si>
    <t>West Valley West</t>
  </si>
  <si>
    <t>West Valley East</t>
  </si>
  <si>
    <t>Bridgewater Complex Co-Generation Plant</t>
  </si>
  <si>
    <t>Massachusetts Department of Correction</t>
  </si>
  <si>
    <t>Greenville CSG</t>
  </si>
  <si>
    <t>Hopkinton CSG</t>
  </si>
  <si>
    <t>Chester CSG</t>
  </si>
  <si>
    <t>Carver CSG</t>
  </si>
  <si>
    <t>Westtown CSG</t>
  </si>
  <si>
    <t>Dry Bridge Solar (Brown University)</t>
  </si>
  <si>
    <t>Ulster County Solar</t>
  </si>
  <si>
    <t>Ulster Solar LLC</t>
  </si>
  <si>
    <t>10 Briggs Solar NG, LLC (East)</t>
  </si>
  <si>
    <t>Franklin Solar Site</t>
  </si>
  <si>
    <t>Helios NY I, LLC</t>
  </si>
  <si>
    <t>Malone Solar Site</t>
  </si>
  <si>
    <t>Sugarhill Road - Solitude Solar CSG</t>
  </si>
  <si>
    <t>RIT Henrietta Solar 1, LLC</t>
  </si>
  <si>
    <t>SolRiver Capital LLC</t>
  </si>
  <si>
    <t>GSPP Devens, LLC</t>
  </si>
  <si>
    <t>Green Street Power Partners</t>
  </si>
  <si>
    <t>GSPP Terrawatt Westfield LLC CSG</t>
  </si>
  <si>
    <t>GSPP Raynham TMLP, LLC CSG</t>
  </si>
  <si>
    <t>Ajax Solar, LLC (MA)</t>
  </si>
  <si>
    <t>Hickory Grove #1</t>
  </si>
  <si>
    <t>Hickory Grove #2</t>
  </si>
  <si>
    <t>Podunk Road CSG</t>
  </si>
  <si>
    <t>Acushnet Ball Plant 2</t>
  </si>
  <si>
    <t>Acushnet</t>
  </si>
  <si>
    <t>98th Street Battery Storage Station</t>
  </si>
  <si>
    <t>Nextsun Energy Littleton</t>
  </si>
  <si>
    <t>Garnet Solar (NY)</t>
  </si>
  <si>
    <t>RoxWind</t>
  </si>
  <si>
    <t>RoxWind LLC</t>
  </si>
  <si>
    <t>Coventry Clean Energy Corporation</t>
  </si>
  <si>
    <t>Chambers Road Solar</t>
  </si>
  <si>
    <t>Gardner - Otter River Road</t>
  </si>
  <si>
    <t>Otter River Road Solar LLC</t>
  </si>
  <si>
    <t>GSPP Boxborough Littleton (MA)</t>
  </si>
  <si>
    <t>GSPP Boxborough Littleton, LLC</t>
  </si>
  <si>
    <t>Holiday Hill Community Wind</t>
  </si>
  <si>
    <t>Town of Burrillville Solar CSG</t>
  </si>
  <si>
    <t>Hinesburg</t>
  </si>
  <si>
    <t>Viridity Energy Solutions, Inc.</t>
  </si>
  <si>
    <t>Kearsarge Gill</t>
  </si>
  <si>
    <t>Kearsarge Gill LLC</t>
  </si>
  <si>
    <t>Burrstone Energy Center</t>
  </si>
  <si>
    <t>Syncarpha Tewksbury Hybrid CSG</t>
  </si>
  <si>
    <t>Syncarpha Tewksbury, LLC</t>
  </si>
  <si>
    <t>Syncarpha Puddon I Hybrid CSG</t>
  </si>
  <si>
    <t>Syncarpha Puddon I, LLC</t>
  </si>
  <si>
    <t>Syncarpha Puddon II Hybrid CSG</t>
  </si>
  <si>
    <t>Syncarpha Puddon II, LLC</t>
  </si>
  <si>
    <t>Syncarpha Westminster Hybrid CSG</t>
  </si>
  <si>
    <t>Syncarpha Westminster, LLC</t>
  </si>
  <si>
    <t>Syncarpha Leicester Hybrid CSG</t>
  </si>
  <si>
    <t>Syncarpha Leicester, LLC</t>
  </si>
  <si>
    <t>Syncarpha Halifax Hybrid CSG</t>
  </si>
  <si>
    <t>Syncarpha Halifax, LLC</t>
  </si>
  <si>
    <t>Syncarpha Millbury Hybrid (CSG)</t>
  </si>
  <si>
    <t>Syncarpha Millbury, LLC</t>
  </si>
  <si>
    <t>Syncarpha Blandford Hybrid CSG</t>
  </si>
  <si>
    <t>Syncarpha Blandford, LLC</t>
  </si>
  <si>
    <t>Syncarpha Northampton Hybrid CSG</t>
  </si>
  <si>
    <t>Syncarpha Northampton, LLC</t>
  </si>
  <si>
    <t>Syncarpha Northbridge I Hybrid(CSG)</t>
  </si>
  <si>
    <t>Syncarpha Northbridge I, LLC</t>
  </si>
  <si>
    <t>Syncarpha Northbridge II Hybrid CSG</t>
  </si>
  <si>
    <t>Syncarpha Northbridge II, LLC</t>
  </si>
  <si>
    <t>East Pulaski BESS</t>
  </si>
  <si>
    <t>National Grid</t>
  </si>
  <si>
    <t>Goose Pond Solar</t>
  </si>
  <si>
    <t>LSE Dorado, LLC</t>
  </si>
  <si>
    <t>25 Ashdown Road Solar, LLC</t>
  </si>
  <si>
    <t>Finchville Solar, LLC Hybrid CSG</t>
  </si>
  <si>
    <t>RT 52 Walden Solar 1, LLC Hybrid</t>
  </si>
  <si>
    <t>Cronin Road Solar 1, LLC CSG Hybrid</t>
  </si>
  <si>
    <t>Ransomville Solar 1, LLC</t>
  </si>
  <si>
    <t>Johnstown Solar 1, LLC</t>
  </si>
  <si>
    <t>Lane Ave Solar LLC</t>
  </si>
  <si>
    <t>Ryan Road Solar LLC Hybrid(CSG)</t>
  </si>
  <si>
    <t>W. Orange Rd Solar LLC</t>
  </si>
  <si>
    <t>Wilbur Woods Solar LLC</t>
  </si>
  <si>
    <t>Hollygrove CSG</t>
  </si>
  <si>
    <t>Guildlerland CSG</t>
  </si>
  <si>
    <t>Howland CSG</t>
  </si>
  <si>
    <t>Gifford CSG</t>
  </si>
  <si>
    <t>Czub CSG</t>
  </si>
  <si>
    <t>Mereand CSG</t>
  </si>
  <si>
    <t>Aegis CSG</t>
  </si>
  <si>
    <t>Pearl CSG</t>
  </si>
  <si>
    <t>Bethlehem Solar</t>
  </si>
  <si>
    <t>Frog Hollow CSG</t>
  </si>
  <si>
    <t>Dover CSG</t>
  </si>
  <si>
    <t>Howell CSG</t>
  </si>
  <si>
    <t>Strauss CSG</t>
  </si>
  <si>
    <t>Ellsworth I CSG</t>
  </si>
  <si>
    <t>Allis Medina Solar LLC CSG</t>
  </si>
  <si>
    <t>Beals Medina Solar LLC CSG</t>
  </si>
  <si>
    <t>West Street Solar 1 LLC</t>
  </si>
  <si>
    <t>Weaver Wind</t>
  </si>
  <si>
    <t>Weaver Wind, LLC (Longroad)</t>
  </si>
  <si>
    <t>Hopkins Hill CSG</t>
  </si>
  <si>
    <t>AES Tonawanda Solar LLC</t>
  </si>
  <si>
    <t>Hopkinton Phase 2</t>
  </si>
  <si>
    <t>Vista Solar, Inc.</t>
  </si>
  <si>
    <t>VPPSA Project 10</t>
  </si>
  <si>
    <t>Vermont Public Power Supply Authority</t>
  </si>
  <si>
    <t>Battle Creek Solar</t>
  </si>
  <si>
    <t>Middleton Solar Park</t>
  </si>
  <si>
    <t>HG Solar Development, LLC</t>
  </si>
  <si>
    <t>NY 26 Carthage CSG</t>
  </si>
  <si>
    <t>Knaggs Brothers Farm</t>
  </si>
  <si>
    <t>Dynamic Energy Holdings LLC</t>
  </si>
  <si>
    <t>Brookfield Wire Company</t>
  </si>
  <si>
    <t>Dynamic Energy Solutions, LLC</t>
  </si>
  <si>
    <t>Kings Plaza Total Energy Plant (TEP)</t>
  </si>
  <si>
    <t>Veolia North America</t>
  </si>
  <si>
    <t>Willis Battery Storage</t>
  </si>
  <si>
    <t>Sherman Solar</t>
  </si>
  <si>
    <t>Jackson Solar (CT)</t>
  </si>
  <si>
    <t>Sydney Solar</t>
  </si>
  <si>
    <t>Dickinson Solar (CT)</t>
  </si>
  <si>
    <t>Becton Canaan</t>
  </si>
  <si>
    <t>DG Northeast 1, LLC</t>
  </si>
  <si>
    <t>Plainfield Solar 2</t>
  </si>
  <si>
    <t>Partridge Hill Solar Hybrid</t>
  </si>
  <si>
    <t>Barneveld Solar</t>
  </si>
  <si>
    <t>Natick Mall</t>
  </si>
  <si>
    <t>Grand Prix Solar</t>
  </si>
  <si>
    <t>Diamond Properties</t>
  </si>
  <si>
    <t>100 Brook Hill Drive Solar</t>
  </si>
  <si>
    <t>Hobart &amp; William Smith College Gates Rd.</t>
  </si>
  <si>
    <t>South Windsor Fuel Cell</t>
  </si>
  <si>
    <t>South Energy Investments LLC</t>
  </si>
  <si>
    <t>Sutton Solar 2, LLC CSG</t>
  </si>
  <si>
    <t>Sutton Solar 2, LLC</t>
  </si>
  <si>
    <t>Lansing Renewables, LLC</t>
  </si>
  <si>
    <t>Granby Solar, LLC CSG</t>
  </si>
  <si>
    <t>Granby Solar, LLC</t>
  </si>
  <si>
    <t>Hales Mills Solar, LLC</t>
  </si>
  <si>
    <t>Owlville Creek Solar 2, LLC</t>
  </si>
  <si>
    <t>Owlville Creek Solar, LLC</t>
  </si>
  <si>
    <t>Ticket Network South Windsor</t>
  </si>
  <si>
    <t>Corbin Russwin Phase 3 Berlin</t>
  </si>
  <si>
    <t>GSPP Gilman, LLC</t>
  </si>
  <si>
    <t>Riley Road LLC</t>
  </si>
  <si>
    <t>Hope Solar Farm LLC</t>
  </si>
  <si>
    <t>Catlin Solar 1 LLC</t>
  </si>
  <si>
    <t>Saratoga Solar LLC</t>
  </si>
  <si>
    <t>CP Middletown Solar I LLC</t>
  </si>
  <si>
    <t>CP Middletown Solar II LLC</t>
  </si>
  <si>
    <t>Kearsarge Amesbury Hybrid</t>
  </si>
  <si>
    <t>Kearsarge Amesbury LLC</t>
  </si>
  <si>
    <t>Pearl II</t>
  </si>
  <si>
    <t>Macedon</t>
  </si>
  <si>
    <t>Solar Planet Power</t>
  </si>
  <si>
    <t>Whittier</t>
  </si>
  <si>
    <t>Williamson</t>
  </si>
  <si>
    <t>Bennett</t>
  </si>
  <si>
    <t>Greenwich Solar 1, LLC CSG</t>
  </si>
  <si>
    <t>Middletown Solar 1, LLC Hybrid CSG</t>
  </si>
  <si>
    <t>Chenango Solar</t>
  </si>
  <si>
    <t>Hurteau Solar Project Hybrid</t>
  </si>
  <si>
    <t>Alicea Solar Project Hybrid CSG</t>
  </si>
  <si>
    <t>McDougle-Mitchell Solar Project Hybrid C</t>
  </si>
  <si>
    <t>Cycz Solar Project CSG Hybrid</t>
  </si>
  <si>
    <t>West A&amp;B Solar Project Hybrid CSG</t>
  </si>
  <si>
    <t>Annese Solar Project Hybrid CSG</t>
  </si>
  <si>
    <t>Randall Solar Project Hybrid</t>
  </si>
  <si>
    <t>Calabro Airport North Solar Project</t>
  </si>
  <si>
    <t>Calabro Airport South Solar Project</t>
  </si>
  <si>
    <t>Mohonasen Central School District</t>
  </si>
  <si>
    <t>Amazon BDL3 Solar Project</t>
  </si>
  <si>
    <t>Solar Star Prime 1 LLC</t>
  </si>
  <si>
    <t>Fordham University</t>
  </si>
  <si>
    <t>Samoset Solar</t>
  </si>
  <si>
    <t>Samoset Solar, LLC</t>
  </si>
  <si>
    <t>St. Joseph's Solar, LLC CSG</t>
  </si>
  <si>
    <t>38 Degrees North, LLC</t>
  </si>
  <si>
    <t>Boutillier Solar, LLC CSG</t>
  </si>
  <si>
    <t>Blair Wire Village Solar, LLC CSG</t>
  </si>
  <si>
    <t>Barton Acres Solar, LLC CSG</t>
  </si>
  <si>
    <t>MMWEC Simple Cycle Gas Turbine</t>
  </si>
  <si>
    <t>Cherry Valley Solar, LLC CSG</t>
  </si>
  <si>
    <t>ISM Solar Dighton 2, LLC CSG</t>
  </si>
  <si>
    <t>Incom Solar, LLC CSG</t>
  </si>
  <si>
    <t>JH Solar, LLC CSG</t>
  </si>
  <si>
    <t>Woodchuck Solar, LLC CSG</t>
  </si>
  <si>
    <t>Dudley River 3 Solar, LLC CSG</t>
  </si>
  <si>
    <t>Dudley River 2 Solar, LLC CSG</t>
  </si>
  <si>
    <t>Dudley River Solar, LLC CSG</t>
  </si>
  <si>
    <t>Ledeaux Solar, LLC CSG</t>
  </si>
  <si>
    <t>Cohasse Solar, LLC CSG</t>
  </si>
  <si>
    <t>NY3 Battery</t>
  </si>
  <si>
    <t>Orange &amp; Rockland Utils Inc</t>
  </si>
  <si>
    <t>Palombo Solar, LLC CSG</t>
  </si>
  <si>
    <t>Palombo B Solar, LLC CSG</t>
  </si>
  <si>
    <t>Nutmeg Solar</t>
  </si>
  <si>
    <t>Nutmeg Solar LLC</t>
  </si>
  <si>
    <t>One Patriot</t>
  </si>
  <si>
    <t>SDM000 Clarkson Fuel Cell</t>
  </si>
  <si>
    <t>2016 ESA Project Company, LLC</t>
  </si>
  <si>
    <t>NHH003 Clarkson Fuel Cell</t>
  </si>
  <si>
    <t>NHH004 Winthrop Fuel Cell</t>
  </si>
  <si>
    <t>Bowden Solar LLC</t>
  </si>
  <si>
    <t>38DN Power Fund 1 LLC</t>
  </si>
  <si>
    <t>SWM Fuel Cell</t>
  </si>
  <si>
    <t>Yaphank Fuel Cell Park, LLC</t>
  </si>
  <si>
    <t>Sanford Solar</t>
  </si>
  <si>
    <t>Sanford Airport Solar, LLC</t>
  </si>
  <si>
    <t>University Solar, LLC</t>
  </si>
  <si>
    <t>St. Mary's Hospital For Children</t>
  </si>
  <si>
    <t>Lakeville Solar</t>
  </si>
  <si>
    <t>C2 MA Lakeville, LLC</t>
  </si>
  <si>
    <t>Norwalk Hospital Plant</t>
  </si>
  <si>
    <t>Norwalk Hospital</t>
  </si>
  <si>
    <t>MSAP 13</t>
  </si>
  <si>
    <t>MSAP 13, LLC</t>
  </si>
  <si>
    <t>Oak Street Solar</t>
  </si>
  <si>
    <t>Cranberry Solar</t>
  </si>
  <si>
    <t>GWE Cranberry Solar RT, LLC</t>
  </si>
  <si>
    <t>ISM Solar Cranston CSG</t>
  </si>
  <si>
    <t>CES Marbletown Solar</t>
  </si>
  <si>
    <t>Fogarty CSG</t>
  </si>
  <si>
    <t>Fogarty Solar LLC</t>
  </si>
  <si>
    <t>Mount Hope West</t>
  </si>
  <si>
    <t>Mount Hope Solar 2 LLC</t>
  </si>
  <si>
    <t>Mount Hope East</t>
  </si>
  <si>
    <t>Mount Hope Solar 1 LLC</t>
  </si>
  <si>
    <t>Bluestone</t>
  </si>
  <si>
    <t>Bluestone Solar LLC</t>
  </si>
  <si>
    <t>Underhill</t>
  </si>
  <si>
    <t>Underhill Solar LLC</t>
  </si>
  <si>
    <t>Grabinski</t>
  </si>
  <si>
    <t>Grabinski Solar LLC</t>
  </si>
  <si>
    <t>CES Agawam Tuckahoe Solar Hybrid</t>
  </si>
  <si>
    <t>CES Agawam Tuckahoe Solar LLC</t>
  </si>
  <si>
    <t>Adirondack Solar</t>
  </si>
  <si>
    <t>Mount Kisco Landfill Solar &amp; Storage CSG</t>
  </si>
  <si>
    <t>NY- CSG- Johnstown 2</t>
  </si>
  <si>
    <t>NY- CSG- Livingston 4</t>
  </si>
  <si>
    <t>NY - CSG - Ellsworth II</t>
  </si>
  <si>
    <t>Partridgeville Hybrid CSG</t>
  </si>
  <si>
    <t>Partridgeville Road Solar 1, LLC</t>
  </si>
  <si>
    <t>Williamsville Hybrid CSG</t>
  </si>
  <si>
    <t>147 Williamsville Solar 1, LLC</t>
  </si>
  <si>
    <t>Medusa NY 1</t>
  </si>
  <si>
    <t>Medusa NY 1, LLC</t>
  </si>
  <si>
    <t>Walden NY 1</t>
  </si>
  <si>
    <t>Walden NY 1, LLC</t>
  </si>
  <si>
    <t>Westtown NY 2</t>
  </si>
  <si>
    <t>Westtown NY 2, LLC</t>
  </si>
  <si>
    <t>Middletown NY 1</t>
  </si>
  <si>
    <t>Middletown NY 1, LLC</t>
  </si>
  <si>
    <t>Westerlo NY 1</t>
  </si>
  <si>
    <t>Westerlo NY 1, LLC</t>
  </si>
  <si>
    <t>East Brookfield Main Street Solar LLC CS</t>
  </si>
  <si>
    <t>GD Hopkinton Main I, LLC</t>
  </si>
  <si>
    <t>Milo PV - BD Solar 1 LLC</t>
  </si>
  <si>
    <t>BD Solar 1 LLC</t>
  </si>
  <si>
    <t>Augusta PV - BD Solar Augusta LLC</t>
  </si>
  <si>
    <t>BD Solar Augusta LLC</t>
  </si>
  <si>
    <t>Fairfield PV - BD Solar Fairfield LLC</t>
  </si>
  <si>
    <t>BD Solar Fairfield LLC</t>
  </si>
  <si>
    <t>Oxford PV - BD Solar Oxford LLC</t>
  </si>
  <si>
    <t>BD Solar Oxford LLC</t>
  </si>
  <si>
    <t>Sunpin Blandford</t>
  </si>
  <si>
    <t>Blandford Sun, LLC</t>
  </si>
  <si>
    <t>Blackhorse Farm Solar, LLC CSG</t>
  </si>
  <si>
    <t>Erving CSG</t>
  </si>
  <si>
    <t>Erving Poplar Mountain Solar 1, LLC</t>
  </si>
  <si>
    <t>Easthampton CSG</t>
  </si>
  <si>
    <t>Easthampton Park Solar 1, LLC</t>
  </si>
  <si>
    <t>Pine Hill</t>
  </si>
  <si>
    <t>Amaterasu LLC</t>
  </si>
  <si>
    <t>28 Livermore Hill Road Solar</t>
  </si>
  <si>
    <t>28 Livermore Hill Road Solar, LLC</t>
  </si>
  <si>
    <t>Brick Church Solar</t>
  </si>
  <si>
    <t>Brick Church Solar 1, LLC</t>
  </si>
  <si>
    <t>Kenmare - Sullivan Community College</t>
  </si>
  <si>
    <t>Wappinger 9D Solar</t>
  </si>
  <si>
    <t>Wappinger 9D Solar, LLC</t>
  </si>
  <si>
    <t>Montague Road Solar</t>
  </si>
  <si>
    <t>Montague Road Solar, LLC</t>
  </si>
  <si>
    <t>Off Airport Road - West</t>
  </si>
  <si>
    <t>Off Airport Road - West, LLC</t>
  </si>
  <si>
    <t>Fitchburg Renewables</t>
  </si>
  <si>
    <t>Fitchburg Renewables, LLC</t>
  </si>
  <si>
    <t>6140 Route 209 - North</t>
  </si>
  <si>
    <t>6140 Route 209 - North, LLC</t>
  </si>
  <si>
    <t>SELCO Community Solar</t>
  </si>
  <si>
    <t>Palmyra PV - BD Solar Palmyra LLC</t>
  </si>
  <si>
    <t>BD Solar Palmyra LLC</t>
  </si>
  <si>
    <t>BD Solar Hancock LLC</t>
  </si>
  <si>
    <t>Winslow PV - BD Solar 2 LLC</t>
  </si>
  <si>
    <t>BD Solar 2 LLC</t>
  </si>
  <si>
    <t>BD Solar Ellsworth LLC</t>
  </si>
  <si>
    <t>BD Solar Hancock North LLC</t>
  </si>
  <si>
    <t>Hecate Energy Albany County 1</t>
  </si>
  <si>
    <t>Pittsfield Solar LLC</t>
  </si>
  <si>
    <t>Pittsfiled Solar LLC</t>
  </si>
  <si>
    <t>Blanchard Road 1 Community Solar</t>
  </si>
  <si>
    <t>OYA Blanchard Road LLC</t>
  </si>
  <si>
    <t>North Providence</t>
  </si>
  <si>
    <t>Captona N.P. LLC</t>
  </si>
  <si>
    <t>Blanchard Road 2 Community Solar</t>
  </si>
  <si>
    <t>OYA Blanchard Road 2 LLC</t>
  </si>
  <si>
    <t>NYS Rte 12 Community Solar</t>
  </si>
  <si>
    <t>OYA NYS Rte 12 LLC</t>
  </si>
  <si>
    <t>Moore Road Community Solar</t>
  </si>
  <si>
    <t>OYA 2643 Moore Road LLC</t>
  </si>
  <si>
    <t>Great Lakes Seaway Community Solar</t>
  </si>
  <si>
    <t>OYA Great Lakes Seaway LLC</t>
  </si>
  <si>
    <t>GE 19th Hole</t>
  </si>
  <si>
    <t>DG New York Solar, LLC</t>
  </si>
  <si>
    <t>Canton</t>
  </si>
  <si>
    <t>Captona Canton LLC</t>
  </si>
  <si>
    <t>Gold Meadow Farms</t>
  </si>
  <si>
    <t>Captona Lippitt Ave Cranston LLC</t>
  </si>
  <si>
    <t>Ravenbrook</t>
  </si>
  <si>
    <t>Captona Ravenbrook LLC</t>
  </si>
  <si>
    <t>Hudson</t>
  </si>
  <si>
    <t>Captona Hudson LLC</t>
  </si>
  <si>
    <t>A Street 2</t>
  </si>
  <si>
    <t>Captona A Street 2 Johnston LLC</t>
  </si>
  <si>
    <t>Berkley</t>
  </si>
  <si>
    <t>Captona Berkley LLC</t>
  </si>
  <si>
    <t>Kilvert</t>
  </si>
  <si>
    <t>Captona Kilvert Street Warwick LLC</t>
  </si>
  <si>
    <t>A Street 1</t>
  </si>
  <si>
    <t>Captona A Street 1 Johnston LLC</t>
  </si>
  <si>
    <t>Carver</t>
  </si>
  <si>
    <t>Captona Carver LLC</t>
  </si>
  <si>
    <t>Plainfield Pike</t>
  </si>
  <si>
    <t>Captona Plainfield Pike Johnston LLC</t>
  </si>
  <si>
    <t>Chicopee</t>
  </si>
  <si>
    <t>Captona Chicopee LLC</t>
  </si>
  <si>
    <t>Podunque Road CSG</t>
  </si>
  <si>
    <t>County Road 16</t>
  </si>
  <si>
    <t>Townsend Road(CSG)</t>
  </si>
  <si>
    <t>Ware Palmer Road Solar LLC CSG</t>
  </si>
  <si>
    <t>Ware Palmer Road Solar LLC</t>
  </si>
  <si>
    <t>Kenmare - Mansfield Branch Street</t>
  </si>
  <si>
    <t>BWC Stony Brook, LLC Hybrid</t>
  </si>
  <si>
    <t>Bloom-Altice Fuel Cell</t>
  </si>
  <si>
    <t>ZPD-PT Solar Project 2017-038 Hybrid LLC</t>
  </si>
  <si>
    <t>SR North Stonington</t>
  </si>
  <si>
    <t>SR North Stonington, LLC</t>
  </si>
  <si>
    <t>Newton Rumford Landfill</t>
  </si>
  <si>
    <t>Newton Municipal Solar LLC - Rumford</t>
  </si>
  <si>
    <t>BWC Muddy Brook, LLC Hybrid</t>
  </si>
  <si>
    <t>BWC Lake Lashaway, LLC Hybrid</t>
  </si>
  <si>
    <t>ZPD-PT Solar Project 2017-044 LLC CSG</t>
  </si>
  <si>
    <t>ZPD-PT Solar Project 2017-023 LLC Hybrid</t>
  </si>
  <si>
    <t>ZPD-PT Solar Project 2017-021 LLC Hybrid</t>
  </si>
  <si>
    <t>Auburn Solar Project</t>
  </si>
  <si>
    <t>Agilitas Energy, Inc.</t>
  </si>
  <si>
    <t>Blair Solar</t>
  </si>
  <si>
    <t>Madison Solar (CT)</t>
  </si>
  <si>
    <t>Few Solar</t>
  </si>
  <si>
    <t>Hadley 3 Solar (North)</t>
  </si>
  <si>
    <t>Hadley 3 Solar, LLC (North)</t>
  </si>
  <si>
    <t>Hadley 3 Solar (South)</t>
  </si>
  <si>
    <t>Hadley 3 Solar, LLC (South)</t>
  </si>
  <si>
    <t>Lawrence Brook</t>
  </si>
  <si>
    <t>Lincoln Medical and Mental Health Center</t>
  </si>
  <si>
    <t>Roger Williams - Melville at Portsmouth</t>
  </si>
  <si>
    <t>Luminace Solar Rhode Island, LLC</t>
  </si>
  <si>
    <t>Corning Riverview (CSG)</t>
  </si>
  <si>
    <t>Corning Riverview Project</t>
  </si>
  <si>
    <t>WED Coventry Seven, LLC</t>
  </si>
  <si>
    <t>GD Glocester White Oak I, LLC</t>
  </si>
  <si>
    <t>Farmington Solar</t>
  </si>
  <si>
    <t>Farmington Solar, LLC</t>
  </si>
  <si>
    <t>Orbit Bloom Fuel Cell</t>
  </si>
  <si>
    <t>DG Fuel Cell, LLC</t>
  </si>
  <si>
    <t>Amazon JFK8 Solar Project</t>
  </si>
  <si>
    <t>Solar Star Prime 2, LLC</t>
  </si>
  <si>
    <t>Plainfield Solar 1</t>
  </si>
  <si>
    <t>Cortlandville I Solar CSG</t>
  </si>
  <si>
    <t>DG New York CS, LLC</t>
  </si>
  <si>
    <t>Sangerfield Solar CSG</t>
  </si>
  <si>
    <t>Clay Solar CSG</t>
  </si>
  <si>
    <t>Norwich Solar and Energy Storage CSG</t>
  </si>
  <si>
    <t>Signature Breads Chelsea</t>
  </si>
  <si>
    <t>JDC 65R Owner, LLC</t>
  </si>
  <si>
    <t>IXYS - Beverly</t>
  </si>
  <si>
    <t>IXYS Integrated Circuits Division, LLC</t>
  </si>
  <si>
    <t>Quinebaug Solar</t>
  </si>
  <si>
    <t>Quinebaug Solar, LLC</t>
  </si>
  <si>
    <t>ZPD-PT Solar Project 2017-006 LLC Hybrid</t>
  </si>
  <si>
    <t>Georges River Energy</t>
  </si>
  <si>
    <t>Wilbraham</t>
  </si>
  <si>
    <t>BWC East Brook, LLC</t>
  </si>
  <si>
    <t>Elm Street</t>
  </si>
  <si>
    <t>ISM Solar Dighton 3, LLC</t>
  </si>
  <si>
    <t>Sunvestment Energy Group NY 63 LLC</t>
  </si>
  <si>
    <t>Breckenridge Solar</t>
  </si>
  <si>
    <t>Breckenridge Street Solar 1, LLC</t>
  </si>
  <si>
    <t>Rounseville Solar</t>
  </si>
  <si>
    <t>Rounseville Solar 1, LLC</t>
  </si>
  <si>
    <t>Town of Ware - Canadian Tree(CSG)</t>
  </si>
  <si>
    <t>MA CS Ware West, LLC</t>
  </si>
  <si>
    <t>Wilmarth Solar</t>
  </si>
  <si>
    <t>Wilmarth Lane Solar 1, LLC</t>
  </si>
  <si>
    <t>Dresser Hill CSG</t>
  </si>
  <si>
    <t>Dresser Hill Solar, LLC</t>
  </si>
  <si>
    <t>Mt Pleasant Community Center</t>
  </si>
  <si>
    <t>Golden Solar</t>
  </si>
  <si>
    <t>Cardinal Renewables</t>
  </si>
  <si>
    <t>County of Dutchess, NY (Airport)</t>
  </si>
  <si>
    <t>Rosemond Solar Community Solar</t>
  </si>
  <si>
    <t>Volney II</t>
  </si>
  <si>
    <t>Merrimack Solar Farm, LLC</t>
  </si>
  <si>
    <t>Merrimack Solar Farm</t>
  </si>
  <si>
    <t>Stamford Health</t>
  </si>
  <si>
    <t>Stamford Health Systems, Inc.</t>
  </si>
  <si>
    <t>Troupsburg</t>
  </si>
  <si>
    <t>Raboth - Marion Drive</t>
  </si>
  <si>
    <t>Woodville Solar (CSG)</t>
  </si>
  <si>
    <t>MRO</t>
  </si>
  <si>
    <t>Norton</t>
  </si>
  <si>
    <t>Coxsackie Solar</t>
  </si>
  <si>
    <t>FPS Coxsackie Solar LLC</t>
  </si>
  <si>
    <t>Smithfield Solar Farm, LLC</t>
  </si>
  <si>
    <t>Smithfield Solar Farm</t>
  </si>
  <si>
    <t>Bright Field Solar LLC(CSG)</t>
  </si>
  <si>
    <t>Bright Oak Solar LLC(CSG)</t>
  </si>
  <si>
    <t>Bright Hill Solar LLC(CSG)</t>
  </si>
  <si>
    <t>River Valley LLC (NY) (CSG)</t>
  </si>
  <si>
    <t>Wallingford Solar</t>
  </si>
  <si>
    <t>Wallingford Renewable Energy, LLC</t>
  </si>
  <si>
    <t>Tioga Solar South(CSG)</t>
  </si>
  <si>
    <t>237 State Route 96 Site 2, LLC</t>
  </si>
  <si>
    <t>Tioga Solar North(CSG)</t>
  </si>
  <si>
    <t>237 State Route 96 Site 1, LLC</t>
  </si>
  <si>
    <t>Washingtonville(CSG)</t>
  </si>
  <si>
    <t>Washingtonville Solar LLC</t>
  </si>
  <si>
    <t>Dudley</t>
  </si>
  <si>
    <t>AMP MA Dudley</t>
  </si>
  <si>
    <t>Joe Jenny</t>
  </si>
  <si>
    <t>AMP MA Joe Jenny</t>
  </si>
  <si>
    <t>Westport Community Solar Garden</t>
  </si>
  <si>
    <t>BWC Bass River LLC</t>
  </si>
  <si>
    <t>Mendon</t>
  </si>
  <si>
    <t>BWC Box Pond LLC</t>
  </si>
  <si>
    <t>Minisink CSG</t>
  </si>
  <si>
    <t>Minisink Solar LLC</t>
  </si>
  <si>
    <t>Slate Hill(CSG)</t>
  </si>
  <si>
    <t>Slate Hill Solar LLC</t>
  </si>
  <si>
    <t>Dover (MA)</t>
  </si>
  <si>
    <t>BWC Buckmaster Pond LLC</t>
  </si>
  <si>
    <t>Adirondack A+B Community Solar Garden</t>
  </si>
  <si>
    <t>BWC Connecticut River LLC</t>
  </si>
  <si>
    <t>Westport B Community Solar Garden</t>
  </si>
  <si>
    <t>BWC Hamilton Brook LLC</t>
  </si>
  <si>
    <t>Bellisario Solar 1</t>
  </si>
  <si>
    <t>Lapeer-Cortland Solar, LLC</t>
  </si>
  <si>
    <t>Bellisario Solar 2</t>
  </si>
  <si>
    <t>Bellisario Solar 3</t>
  </si>
  <si>
    <t>TPE King Solar Holdings1, LLC (CSG)</t>
  </si>
  <si>
    <t>Kearsarge William Way</t>
  </si>
  <si>
    <t>Kearsarge William Way LLC</t>
  </si>
  <si>
    <t>Kearsarge Haverhill</t>
  </si>
  <si>
    <t>Kearsarge Haverhill LLC</t>
  </si>
  <si>
    <t>Kearsarge Upper Union</t>
  </si>
  <si>
    <t>Kearsarge Upper Union LLC</t>
  </si>
  <si>
    <t>Kearsarge Montague BD(CSG)</t>
  </si>
  <si>
    <t>Kearsarge Montague BD LLC</t>
  </si>
  <si>
    <t>Blodgett Solar CSG</t>
  </si>
  <si>
    <t>Blodgett Street Solar 1, LLC</t>
  </si>
  <si>
    <t>Clark Road Solar 1, LLC</t>
  </si>
  <si>
    <t>Acton</t>
  </si>
  <si>
    <t>Acton H Road Solar 1, LLC</t>
  </si>
  <si>
    <t>Naples</t>
  </si>
  <si>
    <t>Naples Casco Solar 1, LLC</t>
  </si>
  <si>
    <t>Hamlin Solar 1, LLC</t>
  </si>
  <si>
    <t>Clifton Park Solar 1, LLC</t>
  </si>
  <si>
    <t>Clifton Park Solar 2, LLC</t>
  </si>
  <si>
    <t>Orangeville Storage</t>
  </si>
  <si>
    <t>Fredonia Solar LLC</t>
  </si>
  <si>
    <t>Dunstable Solar 1, LLC</t>
  </si>
  <si>
    <t>Fairhaven MA 2</t>
  </si>
  <si>
    <t>Acushnet MA 1</t>
  </si>
  <si>
    <t>Acushnet MA 2 (CSG)</t>
  </si>
  <si>
    <t>Dusenberry</t>
  </si>
  <si>
    <t>Knapp East (CSG)</t>
  </si>
  <si>
    <t>Main Rd Community Solar</t>
  </si>
  <si>
    <t>Redman North Community Solar</t>
  </si>
  <si>
    <t>Glenmere Lake</t>
  </si>
  <si>
    <t>Knapp West(CSG)</t>
  </si>
  <si>
    <t>Rowe (CSG)</t>
  </si>
  <si>
    <t>Redman South Community Solar</t>
  </si>
  <si>
    <t>Alton Road Solar</t>
  </si>
  <si>
    <t>Revity Energy LLC</t>
  </si>
  <si>
    <t>Townline Community Solar</t>
  </si>
  <si>
    <t>Williams Rd</t>
  </si>
  <si>
    <t>West Haydenville PJ Community Solar</t>
  </si>
  <si>
    <t>Brookwood Drive Community Solar</t>
  </si>
  <si>
    <t>Maple(CSG)</t>
  </si>
  <si>
    <t>Maple Street Solar 1, LLC</t>
  </si>
  <si>
    <t>Goldman Sachs Carports Solar</t>
  </si>
  <si>
    <t>Fuel Cell 3245 Yates Avenue</t>
  </si>
  <si>
    <t>Bronx Community Clean Energy Project LLC</t>
  </si>
  <si>
    <t>Fuel Cell 18A Sneden Avenue</t>
  </si>
  <si>
    <t>Annadale Community Clean Energy Projects LLC</t>
  </si>
  <si>
    <t>Fuel Cell 18B Sneden Avenue</t>
  </si>
  <si>
    <t>FDX010.0 FedEx Fuel Cell</t>
  </si>
  <si>
    <t>Old Middleboro Road Solar</t>
  </si>
  <si>
    <t>Ocean State BTM</t>
  </si>
  <si>
    <t>Rumford ESS</t>
  </si>
  <si>
    <t>Madison BTM</t>
  </si>
  <si>
    <t>Madison ESS</t>
  </si>
  <si>
    <t>Kearsarge Westerly</t>
  </si>
  <si>
    <t>Kearsarge Westerly LLC</t>
  </si>
  <si>
    <t>Kearsarge Fogland</t>
  </si>
  <si>
    <t>Kearsarge Fogland LLC</t>
  </si>
  <si>
    <t>Kearsarge East Providence</t>
  </si>
  <si>
    <t>Kearsarge East Providence LLC</t>
  </si>
  <si>
    <t>Freehold(CSG)</t>
  </si>
  <si>
    <t>Freehold Solar, LLC</t>
  </si>
  <si>
    <t>Three Rivers Solar LLC</t>
  </si>
  <si>
    <t>ASD Three Rivers Road MA Solar LLC</t>
  </si>
  <si>
    <t>Billings Road</t>
  </si>
  <si>
    <t>ER Salvage Yard</t>
  </si>
  <si>
    <t>Slayton Settlement Road Solar CSG</t>
  </si>
  <si>
    <t>RPNY Solar 3, LLC</t>
  </si>
  <si>
    <t>276 Federal Rd(CSG)</t>
  </si>
  <si>
    <t>276FED WHAM8 Solar, LLC</t>
  </si>
  <si>
    <t>0 Hammond St CSG</t>
  </si>
  <si>
    <t>0HAM WHAM8 Solar, LLC</t>
  </si>
  <si>
    <t>Capital Hill Solar LLC</t>
  </si>
  <si>
    <t>Rock Island Road Solar Community Solar</t>
  </si>
  <si>
    <t>RPNY Solar 1, LLC</t>
  </si>
  <si>
    <t>Bullis Road Solar (CSG)</t>
  </si>
  <si>
    <t>RPNY Solar 2, LLC</t>
  </si>
  <si>
    <t>59 Federal Rd(CSG)</t>
  </si>
  <si>
    <t>59FED WHAM8 Solar, LLC</t>
  </si>
  <si>
    <t>Park St</t>
  </si>
  <si>
    <t>Torrington Solar One, LLC</t>
  </si>
  <si>
    <t>DG Connecticut III, LLC</t>
  </si>
  <si>
    <t>Bristol Solar One, LLC</t>
  </si>
  <si>
    <t>Watertown Solar One, LLC</t>
  </si>
  <si>
    <t>UMass Boston</t>
  </si>
  <si>
    <t>MSS Energy Holdings, LLC (d.b.a. Calibrant Energy)</t>
  </si>
  <si>
    <t>ASD Cotuit MA Solar LLC</t>
  </si>
  <si>
    <t>ASD Wallum MA Solar LLC(CSG)</t>
  </si>
  <si>
    <t>ASD Wallum MA Solar LLC</t>
  </si>
  <si>
    <t>Fox Hills Battery Station</t>
  </si>
  <si>
    <t>FedEx Middletown</t>
  </si>
  <si>
    <t>VCP Realty, LLC</t>
  </si>
  <si>
    <t>Enfield Solar One</t>
  </si>
  <si>
    <t>Enfield Solar One, LLC</t>
  </si>
  <si>
    <t>71 Charlotte Furnace Rd Hybrid(CSG)</t>
  </si>
  <si>
    <t>71CFR WHAM8 Solar, LLC</t>
  </si>
  <si>
    <t>77 Farm to Market Rd Hybrid(CSG)</t>
  </si>
  <si>
    <t>77F2M WHAM8 Solar, LLC</t>
  </si>
  <si>
    <t>160 Tihonet Rd Hybrid(CSG)</t>
  </si>
  <si>
    <t>160TIH WHAM8 Solar, LLC</t>
  </si>
  <si>
    <t>299 Farm to Market Rd Hybrid(CSG)</t>
  </si>
  <si>
    <t>299F2M WHAM8 Solar, LLC</t>
  </si>
  <si>
    <t>ASA DeKalb NY Solar III LLC</t>
  </si>
  <si>
    <t>Buffalo NY GigaFactory</t>
  </si>
  <si>
    <t>Halifax Solar</t>
  </si>
  <si>
    <t>580 River Solar</t>
  </si>
  <si>
    <t>Cortlandville III Solar CSG</t>
  </si>
  <si>
    <t>DG Empire Shine, LLC</t>
  </si>
  <si>
    <t>115 G Fisher</t>
  </si>
  <si>
    <t>154 D Fisher</t>
  </si>
  <si>
    <t>North Haven Solar One</t>
  </si>
  <si>
    <t>North Haven Solar One, LLC</t>
  </si>
  <si>
    <t>River Road</t>
  </si>
  <si>
    <t>Norridgewock River Road Solar, LLC</t>
  </si>
  <si>
    <t>196 Tremont St(CSG)</t>
  </si>
  <si>
    <t>196TRE WHAM8 Solar, LLC</t>
  </si>
  <si>
    <t>NY8 - Grissom Solar</t>
  </si>
  <si>
    <t>NY8 - Branscomb Solar</t>
  </si>
  <si>
    <t>NY8 - Janis Solar</t>
  </si>
  <si>
    <t>NY8 - Regan Solar</t>
  </si>
  <si>
    <t>NY8 - Puckett Solar</t>
  </si>
  <si>
    <t>ER Bone Hill Solar, LLC</t>
  </si>
  <si>
    <t>Bristol Landfill Solar</t>
  </si>
  <si>
    <t>Clinton Solar</t>
  </si>
  <si>
    <t>UMass PV Lot 22</t>
  </si>
  <si>
    <t>ASA DeKalb NY Solar II LLC</t>
  </si>
  <si>
    <t>ASA DeKalb NY Solar I LLC</t>
  </si>
  <si>
    <t>ASA Gouverneur NY Solar I LLC</t>
  </si>
  <si>
    <t>ASA Gouverneur NY Solar II LLC</t>
  </si>
  <si>
    <t>ASA Volney NY Solar I LLC</t>
  </si>
  <si>
    <t>ASA Clayton NY Solar I LLC</t>
  </si>
  <si>
    <t>Orioles Community Solar</t>
  </si>
  <si>
    <t>Azimuth 180 Solar Electric, LLC</t>
  </si>
  <si>
    <t>Ontario Sun</t>
  </si>
  <si>
    <t>ER Center Road Solar, LLC</t>
  </si>
  <si>
    <t>Cranberry Highway Solar LLC</t>
  </si>
  <si>
    <t>Cranberry Highway Solar, LLC</t>
  </si>
  <si>
    <t>ENGIE 2019 ProjectCo-MA1, LLC</t>
  </si>
  <si>
    <t>ENGIE 2019 ProjectCo MA-1, LLC</t>
  </si>
  <si>
    <t>Norton LLC</t>
  </si>
  <si>
    <t>Holliston LLC</t>
  </si>
  <si>
    <t>Medtronic - New Haven 2</t>
  </si>
  <si>
    <t>Medtronic - New Haven</t>
  </si>
  <si>
    <t>Certain Solar - Staten Island</t>
  </si>
  <si>
    <t>Equinix - Billerica</t>
  </si>
  <si>
    <t>Altice - Hicksville</t>
  </si>
  <si>
    <t>Woburn</t>
  </si>
  <si>
    <t>South Goshen Community Solar</t>
  </si>
  <si>
    <t>County Road 17 (CSG)</t>
  </si>
  <si>
    <t>Chambers 3 - Lewis County</t>
  </si>
  <si>
    <t>Chambers 3 - Erie County Alden</t>
  </si>
  <si>
    <t>Charlemont A</t>
  </si>
  <si>
    <t>Charlemont MA, LLC</t>
  </si>
  <si>
    <t>Fairhaven E</t>
  </si>
  <si>
    <t>Fairhaven MA 1, LLC</t>
  </si>
  <si>
    <t>Barrow Solar</t>
  </si>
  <si>
    <t>Indian River Hydro</t>
  </si>
  <si>
    <t>DOCCS Midstate</t>
  </si>
  <si>
    <t>DOCCS Eastern</t>
  </si>
  <si>
    <t>DOCCS Wende</t>
  </si>
  <si>
    <t>DOCCS Greenhaven</t>
  </si>
  <si>
    <t>Millersport GM 1</t>
  </si>
  <si>
    <t>Maybrook Solar, LLC (CSG)</t>
  </si>
  <si>
    <t>NJR Clean Energy Ventures Corporation</t>
  </si>
  <si>
    <t>Gorham Solar 1 (CSG)</t>
  </si>
  <si>
    <t>MacKinnon Solar</t>
  </si>
  <si>
    <t>McHenry Solar</t>
  </si>
  <si>
    <t>MA CS Uxbridge Community Solar</t>
  </si>
  <si>
    <t>MA CS Uxbridge, LLC</t>
  </si>
  <si>
    <t>BWC Maces Pond LLC</t>
  </si>
  <si>
    <t>OYA Robinson Road</t>
  </si>
  <si>
    <t>OYA Robinson Road, LLC</t>
  </si>
  <si>
    <t>OYA State Route 122</t>
  </si>
  <si>
    <t>OYA State Route 122, LLC</t>
  </si>
  <si>
    <t>Airport Road Solar (CSG)</t>
  </si>
  <si>
    <t>Howard Lane Solar</t>
  </si>
  <si>
    <t>OYA Wayside Drive</t>
  </si>
  <si>
    <t>OYA Wayside Drive LLC</t>
  </si>
  <si>
    <t>OYA Pulaski</t>
  </si>
  <si>
    <t>OYA Pulaski LLC</t>
  </si>
  <si>
    <t>OYA Main Street</t>
  </si>
  <si>
    <t>OYA Main Street LLC</t>
  </si>
  <si>
    <t>NY - PANYNJ - LaGuardia - Rooftop</t>
  </si>
  <si>
    <t>Forefront Power, LLC</t>
  </si>
  <si>
    <t>OYA Church Road</t>
  </si>
  <si>
    <t>OYA Church Road A LLC</t>
  </si>
  <si>
    <t>Hartland Solar</t>
  </si>
  <si>
    <t>Unity Solar</t>
  </si>
  <si>
    <t>GD Johnson Scituate I, LLC</t>
  </si>
  <si>
    <t>GDIM 1, LLC</t>
  </si>
  <si>
    <t>GDIM 2, LLC</t>
  </si>
  <si>
    <t>GDIM 3, LLC</t>
  </si>
  <si>
    <t>GDIM 4, LLC</t>
  </si>
  <si>
    <t>Green Providence Wind I, LLC</t>
  </si>
  <si>
    <t>Green Providence Wind II, LLC</t>
  </si>
  <si>
    <t>Washington Avenue Solar, LLC</t>
  </si>
  <si>
    <t>Ball Hill Wind Energy, LLC</t>
  </si>
  <si>
    <t>Bluestone Wind, LLC</t>
  </si>
  <si>
    <t>Number Three Wind Project</t>
  </si>
  <si>
    <t>Baldwin (ME)</t>
  </si>
  <si>
    <t>Maine DG Solar Baldwin, LLC</t>
  </si>
  <si>
    <t>Augusta</t>
  </si>
  <si>
    <t>Maine DG Solar Augusta, LLC</t>
  </si>
  <si>
    <t>Monmouth</t>
  </si>
  <si>
    <t>Maine DG Solar Monmouth, LLC</t>
  </si>
  <si>
    <t>Nolan</t>
  </si>
  <si>
    <t>LSE Crater LLC</t>
  </si>
  <si>
    <t>Truck Stop</t>
  </si>
  <si>
    <t>LSE Corona Austrina LLC</t>
  </si>
  <si>
    <t>South Fork Wind</t>
  </si>
  <si>
    <t>Orsted Wind Power North America LLC</t>
  </si>
  <si>
    <t>Bradford Solar</t>
  </si>
  <si>
    <t>Bradford Solar, LLC</t>
  </si>
  <si>
    <t>Whatley Renewables</t>
  </si>
  <si>
    <t>Whatley Renewables, LLC</t>
  </si>
  <si>
    <t>Wachusett Solar</t>
  </si>
  <si>
    <t>Wachusett Solar, LLC</t>
  </si>
  <si>
    <t>RT32 Westerlo Solar 1</t>
  </si>
  <si>
    <t>RT32 Westerlo Solar 1, LLC</t>
  </si>
  <si>
    <t>JB-Tobin 2</t>
  </si>
  <si>
    <t>AES Clean Energy</t>
  </si>
  <si>
    <t>ER Sand Hill</t>
  </si>
  <si>
    <t>100 Lower</t>
  </si>
  <si>
    <t>456 Lower</t>
  </si>
  <si>
    <t>Union Springs 40</t>
  </si>
  <si>
    <t>EF NY CDG 011, LLC</t>
  </si>
  <si>
    <t>Union Springs 963</t>
  </si>
  <si>
    <t>EF NY CDG 003, LLC</t>
  </si>
  <si>
    <t>North Eagle Village Solar</t>
  </si>
  <si>
    <t>EF NY CDG 001, LLC</t>
  </si>
  <si>
    <t>Green Lakes Solar</t>
  </si>
  <si>
    <t>EF NY CDG 002, LLC</t>
  </si>
  <si>
    <t>Judd Road Solar</t>
  </si>
  <si>
    <t>EF NY CDG 007, LLC</t>
  </si>
  <si>
    <t>Dartmouth Farms Solar</t>
  </si>
  <si>
    <t>Dartmouth Farms Solar, LLC</t>
  </si>
  <si>
    <t>Foster Solar</t>
  </si>
  <si>
    <t>Foster Solar, LLC</t>
  </si>
  <si>
    <t>Castleton</t>
  </si>
  <si>
    <t>MA-Dighton-A</t>
  </si>
  <si>
    <t>MA CS Dighton, LLC</t>
  </si>
  <si>
    <t>Croton Solar</t>
  </si>
  <si>
    <t>Croton Solar LLC</t>
  </si>
  <si>
    <t>Brockelman Road Solar 2</t>
  </si>
  <si>
    <t>Brockelman Road Solar 2, LLC</t>
  </si>
  <si>
    <t>TES Rowtier</t>
  </si>
  <si>
    <t>SkyHigh 2 Solar</t>
  </si>
  <si>
    <t>East Windsor Solar One</t>
  </si>
  <si>
    <t>Southington Solar One</t>
  </si>
  <si>
    <t>Faunce Corner Community Solar</t>
  </si>
  <si>
    <t>Faunce Corner Road Dartmouth Solar 1, LLC</t>
  </si>
  <si>
    <t>Ventura</t>
  </si>
  <si>
    <t>Ventura Drive Dartmouth Solar 1, LLC</t>
  </si>
  <si>
    <t>Calverton Solar Energy Center</t>
  </si>
  <si>
    <t>LI Solar Generation, LLC</t>
  </si>
  <si>
    <t>Kearsarge Ludlow LLC</t>
  </si>
  <si>
    <t>Kearsarge Acushnet</t>
  </si>
  <si>
    <t>Kearsarge Acushnet LLC</t>
  </si>
  <si>
    <t>NY6 Battery</t>
  </si>
  <si>
    <t>Key Capture Energy</t>
  </si>
  <si>
    <t>Long Plain Solar</t>
  </si>
  <si>
    <t>Long Plain Solar, LLC</t>
  </si>
  <si>
    <t>Settlers Solar</t>
  </si>
  <si>
    <t>Settlers Solar, LLC</t>
  </si>
  <si>
    <t>Griffin Road Solar 2</t>
  </si>
  <si>
    <t>Griffin Road Solar 2, LLC</t>
  </si>
  <si>
    <t>Woodland Avenue Solar 1</t>
  </si>
  <si>
    <t>Woodland Avenue Solar 1, LLC</t>
  </si>
  <si>
    <t>RT405 Westerlo Solar 2</t>
  </si>
  <si>
    <t>RT405 Westerlo Solar 2, LLC</t>
  </si>
  <si>
    <t>Webster Solar</t>
  </si>
  <si>
    <t>Webster Solar, LLC</t>
  </si>
  <si>
    <t>LR Wheatfield Solar 1</t>
  </si>
  <si>
    <t>LR Wheatfield Solar 1, LLC</t>
  </si>
  <si>
    <t>Pendleton Solar 1</t>
  </si>
  <si>
    <t>Pendleton Solar 1, LLC</t>
  </si>
  <si>
    <t>East Fishkill CSG</t>
  </si>
  <si>
    <t>ELP Greenport CSG</t>
  </si>
  <si>
    <t>ELP Kinderhook CSG</t>
  </si>
  <si>
    <t>ELP Myer CSG</t>
  </si>
  <si>
    <t>ELP Saugerties CSG</t>
  </si>
  <si>
    <t>High River Energy Center, LLC</t>
  </si>
  <si>
    <t>Centech Gas Generator</t>
  </si>
  <si>
    <t>Cream Street Solar</t>
  </si>
  <si>
    <t>Cream Street Solar, LLC</t>
  </si>
  <si>
    <t>Little Falls Solar</t>
  </si>
  <si>
    <t>Little Falls Solar 1</t>
  </si>
  <si>
    <t>Little Falls Solar 1, LLC</t>
  </si>
  <si>
    <t>Burlington Solar 1</t>
  </si>
  <si>
    <t>1639 RT 29 Solar 1</t>
  </si>
  <si>
    <t>1639 RT 29 Solar 1, LLC</t>
  </si>
  <si>
    <t>1639 RT 29 Solar 2</t>
  </si>
  <si>
    <t>1639 RT 29 Solar 2, LLC</t>
  </si>
  <si>
    <t>Easton CSG 1 LLC</t>
  </si>
  <si>
    <t>Limestone CSG 1 LLC</t>
  </si>
  <si>
    <t>Limestone CSG 2 LLC</t>
  </si>
  <si>
    <t>East Point Energy Center</t>
  </si>
  <si>
    <t>East Point Energy Center, LLC</t>
  </si>
  <si>
    <t>NY - Mines Press</t>
  </si>
  <si>
    <t>Day Hollow Road Community Solar</t>
  </si>
  <si>
    <t>Delaware River Solar, LLC</t>
  </si>
  <si>
    <t>NY8 - Darby Solar</t>
  </si>
  <si>
    <t>NY8 - Teichos Pattersonville</t>
  </si>
  <si>
    <t>NY8 - ELP Stillwater Solar</t>
  </si>
  <si>
    <t>Dynamic Corinth (CSG)</t>
  </si>
  <si>
    <t>Dynamic Madison (CSG)</t>
  </si>
  <si>
    <t>Kearsarge Smithfield LLC</t>
  </si>
  <si>
    <t>Kearsarge 100 Sohier Rd</t>
  </si>
  <si>
    <t>Kearsarge Beverly LLC</t>
  </si>
  <si>
    <t>Kearsarge West Shore Solar LLC</t>
  </si>
  <si>
    <t>Harmony Solar (ME)</t>
  </si>
  <si>
    <t>Maine DG Solar Harmony, LLC</t>
  </si>
  <si>
    <t>Norton Powerhouse 2</t>
  </si>
  <si>
    <t>Sugar Hill Solar 1</t>
  </si>
  <si>
    <t>Sugar Hill Solar 1, LLC</t>
  </si>
  <si>
    <t>3104 Batavia Solar</t>
  </si>
  <si>
    <t>3104 Batavia Solar, LLC</t>
  </si>
  <si>
    <t>3232 Batavia Solar</t>
  </si>
  <si>
    <t>3232 Batavia Solar, LLC</t>
  </si>
  <si>
    <t>Niagara Depot Solar</t>
  </si>
  <si>
    <t>Niagara Depot Solar, LLC</t>
  </si>
  <si>
    <t>Arctaris Saddleback Solar</t>
  </si>
  <si>
    <t>Arctaris Saddleback Solar, LLC</t>
  </si>
  <si>
    <t>TPE RI WA2 Solar</t>
  </si>
  <si>
    <t>TPE RI WA2, LLC</t>
  </si>
  <si>
    <t>TPE RI WA1 Solar</t>
  </si>
  <si>
    <t>TPE RI WA1, LLC</t>
  </si>
  <si>
    <t>Eight Point Wind</t>
  </si>
  <si>
    <t>Eight Point Wind, LLC</t>
  </si>
  <si>
    <t>Generate Colchester Fuel Cells, LLC</t>
  </si>
  <si>
    <t>Angelica Solar Site 1</t>
  </si>
  <si>
    <t>NSF Angelica Site 1, LLC</t>
  </si>
  <si>
    <t>Angelica Solar Site 2</t>
  </si>
  <si>
    <t>NSF Angelica Site 2, LLC</t>
  </si>
  <si>
    <t>Angelica Solar Site 3</t>
  </si>
  <si>
    <t>NSF Angelica Site 3, LLC</t>
  </si>
  <si>
    <t>Angelica Solar Site 4</t>
  </si>
  <si>
    <t>NSF Angelica Site 4, LLC</t>
  </si>
  <si>
    <t>West Valley Solar</t>
  </si>
  <si>
    <t>West Valley Solar, LLC</t>
  </si>
  <si>
    <t>Marlborough Solar</t>
  </si>
  <si>
    <t>Marlborough Solar, LLC</t>
  </si>
  <si>
    <t>Blacksmith Road Solar 1</t>
  </si>
  <si>
    <t>Blacksmith Road Solar 1, LLC</t>
  </si>
  <si>
    <t>Electric Avenue Lunenburg Solar 1</t>
  </si>
  <si>
    <t>Electric Avenue Lunenburg Solar 1, LLC</t>
  </si>
  <si>
    <t>Harbor Road Solar 1</t>
  </si>
  <si>
    <t>Harbor Road Solar 1, LLC</t>
  </si>
  <si>
    <t>Lenox Renewables</t>
  </si>
  <si>
    <t>Lenox Renewables, LLC</t>
  </si>
  <si>
    <t>Milo CSG</t>
  </si>
  <si>
    <t>Milo CSG, LLC</t>
  </si>
  <si>
    <t>Livermore Falls CSG</t>
  </si>
  <si>
    <t>Livermore Falls CSG, LLC</t>
  </si>
  <si>
    <t>Bizer Creek</t>
  </si>
  <si>
    <t>Water Street Solar</t>
  </si>
  <si>
    <t>Hecate Energy Albany 2 LLC</t>
  </si>
  <si>
    <t>AES Pelletier Solar, LLC</t>
  </si>
  <si>
    <t>AES Daigle Solar, LLC</t>
  </si>
  <si>
    <t>Equinix - Elmsford</t>
  </si>
  <si>
    <t>CoreSite - Somerville</t>
  </si>
  <si>
    <t>Connecticut College</t>
  </si>
  <si>
    <t>Pleasant Street</t>
  </si>
  <si>
    <t>South Street - Middlebury</t>
  </si>
  <si>
    <t>Treasure Lane Solar 1</t>
  </si>
  <si>
    <t>Landau Solar</t>
  </si>
  <si>
    <t>Drinkwater Solar</t>
  </si>
  <si>
    <t>Huxley Solar</t>
  </si>
  <si>
    <t>Huxley Solar, LLC</t>
  </si>
  <si>
    <t>Beacon Solar, LLC</t>
  </si>
  <si>
    <t>Town of Amherst Solar</t>
  </si>
  <si>
    <t>Town of Amherst Solar, LLC</t>
  </si>
  <si>
    <t>McCarthy Solar</t>
  </si>
  <si>
    <t>Niagara Bottling - Bloomfield</t>
  </si>
  <si>
    <t>Westbound Solar 3, LLC</t>
  </si>
  <si>
    <t>Mohawk View Solar</t>
  </si>
  <si>
    <t>Mohawk View Solar, LLC</t>
  </si>
  <si>
    <t>Van Epps Solar</t>
  </si>
  <si>
    <t>Van Epps Solar, LLC</t>
  </si>
  <si>
    <t>Bantam Solar</t>
  </si>
  <si>
    <t>Bogart Solar</t>
  </si>
  <si>
    <t>Brickchurch Solar</t>
  </si>
  <si>
    <t>Canoga Solar</t>
  </si>
  <si>
    <t>Costanza Solar</t>
  </si>
  <si>
    <t>County Route 84 Solar</t>
  </si>
  <si>
    <t>Cafferty Hill Solar</t>
  </si>
  <si>
    <t>Donati Solar</t>
  </si>
  <si>
    <t>Dubois Solar (Hybrid)</t>
  </si>
  <si>
    <t>Dunkleman Solar</t>
  </si>
  <si>
    <t>Finney Solar</t>
  </si>
  <si>
    <t>Henrietta Solar</t>
  </si>
  <si>
    <t>Landau II Solar (Hybrid)</t>
  </si>
  <si>
    <t>Lockenhurst Pond Solar</t>
  </si>
  <si>
    <t>New Beginnings Solar</t>
  </si>
  <si>
    <t>NY70 Solar</t>
  </si>
  <si>
    <t>Reid Solar</t>
  </si>
  <si>
    <t>Reisender Solar</t>
  </si>
  <si>
    <t>Salt Point Solar (Hybrid)</t>
  </si>
  <si>
    <t>Sangolqui Solar</t>
  </si>
  <si>
    <t>State Route 14A Solar</t>
  </si>
  <si>
    <t>State Highway 17B Solar</t>
  </si>
  <si>
    <t>Svenski Solar (Hybrid)</t>
  </si>
  <si>
    <t>West Creek Solar</t>
  </si>
  <si>
    <t>Wheatland 2A Solar</t>
  </si>
  <si>
    <t>Wheatland 2B Solar</t>
  </si>
  <si>
    <t>Wildflower Way Solar</t>
  </si>
  <si>
    <t>Lewiston Junction Road Solar</t>
  </si>
  <si>
    <t>NextGrid Peppertree, LLC</t>
  </si>
  <si>
    <t>Webb Road Solar</t>
  </si>
  <si>
    <t>NextGrid Mastic, LLC</t>
  </si>
  <si>
    <t>Merrill Road Solar</t>
  </si>
  <si>
    <t>NextGrid Mangrove, LLC</t>
  </si>
  <si>
    <t>Lisbon Street Solar</t>
  </si>
  <si>
    <t>NextGrid Cliffrose, LLC</t>
  </si>
  <si>
    <t>Source Power Company - Aldrich</t>
  </si>
  <si>
    <t>Morristown Solar II, LLC</t>
  </si>
  <si>
    <t>Source Power NY II - Whaling</t>
  </si>
  <si>
    <t>Whaling Solar, LLC</t>
  </si>
  <si>
    <t>Source Power NY III - Medina II (CSG)</t>
  </si>
  <si>
    <t>TJA-NY-11202 Ridge Rd Medina, LLC</t>
  </si>
  <si>
    <t>RIC - Hanover (CSG)</t>
  </si>
  <si>
    <t>Summit - Cicero</t>
  </si>
  <si>
    <t>Summit - Lysander (CSG)</t>
  </si>
  <si>
    <t>Summit - Oswego</t>
  </si>
  <si>
    <t>Silver Maple</t>
  </si>
  <si>
    <t>WEB Silver Maple Wind LLC</t>
  </si>
  <si>
    <t>Brimfield</t>
  </si>
  <si>
    <t>WEB Brimfield Solar LLC</t>
  </si>
  <si>
    <t>WEB Brookfield</t>
  </si>
  <si>
    <t>WEB Brookfield Solar LLC</t>
  </si>
  <si>
    <t>3Colton</t>
  </si>
  <si>
    <t>Summit - Scriba CSG</t>
  </si>
  <si>
    <t>Ruler Solar Partners (CSG)</t>
  </si>
  <si>
    <t>Ruler Solar Partners, LLC</t>
  </si>
  <si>
    <t>Royal Solar Partners (CSG)</t>
  </si>
  <si>
    <t>Royal Solar Partners, LLC</t>
  </si>
  <si>
    <t>BWC Unity Pond LLC</t>
  </si>
  <si>
    <t>SCS Penfield One 010750 Penfield, LLC</t>
  </si>
  <si>
    <t>Arevon Energy, Inc.</t>
  </si>
  <si>
    <t>SCS Harpswell 012903 Brunswick, LLC</t>
  </si>
  <si>
    <t>Oswego</t>
  </si>
  <si>
    <t>NY USLE Oswego SR104 LLC</t>
  </si>
  <si>
    <t>SERC</t>
  </si>
  <si>
    <t>NY USLE Rome-Oriskany</t>
  </si>
  <si>
    <t>NY USLE Rome Rome-Oriskany LLC</t>
  </si>
  <si>
    <t>Caribou</t>
  </si>
  <si>
    <t>Loring</t>
  </si>
  <si>
    <t>Manheim New England</t>
  </si>
  <si>
    <t>Cox Enterprises</t>
  </si>
  <si>
    <t>ELP Livingston Solar</t>
  </si>
  <si>
    <t>ELP Livingston Solar, LLC</t>
  </si>
  <si>
    <t>ELP Claverack Solar</t>
  </si>
  <si>
    <t>ELP Claverack Solar, LLC</t>
  </si>
  <si>
    <t>Emerald Marshfields, LLC</t>
  </si>
  <si>
    <t>Emerald Marshfield, LLC</t>
  </si>
  <si>
    <t>Emerald Gardens PKI, LLC</t>
  </si>
  <si>
    <t>LSE Musca Solar</t>
  </si>
  <si>
    <t>Inovateus Solar, LLC</t>
  </si>
  <si>
    <t>Westport Stone &amp; Sand Solar (CSG)</t>
  </si>
  <si>
    <t>Northline Solar CSG</t>
  </si>
  <si>
    <t>Yale New Haven - New London</t>
  </si>
  <si>
    <t>Apple Staten Island - Industrial Loop</t>
  </si>
  <si>
    <t>Apple Staten Island - Winant Place</t>
  </si>
  <si>
    <t>LSE Pavo Solar</t>
  </si>
  <si>
    <t>MA Blackstone</t>
  </si>
  <si>
    <t>Catalyze Blackstone 83 Federal Street Microgrid, LLC</t>
  </si>
  <si>
    <t>Union Vale</t>
  </si>
  <si>
    <t>Ghent (NY)</t>
  </si>
  <si>
    <t>Stanford</t>
  </si>
  <si>
    <t>Davis Solar</t>
  </si>
  <si>
    <t>Genesee - CCR Solar</t>
  </si>
  <si>
    <t>Bullitt Farm Solar</t>
  </si>
  <si>
    <t>Cicero Energy Storage 1 LLC</t>
  </si>
  <si>
    <t>Cicero Energy Storage 2 LLC</t>
  </si>
  <si>
    <t>Sunnyside 1 Solar</t>
  </si>
  <si>
    <t>Solar DG NY Sunnyside 1, LLC</t>
  </si>
  <si>
    <t>ME Augusta 13 York Farm Rd Solar</t>
  </si>
  <si>
    <t>SOL ME Augusta 13 York Farm, LLC</t>
  </si>
  <si>
    <t>Amherst Community Solar</t>
  </si>
  <si>
    <t>Amherst Community Solar LLC</t>
  </si>
  <si>
    <t>Greene Community Solar</t>
  </si>
  <si>
    <t>Greene Community Solar LLC</t>
  </si>
  <si>
    <t>NY Geneseo 3240 W Lake Rd Solar</t>
  </si>
  <si>
    <t>NYSolar03 LLC</t>
  </si>
  <si>
    <t>NY Grand Island 871 Whitehaven Rd Solar</t>
  </si>
  <si>
    <t>Grand Island Sunrise LLC</t>
  </si>
  <si>
    <t>NY Lancaster Gunnville Rd Site 1 Solar C</t>
  </si>
  <si>
    <t>AC Power 14, LLC</t>
  </si>
  <si>
    <t>NY Lancaster Shisler Rd Site 2 Solar CSG</t>
  </si>
  <si>
    <t>NY Potsdam 28 Hamilton St. Solar</t>
  </si>
  <si>
    <t>Potsdam Community Solar 2, LLC</t>
  </si>
  <si>
    <t>North Kingstown Solar LLC</t>
  </si>
  <si>
    <t>Phillips Route 82 Solar LLC</t>
  </si>
  <si>
    <t>White Rock Road LLC</t>
  </si>
  <si>
    <t>French King Solar LLC</t>
  </si>
  <si>
    <t>DOCCS Greene</t>
  </si>
  <si>
    <t>Green Correctional Coxsackie NY Solar LLC</t>
  </si>
  <si>
    <t>ELP - Kipp</t>
  </si>
  <si>
    <t>ELP Kipp Solar, LLC</t>
  </si>
  <si>
    <t>Dublin Street LLC</t>
  </si>
  <si>
    <t>Georgia Ballard BESS</t>
  </si>
  <si>
    <t>Strata Manager, LLC</t>
  </si>
  <si>
    <t>Springfield BESS</t>
  </si>
  <si>
    <t>(3K) 59 Hetcheltown Rd</t>
  </si>
  <si>
    <t>Distributed Solar Development, LLC</t>
  </si>
  <si>
    <t>Lightstar Renewables - Project 1001</t>
  </si>
  <si>
    <t>Lightstar Renewables - Project 1002</t>
  </si>
  <si>
    <t>Marathon Solar Farm LLC South</t>
  </si>
  <si>
    <t>Richmond Hill</t>
  </si>
  <si>
    <t>Herrington Solar</t>
  </si>
  <si>
    <t>Herrington Solar, LLC</t>
  </si>
  <si>
    <t>NY Van Buren II CSG</t>
  </si>
  <si>
    <t>SCH County - (1B) 10 Alice Wagner Way Ni</t>
  </si>
  <si>
    <t>SCH County - (1E) 398 Anthony St Schenec</t>
  </si>
  <si>
    <t>SCH - (2A) 156 Barhydt Rd Glenville</t>
  </si>
  <si>
    <t>SCH County - (2B) 4982 Rynex Corners Rd</t>
  </si>
  <si>
    <t>SCH County - (2D) 98 Cheltingham Ave Sch</t>
  </si>
  <si>
    <t>Source Power Company - Richland</t>
  </si>
  <si>
    <t>Source Power Company - Silver Creek</t>
  </si>
  <si>
    <t>Marathon Solar Farm II LLC North</t>
  </si>
  <si>
    <t>Geneseo Solar</t>
  </si>
  <si>
    <t>Helios Energy New York 15 LLC</t>
  </si>
  <si>
    <t>BQ - Psychedelic Site CSG</t>
  </si>
  <si>
    <t>Glenville Solar (CSG)</t>
  </si>
  <si>
    <t>NY USLE Glenville Freemans Bridge LLC</t>
  </si>
  <si>
    <t>Copenhagen Solar</t>
  </si>
  <si>
    <t>NY USLE Copenhagen CR194 LLC</t>
  </si>
  <si>
    <t>Carthage A</t>
  </si>
  <si>
    <t>NY USLE Carthage SR26 A LLC</t>
  </si>
  <si>
    <t>Carthage B</t>
  </si>
  <si>
    <t>NY USLE Carthage SR26 B LLC</t>
  </si>
  <si>
    <t>FFP - NY Burch CSG</t>
  </si>
  <si>
    <t>FFP - NY Werner CSG</t>
  </si>
  <si>
    <t>Athens Ridge</t>
  </si>
  <si>
    <t>ME Novel Lighthouse - Huggard Ave Solar</t>
  </si>
  <si>
    <t>Luminace Sunbeam Development Holdings, LLC</t>
  </si>
  <si>
    <t>ME Novel Lighthouse - Front St. Solar CS</t>
  </si>
  <si>
    <t>Lightstar Renewables - Project 1004</t>
  </si>
  <si>
    <t>Source Power II - Taft CSG</t>
  </si>
  <si>
    <t>Jogee Road Solar</t>
  </si>
  <si>
    <t>Robin Hollow Solar</t>
  </si>
  <si>
    <t>Robin Hollow Solar, LLC</t>
  </si>
  <si>
    <t>NY Sorrell Hill II CSG</t>
  </si>
  <si>
    <t>DG Empire Lumen 2023, LLC</t>
  </si>
  <si>
    <t>Gray Solar</t>
  </si>
  <si>
    <t>Cenergy - Richards (CSG)</t>
  </si>
  <si>
    <t>Cenergy - Waterville (CSG)</t>
  </si>
  <si>
    <t>Cenergy - Kiger</t>
  </si>
  <si>
    <t>Cenergy - Wiscasset (CSG)</t>
  </si>
  <si>
    <t>Barefoot Solar</t>
  </si>
  <si>
    <t>Madison Energy Investments LLC</t>
  </si>
  <si>
    <t>Halsey Valley</t>
  </si>
  <si>
    <t>LSE Pegasus LLC</t>
  </si>
  <si>
    <t>Mannys Corners Solar 1 (CSG)</t>
  </si>
  <si>
    <t>Three Corners Solar</t>
  </si>
  <si>
    <t>Three Corners Solar, LLC</t>
  </si>
  <si>
    <t>Pittsfield Solar (N. Main St)</t>
  </si>
  <si>
    <t>Maine DG Solar Pittsfield, LLC</t>
  </si>
  <si>
    <t>ME Novel Lighthouse - Penobscot CSG</t>
  </si>
  <si>
    <t>ME Novel Lighthouse - Carrabassett</t>
  </si>
  <si>
    <t>Acton-Boxborough Schools BESS</t>
  </si>
  <si>
    <t>Gateway BESS</t>
  </si>
  <si>
    <t>Enel X North America, Inc</t>
  </si>
  <si>
    <t>Dynamic - Wales Leeds Junction Road (CSG)</t>
  </si>
  <si>
    <t>Dynamic - Norridgewock Martin Stream (CSG)</t>
  </si>
  <si>
    <t>Dynamic - Leeds Solar (CSG)</t>
  </si>
  <si>
    <t>Dynamic - Gray Solar</t>
  </si>
  <si>
    <t>Dynamic - Exeter Solar CSG</t>
  </si>
  <si>
    <t>Dynamic - Enfield Hammett Road CSG</t>
  </si>
  <si>
    <t>Dynamic - Glenburn Broadway One (CSG)</t>
  </si>
  <si>
    <t>NY Hermon 1040 County Rd 21</t>
  </si>
  <si>
    <t>Solitude Solar Russell County Rd 21 Microgrid, LLC</t>
  </si>
  <si>
    <t>15 Glen Harris RD</t>
  </si>
  <si>
    <t>ME Sandy River LLC</t>
  </si>
  <si>
    <t>NY SHERMAN 176 W MAIN ST - SL 1</t>
  </si>
  <si>
    <t>SL Sherman, LLC</t>
  </si>
  <si>
    <t>NY Avon I CSG</t>
  </si>
  <si>
    <t>DG Empire Sun, LLC</t>
  </si>
  <si>
    <t>Fort Fairfield</t>
  </si>
  <si>
    <t>Broadway Solar (CSG)</t>
  </si>
  <si>
    <t>NextGrid Bitterbush, LLC</t>
  </si>
  <si>
    <t>Corkwood Solar (CSG)</t>
  </si>
  <si>
    <t>NextGrid Corkwood, LLC</t>
  </si>
  <si>
    <t>SSC Oswego II LLC</t>
  </si>
  <si>
    <t>Reactivate</t>
  </si>
  <si>
    <t>GD West Greenwich Nooseneck I, LLC</t>
  </si>
  <si>
    <t>Rhode Island Solar Renewable Energy IV,</t>
  </si>
  <si>
    <t>Rhode Island Solar Renewable Energy IV, LLC</t>
  </si>
  <si>
    <t>McAllister Landfill</t>
  </si>
  <si>
    <t>Solar Breakers LLC</t>
  </si>
  <si>
    <t>Tank Farm 4</t>
  </si>
  <si>
    <t>DG Moorman Creek</t>
  </si>
  <si>
    <t>DG Moorman Creek, LLC</t>
  </si>
  <si>
    <t>Ashland Solar</t>
  </si>
  <si>
    <t>Falmouth 2 Solar</t>
  </si>
  <si>
    <t>Oxford Solar</t>
  </si>
  <si>
    <t>Spencer Solar MA</t>
  </si>
  <si>
    <t>Mars Hill</t>
  </si>
  <si>
    <t>Our Katahdin</t>
  </si>
  <si>
    <t>Groton BESS 2</t>
  </si>
  <si>
    <t>Groton BESS 2 LLC</t>
  </si>
  <si>
    <t>Hunt Creek</t>
  </si>
  <si>
    <t>LSE Perseus LLC</t>
  </si>
  <si>
    <t>Groton BESS 1</t>
  </si>
  <si>
    <t>Groton BESS 1 LLC</t>
  </si>
  <si>
    <t>Holden BESS 1</t>
  </si>
  <si>
    <t>Holden BESS 1 LLC</t>
  </si>
  <si>
    <t>Paxton BESS 1</t>
  </si>
  <si>
    <t>Paxton BESS 1 LLC</t>
  </si>
  <si>
    <t>ME - EDFR - Phase I - Bristol</t>
  </si>
  <si>
    <t>Overlook Solar Partners, LLC</t>
  </si>
  <si>
    <t>Avon Solar Farm LLC</t>
  </si>
  <si>
    <t>Lilly Lane</t>
  </si>
  <si>
    <t>LSE Chamaeleon LLC</t>
  </si>
  <si>
    <t>Sweden 1</t>
  </si>
  <si>
    <t>Helios Energy New York 3 LLC</t>
  </si>
  <si>
    <t>Hamlin 1</t>
  </si>
  <si>
    <t>Helios Energy New York 2 LLC</t>
  </si>
  <si>
    <t>NY Ridgeway I CSG</t>
  </si>
  <si>
    <t>Broadway CDG Solar LLC</t>
  </si>
  <si>
    <t>401 South</t>
  </si>
  <si>
    <t>5 Berry</t>
  </si>
  <si>
    <t>McCormick NY CSG LLC</t>
  </si>
  <si>
    <t>Nationwide</t>
  </si>
  <si>
    <t>Nationwide Solar Energy LLC</t>
  </si>
  <si>
    <t>Source Power NY III - Remsen</t>
  </si>
  <si>
    <t>The Source at White Plains (UBS)</t>
  </si>
  <si>
    <t>White Plains_RFP-Gedney Way Landfill</t>
  </si>
  <si>
    <t>FFP - NY Urbanski</t>
  </si>
  <si>
    <t>FFP NY Goshen Project1, LLC</t>
  </si>
  <si>
    <t>FFP - NY Varano</t>
  </si>
  <si>
    <t>FFP NY Goshen Project2, LLC</t>
  </si>
  <si>
    <t>Athens AT01</t>
  </si>
  <si>
    <t>MEVS DOT 109</t>
  </si>
  <si>
    <t>MEVS DOT, LLC</t>
  </si>
  <si>
    <t>EDF - Liberty NY - Real Term CSG</t>
  </si>
  <si>
    <t>ESNY-RT-ELMSFORD, LLC</t>
  </si>
  <si>
    <t>Source Power NY II - Locust 1</t>
  </si>
  <si>
    <t>Locust Solar LLC</t>
  </si>
  <si>
    <t>CVEC Round 4 Brewster Captn Golf Course</t>
  </si>
  <si>
    <t>Freemans Way Solar Project 2019, LLC</t>
  </si>
  <si>
    <t>Norcap South</t>
  </si>
  <si>
    <t>LSE Coma Berenices LLC</t>
  </si>
  <si>
    <t>Norcap North</t>
  </si>
  <si>
    <t>LSE Canes Venatici LLC</t>
  </si>
  <si>
    <t>Sheesley (CSG)</t>
  </si>
  <si>
    <t>Sidney</t>
  </si>
  <si>
    <t>Standish</t>
  </si>
  <si>
    <t>Tiffany</t>
  </si>
  <si>
    <t>Town House</t>
  </si>
  <si>
    <t>Ver Plank North (CSG)</t>
  </si>
  <si>
    <t>Ver Plank South (CSG)</t>
  </si>
  <si>
    <t>Washington WS01</t>
  </si>
  <si>
    <t>Wells (ME)</t>
  </si>
  <si>
    <t>Smith Creek</t>
  </si>
  <si>
    <t>LSE Pisces LLC</t>
  </si>
  <si>
    <t>ME-EDFR-Phase I-Woolwich</t>
  </si>
  <si>
    <t>Green Mile Solar, LLC</t>
  </si>
  <si>
    <t>ME-EDFR-Phase I-Embden</t>
  </si>
  <si>
    <t>Tower Solar Partners, LLC</t>
  </si>
  <si>
    <t>Park Solar</t>
  </si>
  <si>
    <t>Caterpillar Hill</t>
  </si>
  <si>
    <t>Freetown MA 1, LLC</t>
  </si>
  <si>
    <t>OSG Solar 1 LLC</t>
  </si>
  <si>
    <t>Seaboard Charlton, LLC</t>
  </si>
  <si>
    <t>Seaboard Oxford, LLC</t>
  </si>
  <si>
    <t>Seaboard Sheffield, LLC</t>
  </si>
  <si>
    <t>BWC Beech Ridge Brook, LLC</t>
  </si>
  <si>
    <t>BWC Rams Horn Channel LLC</t>
  </si>
  <si>
    <t>Douglas Pike Solar, LLC</t>
  </si>
  <si>
    <t>Farmingdale FA01</t>
  </si>
  <si>
    <t>Fryeburg</t>
  </si>
  <si>
    <t>Mechanic Street (CSG)</t>
  </si>
  <si>
    <t>Missile Street (CSG)</t>
  </si>
  <si>
    <t>North Bridgton</t>
  </si>
  <si>
    <t>Mainely Solar (Wyman Hill Solar LLC)</t>
  </si>
  <si>
    <t>Wyman Hill Solar, LLC</t>
  </si>
  <si>
    <t>Altamont (NY) (CSG)</t>
  </si>
  <si>
    <t>Comfort CSG</t>
  </si>
  <si>
    <t>Clemons Road Solar</t>
  </si>
  <si>
    <t>RPNY Solar 4, LLC</t>
  </si>
  <si>
    <t>Pike Road Solar (NY)</t>
  </si>
  <si>
    <t>RPNY Solar 6, LLC</t>
  </si>
  <si>
    <t>Alexander Road Solar</t>
  </si>
  <si>
    <t>RPNY Solar 7, LLC</t>
  </si>
  <si>
    <t>Exeter Ten (CSG)</t>
  </si>
  <si>
    <t>Princetown Solar 1</t>
  </si>
  <si>
    <t>Exeter Renewables 1</t>
  </si>
  <si>
    <t>Powder Hill</t>
  </si>
  <si>
    <t>LSE Delphinus LLC</t>
  </si>
  <si>
    <t>Platt Hill</t>
  </si>
  <si>
    <t>LSE Pictor LLC</t>
  </si>
  <si>
    <t>Wolcott Hill (Camden) (CSG)</t>
  </si>
  <si>
    <t>BNRG Masardis (CSG)</t>
  </si>
  <si>
    <t>BRNG Nicolin (CSG)</t>
  </si>
  <si>
    <t>BNRG Norridgewock (CSG)</t>
  </si>
  <si>
    <t>BNRG North Anson (CSG)</t>
  </si>
  <si>
    <t>Oakland</t>
  </si>
  <si>
    <t>Peterboro (CSG)</t>
  </si>
  <si>
    <t>Quarry</t>
  </si>
  <si>
    <t>Ryans Ranch</t>
  </si>
  <si>
    <t>Sabattus SB01</t>
  </si>
  <si>
    <t>Sanford CGA</t>
  </si>
  <si>
    <t>Sanford -NY</t>
  </si>
  <si>
    <t>Shaker</t>
  </si>
  <si>
    <t>700 Binnewater</t>
  </si>
  <si>
    <t>665 Scenic Highway</t>
  </si>
  <si>
    <t>Farmington</t>
  </si>
  <si>
    <t>1 Commercial</t>
  </si>
  <si>
    <t>GSPP 7024 Fox Rd, LLC</t>
  </si>
  <si>
    <t>GSPP NESV, LLC</t>
  </si>
  <si>
    <t>GSPP 4643 Twelve Corners Road, LLC</t>
  </si>
  <si>
    <t>GSPP 126 Little Bow Rd N, LLC</t>
  </si>
  <si>
    <t>GSPP 126 Little Bow Rd S, LLC</t>
  </si>
  <si>
    <t>Saratoga Solar III, LLC</t>
  </si>
  <si>
    <t>Saratoga Solar IV, LLC</t>
  </si>
  <si>
    <t>Pulpit Hill</t>
  </si>
  <si>
    <t>LSE Fornax LLC</t>
  </si>
  <si>
    <t>Sand Road</t>
  </si>
  <si>
    <t>LSE Phoenix LLC</t>
  </si>
  <si>
    <t>Portland SP</t>
  </si>
  <si>
    <t>NY Finchville Tpke CSG</t>
  </si>
  <si>
    <t>Finchville Tpke LLC</t>
  </si>
  <si>
    <t>NY Lower Road II CSG</t>
  </si>
  <si>
    <t>Lower Road II, LLC</t>
  </si>
  <si>
    <t>NY Lower Road III CSG</t>
  </si>
  <si>
    <t>Lower Road III, LLC</t>
  </si>
  <si>
    <t>Norfolk Landfill Solar Project</t>
  </si>
  <si>
    <t>Raffia Road Solar Project</t>
  </si>
  <si>
    <t>Brewer (CSG)</t>
  </si>
  <si>
    <t>Sturbridge Barn</t>
  </si>
  <si>
    <t>LSE Ara LLC</t>
  </si>
  <si>
    <t>Bunce</t>
  </si>
  <si>
    <t>LSE Indus LLC</t>
  </si>
  <si>
    <t>State Route 5</t>
  </si>
  <si>
    <t>AETS OpCo Holdings LLC</t>
  </si>
  <si>
    <t>NY Newark St Rt 31 - Environomics S1</t>
  </si>
  <si>
    <t>Catalyze Newark Solar Farm 1 Microgrid, LLC</t>
  </si>
  <si>
    <t>Sunnyside 2 Solar</t>
  </si>
  <si>
    <t>Solar DG NY Sunnyside 2, LLC</t>
  </si>
  <si>
    <t>Monument Valley</t>
  </si>
  <si>
    <t>LSE Lepus LLC</t>
  </si>
  <si>
    <t>Sandwich</t>
  </si>
  <si>
    <t>LSE Ophiuchus LLC</t>
  </si>
  <si>
    <t>Collins (NY) (CSG)</t>
  </si>
  <si>
    <t>Ny Frankfort Bleecker St - Frankfort -NG</t>
  </si>
  <si>
    <t>Frankfort Solar Farm LLC</t>
  </si>
  <si>
    <t>NY Newark ST RT 31 - Environomics S2</t>
  </si>
  <si>
    <t>Catalyze Newark Solar Farm 2 Microgrid, LLC</t>
  </si>
  <si>
    <t>NSF Aurelius Site 1 LLC</t>
  </si>
  <si>
    <t>NSF Energy One LLC</t>
  </si>
  <si>
    <t>NSF Aurelius Site 2, LLC</t>
  </si>
  <si>
    <t>NSF Aurelius Site 3 LLC</t>
  </si>
  <si>
    <t>NSF Aurelius Site 4 LLC</t>
  </si>
  <si>
    <t>NY ALTONA MAYOTT - Environomics P1</t>
  </si>
  <si>
    <t>Catalyze Pombrio Solar Farm 1 Microgrid, LLC</t>
  </si>
  <si>
    <t>NY ALTONA MAYOTT - Environomics P2</t>
  </si>
  <si>
    <t>Catalyze Pombrio Solar Farm 2 Microgrid, LLC</t>
  </si>
  <si>
    <t>NSF Torrey Site 3</t>
  </si>
  <si>
    <t>NSF Torrey Site 3, LLC</t>
  </si>
  <si>
    <t>NSF Torrey Site 2</t>
  </si>
  <si>
    <t>NSF Torrey Site 2, LLC</t>
  </si>
  <si>
    <t>NSF Torrey Site 1</t>
  </si>
  <si>
    <t>NSF Torrey Site 1, LLC</t>
  </si>
  <si>
    <t>Glen Mary 1</t>
  </si>
  <si>
    <t>Glen Mary 2</t>
  </si>
  <si>
    <t>Barone</t>
  </si>
  <si>
    <t>Krumkill Road Solar North, LLC</t>
  </si>
  <si>
    <t>Krumkill Road Solar South, LLC</t>
  </si>
  <si>
    <t>Spencer (NY)</t>
  </si>
  <si>
    <t>Eddy</t>
  </si>
  <si>
    <t>Janiak</t>
  </si>
  <si>
    <t>Ridgeway 1</t>
  </si>
  <si>
    <t>Rivard 2</t>
  </si>
  <si>
    <t>County Route 11B</t>
  </si>
  <si>
    <t>Acer</t>
  </si>
  <si>
    <t>Buck Run</t>
  </si>
  <si>
    <t>Grass River</t>
  </si>
  <si>
    <t>Meltwater</t>
  </si>
  <si>
    <t>Niagara (NY)</t>
  </si>
  <si>
    <t>Dynamic Energy CT STAG</t>
  </si>
  <si>
    <t>Milford Pepes Farm Road Solar LLC</t>
  </si>
  <si>
    <t>White Plains RFP Shapham Place</t>
  </si>
  <si>
    <t>Shapham Place Solar Project 2020 LLC</t>
  </si>
  <si>
    <t>Valley Sun Solar</t>
  </si>
  <si>
    <t>Valley Sun Solar LLC</t>
  </si>
  <si>
    <t>French Road Solar</t>
  </si>
  <si>
    <t>Madawaska Solar</t>
  </si>
  <si>
    <t>Caribou Solar</t>
  </si>
  <si>
    <t>Jericho Gravel Solar Farm</t>
  </si>
  <si>
    <t>Jericho Landfill Solar Farm</t>
  </si>
  <si>
    <t>ME Fort Fairfield Solar Plant</t>
  </si>
  <si>
    <t>ME Fort Fairfield LLC</t>
  </si>
  <si>
    <t>Ellington - 277 Sadds Mill</t>
  </si>
  <si>
    <t>Gabby Giffords Clean Energy, LLC</t>
  </si>
  <si>
    <t>NineDot Holdings, LLC</t>
  </si>
  <si>
    <t>Gunther</t>
  </si>
  <si>
    <t>ISM Solar Shepherd Acres</t>
  </si>
  <si>
    <t>Richmond (NY)</t>
  </si>
  <si>
    <t>Catskill Solar</t>
  </si>
  <si>
    <t>Catskill View Solar, LLC</t>
  </si>
  <si>
    <t>Claverack Creek Solar</t>
  </si>
  <si>
    <t>Claverack Creek Solar, LLC</t>
  </si>
  <si>
    <t>Augusta Road Bowdoin Solar, LLC</t>
  </si>
  <si>
    <t>Canton GLC Solar, LLC</t>
  </si>
  <si>
    <t>Church Hill Road Augusta Solar, LLC</t>
  </si>
  <si>
    <t>Houlton Road Solar Farm (CSG)</t>
  </si>
  <si>
    <t>Plympton Lake Street Solar</t>
  </si>
  <si>
    <t>Mariaville Road Elsworth Solar, LLC</t>
  </si>
  <si>
    <t>Plympton Main Street Solar, LLC</t>
  </si>
  <si>
    <t>Market Street Gardiner Solar, LLC</t>
  </si>
  <si>
    <t>North Nobleboro Road, LLC</t>
  </si>
  <si>
    <t>Nutting Ridge Solar, LLC</t>
  </si>
  <si>
    <t>Bodhi Solar</t>
  </si>
  <si>
    <t>Bodhi Solar, LLC</t>
  </si>
  <si>
    <t>Perkins Road Belfast Solar, LLC</t>
  </si>
  <si>
    <t>Route 3 China Solar, LLC</t>
  </si>
  <si>
    <t>Searsmont Road Lincolnville Solar, LLC</t>
  </si>
  <si>
    <t>Sheridan Road Solar Farm</t>
  </si>
  <si>
    <t>Skyway Avenue Solar Farm</t>
  </si>
  <si>
    <t>Ward Solar 1, LLC</t>
  </si>
  <si>
    <t>Independence East</t>
  </si>
  <si>
    <t>Dairy Farm</t>
  </si>
  <si>
    <t>Niagara Solar Project</t>
  </si>
  <si>
    <t>DG Niagara, LLC</t>
  </si>
  <si>
    <t>Old Frontier Solar III</t>
  </si>
  <si>
    <t>Old Frontier Solar III PV, LLC</t>
  </si>
  <si>
    <t>Independence Road (CSG)</t>
  </si>
  <si>
    <t>Ruhlmann A (CSG)</t>
  </si>
  <si>
    <t>Ticon Solar</t>
  </si>
  <si>
    <t>Ticon Solar, LLC</t>
  </si>
  <si>
    <t>Rush Solar</t>
  </si>
  <si>
    <t>Rush Solar Farm 1, LLC</t>
  </si>
  <si>
    <t>Guilderland Solar</t>
  </si>
  <si>
    <t>Helios Energy New York 13 LLC</t>
  </si>
  <si>
    <t>Enfield Solar Site 2</t>
  </si>
  <si>
    <t>NSF Enfield Site 2, LLC</t>
  </si>
  <si>
    <t>Enfield Solar Site 3</t>
  </si>
  <si>
    <t>NSF Enfield Site 3, LLC</t>
  </si>
  <si>
    <t>Enfield Solar Site 1</t>
  </si>
  <si>
    <t>NSF Enfield Site 1, LLC</t>
  </si>
  <si>
    <t>Coventry Solar Site 2</t>
  </si>
  <si>
    <t>NSF Coventry Site 2, LLC</t>
  </si>
  <si>
    <t>Coventry Solar Site 3</t>
  </si>
  <si>
    <t>NSF Coventry Site 3, LLC</t>
  </si>
  <si>
    <t>CAMILLUS B (CSG)</t>
  </si>
  <si>
    <t>CAMILLUS A (CSG)</t>
  </si>
  <si>
    <t>Morris Ridge Solar</t>
  </si>
  <si>
    <t>Morris Ridge Solar Energy Center, LLC</t>
  </si>
  <si>
    <t>CP East Hampton I &amp; II Solar</t>
  </si>
  <si>
    <t>Warrior Solar Partners</t>
  </si>
  <si>
    <t>Warrior Solar Partners, LLC</t>
  </si>
  <si>
    <t>118 Echo</t>
  </si>
  <si>
    <t>Waterboro</t>
  </si>
  <si>
    <t>TJA-NY- Dix Solar Farm LLC</t>
  </si>
  <si>
    <t>Dimension Energy LLC</t>
  </si>
  <si>
    <t>TJA-NY-Chestnut Ridge Rd Moravia, LLC</t>
  </si>
  <si>
    <t>TJA-NY-1454 CR 15 Oswegatchie, LLC</t>
  </si>
  <si>
    <t>TJA-NY-Cohocton Solar Farm, LLC</t>
  </si>
  <si>
    <t>TJA-NY-Canton Solar Farm LLC</t>
  </si>
  <si>
    <t>TJA-NY-Barrett Rd New Woodstock, LLC</t>
  </si>
  <si>
    <t>Caledonia CSG LLC</t>
  </si>
  <si>
    <t>Lebanon CSG LLC</t>
  </si>
  <si>
    <t>Martinsburg CSG LLC</t>
  </si>
  <si>
    <t>Richland North</t>
  </si>
  <si>
    <t>Richland South</t>
  </si>
  <si>
    <t>Ellisburg</t>
  </si>
  <si>
    <t>515 Main Saugus</t>
  </si>
  <si>
    <t>515 Main Saugus LLC</t>
  </si>
  <si>
    <t>Aegean Drive Solar</t>
  </si>
  <si>
    <t>Aegean Drive Solar LLC</t>
  </si>
  <si>
    <t>Downing Parkway Solar</t>
  </si>
  <si>
    <t>Downing Parkway Solar LLC</t>
  </si>
  <si>
    <t>Millbury MA #1092</t>
  </si>
  <si>
    <t>Millbury MA #1092 LLC</t>
  </si>
  <si>
    <t>Millis MA 1</t>
  </si>
  <si>
    <t>Millis MA 1 LLC</t>
  </si>
  <si>
    <t>Rochester MA 2</t>
  </si>
  <si>
    <t>Rochester MA 2 LLC</t>
  </si>
  <si>
    <t>Wendell MA 1</t>
  </si>
  <si>
    <t>Wendell MA 1 LLC</t>
  </si>
  <si>
    <t>Walden Solar Maine V</t>
  </si>
  <si>
    <t>Walden Solar Maine V LLC</t>
  </si>
  <si>
    <t>ME - Novel (Lighthouse Ph I) Mars Hill</t>
  </si>
  <si>
    <t>Mars Hill Road Solar Farm, LLC</t>
  </si>
  <si>
    <t>Central Heating Plant</t>
  </si>
  <si>
    <t>University of Massachusetts Amherst</t>
  </si>
  <si>
    <t>Stamford Health Tully Health Center</t>
  </si>
  <si>
    <t>Overlook</t>
  </si>
  <si>
    <t>Bates College Skowhegan</t>
  </si>
  <si>
    <t>Eden Dowmont Road</t>
  </si>
  <si>
    <t>Dowmont Solar, LLC</t>
  </si>
  <si>
    <t>Eden Hidden Meadows</t>
  </si>
  <si>
    <t>Hidden Meadows Solar, LLC</t>
  </si>
  <si>
    <t>CES Heuvelton</t>
  </si>
  <si>
    <t>Heuvelton Solar, LLC</t>
  </si>
  <si>
    <t>Wymans Deblois</t>
  </si>
  <si>
    <t>REC RWD, LLC</t>
  </si>
  <si>
    <t>GSPP 409 Ferris Road</t>
  </si>
  <si>
    <t>GSPP 641 Ferris Road East</t>
  </si>
  <si>
    <t>GSPP 641 Ferris Road West</t>
  </si>
  <si>
    <t>Randall Road Solar I</t>
  </si>
  <si>
    <t>Randall Road Solar II</t>
  </si>
  <si>
    <t>Swaggertown Solar I</t>
  </si>
  <si>
    <t>Belair</t>
  </si>
  <si>
    <t>CVE US EI7 Belair LLC</t>
  </si>
  <si>
    <t>Kilmer</t>
  </si>
  <si>
    <t>Kilmer Solar LLC</t>
  </si>
  <si>
    <t>Manlius East</t>
  </si>
  <si>
    <t>CVE US EI5 Manlius East LLC</t>
  </si>
  <si>
    <t>Manlius North</t>
  </si>
  <si>
    <t>CVE US EI4 Manlius North LLC</t>
  </si>
  <si>
    <t>Manlius West</t>
  </si>
  <si>
    <t>CVE US EI5 Manlius West LLC</t>
  </si>
  <si>
    <t>Mantisi</t>
  </si>
  <si>
    <t>Mantisi Solar LLC</t>
  </si>
  <si>
    <t>New Marlborough</t>
  </si>
  <si>
    <t>Sunrise on Knight Rd. LLC</t>
  </si>
  <si>
    <t>Peru (MA)</t>
  </si>
  <si>
    <t>Sunrise on West Main Rd. LLC</t>
  </si>
  <si>
    <t>Quaker</t>
  </si>
  <si>
    <t>CVE US EI8 Quaker LLC</t>
  </si>
  <si>
    <t>Rak 1</t>
  </si>
  <si>
    <t>Rak 1 Solar LLC</t>
  </si>
  <si>
    <t>Russell (MA)</t>
  </si>
  <si>
    <t>Sunrise on Blandford Rd. LLC</t>
  </si>
  <si>
    <t>Tolland</t>
  </si>
  <si>
    <t>Sunrise on Clubhouse Rd. LLC</t>
  </si>
  <si>
    <t>Westhampton</t>
  </si>
  <si>
    <t>Sunrise on Montague Rd. LLC</t>
  </si>
  <si>
    <t>Westport (MA)</t>
  </si>
  <si>
    <t>Sunrise on Drift Rd. LLC</t>
  </si>
  <si>
    <t>Wheatfield</t>
  </si>
  <si>
    <t>CVE US EI3 Wheatfield LLC</t>
  </si>
  <si>
    <t>Wolf</t>
  </si>
  <si>
    <t>Wolf Solar LLC</t>
  </si>
  <si>
    <t>Swaggertown Solar II</t>
  </si>
  <si>
    <t>Partridge Solar</t>
  </si>
  <si>
    <t>Saddleback Solar</t>
  </si>
  <si>
    <t>Manilus</t>
  </si>
  <si>
    <t>Skyline Solar</t>
  </si>
  <si>
    <t>Adams Grove Solar</t>
  </si>
  <si>
    <t>North Troy</t>
  </si>
  <si>
    <t>Rak 2</t>
  </si>
  <si>
    <t>Rak 2 Solar LLC</t>
  </si>
  <si>
    <t>Apollo</t>
  </si>
  <si>
    <t>Sunrise on Wing Ln. LLC</t>
  </si>
  <si>
    <t>ME CDG 004</t>
  </si>
  <si>
    <t>ME CDG 004 LLC</t>
  </si>
  <si>
    <t>ME CDG 005</t>
  </si>
  <si>
    <t>ME CDG 005 LLC</t>
  </si>
  <si>
    <t>Rivard 1</t>
  </si>
  <si>
    <t>Ridgeway 2</t>
  </si>
  <si>
    <t>Catskill</t>
  </si>
  <si>
    <t>ME - EDF - Phase II - Belfast</t>
  </si>
  <si>
    <t>Shining Solar Partners, LLC</t>
  </si>
  <si>
    <t>Pivot Solar NY 1</t>
  </si>
  <si>
    <t>Pivot Energy</t>
  </si>
  <si>
    <t>Pivot Solar NY 3</t>
  </si>
  <si>
    <t>Pivot Solar NY 6</t>
  </si>
  <si>
    <t>Pivot Solar NY 9</t>
  </si>
  <si>
    <t>Marston Mills Solar</t>
  </si>
  <si>
    <t>Pivot Solar NY 4</t>
  </si>
  <si>
    <t>Pivot Solar NY 5</t>
  </si>
  <si>
    <t>White Brook Renewables PV</t>
  </si>
  <si>
    <t>White Brook Renewables LLC</t>
  </si>
  <si>
    <t>Brattleboro (Windham Landfill)</t>
  </si>
  <si>
    <t>Burns Road Solar</t>
  </si>
  <si>
    <t>Pivot Niagara Solar</t>
  </si>
  <si>
    <t>20 Bedford</t>
  </si>
  <si>
    <t>SP-231 Clifton</t>
  </si>
  <si>
    <t>376 Nash</t>
  </si>
  <si>
    <t>342 Circuit</t>
  </si>
  <si>
    <t>Roosevelt Trail</t>
  </si>
  <si>
    <t>Spring Street Road</t>
  </si>
  <si>
    <t>SP-339 Mechanic Falls</t>
  </si>
  <si>
    <t>Angell Road</t>
  </si>
  <si>
    <t>Bullrock-NxtGenREA</t>
  </si>
  <si>
    <t>Hanover Road</t>
  </si>
  <si>
    <t>Kirkland</t>
  </si>
  <si>
    <t>Arcadia</t>
  </si>
  <si>
    <t>Harris</t>
  </si>
  <si>
    <t>State HWY 17C</t>
  </si>
  <si>
    <t>Day Hollow</t>
  </si>
  <si>
    <t>Jericho</t>
  </si>
  <si>
    <t>State-Fuel Level Increment</t>
  </si>
  <si>
    <r>
      <rPr>
        <b/>
        <sz val="12"/>
        <rFont val="Aptos"/>
        <family val="2"/>
      </rPr>
      <t>Subtotals</t>
    </r>
    <r>
      <rPr>
        <sz val="12"/>
        <rFont val="Aptos"/>
        <family val="2"/>
      </rPr>
      <t>: Values below vary with filters applied to data above.</t>
    </r>
  </si>
  <si>
    <t>Total Fuel Quantity</t>
  </si>
  <si>
    <t>Elec Fuel Quantity</t>
  </si>
  <si>
    <t>Total Fuel MMBtu</t>
  </si>
  <si>
    <t>Elec Fuel MMBtu</t>
  </si>
  <si>
    <t>Net Generation (MWh)</t>
  </si>
  <si>
    <r>
      <rPr>
        <b/>
        <sz val="12"/>
        <rFont val="Aptos"/>
        <family val="2"/>
      </rPr>
      <t>Electricity Rate</t>
    </r>
    <r>
      <rPr>
        <sz val="12"/>
        <rFont val="Aptos"/>
        <family val="2"/>
      </rPr>
      <t xml:space="preserve"> Elec Fuel MMBTU/Net Gen = </t>
    </r>
  </si>
  <si>
    <t>Regional Heat Rates From Columns Y and Z:</t>
  </si>
  <si>
    <t>Heat Rate Type</t>
  </si>
  <si>
    <t>MMBTU/MWh</t>
  </si>
  <si>
    <t>Average CHP-NG Heat Rate for Region =</t>
  </si>
  <si>
    <t>Average CHP-DFO Heat Rate for Region =</t>
  </si>
  <si>
    <t>Weighted Average Wood Heat Rate for Region =</t>
  </si>
  <si>
    <t>Weighted Average LFG Heat Rate for Region =</t>
  </si>
  <si>
    <t>Used on 'XXX' tab</t>
  </si>
  <si>
    <t>923 State Trash Split (from MA Subtotal) For use on 'GIS Heat Input' tab:</t>
  </si>
  <si>
    <t>Trash Type</t>
  </si>
  <si>
    <t>Percent</t>
  </si>
  <si>
    <t>MSN =</t>
  </si>
  <si>
    <t>MSB =</t>
  </si>
  <si>
    <t>Fuel</t>
  </si>
  <si>
    <t>Electricity Fuel Consumption MMBTU (positive gen only)</t>
  </si>
  <si>
    <t>POSITIVE Net Generation MWh</t>
  </si>
  <si>
    <t>WEIGHTED AVG HEAT RATE
(used in Heat Rate Table on 'GIS' tab)</t>
  </si>
  <si>
    <t>natural gas (fuel cell)</t>
  </si>
  <si>
    <t>MA MSW&amp;MSB use all NAICS codes</t>
  </si>
  <si>
    <t>FC prime mover code</t>
  </si>
  <si>
    <t>EPA Clean Air Markets Program Data (CAMPD) Power plant emissions, compliance, and allowance data</t>
  </si>
  <si>
    <t>Clean Air Markets Program Data (CAMPD) | US EPA</t>
  </si>
  <si>
    <t>EPA  Part 75 CO2 Emissions and MMBtu Heat Input Data for New England States and New York</t>
  </si>
  <si>
    <t xml:space="preserve"> Facility Name</t>
  </si>
  <si>
    <t xml:space="preserve"> Facility ID (ORISPL)</t>
  </si>
  <si>
    <t xml:space="preserve"> Unit ID</t>
  </si>
  <si>
    <t xml:space="preserve"> Year</t>
  </si>
  <si>
    <t xml:space="preserve"> CO2 (short tons)</t>
  </si>
  <si>
    <t xml:space="preserve"> Heat Input (MMBtu)</t>
  </si>
  <si>
    <t xml:space="preserve"> Unit Type</t>
  </si>
  <si>
    <t>CO2 (tons)</t>
  </si>
  <si>
    <t>NOTES</t>
  </si>
  <si>
    <t>Devon</t>
  </si>
  <si>
    <t>Combustion turbine</t>
  </si>
  <si>
    <t>Montville</t>
  </si>
  <si>
    <t>Tangentially-fired</t>
  </si>
  <si>
    <t>Dry bottom wall-fired boiler</t>
  </si>
  <si>
    <t>Cyclone boiler</t>
  </si>
  <si>
    <t>Bridgeport Harbor Station</t>
  </si>
  <si>
    <t>BHB5</t>
  </si>
  <si>
    <t>Combined cycle</t>
  </si>
  <si>
    <t>does not include the GT</t>
  </si>
  <si>
    <t>NHB1</t>
  </si>
  <si>
    <t>NHHS2</t>
  </si>
  <si>
    <t>NHHS3</t>
  </si>
  <si>
    <t>NHHS4</t>
  </si>
  <si>
    <t>Alfred L Pierce Generating Station</t>
  </si>
  <si>
    <t>AP-1</t>
  </si>
  <si>
    <t>Ahlstrom Power Windsor Locks, LLC</t>
  </si>
  <si>
    <t>GT1</t>
  </si>
  <si>
    <t>steam and MWh</t>
  </si>
  <si>
    <t>Pratt &amp; Whitney, East Hartford</t>
  </si>
  <si>
    <t>001</t>
  </si>
  <si>
    <t>steam and MWh; industrial</t>
  </si>
  <si>
    <t>Bridgeport Energy</t>
  </si>
  <si>
    <t>BE1</t>
  </si>
  <si>
    <t>BE2</t>
  </si>
  <si>
    <t>Milford Power Company LLC</t>
  </si>
  <si>
    <t>CT01</t>
  </si>
  <si>
    <t>CT02</t>
  </si>
  <si>
    <t>Lake Road Generating Company</t>
  </si>
  <si>
    <t>LRG1</t>
  </si>
  <si>
    <t>LRG2</t>
  </si>
  <si>
    <t>LRG3</t>
  </si>
  <si>
    <t>Wallingford Energy, LLC</t>
  </si>
  <si>
    <t>CT03</t>
  </si>
  <si>
    <t>CT04</t>
  </si>
  <si>
    <t>CT05</t>
  </si>
  <si>
    <t>CT06</t>
  </si>
  <si>
    <t>CT07</t>
  </si>
  <si>
    <t>U1</t>
  </si>
  <si>
    <t>U2</t>
  </si>
  <si>
    <t>Mystic</t>
  </si>
  <si>
    <t>Medway Station</t>
  </si>
  <si>
    <t>J1T1</t>
  </si>
  <si>
    <t>J1T2</t>
  </si>
  <si>
    <t>J2T1</t>
  </si>
  <si>
    <t>J2T2</t>
  </si>
  <si>
    <t>J3T1</t>
  </si>
  <si>
    <t>J3T2</t>
  </si>
  <si>
    <t>Kendall Green Energy LLC</t>
  </si>
  <si>
    <t>Canal Station</t>
  </si>
  <si>
    <t>Potter</t>
  </si>
  <si>
    <t>Although EIA says Potter 2, Units 4 and 5 appear to be included based on MMBtu value.</t>
  </si>
  <si>
    <t>only 1 unit reports CO2</t>
  </si>
  <si>
    <t>Cleary Flood</t>
  </si>
  <si>
    <t>Other boiler</t>
  </si>
  <si>
    <t>EIA is now Cleary Flood Hybrid</t>
  </si>
  <si>
    <t>Stony Brook Energy Center</t>
  </si>
  <si>
    <t>002</t>
  </si>
  <si>
    <t>003</t>
  </si>
  <si>
    <t>004</t>
  </si>
  <si>
    <t>005</t>
  </si>
  <si>
    <t>MBTA South Boston Power Facility</t>
  </si>
  <si>
    <t>A</t>
  </si>
  <si>
    <t>B</t>
  </si>
  <si>
    <t>Bellingham</t>
  </si>
  <si>
    <t>MASSPOWER</t>
  </si>
  <si>
    <t>Deer Island Treatment</t>
  </si>
  <si>
    <t>S42</t>
  </si>
  <si>
    <t>behind the meter</t>
  </si>
  <si>
    <t>S43</t>
  </si>
  <si>
    <t>Pittsfield Generating</t>
  </si>
  <si>
    <t>Cogen</t>
  </si>
  <si>
    <t>Dartmouth Power</t>
  </si>
  <si>
    <t>Tanner Street Generation, LLC</t>
  </si>
  <si>
    <t>Milford Power, LLC</t>
  </si>
  <si>
    <t>Dighton</t>
  </si>
  <si>
    <t>Blackstone Power Generation LLC</t>
  </si>
  <si>
    <t>Fore River Energy Center</t>
  </si>
  <si>
    <t>Exelon West Medway II</t>
  </si>
  <si>
    <t>J4</t>
  </si>
  <si>
    <t>J5</t>
  </si>
  <si>
    <t>Salem Harbor Station NGCC</t>
  </si>
  <si>
    <t xml:space="preserve">Combustion turbine </t>
  </si>
  <si>
    <t>(Started Jan 12, 2024) 923 says 0</t>
  </si>
  <si>
    <t>William F Wyman</t>
  </si>
  <si>
    <t>EIA Wyman Hybrid - but battery separate</t>
  </si>
  <si>
    <t>GEN4</t>
  </si>
  <si>
    <t>says Non-Cogen and did not burn biomass in 2024</t>
  </si>
  <si>
    <t>plant burns both biomass and fossil</t>
  </si>
  <si>
    <t>Circulating fluidized bed boiler</t>
  </si>
  <si>
    <t>Granite Ridge Energy</t>
  </si>
  <si>
    <t>0001</t>
  </si>
  <si>
    <t>0002</t>
  </si>
  <si>
    <t>Newington Energy</t>
  </si>
  <si>
    <t>Arthur Kill</t>
  </si>
  <si>
    <t>CT0001</t>
  </si>
  <si>
    <t>CHP</t>
  </si>
  <si>
    <t>Gowanus Generating Station</t>
  </si>
  <si>
    <t>CT01-1</t>
  </si>
  <si>
    <t>CT01-2</t>
  </si>
  <si>
    <t>CT01-3</t>
  </si>
  <si>
    <t>CT01-4</t>
  </si>
  <si>
    <t>CT01-5</t>
  </si>
  <si>
    <t>CT01-6</t>
  </si>
  <si>
    <t>CT01-7</t>
  </si>
  <si>
    <t>CT01-8</t>
  </si>
  <si>
    <t>CT02-1</t>
  </si>
  <si>
    <t>CT02-2</t>
  </si>
  <si>
    <t>CT02-3</t>
  </si>
  <si>
    <t>CT02-4</t>
  </si>
  <si>
    <t>CT02-5</t>
  </si>
  <si>
    <t>CT02-6</t>
  </si>
  <si>
    <t>CT02-7</t>
  </si>
  <si>
    <t>CT02-8</t>
  </si>
  <si>
    <t>CT03-1</t>
  </si>
  <si>
    <t>CT03-2</t>
  </si>
  <si>
    <t>CT03-3</t>
  </si>
  <si>
    <t>CT03-4</t>
  </si>
  <si>
    <t>CT03-5</t>
  </si>
  <si>
    <t>CT03-6</t>
  </si>
  <si>
    <t>CT03-7</t>
  </si>
  <si>
    <t>CT03-8</t>
  </si>
  <si>
    <t>CT04-1</t>
  </si>
  <si>
    <t>CT04-2</t>
  </si>
  <si>
    <t>CT04-3</t>
  </si>
  <si>
    <t>CT04-4</t>
  </si>
  <si>
    <t>CT04-5</t>
  </si>
  <si>
    <t>CT04-6</t>
  </si>
  <si>
    <t>CT04-7</t>
  </si>
  <si>
    <t>CT04-8</t>
  </si>
  <si>
    <t>Narrows Generating Station</t>
  </si>
  <si>
    <t>Ravenswood Generating Station</t>
  </si>
  <si>
    <t>UCC001</t>
  </si>
  <si>
    <t>CT0002</t>
  </si>
  <si>
    <t>U00004</t>
  </si>
  <si>
    <t>U00005</t>
  </si>
  <si>
    <t>U00006</t>
  </si>
  <si>
    <t>U00007</t>
  </si>
  <si>
    <t>U00008</t>
  </si>
  <si>
    <t>U00009</t>
  </si>
  <si>
    <t>U00011</t>
  </si>
  <si>
    <t>U00012</t>
  </si>
  <si>
    <t>U00013</t>
  </si>
  <si>
    <t>U00014</t>
  </si>
  <si>
    <t>U00015</t>
  </si>
  <si>
    <t>U00016</t>
  </si>
  <si>
    <t>U00017</t>
  </si>
  <si>
    <t>U00018</t>
  </si>
  <si>
    <t>U00019</t>
  </si>
  <si>
    <t>U00020</t>
  </si>
  <si>
    <t>U00021</t>
  </si>
  <si>
    <t>UGT001</t>
  </si>
  <si>
    <t>Port Jefferson Energy Center</t>
  </si>
  <si>
    <t>UGT002</t>
  </si>
  <si>
    <t>UGT003</t>
  </si>
  <si>
    <t>West Babylon Facility</t>
  </si>
  <si>
    <t>not on 923 for 2024</t>
  </si>
  <si>
    <t>Did not burn wood in 2024, just NG</t>
  </si>
  <si>
    <t>Bethlehem Energy Center (Albany)</t>
  </si>
  <si>
    <t>Bowline Generating Station</t>
  </si>
  <si>
    <t>Freeport Power Plant No. 2</t>
  </si>
  <si>
    <t>CT3</t>
  </si>
  <si>
    <t>Wading River Facility</t>
  </si>
  <si>
    <t>UGT007</t>
  </si>
  <si>
    <t>UGT008</t>
  </si>
  <si>
    <t>UGT009</t>
  </si>
  <si>
    <t>UGT013</t>
  </si>
  <si>
    <t>UGT014</t>
  </si>
  <si>
    <t>Richard M Flynn (Holtsville)</t>
  </si>
  <si>
    <t>Glenwood Landing Energy Center</t>
  </si>
  <si>
    <t>UGT011</t>
  </si>
  <si>
    <t>UGT012</t>
  </si>
  <si>
    <t>VB01</t>
  </si>
  <si>
    <t>VB02</t>
  </si>
  <si>
    <t>23rd and 3rd</t>
  </si>
  <si>
    <t>Joseph Seymour Power Project</t>
  </si>
  <si>
    <t>BW01</t>
  </si>
  <si>
    <t>HG01</t>
  </si>
  <si>
    <t>HG02</t>
  </si>
  <si>
    <t>HR01</t>
  </si>
  <si>
    <t>HR02</t>
  </si>
  <si>
    <t>NO1</t>
  </si>
  <si>
    <t>Roseton Generating LLC</t>
  </si>
  <si>
    <t>Holtsville Facility</t>
  </si>
  <si>
    <t>U00001</t>
  </si>
  <si>
    <t>U00002</t>
  </si>
  <si>
    <t>U00003</t>
  </si>
  <si>
    <t>U00010</t>
  </si>
  <si>
    <t>Pouch Terminal</t>
  </si>
  <si>
    <t>PT01</t>
  </si>
  <si>
    <t>31RH</t>
  </si>
  <si>
    <t>32SH</t>
  </si>
  <si>
    <t>51RH</t>
  </si>
  <si>
    <t>52SH</t>
  </si>
  <si>
    <t>Castleton Power, LLC</t>
  </si>
  <si>
    <t>Beaver Falls, LLC</t>
  </si>
  <si>
    <t>Allegany Station No. 133</t>
  </si>
  <si>
    <t>00001</t>
  </si>
  <si>
    <t>not shown on 923</t>
  </si>
  <si>
    <t>Carthage Energy</t>
  </si>
  <si>
    <t>Syracuse, LLC</t>
  </si>
  <si>
    <t>Selkirk Cogen Partners</t>
  </si>
  <si>
    <t>CTG101</t>
  </si>
  <si>
    <t>CTG201</t>
  </si>
  <si>
    <t>CTG301</t>
  </si>
  <si>
    <t>AG - Energy</t>
  </si>
  <si>
    <t>Bethpage Energy Center</t>
  </si>
  <si>
    <t>GT2</t>
  </si>
  <si>
    <t>GT3</t>
  </si>
  <si>
    <t>GT4</t>
  </si>
  <si>
    <t>Indeck-Silver Springs Energy Center</t>
  </si>
  <si>
    <t>Indeck-Oswego Energy Center</t>
  </si>
  <si>
    <t>Indeck-Yerkes Energy Center</t>
  </si>
  <si>
    <t>Indeck-Corinth Energy Center</t>
  </si>
  <si>
    <t>Covanta Niagara</t>
  </si>
  <si>
    <t>R1B01</t>
  </si>
  <si>
    <t>R1B02</t>
  </si>
  <si>
    <t>1GTDBS</t>
  </si>
  <si>
    <t>CHP status is N 923 and STEAM = ELEC MMBTUs</t>
  </si>
  <si>
    <t>Lockport</t>
  </si>
  <si>
    <t>011854</t>
  </si>
  <si>
    <t>011855</t>
  </si>
  <si>
    <t>011856</t>
  </si>
  <si>
    <t>Indeck-Olean Energy Center</t>
  </si>
  <si>
    <t>KIAC Cogeneration</t>
  </si>
  <si>
    <t>World Generation X, LLC</t>
  </si>
  <si>
    <t>NTCT1</t>
  </si>
  <si>
    <t>Nissequogue Energy Center</t>
  </si>
  <si>
    <t>Independence</t>
  </si>
  <si>
    <t>Saranac Power Partners, LP</t>
  </si>
  <si>
    <t>00002</t>
  </si>
  <si>
    <t>combusts OBL</t>
  </si>
  <si>
    <t>Batavia Energy</t>
  </si>
  <si>
    <t>CT1</t>
  </si>
  <si>
    <t>CT2</t>
  </si>
  <si>
    <t>CT4</t>
  </si>
  <si>
    <t>Athens Generating Company</t>
  </si>
  <si>
    <t>Bayswater Peaking Facility</t>
  </si>
  <si>
    <t>Edgewood Energy</t>
  </si>
  <si>
    <t>Shoreham Energy</t>
  </si>
  <si>
    <t>Hawkeye Energy Greenport, LLC</t>
  </si>
  <si>
    <t>U-01</t>
  </si>
  <si>
    <t>Equus  Power I</t>
  </si>
  <si>
    <t>Pinelawn Power</t>
  </si>
  <si>
    <t>Poletti 500 MW CC</t>
  </si>
  <si>
    <t>CTG7A</t>
  </si>
  <si>
    <t>Zeltman</t>
  </si>
  <si>
    <t>CTG7B</t>
  </si>
  <si>
    <t>Empire Generating Co, LLC</t>
  </si>
  <si>
    <t>CT-1</t>
  </si>
  <si>
    <t>CT-2</t>
  </si>
  <si>
    <t>Valley Energy Center</t>
  </si>
  <si>
    <t>Cricket Valley Energy Center</t>
  </si>
  <si>
    <t>U001</t>
  </si>
  <si>
    <t>U002</t>
  </si>
  <si>
    <t>U003</t>
  </si>
  <si>
    <t>Manchester Street Station</t>
  </si>
  <si>
    <t>Tiverton Power, LLC</t>
  </si>
  <si>
    <t>RISEP1</t>
  </si>
  <si>
    <t>RISEP2</t>
  </si>
  <si>
    <t>Penny Lane Gas Turbine</t>
  </si>
  <si>
    <t>n/a</t>
  </si>
  <si>
    <t>Subtotal</t>
  </si>
  <si>
    <t>Unit level CO2 emissions from EPA's Air Markets Program Data for units subject to RGGI and reporting to EPA under 40 CFR Part 75.</t>
  </si>
  <si>
    <t>Part 75 CO2 from cogeneration units is not used, as Part 75 does not report CO2 by type of energy produced (i.e., steam and electricity).</t>
  </si>
  <si>
    <t>Part 75 CO2 from units that combust biomass and non-biomass fuels is not used, as Part 75 does not report CO2 by fuel.</t>
  </si>
  <si>
    <t>Part 75 CO2 is not used when only a portion of CO2 for a row on Form 923 is reported under Part 75</t>
  </si>
  <si>
    <t>These tables calculate CO2e from GIS certificates from emitting fuels, allowing GIS certificates that are settled or reserved in a state to be treated - from an emissions and load standpoint - as if they were generated in that state.</t>
  </si>
  <si>
    <t>Emissions in the Net Transfer table are used to adjust each state and province's emissions.</t>
  </si>
  <si>
    <t>Emissions in the two ISO-MSS tables are used to calculate each ISO-NE state's exported emission rate. ISO-NON data is not included because the generation emissions they are adjusting do not usually include emissions from ISO-NON units.</t>
  </si>
  <si>
    <t>Net Transfer GIS Emissions Summary by State or Province</t>
  </si>
  <si>
    <t>CO2e from CO2 from Non-Biogenic Fuels</t>
  </si>
  <si>
    <t>Net Transfer GIS Emissions Calculations by State or Province (1 Non-Biogenic and 1 Biogenic Table each)</t>
  </si>
  <si>
    <t>MASSACHUSETTS GIS Net Transfer Emissions from Non-Biogenic Fuels</t>
  </si>
  <si>
    <t>Heat Input from GIS certificates (MMBtu)</t>
  </si>
  <si>
    <t>MASSACHUSETTS GIS Net Transfer Emissions from Biogenic Fuels</t>
  </si>
  <si>
    <t>biogas and digester gas</t>
  </si>
  <si>
    <t>CONNECTICUT GIS Net Transfer Emissions from Non-Biogenic Fuels</t>
  </si>
  <si>
    <t>CONNECTICUT GIS Net Transfer Emissions from Biogenic Fuels</t>
  </si>
  <si>
    <t>MAINE GIS Net Transfer Emissions from Non-Biogenic Fuels</t>
  </si>
  <si>
    <t>New Brunswick System Mix</t>
  </si>
  <si>
    <t>MAINE GIS Net Transfer Emissions from Biogenic Fuels</t>
  </si>
  <si>
    <t>NEW HAMPSHIRE GIS Net Transfer Emissions from Non-Biogenic Fuels</t>
  </si>
  <si>
    <t>NEW YORK GIS Net Transfer Emissions from Non-Biogenic Fuels</t>
  </si>
  <si>
    <t>New York System Mix</t>
  </si>
  <si>
    <t>NEW YORK GIS Net Transfer Emissions from Biogenic Fuels</t>
  </si>
  <si>
    <t>RHODE ISLAND GIS Net Transfer Emissions from Non-Biogenic Fuels</t>
  </si>
  <si>
    <t>RHODE ISLAND GIS Net Transfer Emissions from Biogenic Fuels</t>
  </si>
  <si>
    <t>VERMONT GIS Net Transfer Emissions from Non-Biogenic Fuels</t>
  </si>
  <si>
    <t>Quebec System Mix</t>
  </si>
  <si>
    <t>VERMONT GIS Net Transfer Emissions from Biogenic Fuels</t>
  </si>
  <si>
    <t>Quebec, Newfoundland and Labrador GIS Net Transfer Emissions from Non-Biogenic Fuels</t>
  </si>
  <si>
    <t>Quebec, Newfoundland and Labrador GIS Net Transfer Emissions from Biogenic Fuels</t>
  </si>
  <si>
    <t>landfill gas transferred out through RPS</t>
  </si>
  <si>
    <t>Canadian Maritime Provinces (through New Brunswick) GIS Net Transfer Emissions from Non-Biogenic Fuels</t>
  </si>
  <si>
    <t>ISO-MSS Emissions Removed from State Summary by State</t>
  </si>
  <si>
    <t>Massachusetts -MSS  GIS Emissions for Non-Biogenic Fuels from certificates that settle Out of State</t>
  </si>
  <si>
    <t>distillate petroleum and oil</t>
  </si>
  <si>
    <t>Massachusetts - MSS GIS Emissions for Biogenic Fuels from certificates that settle Out of State</t>
  </si>
  <si>
    <t>Connecticut -MSS  GIS Emissions for Non-Biogenic Fuels from certificates that settle Out of State</t>
  </si>
  <si>
    <t>Connecticut -MSS  GIS Emissions for Biogenic Fuels from certificates that settle Out of State</t>
  </si>
  <si>
    <t>Maine -MSS  GIS Emissions for Non-Biogenic Fuels from certificates that settle Out of State</t>
  </si>
  <si>
    <t>Maine -MSS  GIS Emissions for Biogenic Fuels from certificates that settle Out of State</t>
  </si>
  <si>
    <t>New Hampshire -MSS  GIS Emissions for Non-Biogenic Fuels from certificates that settle Out of State</t>
  </si>
  <si>
    <t>New Hampshire -MSS  GIS Emissions for Biogenic Fuels from certificates that settle Out of State</t>
  </si>
  <si>
    <t>Rhode Island -MSS  GIS Emissions for Non-Biogenic Fuels from certificates that settle Out of State</t>
  </si>
  <si>
    <t>Rhode Island -MSS  GIS Emissions for Biogenic Fuels from certificates that settle Out of State</t>
  </si>
  <si>
    <t>Vermont -MSS  GIS Emissions for Non-Biogenic Fuels from certificates that settle Out of State</t>
  </si>
  <si>
    <t>Vermont -MSS  GIS Emissions for Biogenic Fuels from certificates that settle Out of State</t>
  </si>
  <si>
    <t>ISO-MSS Emissions that Settle In-State Summary by State</t>
  </si>
  <si>
    <t>Massachusetts - ISO-MSS Emissions from Non-Biogenic Fuels that Settle In-State</t>
  </si>
  <si>
    <t>Massachusetts - ISO-MSS Emissions from Biogenic Fuels that Settle In-State</t>
  </si>
  <si>
    <t>Connecticut - ISO-MSS Emissions from Non-Biogenic Fuels that Settle In-State</t>
  </si>
  <si>
    <t>Connecticut - ISO-MSS Emissions from Biogenic Fuels that Settle In-State</t>
  </si>
  <si>
    <t>Maine - ISO-MSS Emissions from Non-Biogenic Fuels that Settle In-State</t>
  </si>
  <si>
    <t>Maine - ISO-MSS Emissions from Biogenic Fuels that Settle In-State</t>
  </si>
  <si>
    <t>New Hampshire - ISO-MSS Emissions from Non-Biogenic Fuels that Settle In-State</t>
  </si>
  <si>
    <t>New Hampshire - ISO-MSS Emissions from Biogenic Fuels that Settle In-State</t>
  </si>
  <si>
    <t>Rhode Island - ISO-MSS Emissions from Non-Biogenic Fuels that Settle In-State</t>
  </si>
  <si>
    <t>Rhode Island - ISO-MSS Emissions from Biogenic Fuels that Settle In-State</t>
  </si>
  <si>
    <t>Vermont - ISO-MSS Emissions from Non-Biogenic Fuels that Settle In-State</t>
  </si>
  <si>
    <t>Vermont - ISO-MSS Emissions from Biogenic Fuels that Settle In-State</t>
  </si>
  <si>
    <t>from GIS Transfers tab</t>
  </si>
  <si>
    <t>MA fuel-specific MSS MMBTUs to MA</t>
  </si>
  <si>
    <t>CT fuel-specific MSS MMBTUs to CT</t>
  </si>
  <si>
    <t>ME fuel-specific MSS &amp; IMP MMBTUs to ME</t>
  </si>
  <si>
    <t>NH fuel-specific MSS MMBTUs to NH</t>
  </si>
  <si>
    <t>RI fuel-specific MSS MMBTUs to RI</t>
  </si>
  <si>
    <t>VT fuel-specific MSS MMBTUs to VT</t>
  </si>
  <si>
    <t>Biogas</t>
  </si>
  <si>
    <t>Biomass</t>
  </si>
  <si>
    <t>Coal</t>
  </si>
  <si>
    <t>Diesel</t>
  </si>
  <si>
    <t>Digester Gas</t>
  </si>
  <si>
    <t>Fuel cell</t>
  </si>
  <si>
    <t>Hydroelectric/Hydropower</t>
  </si>
  <si>
    <t>Hydrokinetic</t>
  </si>
  <si>
    <t>Jet</t>
  </si>
  <si>
    <t>Landfill gas</t>
  </si>
  <si>
    <t>Municipal solid waste</t>
  </si>
  <si>
    <t>Natural gas</t>
  </si>
  <si>
    <t>Nuclear</t>
  </si>
  <si>
    <t>Oil</t>
  </si>
  <si>
    <t>Solar Photovoltaic</t>
  </si>
  <si>
    <t>Trash-to-energy</t>
  </si>
  <si>
    <t>Wind</t>
  </si>
  <si>
    <t>Wood</t>
  </si>
  <si>
    <t>The values in the Heat Rate Table are the weighted state- and fuel-specific average heat rates for this year, as calculated on the 'EIA Form 923' worksheet.</t>
  </si>
  <si>
    <t>Values from the Heat Rate Table and the GIS Tables are combined to give the MMBTU values in the MMBTU Tables from emitting fuel types on the 'GIS' worksheet, by fuel type.</t>
  </si>
  <si>
    <t>Values from the MMBTU tables are then consolidated in the Consolidated Heat Input Tables.</t>
  </si>
  <si>
    <t>Together, they allow GIS certificates that are settled or reserved in a state to be treated - from an emissions and load standpoint - as if they were generated in that state.</t>
  </si>
  <si>
    <t>Values from the Heat Rate Table and the GIS Tables are combined to give the MMBTU values in the MMBTU Tables.</t>
  </si>
  <si>
    <t>These MMBTU values represent the MMBTUs of the generating state's fuel-specific certificates. MMBTU values only appear for emitting fuels.</t>
  </si>
  <si>
    <t>CONSOLIDATED GIS CERTIFICATE HEAT INPUT (MMBTU) TABLES FOR STATES AND PROVINCES</t>
  </si>
  <si>
    <t>Fuels that use a common emission factor are combined into a single row where possible: wood and biomass, distillate petroleum and oil, trash and municipal solid waste, biogas and digester gas.</t>
  </si>
  <si>
    <t>HEAT RATE TABLE: Weighted state- and fuel-specific average heat rates that are determined on 'EIA Form 923' worksheet and used to calculate MMBTUs, by fuel type, in the MMBTU Tables.</t>
  </si>
  <si>
    <t>Blank rows or cells show fuels that are either non-emitting or for which no RPS-eligible electricity generating certificates were transferred out of state during this year.</t>
  </si>
  <si>
    <t>See the 'EIA Form 923 data' worksheet and the 'EPA Part 75' worksheet for the determination of MSN (non-biogenic)/MSB (biogenic) split for Municipal Solid Waste &amp; Trash-to-Energy.</t>
  </si>
  <si>
    <t>Biogas and Digester gas has been assigned the same heat rate as Landfill gas.</t>
  </si>
  <si>
    <t xml:space="preserve">Fuel cell (Natural Gas) non-combustion CO2 emissions are calculated directly from MWh (certificates) instead of MMBTUs so the heat rate values remain blank. </t>
  </si>
  <si>
    <t>The MMBTU values are assigned by EIA fuel code to the 'GIS CO2e' worksheet.</t>
  </si>
  <si>
    <t>HEAT RATE TABLE: Weighted State-wide Average Heat Rates by NEPOOL GIS Fuel Type (MMBTU/MWh)</t>
  </si>
  <si>
    <t>Fuel Types</t>
  </si>
  <si>
    <t>CMP</t>
  </si>
  <si>
    <t>Q, N, L</t>
  </si>
  <si>
    <t>Corresponding EIA Fuel Codes for emitting fuels</t>
  </si>
  <si>
    <t>-</t>
  </si>
  <si>
    <t xml:space="preserve">Diesel </t>
  </si>
  <si>
    <t>Fuel cell (Natural Gas)</t>
  </si>
  <si>
    <t>FC (Prime Mover) NG</t>
  </si>
  <si>
    <t>Landfill gas (Regional for Quebec)</t>
  </si>
  <si>
    <t>% MSN &amp; % MSB</t>
  </si>
  <si>
    <t xml:space="preserve">Natural gas </t>
  </si>
  <si>
    <t>Wood*</t>
  </si>
  <si>
    <t xml:space="preserve">MMBTU TABLES: </t>
  </si>
  <si>
    <t>MMBTUs for emitting fuels types of electricity generating GIS certificates that have settled or been reserved out-of-state.</t>
  </si>
  <si>
    <t>For the Maine Table, the MSS columns include certificates from both ISO-MSS and ISO-IMP meters (for portions of Maine not in the NE-ISO control area).</t>
  </si>
  <si>
    <t>The New York, Quebec and Canadian Maritime Provinces Tables contain only certificates from ISO-IMP meters as all these areas are outside of the NE-ISO control area.</t>
  </si>
  <si>
    <t xml:space="preserve">The fuel-specific MMBTU values in each row are aggregated in the Consolidated Heat Input Tables and converted to CO2e values on the 'GIS CO2e' worksheet. </t>
  </si>
  <si>
    <t>No MMBTUs are shown in the MMBTU tables for non-emitting certificates that are settled or reserved out of state, since non-emitting certificates have no emissions.</t>
  </si>
  <si>
    <t>Fuel-Specific MMBTUs from CT</t>
  </si>
  <si>
    <t>FUELS</t>
  </si>
  <si>
    <t>MSS  to CT</t>
  </si>
  <si>
    <t>NON to CT</t>
  </si>
  <si>
    <t>MSS  to MA</t>
  </si>
  <si>
    <t>NON to MA</t>
  </si>
  <si>
    <t>MSS to ME</t>
  </si>
  <si>
    <t>NON to ME</t>
  </si>
  <si>
    <t>MSS to NH</t>
  </si>
  <si>
    <t>NON to NH</t>
  </si>
  <si>
    <t>MSS to RI</t>
  </si>
  <si>
    <t>NON to RI</t>
  </si>
  <si>
    <t>MSS to VT</t>
  </si>
  <si>
    <t>NON to VT</t>
  </si>
  <si>
    <t>Fuel-Specific MMBTUs from MA</t>
  </si>
  <si>
    <t>Fuel-Specific MMBTUs from ME</t>
  </si>
  <si>
    <t>Fuel-Specific MMBTUs from NH</t>
  </si>
  <si>
    <t>Fuel-Specific MMBTUs from RI</t>
  </si>
  <si>
    <t>Fuel-Specific MMBTUs from VT</t>
  </si>
  <si>
    <t>Fuel-Specific MMBTUs from NY</t>
  </si>
  <si>
    <t>IMP to CT</t>
  </si>
  <si>
    <t>IMP to MA</t>
  </si>
  <si>
    <t>IMP to ME</t>
  </si>
  <si>
    <t>IMP to NH</t>
  </si>
  <si>
    <t>IMP to RI</t>
  </si>
  <si>
    <t>IMP to VT</t>
  </si>
  <si>
    <t>Fuel-Specific MMBTUs from CMP</t>
  </si>
  <si>
    <t>Fuel-Specific MMBTUs from Q, N and L</t>
  </si>
  <si>
    <t>The NON MMBTUs do not need to be subtracted from the generating state since emissions from these units they were not originally included in the 923 or ISO data.</t>
  </si>
  <si>
    <t>Massachusetts Fuels Adding to Total CO2e</t>
  </si>
  <si>
    <t xml:space="preserve">Fuel Types </t>
  </si>
  <si>
    <t>Into State - MSS Meter (MMBtu)</t>
  </si>
  <si>
    <t>Into State - IMP Meter (MMBtu)2</t>
  </si>
  <si>
    <t>Into State - NON Meter (MMBtu)</t>
  </si>
  <si>
    <t>Out of State -
MSS Meter 
(MMBtu)</t>
  </si>
  <si>
    <t>*Form 923 trash split</t>
  </si>
  <si>
    <t>Net Heat Input from all GIS certificates (MMBtu)</t>
  </si>
  <si>
    <t>non-biogenic component of municipal solid waste and trash</t>
  </si>
  <si>
    <t>biogenic component of municipal solid waste and trash</t>
  </si>
  <si>
    <t>biomass and wood/wood waste solids</t>
  </si>
  <si>
    <t>Connecticut Fuels Adding to Total CO2e</t>
  </si>
  <si>
    <t>Maine Fuels Adding to Total CO2e</t>
  </si>
  <si>
    <t>New Hampshire Fuels Adding to Total CO2e</t>
  </si>
  <si>
    <t>Rhode Island Fuels Adding to Total CO2e</t>
  </si>
  <si>
    <t>Vermont Fuels Adding to Total CO2e</t>
  </si>
  <si>
    <t>New York Fuels Adding to Total CO2e</t>
  </si>
  <si>
    <t>Out of State -
IMP Meter 
(MMBtu)</t>
  </si>
  <si>
    <t>Canadian Maritime Provinces (through New Brunswick) Fuels Adding to Total CO2e</t>
  </si>
  <si>
    <t>Out of Province
IMP Meter 
(MMBtu)</t>
  </si>
  <si>
    <t xml:space="preserve">  -</t>
  </si>
  <si>
    <t>Quebec, Newfoundland and Labrador (through Quebec) Fuels Adding to Total CO2e</t>
  </si>
  <si>
    <t>GIS Tables</t>
  </si>
  <si>
    <t>The values in the GIS Tables are a summary of each state's RPS-eligible electricity generation certificates that settled in a retail seller's account or are reserved, by fuel and by state where it settled.</t>
  </si>
  <si>
    <t>The total number of emitting and non-emitting MWhs from certificates that settle or are reserved into each state are found in the state-specific certificate tables, with the data gathered into a GIS Summary Table.</t>
  </si>
  <si>
    <t>The GIS Summary Table totals the MWh from settled and reserved certificates that are imported into and exported out of each state; it also totals each state's NON-ISO generation, the ISO-MSS power that remains in the state it was generated in, and the ISO-MSS power that leaves a state.</t>
  </si>
  <si>
    <t>The GIS Summary Table data is also shown in the Generation and NEPOOL-GIS Certificate Table on the 'State &amp; Province Summary' worksheet, where each state's net certificate generation is calculated by subtracting its exports from its imports and adding in its adjusted NON-ISO generation.</t>
  </si>
  <si>
    <t>In this way, emissions and MWh from each GIS certificate are transferred from the state where they were generated to the state where the certificate settled or was reserved.</t>
  </si>
  <si>
    <t>In the case of a NON-ISO certificate, one MWh is also added to the load of the state where the certificate settled or is reserved.</t>
  </si>
  <si>
    <t>In the case of a non-emitting GIS certificate, zero emissions are given to the state where the certificate is settled or reserved, but the state does pick up the MWh for its generation and load.</t>
  </si>
  <si>
    <t>Certificates that settle or are reserved in the same state they were generated in are in the grey columns. (Certificates that do not settle in any particular state are not counted.)</t>
  </si>
  <si>
    <t>Because a portion of Maine is outside of NE-ISO, Maine's generation certificates come from ISO-IMP meters in addition to ISO-MSS and ISO-NON meters.</t>
  </si>
  <si>
    <t>For the New York, Quebec and Canadian Maritime Province Tables, all certificates are from ISO-IMP meters as these areas are outside of the NE-ISO control area.</t>
  </si>
  <si>
    <t>The TOTAL columns are the sum of the ISO-MSS and ISO-NON certificates (and also ISO-IMP certificates in Maine, NY, Canadian Maritime Provinces and Quebec).</t>
  </si>
  <si>
    <t>New York, New Brunswick and Quebec System Mix certificates that settle in a state are included as a 'fuel type' in these tables. Emissions are calculated on the 'GIS CO2e' worksheet using an emission rate from the 'State &amp; Provinces Summary Tables' worksheet.</t>
  </si>
  <si>
    <t>The GIS Summary Table also totals each state's NON-ISO electricity generation, and the ISO-MSS power that remains in the state it was generated in as well as the ISO-MSS power that leaves a state.</t>
  </si>
  <si>
    <t>NON-ISO generation is often 'distributed' or 'behind-the-meter' generation whose MWh are not accounted for in NE-ISO's annual load and generation reports, and therefore are not included in the 'Generation Load Imports' worksheet.</t>
  </si>
  <si>
    <t>Distributed generation comes from the commercial, industrial or residential sectors, rather than the electricity sector, so the emissions from this generation are also not included data sources for the 'Generation CO2e'  worksheet.</t>
  </si>
  <si>
    <t xml:space="preserve">Certificates from CONNECTICUT </t>
  </si>
  <si>
    <t>MSS to CT</t>
  </si>
  <si>
    <t>TOTAL to CT</t>
  </si>
  <si>
    <t>MSS to MA</t>
  </si>
  <si>
    <t>TOTAL to MA</t>
  </si>
  <si>
    <t>TOTAL to ME</t>
  </si>
  <si>
    <t>TOTAL to NH</t>
  </si>
  <si>
    <t>TOTAL to RI</t>
  </si>
  <si>
    <t>TOTAL to VT</t>
  </si>
  <si>
    <t>Certificates from MASSACHUSETTS</t>
  </si>
  <si>
    <t>Certificates from MAINE</t>
  </si>
  <si>
    <t>IMP to RVT</t>
  </si>
  <si>
    <t>Certificates from NEW HAMPSHIRE</t>
  </si>
  <si>
    <t>Certificates from RHODE ISLAND</t>
  </si>
  <si>
    <t>Certificates from VERMONT</t>
  </si>
  <si>
    <t>Certificates from NEW YORK</t>
  </si>
  <si>
    <t>IMP (NB) to CT</t>
  </si>
  <si>
    <t>IMP (NS) to CT</t>
  </si>
  <si>
    <t>IMP (PEI) to CT</t>
  </si>
  <si>
    <t>IMP (NB)  to MA</t>
  </si>
  <si>
    <t>IMP (NS) to MA</t>
  </si>
  <si>
    <t>IMP (PEI) to MA</t>
  </si>
  <si>
    <t>TOTAL  to MA</t>
  </si>
  <si>
    <t>IMP (NB) to ME</t>
  </si>
  <si>
    <t>IMP (NS) to ME</t>
  </si>
  <si>
    <t>IMP (PEI) to ME</t>
  </si>
  <si>
    <t>IMP (NB) to NH</t>
  </si>
  <si>
    <t>IMP (NS) to NH</t>
  </si>
  <si>
    <t>IMP (PEI) to NH</t>
  </si>
  <si>
    <t>IMP (NB) to RI</t>
  </si>
  <si>
    <t>IMP (NS) to RI</t>
  </si>
  <si>
    <t>IMP (PEI) to RI</t>
  </si>
  <si>
    <t>IMP (NB) to VT</t>
  </si>
  <si>
    <t>IMP (NS) to VT</t>
  </si>
  <si>
    <t>IMP (PEI) to VT</t>
  </si>
  <si>
    <t>Certificates from QUEBEC (Q), NEWFOUNDLAND (N) and LABRADOR (L)</t>
  </si>
  <si>
    <t>IMP (Q) to CT</t>
  </si>
  <si>
    <t>IMP (N) to CT</t>
  </si>
  <si>
    <t>IMP (L) to CT</t>
  </si>
  <si>
    <t>IMP (Q) to MA</t>
  </si>
  <si>
    <t>IMP (N) to MA</t>
  </si>
  <si>
    <t>IMP (L) to MA</t>
  </si>
  <si>
    <t>IMP (Q) to ME</t>
  </si>
  <si>
    <t>IMP (N) to ME</t>
  </si>
  <si>
    <t>IMP (L) to ME</t>
  </si>
  <si>
    <t>IMP (Q) to NH</t>
  </si>
  <si>
    <t>IMP (N) to NH</t>
  </si>
  <si>
    <t>IMP (L) to NH</t>
  </si>
  <si>
    <t>IMP (Q) to RI</t>
  </si>
  <si>
    <t>IMP (N) to RI</t>
  </si>
  <si>
    <t>IMP (L) to RI</t>
  </si>
  <si>
    <t>IMP (Q) to VT</t>
  </si>
  <si>
    <t>IMP (N) to VT</t>
  </si>
  <si>
    <t>IMP (L) to VT</t>
  </si>
  <si>
    <t>System Mix</t>
  </si>
  <si>
    <t>GIS SUMMARY TABLE</t>
  </si>
  <si>
    <t>Connecticut</t>
  </si>
  <si>
    <t>Massachusetts</t>
  </si>
  <si>
    <t>Maine</t>
  </si>
  <si>
    <t>New Hampshire</t>
  </si>
  <si>
    <t>Rhode Island</t>
  </si>
  <si>
    <t>Canadian Maritime Provinces</t>
  </si>
  <si>
    <t>Total RECs Imported</t>
  </si>
  <si>
    <t>Total RECs Exported to NE</t>
  </si>
  <si>
    <t>Total ISO-NON Generation</t>
  </si>
  <si>
    <t>ISO-MSS Certificates Into State</t>
  </si>
  <si>
    <t>ISO-MSS Certificates Out of State</t>
  </si>
  <si>
    <t>Global Warming Potentials (GWPs), Emission Factors (EFs) and Other Conversion Factors</t>
  </si>
  <si>
    <t>Global Warming Potential</t>
  </si>
  <si>
    <r>
      <rPr>
        <sz val="12"/>
        <color indexed="8"/>
        <rFont val="Aptos"/>
        <family val="2"/>
      </rPr>
      <t>Select</t>
    </r>
    <r>
      <rPr>
        <sz val="12"/>
        <rFont val="Aptos"/>
        <family val="2"/>
      </rPr>
      <t xml:space="preserve"> the IPCC report whose Global Warming Potentials you would like to use using the 'dropdown' button in Cell A7. </t>
    </r>
  </si>
  <si>
    <t>IPCC Report and Timeframe</t>
  </si>
  <si>
    <t>CH4 GWP</t>
  </si>
  <si>
    <t>N2O GWP</t>
  </si>
  <si>
    <t>2007 Fourth Assessment Report (AR4), 100-year</t>
  </si>
  <si>
    <t>2014 Fifth Assessment Report (AR5), 100-year</t>
  </si>
  <si>
    <t>2021 Sixth Assessment Report (AR6), 100-year</t>
  </si>
  <si>
    <t>2007 Fourth Assessment Report (AR4), 20-year</t>
  </si>
  <si>
    <t>2014 Fifth Assessment Report (AR5), 20-year</t>
  </si>
  <si>
    <t>2021 Sixth Assessment Report (AR6), 20-year</t>
  </si>
  <si>
    <t>Emission Factor Selection</t>
  </si>
  <si>
    <t xml:space="preserve">Sources for emission factors were chosen based on two criteria: 1) geographic scope of the data relative to the emission sources, and 2) the regularity with which the data are updated. </t>
  </si>
  <si>
    <t xml:space="preserve">Based on these parameters, EIA emission factors are used when available. These are the preferred emission factors because they are a national-level dataset that are updated annually. </t>
  </si>
  <si>
    <t>In the absence of EIA data, EPA emission factors are used. In the absence of both national-level data sets, IPCC emission factors are used.</t>
  </si>
  <si>
    <t>Emission Factors - CO2 from Non-Biogenic Fuel Types(CO2 lb/MMBtu) HHV</t>
  </si>
  <si>
    <t>Selected Emission Factor (CO2 lb/MMBtu) HHV</t>
  </si>
  <si>
    <t>Selected Source</t>
  </si>
  <si>
    <t>IPCC Emission Factors (CO2 lb/MMBtu) HHV</t>
  </si>
  <si>
    <t>EIA Emission Factors (CO2 lb/MMBtu) HHV</t>
  </si>
  <si>
    <t>EPA Emission Factors (CO2 lb/MMBtu) HHV</t>
  </si>
  <si>
    <t>average of other emission factors (CO2 lb/MMBtu) HHV</t>
  </si>
  <si>
    <t>http://epa.gov/climatechange/emissions/downloads10/US-GHG-Inventory-2010-Annex-2-CO2-Fossil-Fuel-Combustion.pdf</t>
  </si>
  <si>
    <t>consumption data in the U.S. inventory are presented using higher heating values (HHV)1 rather than the
lower heating values (LHV)2 reflected in the IPCC emission inventory methodology. This convention is followed because data obtained from EIA are based on HHV. Of note, however, is that EIA renewable energy statistics are often published
using LHV. The difference between the two conventions relates to the treatment of the heat energy that is consumed in the
process of evaporating the water contained in the fuel. The simplified convention used by the International Energy
Agency for converting from HHV to LHV is to multiply the energy content by 0.95 for petroleum and coal and by 0.9 for
natural gas.</t>
  </si>
  <si>
    <t>Emission Factors - CO2 from Biogenic Fuel Types (CO2 lb/MMBtu) HHV</t>
  </si>
  <si>
    <t>Non-Combustion Emission Factor for CO2 from Fuel Cells (lb/MWh)</t>
  </si>
  <si>
    <t xml:space="preserve"> Emission Factor (CO2 lb/MWh)</t>
  </si>
  <si>
    <t>Natural Gas converted for use in Fuel Cells</t>
  </si>
  <si>
    <t>EPA/ICF*</t>
  </si>
  <si>
    <t xml:space="preserve"> *Emission factor is based on an average of the emission factors estimated for five different types of fuel cells, with and without heat recovery, obtained by ICF for EPA through a manufacturer data collection (page 6-19 of Catalog of CHP Technologies).</t>
  </si>
  <si>
    <t>Catalog of CHP Technologies, Section 6. Technology Characterization – Fuel Cells</t>
  </si>
  <si>
    <r>
      <t>There are no CH</t>
    </r>
    <r>
      <rPr>
        <vertAlign val="subscript"/>
        <sz val="12"/>
        <rFont val="Aptos"/>
        <family val="2"/>
      </rPr>
      <t>4</t>
    </r>
    <r>
      <rPr>
        <sz val="12"/>
        <rFont val="Aptos"/>
        <family val="2"/>
      </rPr>
      <t xml:space="preserve"> or N</t>
    </r>
    <r>
      <rPr>
        <vertAlign val="subscript"/>
        <sz val="12"/>
        <rFont val="Aptos"/>
        <family val="2"/>
      </rPr>
      <t>2</t>
    </r>
    <r>
      <rPr>
        <sz val="12"/>
        <rFont val="Aptos"/>
        <family val="2"/>
      </rPr>
      <t>O emissions from this process.</t>
    </r>
  </si>
  <si>
    <t>Non-combustion process emissions of CO2 from Fuel Cells using natural gas for each state are calculated separately from natural gas combustion emissions on the Generation CO2e tab. Non-combustion emissions from GIS certificates for fuel cells using natural gas are calculated on the GIS CO2e tab.</t>
  </si>
  <si>
    <t>Emission Factors - CH4 from Non-Biogenic and Biogenic Fuel Types (CO2 lb/MMBtu) HHV</t>
  </si>
  <si>
    <t>Selected Emission Factor (CH4 lb/MMBtu) HHV</t>
  </si>
  <si>
    <t>IPCC Emission Factors (CH4 lb/MMBtu) HHV</t>
  </si>
  <si>
    <t>EPA Emission Factors (CH4 lb/MMBtu) HHV</t>
  </si>
  <si>
    <t>average of other emission factors (CH4 lb/MMBtu) HHV</t>
  </si>
  <si>
    <t>Emission Factors - N2O from Non-Biogenic and Biogenic Fuel Types (CO2 lb/MMBtu) HHV</t>
  </si>
  <si>
    <t>Selected Emission Factor (N2O lb/MMBtu) HHV</t>
  </si>
  <si>
    <t>IPCC Emission Factors (N2O lb/MMBtu) HHV</t>
  </si>
  <si>
    <t>EPA Emission Factors (N2O lb/MMBtu) HHV</t>
  </si>
  <si>
    <t>average of other emission factors (N2O lb/MMBtu) HHV</t>
  </si>
  <si>
    <t>Conversion Factors</t>
  </si>
  <si>
    <t>Item</t>
  </si>
  <si>
    <t>Value</t>
  </si>
  <si>
    <t>kilograms to pounds</t>
  </si>
  <si>
    <t>MMBtu to terajoules</t>
  </si>
  <si>
    <t>DATA SOURCES FOR EMISSIONS FACTORS:</t>
  </si>
  <si>
    <t>EPA:</t>
  </si>
  <si>
    <t>Federal Register :: Greenhouse Gas Reporting Rule: Revisions and Confidentiality Determinations for Petroleum and Natural Gas Systems</t>
  </si>
  <si>
    <t>Table C-1</t>
  </si>
  <si>
    <t>https://www.govinfo.gov/content/pkg/CFR-2023-title40-vol23/pdf/CFR-2023-title40-vol23-part98-subpartC-appC.pdf</t>
  </si>
  <si>
    <t>Table C-2</t>
  </si>
  <si>
    <t>https://www.govinfo.gov/content/pkg/CFR-2023-title40-vol23/pdf/CFR-2023-title40-vol23-part98-subpartC-appC-id531.pdf</t>
  </si>
  <si>
    <t>EPA EF Notes:</t>
  </si>
  <si>
    <t>Changes made in 2016 (effective 1/1/2018) do not change the values from the 2014 tables, just some of the fuel names</t>
  </si>
  <si>
    <t>https://www.govinfo.gov/content/pkg/FR-2016-12-09/pdf/2016-28564.pdf</t>
  </si>
  <si>
    <t>5/22/24 - Table C2 update just adds the note to Natural Gas.</t>
  </si>
  <si>
    <t>EPA Emission Factors (Table C-1) (kg CO2/MMBtu)</t>
  </si>
  <si>
    <t>Fuel type (Category/Fuel Types)</t>
  </si>
  <si>
    <t>Default CO2 emission factor (kg/MMBtu)</t>
  </si>
  <si>
    <t>Coal and coke</t>
  </si>
  <si>
    <t>Anthracite</t>
  </si>
  <si>
    <t>Bituminous</t>
  </si>
  <si>
    <t>Subbituminous</t>
  </si>
  <si>
    <t>Lignite</t>
  </si>
  <si>
    <t>Coal Coke</t>
  </si>
  <si>
    <t>Mixed (Commercial sector)</t>
  </si>
  <si>
    <t>Mixed (Industrial coking)</t>
  </si>
  <si>
    <t>Mixed (Industrial sector)</t>
  </si>
  <si>
    <t>Mixed (Electric Power sector)</t>
  </si>
  <si>
    <t>Petroleum products</t>
  </si>
  <si>
    <t>Distillate Fuel Oil No. 1</t>
  </si>
  <si>
    <t>Distillate Fuel Oil No. 2</t>
  </si>
  <si>
    <t>Distillate Fuel Oil No. 4</t>
  </si>
  <si>
    <t>Residual Fuel Oil No. 5</t>
  </si>
  <si>
    <t>Residual Fuel Oil No. 6</t>
  </si>
  <si>
    <t>Used Oil</t>
  </si>
  <si>
    <t>Kerosene</t>
  </si>
  <si>
    <t>Liquefied petroleum gases (LPG)1</t>
  </si>
  <si>
    <t>Propane1</t>
  </si>
  <si>
    <t>Propylene2</t>
  </si>
  <si>
    <t>Ethane1</t>
  </si>
  <si>
    <t>Ethanol</t>
  </si>
  <si>
    <t>Ethylene2</t>
  </si>
  <si>
    <t>Isobutane1</t>
  </si>
  <si>
    <t>Isobutylene1</t>
  </si>
  <si>
    <t>Butane1</t>
  </si>
  <si>
    <t>Butylene1</t>
  </si>
  <si>
    <t>Naphtha (&lt;401 deg F)</t>
  </si>
  <si>
    <t>Natural Gasoline</t>
  </si>
  <si>
    <t>Other Oil (&gt;401 deg F)</t>
  </si>
  <si>
    <t>Pentanes Plus</t>
  </si>
  <si>
    <t>Petrochemical Feedstocks</t>
  </si>
  <si>
    <t>Petroleum Coke</t>
  </si>
  <si>
    <t>Special Naphtha</t>
  </si>
  <si>
    <t>Unfinished Oils</t>
  </si>
  <si>
    <t>Heavy Gas Oils</t>
  </si>
  <si>
    <t>Lubricants</t>
  </si>
  <si>
    <t>Motor Gasoline</t>
  </si>
  <si>
    <t>Aviation Gasoline</t>
  </si>
  <si>
    <t>Kerosene-Type Jet Fuel</t>
  </si>
  <si>
    <t>Asphalt and Road Oil</t>
  </si>
  <si>
    <t>Crude Oil</t>
  </si>
  <si>
    <t>Other fuels—solid</t>
  </si>
  <si>
    <t>Municipal Solid Waste</t>
  </si>
  <si>
    <t>Tires</t>
  </si>
  <si>
    <t>Plastics</t>
  </si>
  <si>
    <t>Other fuels—gaseous</t>
  </si>
  <si>
    <t>Blast Furnace Gas</t>
  </si>
  <si>
    <t>Coke Oven Gas</t>
  </si>
  <si>
    <t>Propane Gas</t>
  </si>
  <si>
    <t>Fuel Gas4</t>
  </si>
  <si>
    <t>Biomass fuels—solid</t>
  </si>
  <si>
    <t>Wood and Wood Residuals (dry basis)5</t>
  </si>
  <si>
    <t>Agricultural Byproducts</t>
  </si>
  <si>
    <t>Peat</t>
  </si>
  <si>
    <t>Solid Byproducts</t>
  </si>
  <si>
    <t>Biomass fuels—gaseous</t>
  </si>
  <si>
    <t>Landfill Gas</t>
  </si>
  <si>
    <t>Other Biomass Gases</t>
  </si>
  <si>
    <t>Biomass Fuels—Liquid</t>
  </si>
  <si>
    <t>Biodiesel (100%)</t>
  </si>
  <si>
    <t>Rendered Animal Fat</t>
  </si>
  <si>
    <t>Vegetable Oil</t>
  </si>
  <si>
    <t>EPA Emission Factors (Table C-2) (kg/MMBtu)</t>
  </si>
  <si>
    <t>Fuel type</t>
  </si>
  <si>
    <t>Coal and Coke (All fuel types in Table C-1)</t>
  </si>
  <si>
    <t>1.1 × 10−02</t>
  </si>
  <si>
    <t>1.6 × 10−03</t>
  </si>
  <si>
    <t>Natural Gas</t>
  </si>
  <si>
    <t>1.0 × 10−03</t>
  </si>
  <si>
    <t>1.0 × 10−04</t>
  </si>
  <si>
    <t>Petroleum (All fuel types in Table C-1)</t>
  </si>
  <si>
    <t>3.0 × 10−03</t>
  </si>
  <si>
    <t>6.0 × 10−04</t>
  </si>
  <si>
    <t>Fuel Gas</t>
  </si>
  <si>
    <t>3.2 × 10−02</t>
  </si>
  <si>
    <t>4.2 × 10−03</t>
  </si>
  <si>
    <t>2.2 × 10−05</t>
  </si>
  <si>
    <t>4.8 × 10−04</t>
  </si>
  <si>
    <t>Biomass Fuels—Solid (All fuel types in Table C-1, except wood and wood residuals)</t>
  </si>
  <si>
    <t>Wood and wood residuals</t>
  </si>
  <si>
    <t>7.2 × 10−03</t>
  </si>
  <si>
    <t>3.6 × 10−03</t>
  </si>
  <si>
    <t>Biomass Fuels—Gaseous (All fuel types in Table C-1)</t>
  </si>
  <si>
    <t>3.2 × 10−03</t>
  </si>
  <si>
    <t>6.3 × 10−04</t>
  </si>
  <si>
    <t>Biomass Fuels—Liquid (All fuel types in Table C-1)</t>
  </si>
  <si>
    <t>1.1 × 10−03</t>
  </si>
  <si>
    <t>1.1 × 10−04</t>
  </si>
  <si>
    <t>EIA:</t>
  </si>
  <si>
    <t>EIA Emission Factors from Electric Power Annual</t>
  </si>
  <si>
    <t>http://www.eia.gov/electricity/annual/</t>
  </si>
  <si>
    <t>Released: October 16, 2025 with data for 2024, Next Update: October 2026</t>
  </si>
  <si>
    <t>5/5/25-Updates specifies Geothermal (Steam). Geothermal (Binary Cycle) EF = 0.00. Neither used in current inventory.</t>
  </si>
  <si>
    <t>EIA Electric Power Annual Table A.3. Carbon Dioxide Uncontrolled Emission Factors</t>
  </si>
  <si>
    <t>EIA Fuel Code</t>
  </si>
  <si>
    <t>Factor (kg CO2/MMBtu)**</t>
  </si>
  <si>
    <t>Factor (lbs CO2/MMBtu)</t>
  </si>
  <si>
    <t>Bituminous Coal</t>
  </si>
  <si>
    <t>Distillate Fuel Oil</t>
  </si>
  <si>
    <t>Geothermal (Steam)</t>
  </si>
  <si>
    <t>GEO</t>
  </si>
  <si>
    <t>Jet Fuel</t>
  </si>
  <si>
    <t>Lignite Coal</t>
  </si>
  <si>
    <t>LIG</t>
  </si>
  <si>
    <t>MSW</t>
  </si>
  <si>
    <t>Refined Coal</t>
  </si>
  <si>
    <t>RC</t>
  </si>
  <si>
    <t>Assumed to have emissions similar to Bituminous Coal.</t>
  </si>
  <si>
    <t>Residual Fuel Oil</t>
  </si>
  <si>
    <t>Synthesis Gas Derived from Coal</t>
  </si>
  <si>
    <t>SGC</t>
  </si>
  <si>
    <t>*</t>
  </si>
  <si>
    <t>Factor is based on the fuel source used to produce the synthesis gas</t>
  </si>
  <si>
    <t>Synthesis Gas Derived from Petroleum Coke</t>
  </si>
  <si>
    <t>SGP</t>
  </si>
  <si>
    <t>Subbituminous Coal</t>
  </si>
  <si>
    <t>Tire-Derived Fuel</t>
  </si>
  <si>
    <t>Waste Coal</t>
  </si>
  <si>
    <t>WC</t>
  </si>
  <si>
    <t>Waste Oil</t>
  </si>
  <si>
    <t>Notes:</t>
  </si>
  <si>
    <t>*  Factors for synthesis gas derived from coal and synthesis gas derived from petroleum coke are based on the fuel source used to produce the synthesis gas.</t>
  </si>
  <si>
    <t>** CO2 factors do not vary by combustion system type or boiler firing configuration.</t>
  </si>
  <si>
    <t>10/12/21 - no update.</t>
  </si>
  <si>
    <t>2019 Refinement: All changes made to Fugitive Emission factors, none to Stationary Combustion</t>
  </si>
  <si>
    <t>https://www.ipcc.ch/site/assets/uploads/2019/06/2019-Refinement_Energy_SBSTA-IPCC_Special-Event.pdf</t>
  </si>
  <si>
    <t>2006 IPCC Guidelines for National Greenhouse Gas Inventories, Volume 2: Energy, Chapter 2: Stationary Combustion</t>
  </si>
  <si>
    <t>http://www.ipcc-nggip.iges.or.jp/public/2006gl/pdf/2_Volume2/V2_2_Ch2_Stationary_Combustion.pdf</t>
  </si>
  <si>
    <t>IPCC Conversions - Emission Factors, CO2 from Table 2.2 for Non-Biogenic and Biogenic Fuel Types</t>
  </si>
  <si>
    <t>IPCC Emission Factors
(CO2 kg/TJ) LHV</t>
  </si>
  <si>
    <t>IPCC Emission Factors (CO2 lb/MMBtu) LHV</t>
  </si>
  <si>
    <t xml:space="preserve">IPCC Conversions - Emission Factors, CH4 from Table 2.2 </t>
  </si>
  <si>
    <t>IPCC Emission Factors (CH4 kg/TJ) LHV</t>
  </si>
  <si>
    <t>IPCC Emission Factors (CH4 lb/MMBtu) LHV</t>
  </si>
  <si>
    <t xml:space="preserve">IPCC Conversions - Emission Factors, N2O from Table 2.2 </t>
  </si>
  <si>
    <t>IPCC Emission Factors (N2O kg/TJ) LHV</t>
  </si>
  <si>
    <t>IPCC Emission Factors N2O lb/MMBtu) LHV</t>
  </si>
  <si>
    <t>End of Workbook</t>
  </si>
  <si>
    <t>ISO-NE Biogenic GHG Emissions from Electricity (lb CO2) by State</t>
  </si>
  <si>
    <t>ISO-NE Non-Biogenic GHG Emissions from Electricity (lb CO2e) by State</t>
  </si>
  <si>
    <t>Adjacent State/Province</t>
  </si>
  <si>
    <t>ISO-NE GHG Emissions from Electricity (lb CO2e) by State</t>
  </si>
  <si>
    <t>Massachusetts-Based Emission Factor Table</t>
  </si>
  <si>
    <t>New York Emissions  to ISO-NE excluding GIS certificates</t>
  </si>
  <si>
    <t xml:space="preserve">New Brunswick Emissions to ISO-NE excluding GIS certificates </t>
  </si>
  <si>
    <t>Quebec Emissions to ISO-NE excluding GIS certificates</t>
  </si>
  <si>
    <t>State Exported GHG Emissions are based on the generation emissions rate of each state based on each state's excess generation and are used in the determination of MA-based GHG emissions</t>
  </si>
  <si>
    <t>ISO-NE GHG Emissions and GHG Emissions Rate (Factor) based on region-wide generation and imports</t>
  </si>
  <si>
    <t>ISO-NE Total GHG Emissions are used to calculate the ISO-NE Regional emission rate (for use in the MA Retail Seller GHG Reporting Program)</t>
  </si>
  <si>
    <t>ISO-NE Emissions associated with Load including ISO-NE GIS certificate emissions (lb)</t>
  </si>
  <si>
    <t>Regional GHG Emission Rate after accounting for ISO-NE GIS certificates (lb/MWh)</t>
  </si>
  <si>
    <t>ISO-NE Total GHG Emissions are total emissions from all ISO-NE States plus those imported into ISO-NE from New York, New Brunswick and Quebec</t>
  </si>
  <si>
    <t>MA GHG Emissions associated with Load based on Regional GHG Emission Factor (lb)</t>
  </si>
  <si>
    <t>State's Share of ISO-NE Total Hydro Pumping Load</t>
  </si>
  <si>
    <t>MA Share of GHG Emissions from Other ISO-NE States (excluding emissions from GIS certificates) (lb)</t>
  </si>
  <si>
    <t>MA-Based GHG Emission Rate after accounting for GIS certificates (lb/MWh)</t>
  </si>
  <si>
    <t>State GHG Emissions from Electricity Generation  (including net GIS certificate emissions)</t>
  </si>
  <si>
    <t>Electricity Generation and Load (MWh) by ISO-NE State (does not include NMISA)</t>
  </si>
  <si>
    <t>Electric Generation (including net GIS certificates)</t>
  </si>
  <si>
    <t>Electric Load (including behind-the-meter GIS certificates)</t>
  </si>
  <si>
    <t>Electric Load (including behind-the-meter GIS certificates and state's share of ISO-NE Pumping)</t>
  </si>
  <si>
    <r>
      <rPr>
        <b/>
        <sz val="12"/>
        <rFont val="Aptos"/>
        <family val="2"/>
      </rPr>
      <t>Shortfalls</t>
    </r>
    <r>
      <rPr>
        <sz val="12"/>
        <rFont val="Aptos"/>
        <family val="2"/>
      </rPr>
      <t>: States that Need MWh (after accounting for GIS certificates)</t>
    </r>
  </si>
  <si>
    <r>
      <rPr>
        <b/>
        <sz val="12"/>
        <rFont val="Aptos"/>
        <family val="2"/>
      </rPr>
      <t>Excess</t>
    </r>
    <r>
      <rPr>
        <sz val="12"/>
        <rFont val="Aptos"/>
        <family val="2"/>
      </rPr>
      <t>: States with Excess MWh (after accounting for GIS certificates)</t>
    </r>
  </si>
  <si>
    <t>State Fraction of NE-ISO State and Region Need</t>
  </si>
  <si>
    <t>GHG Emission Factors Summary Table</t>
  </si>
  <si>
    <t>GWPs and Emissions Factors</t>
  </si>
  <si>
    <t>MA Total Share of GHG Emissions from Outside MA (excluding emissions from GIS certificates) (lb)</t>
  </si>
  <si>
    <t>Total Emissions to ISO-NE from Regions Outside ISO-NE excluding GIS certificates</t>
  </si>
  <si>
    <t>MA Share of GHG Emissions from Outside ISO-NE (excluding emissions from GIS certificates) (lb)</t>
  </si>
  <si>
    <t>Exports into ISO-NE minus imports out of ISO-NE (including GIS certificates)</t>
  </si>
  <si>
    <r>
      <t xml:space="preserve">ISO-NE Region </t>
    </r>
    <r>
      <rPr>
        <b/>
        <sz val="12"/>
        <rFont val="Aptos"/>
        <family val="2"/>
      </rPr>
      <t>Shortfalls</t>
    </r>
    <r>
      <rPr>
        <sz val="12"/>
        <rFont val="Aptos"/>
        <family val="2"/>
      </rPr>
      <t xml:space="preserve"> (after accounting for certificates)</t>
    </r>
  </si>
  <si>
    <t>Retail Seller and RSEF Summary Tables</t>
  </si>
  <si>
    <t>Type</t>
  </si>
  <si>
    <t>Biogenic CO2 (lb)</t>
  </si>
  <si>
    <r>
      <t>The</t>
    </r>
    <r>
      <rPr>
        <b/>
        <sz val="12"/>
        <rFont val="Aptos"/>
        <family val="2"/>
      </rPr>
      <t xml:space="preserve"> Summary Table</t>
    </r>
    <r>
      <rPr>
        <sz val="12"/>
        <rFont val="Aptos"/>
        <family val="2"/>
      </rPr>
      <t>s include Retail Seller specific generation and GHG Emission Factor information.</t>
    </r>
  </si>
  <si>
    <r>
      <rPr>
        <b/>
        <sz val="12"/>
        <color rgb="FF000000"/>
        <rFont val="Aptos"/>
        <family val="2"/>
      </rPr>
      <t>GHG Emission Factors Summary Table</t>
    </r>
    <r>
      <rPr>
        <sz val="12"/>
        <color indexed="8"/>
        <rFont val="Aptos"/>
        <family val="2"/>
      </rPr>
      <t xml:space="preserve"> includes Initial and Final Emission Factors.</t>
    </r>
  </si>
  <si>
    <t>Emissions Tables</t>
  </si>
  <si>
    <t>Electricity Generation and Load (MWh) Tables</t>
  </si>
  <si>
    <t>State GHG Emissions from Electricity Generation (including net GIS certificate emissions)</t>
  </si>
  <si>
    <t>ISO-NE GHG Emissions from Electricity (lb CO2e) by State (2 Tables)</t>
  </si>
  <si>
    <t>Emissions Tables (3 Tables)</t>
  </si>
  <si>
    <t>MA GHG emissions associated with load in this table are used to calculate the MA-based Rate (for use in the MA Retail Seller GHG Reporting Program)</t>
  </si>
  <si>
    <t>The GIS data ('GIS' and 'GIS CO2e' worksheets) include any New Brunswick System Mix certificates as well as unit-specific certificates from New Brunswick, Prince Edward Island and Nova Scotia (the Canadian Maritime Provinces whose power comes to ISO-NE through New Brunswick).</t>
  </si>
  <si>
    <t>The GIS data ('GIS' and 'GIS CO2e' worksheets) include any Quebec System Mix certificates as well as unit-specific certificates from Quebec, Newfoundland and Labrador (provinces whose power comes to ISO-NE through Quebec).</t>
  </si>
  <si>
    <t>System Mix Emission Rates (values provided as information only for ISO states)</t>
  </si>
  <si>
    <t>State Export Emission Rate [Column G]</t>
  </si>
  <si>
    <t>emissions imported into MA</t>
  </si>
  <si>
    <t>Column B data</t>
  </si>
  <si>
    <t xml:space="preserve">Net Transferred Emissions Tables
</t>
  </si>
  <si>
    <t xml:space="preserve">MSS Stay-In-State Emissions
</t>
  </si>
  <si>
    <t>MSS Removed-from-State Emissions</t>
  </si>
  <si>
    <t>Columns B (generation) and D and E (GIS MSS)</t>
  </si>
  <si>
    <t>MA- Based and Regional Emission Rates
[Columns F and G]</t>
  </si>
  <si>
    <r>
      <t xml:space="preserve">The </t>
    </r>
    <r>
      <rPr>
        <b/>
        <sz val="12"/>
        <rFont val="Aptos"/>
        <family val="2"/>
      </rPr>
      <t>Generation and NEPOOL-GIS Certificates Table</t>
    </r>
    <r>
      <rPr>
        <sz val="12"/>
        <rFont val="Aptos"/>
        <family val="2"/>
      </rPr>
      <t xml:space="preserve"> consolidates MWh data from the 'Generation Load Imports' worksheet and the 'GIS' tab; MWh data are used in calculations on this worksheet and on the 'Emission Factors' worksheet.</t>
    </r>
  </si>
  <si>
    <r>
      <t xml:space="preserve">The </t>
    </r>
    <r>
      <rPr>
        <b/>
        <sz val="12"/>
        <rFont val="Aptos"/>
        <family val="2"/>
      </rPr>
      <t xml:space="preserve">Emissions Tables </t>
    </r>
    <r>
      <rPr>
        <sz val="12"/>
        <rFont val="Aptos"/>
        <family val="2"/>
      </rPr>
      <t>consolidate emissions data from the 'EIA and EPA CO2e' worksheet and the 'GIS CO2e' worksheet; the emissions data are used in calculations on this worksheet and on the 'Emission Factors' worksheet.</t>
    </r>
  </si>
  <si>
    <r>
      <t xml:space="preserve">The </t>
    </r>
    <r>
      <rPr>
        <b/>
        <sz val="12"/>
        <rFont val="Aptos"/>
        <family val="2"/>
      </rPr>
      <t xml:space="preserve">Emission Rates </t>
    </r>
    <r>
      <rPr>
        <sz val="12"/>
        <rFont val="Aptos"/>
        <family val="2"/>
      </rPr>
      <t>use data from the Emissions Tables and the Generation and NEPOOL-GIS Certificates Table; the rates are used in calculations on the 'GIS CO2e' worksheet and on the 'Emission Factors' worksheet.</t>
    </r>
  </si>
  <si>
    <r>
      <t xml:space="preserve">Note: </t>
    </r>
    <r>
      <rPr>
        <sz val="12"/>
        <rFont val="Aptos"/>
        <family val="2"/>
      </rPr>
      <t>The New Brunswick data summarized here and on the 'Emissions Factor' worksheet includes:  MWh imported into ISO-NE from New Brunswick ('Generation Load Import' worksheet), emissions from New Brunswick generation ('EIA and EPA CO2e' worksheet), and GIS certificate data.</t>
    </r>
  </si>
  <si>
    <t>The Quebec data summarized here and on the 'Emissions Factor'' worksheet includes:  MWh imported into ISO-NE from Quebec ('Generation Load Import' worksheet), emissions from Quebec generation ('EIA and EPA CO2e' worksheet), and GIS certificate data.</t>
  </si>
  <si>
    <t>Generation Tables</t>
  </si>
  <si>
    <t>Generation Tables (2 Tables)</t>
  </si>
  <si>
    <t>Guide to Generation and NEPOOL-GIS Certificate Table:</t>
  </si>
  <si>
    <t>Emissions are calculated for each state using emissions data from 'EPA Part 75' tab, wherever possible, or MMBTU data from the 'EIA Form 923' combined with Global Warming Potentials (GWP) and fuel-specific emissions factors on the "GWPs &amp; Fuel EFs' tab.</t>
  </si>
  <si>
    <r>
      <rPr>
        <b/>
        <u/>
        <sz val="12"/>
        <rFont val="Aptos"/>
        <family val="2"/>
      </rPr>
      <t>NET TRANSFER GIS EMISSIONS</t>
    </r>
    <r>
      <rPr>
        <sz val="12"/>
        <rFont val="Aptos"/>
        <family val="2"/>
      </rPr>
      <t xml:space="preserve">: </t>
    </r>
  </si>
  <si>
    <r>
      <rPr>
        <b/>
        <u/>
        <sz val="12"/>
        <rFont val="Aptos"/>
        <family val="2"/>
      </rPr>
      <t>ISO-MSS EMISSIONS REMOVED-FROM-STATE</t>
    </r>
    <r>
      <rPr>
        <sz val="12"/>
        <rFont val="Aptos"/>
        <family val="2"/>
      </rPr>
      <t xml:space="preserve">: </t>
    </r>
  </si>
  <si>
    <r>
      <rPr>
        <b/>
        <u/>
        <sz val="12"/>
        <rFont val="Aptos"/>
        <family val="2"/>
      </rPr>
      <t>ISO-MSS EMISSIONS THAT SETTLE-IN-STATE</t>
    </r>
    <r>
      <rPr>
        <sz val="12"/>
        <rFont val="Aptos"/>
        <family val="2"/>
      </rPr>
      <t xml:space="preserve">: </t>
    </r>
  </si>
  <si>
    <t>This Worksheet consists of two types of tables, Emissions and Emission Rate Tables and Generation and NEPOOL-GIS Certificates Tables, each with a Guide table.</t>
  </si>
  <si>
    <t>to determine:
[on 'Emission Factors' tab unless otherwise noted]</t>
  </si>
  <si>
    <t>to Determine:
[on Emissions Factors tab]</t>
  </si>
  <si>
    <t xml:space="preserve">For details on the conversion of the GIS certificates from emitting fuels into MMBTUs, see the 'GIS Haet Input' tab. </t>
  </si>
  <si>
    <t xml:space="preserve">ISO-MSS EMISSIONS REMOVED-FROM-STATE: </t>
  </si>
  <si>
    <t xml:space="preserve">ISO-MSS EMISSIONS THAT SETTLE-IN-STATE: </t>
  </si>
  <si>
    <t>MSS out of CT</t>
  </si>
  <si>
    <t>MSS staying in MA</t>
  </si>
  <si>
    <t>MSS staying in CT</t>
  </si>
  <si>
    <t>NET=(NON+MSS into MA)-MSS out of MA</t>
  </si>
  <si>
    <t>NET=(NON+MSS into CT)-MSS out of CT</t>
  </si>
  <si>
    <t>NET=(NON+MSS into ME)-MSS out of ME</t>
  </si>
  <si>
    <t>Net CO2e emissions from this table are summarized in the 'State &amp; Province Summary' tab.</t>
  </si>
  <si>
    <t xml:space="preserve">These tables calculate CO2e for non-biogenic and biogenic fuel types from the net GIS certificate (ISO-MSS, ISO-NON and ISO-IMP) from the 'GIS Heat Input' worksheet that settle into each state or province. </t>
  </si>
  <si>
    <t>The calculations use GWPs and fuel-specific emissions factors from the 'GWPs &amp; Fuel EFs' tab, and State- and Province-specific System Mix emissions factors from the 'State &amp; Province Summary' tab.</t>
  </si>
  <si>
    <t>Summary table and 2 Net Transfer Emissions tables for each state/province (non-biogenic and biogenic fuel types)</t>
  </si>
  <si>
    <t>Summary table and 2 Removed-from-State Emissions tables for each state (non-biogenic and biogenic fuel types)</t>
  </si>
  <si>
    <t>Summary table, 2 Settle-in-State Emissions tables for each state (non-biogenic and biogenic fuel types) and an MMBTU table</t>
  </si>
  <si>
    <t>CO2e emissions from this table are summarized in the 'State &amp; Province Summary' tab.</t>
  </si>
  <si>
    <t>Emissions from ISO-NON meters are not included because emissions from NON sources are not generally included in Part 75 or EIA 923 data (and therefore are not included in state emissions calculated on 'Generation CO2e' tab).</t>
  </si>
  <si>
    <t>The emissions totals for each state are consolidated in the State Summary Table.</t>
  </si>
  <si>
    <t>The emissions totals for each state are consolidated in the State and Province Summary Table.</t>
  </si>
  <si>
    <t>These tables calculate CO2e from GIS ISO-MSS certificates that are generated and settle in the same state. Emissions are calculated from values in the MMBTUs that Stay-in-State table on this worksheet and from GWPs and fuel-specific emission factors from the 'GWPs &amp; Fuel EFs' tab.</t>
  </si>
  <si>
    <t>The MMBTU values calculated the MMBTUs that Stay-in-State table are from the GIS tables and the Heat Rate table on the 'GIS' tab as these values are NOT included in the 'GIS' tab's MMBTU Tables.</t>
  </si>
  <si>
    <t>CO2e emissions from these tables are summarized in the 'State &amp; Province Summary' tab.</t>
  </si>
  <si>
    <t>MMBTU values from emitting fuels for the ISO-MSS Settle-In-State tables are calculated on this worksheet.</t>
  </si>
  <si>
    <t xml:space="preserve">NET TRANSFER GIS EMISSIONS: </t>
  </si>
  <si>
    <t>These tables consolidate the Heat Input data from MMBTU tables on this worksheet, by fuel type.</t>
  </si>
  <si>
    <t>The 'Into State' columns consolidate MMBTUs from each NE-ISO meter type (MSS, IMP, and NON) where GIS certificates are settling in a state or province.</t>
  </si>
  <si>
    <t>The 'Out of State' column consolidates MMBTUs from GIS certificates leaving a state or province;  MSS data for each NE-ISO state, and IMP data for states and provinces outside ISO-NE.</t>
  </si>
  <si>
    <t>The 'Out of State' value is then used in the determination of the ISO-NE state's exported emissions.</t>
  </si>
  <si>
    <t>A net MMBTU value from all ISO meter types for each state and province is provided in the 'Net Heat Input' column.</t>
  </si>
  <si>
    <t xml:space="preserve">The MMBTU values from 'Out of State' and 'Net' columns are converted into biogenic and non-biogenic CO2e values on the 'GIS CO2e' worksheet. </t>
  </si>
  <si>
    <t>These tables consolidate the Heat Input data from the MMBTU tables, by fuel type.</t>
  </si>
  <si>
    <t xml:space="preserve">HEAT RATE TABLE: </t>
  </si>
  <si>
    <t>The ISO-MSS GIS certificates that settle within the same state they were generated in are converted into MMBTU values in the 'MMBTU Settle-in-State' tables on the 'GIS CO2e' worksheet, using the Heat Rate table below.</t>
  </si>
  <si>
    <t>MMBTUs from ISO-MSS and ISO-IMP columns are then subtracted from the generating state and added to the state the certificate has settled or been reserved in on the Consolidated Heat Input tables.</t>
  </si>
  <si>
    <t>MMBTUs from the NON-ISO columns are added to the state that the certificate has settled or been reserved in, but are not subtracted from the generating state since these MWh and their emissions were not included in the 'EIA Form 923' or 'ISO' tabs.</t>
  </si>
  <si>
    <t xml:space="preserve">The MMBTU values from the 'Consolidated Heat Input tables are then turned into biogenic and non-biogenic CO2e values on the 'GIS CO2e' tab. </t>
  </si>
  <si>
    <t>These biogenic and non-biogenic CO2e net totals are then gathered into the CO2e Emissions Summary Table on the 'State &amp; Province Summary' tab, and added to each state's emissions on the 'Emissions Factor' worksheet.</t>
  </si>
  <si>
    <t>MMBTUs for certificates that settle or are reserved in-state are not calculated  in these tables since they have no impact on certificate transfer emissions.</t>
  </si>
  <si>
    <t>These CO2e values are summarized in the Emissions Summary Table on the 'State &amp; Province Summary' worksheet.</t>
  </si>
  <si>
    <t>No MMBTUs are shown in the MMBTU tables for System Mix certificates that are settled or reserved in a state since these emissions are calculated directly from a lb CO2e/MWh emission rate on the GIS CO2e worksheet.</t>
  </si>
  <si>
    <t>No MMBTUs are shown in the MMBTU tables for Fuel Cell certificates that are settled or reserved in a state since these emissions are calculated directly from a lb CO2e/MWh emission rate on the GIS CO2e worksheet.</t>
  </si>
  <si>
    <t>*No Wood or Biomass data is provided in 2024 for NY in the EIA 923 so the value from 2023 is used.</t>
  </si>
  <si>
    <t>Each state's net generation from certificates is then added to its generation, with ISO-NON generation added to its load totals, to adjust for GIS certificate transfers on the 'Emission Factors' worksheet.</t>
  </si>
  <si>
    <t>The GIS Tables also include electricity generation certificates settled or reserved by retail sellers, states, municipalities, or other entities in accordance with a contract (or some other mechanism).</t>
  </si>
  <si>
    <t>The Canadian Maritime Province Table is comprised of unit-specific certificates from New Brunswick, Nova Scotia and Prince Edward Island, and System Mix certificates from New Brunswick. The ISO-IMP certificates from all three provinces are summed in a TOTAL column.</t>
  </si>
  <si>
    <t>The Quebec Table is comprised of unit-specific certificates from Quebec, Newfoundland, Labrador, and System Mix certificates from Quebec. The ISO-IMP certificates from all three provinces are summed in a TOTAL column.</t>
  </si>
  <si>
    <t>Beginning with 2023, New York Power Authority (NYPA) MWh from Niagara Falls to Massachusetts Municipal Retail Sellers were included as unit-specific certificates.</t>
  </si>
  <si>
    <t>Occasionally non-RPS eligible electricity generation certificates are included since there are very few of them and they seem to be primarily new units that often appear as RPS-eligible in a later quarter.</t>
  </si>
  <si>
    <t xml:space="preserve">The GIS certificates in the GIS Summary Table are included in the Generation &amp; NEPOOL-GIS Table on the 'States &amp; Provinces Summary' worksheet. </t>
  </si>
  <si>
    <t>GIS State and Province Certificate Tables</t>
  </si>
  <si>
    <t>Data from the GIS State and Province Certificate Tables are gathered into a GIS Summary Table which totals the MWh from settled and reserved certificates that are imported into and exported out of each state or province.</t>
  </si>
  <si>
    <t>Some Details:</t>
  </si>
  <si>
    <t>State Subtotals (NOTE: The abbreviated state initials provided as the name of each table are used in the formulas gathering summary data - Do Not change the initials)</t>
  </si>
  <si>
    <t>Because the emissions from ISO-NON generation (blue columns in the MMBTU tables) are ultimately added to the state in which the certificate has settled on the 'Emission Factors' worksheet, we must also account for the associated generation and load.</t>
  </si>
  <si>
    <t>Guide to State/Province Emissions (lbs CO2e) and Emission Rate (lbs CO2e/MWh) Tables:</t>
  </si>
  <si>
    <t>State/Province Non-Biogenic Emissions (lbs CO2e) and Emissions Rate Table (lbs CO2e/MWh)</t>
  </si>
  <si>
    <t>State/Province Biogenic Emissions (lbs CO2) and Emissions Rate Table (lbs CO2/MWh)</t>
  </si>
  <si>
    <t>State/Province/Region Generation and GIS Certificate Table</t>
  </si>
  <si>
    <t>EPA State Subtotals: CO2 emissions used instead of calculating from 923 MMBtu</t>
  </si>
  <si>
    <t>NEW HAMPSHIRE GIS Net Transfer Emissions from Biogenic Fuels</t>
  </si>
  <si>
    <t>Canadian Maritime Provinces (through New Brunswick) GIS Net Transfer Emissions from Biogenic Fuels</t>
  </si>
  <si>
    <t>MMBTUs from MSS generation that Stay in State</t>
  </si>
  <si>
    <t xml:space="preserve">IPCC: </t>
  </si>
  <si>
    <t>GWPs and Fuel EFs</t>
  </si>
  <si>
    <t>MA GHG Emissions associated with Load in this table are calculated from Regional emission rate</t>
  </si>
  <si>
    <t>ISO-NE Region Net Electricity Imports and Exports with Adjacent Regions (after accounting for GIS certificates)</t>
  </si>
  <si>
    <r>
      <t xml:space="preserve">The </t>
    </r>
    <r>
      <rPr>
        <b/>
        <sz val="12"/>
        <rFont val="Aptos"/>
        <family val="2"/>
      </rPr>
      <t>Final Emission Factors</t>
    </r>
    <r>
      <rPr>
        <sz val="12"/>
        <rFont val="Aptos"/>
        <family val="2"/>
      </rPr>
      <t xml:space="preserve"> summarizes the Final EFs that would be used for Retail Seller emissions reporting. It shows the EFs after removing MA retail seller specific claims in the Retail Seller MWh and GHGs Summary Table from the Initial EFs. The Final EF is set to zero if it was otherwise negative after removing retail seller specific claims.</t>
    </r>
  </si>
  <si>
    <t>Form Municipal Electric Departments &amp; Light Boards
(AQ31)</t>
  </si>
  <si>
    <t>MA GHG emissions associated with load are calculated from MA generation emissions plus emissions imported into MA.</t>
  </si>
  <si>
    <t>MA Total GHG Emissions  from Electricity Consumption (accounting for emissions from GIS certificates) (lb)</t>
  </si>
  <si>
    <t>Emission Factors and State and Province Summary</t>
  </si>
  <si>
    <t>Generation Emissions Tables</t>
  </si>
  <si>
    <t>State Export Emission Rate [Column I, this worksheet]</t>
  </si>
  <si>
    <t>State Export Emission Rate [Column G, this worksheet]</t>
  </si>
  <si>
    <t>MA-Based and Regional Emission Rates  and GIS System Mix Emission Rates (NY, NB, Q) [Column F, this worksheet]</t>
  </si>
  <si>
    <t>GIS emissions associated with System Mix from NY, NB and Q [GIS CO2e worksheet]</t>
  </si>
  <si>
    <t>X's to delete from 923 value on Gen CO2e tab when calculating CO2 emissions</t>
  </si>
  <si>
    <t>This Worksheet consists of three sets of GIS Emissions Tables: Net Transfer Emissions, ISO-MSS Emissions Removed-From-State, and ISO-MSS Emissions that Settle-In-State.</t>
  </si>
  <si>
    <t>Consolidation of the MMBTUs takes place in the Consolidated GIS Certificate Heat Input (MMBTU) Tables on the 'GIS Heat Input' tab prior to being used here.</t>
  </si>
  <si>
    <t xml:space="preserve">GIS certificates for Fuel Cells and System Mix use a lb/MWh emission factor and thus are not included in the MMBTU tables or on the 'GIS Heat Input' worksheet. </t>
  </si>
  <si>
    <t>For Fuel Cells, the Heat Input columns of tables on this worksheet are used to indicate what GIS certificates are used in the calculation of emissions.</t>
  </si>
  <si>
    <t>These tables calculate CO2e from GIS ISO-MSS certificates from the 'GIS Heat Input' tab that settle out of each state. Emissions are calculated from GWPs and fuel-specific emissions factors from the 'GWPs &amp; Fuel EFs' tab.</t>
  </si>
  <si>
    <t>The certificates for New York, New Brunswick and Quebec System Mix fuel types from the GIS worksheets are converted into non-biogenic and biogenic CO2e emissions on the 'GIS CO2e' worksheet using lb CO2e/MWh emission rates (calculated on the 'State &amp; Province Summary' worksheet).</t>
  </si>
  <si>
    <t>Certificate Type</t>
  </si>
  <si>
    <t>RPS SRECII units are each assigned a factor that reduces the number of MA Solar Photovoltaic certificates minted by up to 50% of their MWh output. The certificate values in these tables are adjusted accordingly.</t>
  </si>
  <si>
    <t>For Fuel Cells, MA gives 1 GIS certificate for 2/3 MWh so these certificates are adjusted accordingly.</t>
  </si>
  <si>
    <t>Certificates from CANADIAN MARITIME PROVINCES (CMP): New Brunswick (NB), Nova Scotia (NS) and Prince Edward Island (PEI)</t>
  </si>
  <si>
    <t>Default CH4 emission factor (kg CH4/MMBtu)</t>
  </si>
  <si>
    <t>Default N2O emission factor (kg N2O/MMBtu)</t>
  </si>
  <si>
    <t>Generation Emissions Tables:  Calculate CO2e Emissions from Electricity Generation in each State or Province</t>
  </si>
  <si>
    <t>EPA Part 75 Data</t>
  </si>
  <si>
    <t>This Worksheet consists of three sets of tables: the  Heat Rate Table, MMBTU Tables, and the Consolidated Heat Input Tables.</t>
  </si>
  <si>
    <t>Note on IPCC Emission Factors (CO2) Link:  Page Not Found</t>
  </si>
  <si>
    <t>Net Energy Load and Generation for ISO New England States</t>
  </si>
  <si>
    <t>Statistics Canada Electric Power Annual Generation</t>
  </si>
  <si>
    <t>Statistics Canada Electric Power Generation</t>
  </si>
  <si>
    <t>Solar Carve-out (SREC) and Solar Carve-out II (SREC II) Program Information</t>
  </si>
  <si>
    <t>ISO New England Net Energy and Peak Load by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</si>
</sst>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3" formatCode="_(* #,##0.00_);_(* \(#,##0.00\);_(* &quot;-&quot;??_);_(@_)"/>
    <numFmt numFmtId="164" formatCode="#,##0.000"/>
    <numFmt numFmtId="165" formatCode="_(* #,##0.0_);_(* \(#,##0.0\);_(* &quot;-&quot;??_);_(@_)"/>
    <numFmt numFmtId="166" formatCode="_(* #,##0_);_(* \(#,##0\);_(* &quot;-&quot;??_);_(@_)"/>
    <numFmt numFmtId="167" formatCode="#,##0.0"/>
    <numFmt numFmtId="168" formatCode="#,##0.0000"/>
    <numFmt numFmtId="169" formatCode="0.0000"/>
    <numFmt numFmtId="170" formatCode="0.000"/>
    <numFmt numFmtId="171" formatCode="0.0"/>
    <numFmt numFmtId="172" formatCode="_(* #,##0.0_);_(* \(#,##0.0\);_(* &quot;-&quot;?_);_(@_)"/>
    <numFmt numFmtId="173" formatCode="#,##0.0_);[Red]\(#,##0.0\)"/>
    <numFmt numFmtId="174" formatCode="0.00000"/>
    <numFmt numFmtId="175" formatCode="_-* #,##0.00_-;\-* #,##0.00_-;_-* &quot;-&quot;??_-;_-@_-"/>
    <numFmt numFmtId="176" formatCode="&quot;$&quot;#,##0\ ;\(&quot;$&quot;#,##0\)"/>
    <numFmt numFmtId="177" formatCode="m/d"/>
    <numFmt numFmtId="178" formatCode="0.0000%"/>
    <numFmt numFmtId="179" formatCode="m/d/yy\ h:mm:ss"/>
  </numFmts>
  <fonts count="104" x14ac:knownFonts="1">
    <font>
      <sz val="10"/>
      <name val="Arial"/>
    </font>
    <font>
      <sz val="12"/>
      <color theme="1"/>
      <name val="Aptos"/>
      <family val="2"/>
    </font>
    <font>
      <sz val="12"/>
      <color theme="1"/>
      <name val="Aptos"/>
      <family val="2"/>
    </font>
    <font>
      <sz val="12"/>
      <color theme="1"/>
      <name val="Aptos"/>
      <family val="2"/>
    </font>
    <font>
      <sz val="12"/>
      <color theme="1"/>
      <name val="Aptos"/>
      <family val="2"/>
    </font>
    <font>
      <sz val="11"/>
      <color theme="1"/>
      <name val="Calibri"/>
      <family val="2"/>
      <scheme val="minor"/>
    </font>
    <font>
      <sz val="10"/>
      <name val="Arial"/>
      <family val="2"/>
    </font>
    <font>
      <b/>
      <sz val="12"/>
      <name val="Arial"/>
      <family val="2"/>
    </font>
    <font>
      <sz val="10"/>
      <color indexed="8"/>
      <name val="Arial"/>
      <family val="2"/>
    </font>
    <font>
      <sz val="10"/>
      <name val="Arial"/>
      <family val="2"/>
    </font>
    <font>
      <u/>
      <sz val="10"/>
      <color indexed="12"/>
      <name val="Arial"/>
      <family val="2"/>
    </font>
    <font>
      <sz val="8"/>
      <name val="Arial"/>
      <family val="2"/>
    </font>
    <font>
      <b/>
      <sz val="10"/>
      <name val="Arial"/>
      <family val="2"/>
    </font>
    <font>
      <b/>
      <sz val="11"/>
      <color indexed="8"/>
      <name val="Calibri"/>
      <family val="2"/>
    </font>
    <font>
      <sz val="11"/>
      <color indexed="8"/>
      <name val="Calibri"/>
      <family val="2"/>
    </font>
    <font>
      <sz val="11"/>
      <color indexed="10"/>
      <name val="Calibri"/>
      <family val="2"/>
    </font>
    <font>
      <sz val="11"/>
      <color indexed="22"/>
      <name val="Calibri"/>
      <family val="2"/>
    </font>
    <font>
      <sz val="11"/>
      <color indexed="20"/>
      <name val="Calibri"/>
      <family val="2"/>
    </font>
    <font>
      <b/>
      <sz val="11"/>
      <color indexed="52"/>
      <name val="Calibri"/>
      <family val="2"/>
    </font>
    <font>
      <b/>
      <sz val="11"/>
      <color indexed="2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9"/>
      <name val="Arial"/>
      <family val="2"/>
    </font>
    <font>
      <sz val="11"/>
      <color indexed="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2"/>
      <name val="Times New Roman"/>
      <family val="1"/>
    </font>
    <font>
      <sz val="9"/>
      <name val="Times New Roman"/>
      <family val="1"/>
    </font>
    <font>
      <b/>
      <sz val="9"/>
      <name val="Times New Roman"/>
      <family val="1"/>
    </font>
    <font>
      <sz val="9"/>
      <color indexed="8"/>
      <name val="Times New Roman"/>
      <family val="1"/>
    </font>
    <font>
      <sz val="12"/>
      <color indexed="8"/>
      <name val="Times New Roman"/>
      <family val="1"/>
    </font>
    <font>
      <sz val="10"/>
      <name val="Arial Cyr"/>
      <charset val="204"/>
    </font>
    <font>
      <b/>
      <sz val="18"/>
      <name val="Arial"/>
      <family val="2"/>
    </font>
    <font>
      <b/>
      <sz val="12"/>
      <color indexed="8"/>
      <name val="Times New Roman"/>
      <family val="1"/>
    </font>
    <font>
      <sz val="12"/>
      <name val="Times New Roman"/>
      <family val="1"/>
    </font>
    <font>
      <sz val="8"/>
      <name val="Helvetica"/>
      <family val="2"/>
    </font>
    <font>
      <u/>
      <sz val="10"/>
      <color indexed="12"/>
      <name val="Times New Roman"/>
      <family val="1"/>
    </font>
    <font>
      <i/>
      <sz val="10"/>
      <name val="Arial"/>
      <family val="2"/>
    </font>
    <font>
      <sz val="11"/>
      <color indexed="9"/>
      <name val="Calibri"/>
      <family val="2"/>
    </font>
    <font>
      <b/>
      <sz val="11"/>
      <color indexed="9"/>
      <name val="Calibri"/>
      <family val="2"/>
    </font>
    <font>
      <b/>
      <sz val="11"/>
      <color indexed="56"/>
      <name val="Calibri"/>
      <family val="2"/>
    </font>
    <font>
      <b/>
      <sz val="18"/>
      <color indexed="56"/>
      <name val="Cambria"/>
      <family val="2"/>
    </font>
    <font>
      <sz val="14"/>
      <name val="Arial"/>
      <family val="2"/>
    </font>
    <font>
      <sz val="18"/>
      <name val="Arial"/>
      <family val="2"/>
    </font>
    <font>
      <b/>
      <sz val="15"/>
      <color indexed="56"/>
      <name val="Calibri"/>
      <family val="2"/>
    </font>
    <font>
      <b/>
      <sz val="13"/>
      <color indexed="56"/>
      <name val="Calibri"/>
      <family val="2"/>
    </font>
    <font>
      <b/>
      <u/>
      <sz val="12"/>
      <color theme="10"/>
      <name val="Times New Roman"/>
      <family val="1"/>
    </font>
    <font>
      <u/>
      <sz val="10"/>
      <color theme="10"/>
      <name val="Arial"/>
      <family val="2"/>
    </font>
    <font>
      <b/>
      <sz val="12"/>
      <name val="Aptos"/>
      <family val="2"/>
    </font>
    <font>
      <sz val="12"/>
      <name val="Aptos"/>
      <family val="2"/>
    </font>
    <font>
      <b/>
      <sz val="16"/>
      <name val="Aptos"/>
      <family val="2"/>
    </font>
    <font>
      <i/>
      <sz val="12"/>
      <color indexed="8"/>
      <name val="Aptos"/>
      <family val="2"/>
    </font>
    <font>
      <b/>
      <sz val="12"/>
      <color theme="0" tint="-0.499984740745262"/>
      <name val="Aptos"/>
      <family val="2"/>
    </font>
    <font>
      <b/>
      <sz val="12"/>
      <color indexed="8"/>
      <name val="Aptos"/>
      <family val="2"/>
    </font>
    <font>
      <sz val="12"/>
      <color theme="7"/>
      <name val="Aptos"/>
      <family val="2"/>
    </font>
    <font>
      <sz val="12"/>
      <color theme="5" tint="-0.249977111117893"/>
      <name val="Aptos"/>
      <family val="2"/>
    </font>
    <font>
      <b/>
      <sz val="12"/>
      <color rgb="FFFF0000"/>
      <name val="Aptos"/>
      <family val="2"/>
    </font>
    <font>
      <sz val="12"/>
      <color indexed="8"/>
      <name val="Aptos"/>
      <family val="2"/>
    </font>
    <font>
      <sz val="12"/>
      <color rgb="FFFF0000"/>
      <name val="Aptos"/>
      <family val="2"/>
    </font>
    <font>
      <b/>
      <u/>
      <sz val="12"/>
      <name val="Aptos"/>
      <family val="2"/>
    </font>
    <font>
      <i/>
      <u/>
      <sz val="12"/>
      <name val="Aptos"/>
      <family val="2"/>
    </font>
    <font>
      <sz val="12"/>
      <color rgb="FF000000"/>
      <name val="Aptos"/>
      <family val="2"/>
    </font>
    <font>
      <u/>
      <sz val="12"/>
      <color indexed="12"/>
      <name val="Aptos"/>
      <family val="2"/>
    </font>
    <font>
      <b/>
      <sz val="16"/>
      <color indexed="8"/>
      <name val="Aptos"/>
      <family val="2"/>
    </font>
    <font>
      <b/>
      <sz val="12"/>
      <color indexed="30"/>
      <name val="Aptos"/>
      <family val="2"/>
    </font>
    <font>
      <u/>
      <sz val="12"/>
      <color theme="3" tint="-0.249977111117893"/>
      <name val="Aptos"/>
      <family val="2"/>
    </font>
    <font>
      <b/>
      <sz val="14"/>
      <name val="Aptos"/>
      <family val="2"/>
    </font>
    <font>
      <u/>
      <sz val="12"/>
      <name val="Aptos"/>
      <family val="2"/>
    </font>
    <font>
      <u/>
      <sz val="12"/>
      <color rgb="FFFF0000"/>
      <name val="Aptos"/>
      <family val="2"/>
    </font>
    <font>
      <b/>
      <sz val="12"/>
      <color theme="1"/>
      <name val="Aptos"/>
      <family val="2"/>
    </font>
    <font>
      <vertAlign val="superscript"/>
      <sz val="12"/>
      <name val="Aptos"/>
      <family val="2"/>
    </font>
    <font>
      <vertAlign val="subscript"/>
      <sz val="12"/>
      <name val="Aptos"/>
      <family val="2"/>
    </font>
    <font>
      <b/>
      <sz val="12"/>
      <color rgb="FF000000"/>
      <name val="Aptos"/>
      <family val="2"/>
    </font>
    <font>
      <b/>
      <sz val="12"/>
      <color rgb="FF0000FF"/>
      <name val="Aptos"/>
      <family val="2"/>
    </font>
    <font>
      <sz val="14"/>
      <name val="Aptos"/>
      <family val="2"/>
    </font>
    <font>
      <sz val="12"/>
      <color theme="0" tint="-0.499984740745262"/>
      <name val="Aptos"/>
      <family val="2"/>
    </font>
    <font>
      <b/>
      <sz val="14"/>
      <color theme="1"/>
      <name val="Aptos"/>
      <family val="2"/>
    </font>
    <font>
      <u/>
      <sz val="12"/>
      <color indexed="12"/>
      <name val="Arial"/>
      <family val="2"/>
    </font>
    <font>
      <u/>
      <sz val="16"/>
      <color indexed="12"/>
      <name val="Aptos"/>
      <family val="2"/>
    </font>
    <font>
      <sz val="16"/>
      <name val="Aptos"/>
      <family val="2"/>
    </font>
  </fonts>
  <fills count="86">
    <fill>
      <patternFill patternType="none"/>
    </fill>
    <fill>
      <patternFill patternType="gray125"/>
    </fill>
    <fill>
      <patternFill patternType="solid">
        <fgColor indexed="9"/>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65"/>
        <bgColor indexed="64"/>
      </patternFill>
    </fill>
    <fill>
      <patternFill patternType="solid">
        <fgColor indexed="4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rgb="FFCFEAF7"/>
        <bgColor indexed="64"/>
      </patternFill>
    </fill>
    <fill>
      <patternFill patternType="solid">
        <fgColor rgb="FFFFFFCC"/>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rgb="FFCCFFFF"/>
        <bgColor indexed="64"/>
      </patternFill>
    </fill>
    <fill>
      <patternFill patternType="solid">
        <fgColor theme="8" tint="0.59999389629810485"/>
        <bgColor indexed="64"/>
      </patternFill>
    </fill>
    <fill>
      <patternFill patternType="solid">
        <fgColor theme="9"/>
        <bgColor indexed="64"/>
      </patternFill>
    </fill>
    <fill>
      <patternFill patternType="solid">
        <fgColor theme="0" tint="-0.34998626667073579"/>
        <bgColor indexed="64"/>
      </patternFill>
    </fill>
    <fill>
      <patternFill patternType="solid">
        <fgColor indexed="31"/>
      </patternFill>
    </fill>
    <fill>
      <patternFill patternType="solid">
        <fgColor indexed="46"/>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darkTrellis"/>
    </fill>
    <fill>
      <patternFill patternType="solid">
        <fgColor indexed="55"/>
        <bgColor indexed="64"/>
      </patternFill>
    </fill>
    <fill>
      <patternFill patternType="solid">
        <fgColor theme="0" tint="-4.9989318521683403E-2"/>
        <bgColor indexed="64"/>
      </patternFill>
    </fill>
    <fill>
      <patternFill patternType="solid">
        <fgColor theme="0" tint="-0.14999847407452621"/>
        <bgColor theme="0" tint="-0.14999847407452621"/>
      </patternFill>
    </fill>
    <fill>
      <patternFill patternType="solid">
        <fgColor theme="6" tint="0.79998168889431442"/>
        <bgColor indexed="64"/>
      </patternFill>
    </fill>
    <fill>
      <patternFill patternType="solid">
        <fgColor rgb="FF99FF99"/>
        <bgColor indexed="64"/>
      </patternFill>
    </fill>
    <fill>
      <patternFill patternType="solid">
        <fgColor theme="0"/>
        <bgColor indexed="64"/>
      </patternFill>
    </fill>
  </fills>
  <borders count="10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2"/>
      </top>
      <bottom style="double">
        <color indexed="62"/>
      </bottom>
      <diagonal/>
    </border>
    <border>
      <left/>
      <right/>
      <top/>
      <bottom style="medium">
        <color indexed="30"/>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ck">
        <color indexed="8"/>
      </bottom>
      <diagonal/>
    </border>
    <border>
      <left/>
      <right style="thick">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style="double">
        <color indexed="0"/>
      </top>
      <bottom/>
      <diagonal/>
    </border>
    <border>
      <left/>
      <right/>
      <top/>
      <bottom style="thick">
        <color indexed="62"/>
      </bottom>
      <diagonal/>
    </border>
    <border>
      <left style="thin">
        <color indexed="64"/>
      </left>
      <right/>
      <top style="medium">
        <color indexed="64"/>
      </top>
      <bottom style="thin">
        <color indexed="64"/>
      </bottom>
      <diagonal/>
    </border>
    <border>
      <left/>
      <right/>
      <top style="thin">
        <color indexed="64"/>
      </top>
      <bottom/>
      <diagonal/>
    </border>
    <border>
      <left/>
      <right/>
      <top/>
      <bottom style="thin">
        <color theme="1"/>
      </bottom>
      <diagonal/>
    </border>
    <border>
      <left/>
      <right style="thin">
        <color auto="1"/>
      </right>
      <top/>
      <bottom style="thin">
        <color auto="1"/>
      </bottom>
      <diagonal/>
    </border>
    <border>
      <left/>
      <right/>
      <top style="thin">
        <color theme="1"/>
      </top>
      <bottom style="thin">
        <color theme="1"/>
      </bottom>
      <diagonal/>
    </border>
    <border>
      <left/>
      <right/>
      <top style="thin">
        <color theme="1"/>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indexed="64"/>
      </left>
      <right/>
      <top/>
      <bottom style="thin">
        <color theme="1"/>
      </bottom>
      <diagonal/>
    </border>
    <border>
      <left/>
      <right/>
      <top/>
      <bottom style="thin">
        <color indexed="64"/>
      </bottom>
      <diagonal/>
    </border>
    <border>
      <left style="thin">
        <color auto="1"/>
      </left>
      <right/>
      <top style="thin">
        <color indexed="64"/>
      </top>
      <bottom/>
      <diagonal/>
    </border>
    <border>
      <left style="thin">
        <color indexed="64"/>
      </left>
      <right/>
      <top/>
      <bottom style="thin">
        <color theme="1"/>
      </bottom>
      <diagonal/>
    </border>
    <border>
      <left style="thin">
        <color indexed="64"/>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medium">
        <color indexed="64"/>
      </left>
      <right style="thin">
        <color auto="1"/>
      </right>
      <top style="medium">
        <color indexed="64"/>
      </top>
      <bottom/>
      <diagonal/>
    </border>
    <border>
      <left/>
      <right style="thin">
        <color indexed="64"/>
      </right>
      <top style="medium">
        <color indexed="64"/>
      </top>
      <bottom/>
      <diagonal/>
    </border>
    <border>
      <left style="thin">
        <color auto="1"/>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style="medium">
        <color indexed="64"/>
      </right>
      <top/>
      <bottom style="thin">
        <color indexed="64"/>
      </bottom>
      <diagonal/>
    </border>
    <border>
      <left style="thin">
        <color auto="1"/>
      </left>
      <right style="medium">
        <color indexed="64"/>
      </right>
      <top/>
      <bottom style="medium">
        <color indexed="64"/>
      </bottom>
      <diagonal/>
    </border>
  </borders>
  <cellStyleXfs count="1320">
    <xf numFmtId="0" fontId="0" fillId="0" borderId="0"/>
    <xf numFmtId="0" fontId="14" fillId="2" borderId="0" applyNumberFormat="0" applyBorder="0" applyAlignment="0" applyProtection="0"/>
    <xf numFmtId="0" fontId="32" fillId="20" borderId="0" applyNumberFormat="0" applyBorder="0" applyAlignment="0" applyProtection="0"/>
    <xf numFmtId="0" fontId="14" fillId="3" borderId="0" applyNumberFormat="0" applyBorder="0" applyAlignment="0" applyProtection="0"/>
    <xf numFmtId="0" fontId="32" fillId="21" borderId="0" applyNumberFormat="0" applyBorder="0" applyAlignment="0" applyProtection="0"/>
    <xf numFmtId="0" fontId="14" fillId="5" borderId="0" applyNumberFormat="0" applyBorder="0" applyAlignment="0" applyProtection="0"/>
    <xf numFmtId="0" fontId="32" fillId="22" borderId="0" applyNumberFormat="0" applyBorder="0" applyAlignment="0" applyProtection="0"/>
    <xf numFmtId="0" fontId="14" fillId="2" borderId="0" applyNumberFormat="0" applyBorder="0" applyAlignment="0" applyProtection="0"/>
    <xf numFmtId="0" fontId="32" fillId="23" borderId="0" applyNumberFormat="0" applyBorder="0" applyAlignment="0" applyProtection="0"/>
    <xf numFmtId="0" fontId="14" fillId="7" borderId="0" applyNumberFormat="0" applyBorder="0" applyAlignment="0" applyProtection="0"/>
    <xf numFmtId="0" fontId="32" fillId="24" borderId="0" applyNumberFormat="0" applyBorder="0" applyAlignment="0" applyProtection="0"/>
    <xf numFmtId="0" fontId="14" fillId="3" borderId="0" applyNumberFormat="0" applyBorder="0" applyAlignment="0" applyProtection="0"/>
    <xf numFmtId="0" fontId="32" fillId="25" borderId="0" applyNumberFormat="0" applyBorder="0" applyAlignment="0" applyProtection="0"/>
    <xf numFmtId="0" fontId="14" fillId="8" borderId="0" applyNumberFormat="0" applyBorder="0" applyAlignment="0" applyProtection="0"/>
    <xf numFmtId="0" fontId="32" fillId="26" borderId="0" applyNumberFormat="0" applyBorder="0" applyAlignment="0" applyProtection="0"/>
    <xf numFmtId="0" fontId="14" fillId="10" borderId="0" applyNumberFormat="0" applyBorder="0" applyAlignment="0" applyProtection="0"/>
    <xf numFmtId="0" fontId="32" fillId="27" borderId="0" applyNumberFormat="0" applyBorder="0" applyAlignment="0" applyProtection="0"/>
    <xf numFmtId="0" fontId="14" fillId="11" borderId="0" applyNumberFormat="0" applyBorder="0" applyAlignment="0" applyProtection="0"/>
    <xf numFmtId="0" fontId="32" fillId="28" borderId="0" applyNumberFormat="0" applyBorder="0" applyAlignment="0" applyProtection="0"/>
    <xf numFmtId="0" fontId="14" fillId="8" borderId="0" applyNumberFormat="0" applyBorder="0" applyAlignment="0" applyProtection="0"/>
    <xf numFmtId="0" fontId="32" fillId="29" borderId="0" applyNumberFormat="0" applyBorder="0" applyAlignment="0" applyProtection="0"/>
    <xf numFmtId="0" fontId="14" fillId="9" borderId="0" applyNumberFormat="0" applyBorder="0" applyAlignment="0" applyProtection="0"/>
    <xf numFmtId="0" fontId="32" fillId="30" borderId="0" applyNumberFormat="0" applyBorder="0" applyAlignment="0" applyProtection="0"/>
    <xf numFmtId="0" fontId="14" fillId="3" borderId="0" applyNumberFormat="0" applyBorder="0" applyAlignment="0" applyProtection="0"/>
    <xf numFmtId="0" fontId="32" fillId="31" borderId="0" applyNumberFormat="0" applyBorder="0" applyAlignment="0" applyProtection="0"/>
    <xf numFmtId="0" fontId="16" fillId="12" borderId="0" applyNumberFormat="0" applyBorder="0" applyAlignment="0" applyProtection="0"/>
    <xf numFmtId="0" fontId="33" fillId="32" borderId="0" applyNumberFormat="0" applyBorder="0" applyAlignment="0" applyProtection="0"/>
    <xf numFmtId="0" fontId="16" fillId="10" borderId="0" applyNumberFormat="0" applyBorder="0" applyAlignment="0" applyProtection="0"/>
    <xf numFmtId="0" fontId="33" fillId="33" borderId="0" applyNumberFormat="0" applyBorder="0" applyAlignment="0" applyProtection="0"/>
    <xf numFmtId="0" fontId="16" fillId="11" borderId="0" applyNumberFormat="0" applyBorder="0" applyAlignment="0" applyProtection="0"/>
    <xf numFmtId="0" fontId="33" fillId="34" borderId="0" applyNumberFormat="0" applyBorder="0" applyAlignment="0" applyProtection="0"/>
    <xf numFmtId="0" fontId="16" fillId="8" borderId="0" applyNumberFormat="0" applyBorder="0" applyAlignment="0" applyProtection="0"/>
    <xf numFmtId="0" fontId="33" fillId="35" borderId="0" applyNumberFormat="0" applyBorder="0" applyAlignment="0" applyProtection="0"/>
    <xf numFmtId="0" fontId="16" fillId="12" borderId="0" applyNumberFormat="0" applyBorder="0" applyAlignment="0" applyProtection="0"/>
    <xf numFmtId="0" fontId="33" fillId="36" borderId="0" applyNumberFormat="0" applyBorder="0" applyAlignment="0" applyProtection="0"/>
    <xf numFmtId="0" fontId="16" fillId="3" borderId="0" applyNumberFormat="0" applyBorder="0" applyAlignment="0" applyProtection="0"/>
    <xf numFmtId="0" fontId="33" fillId="37" borderId="0" applyNumberFormat="0" applyBorder="0" applyAlignment="0" applyProtection="0"/>
    <xf numFmtId="0" fontId="16" fillId="12" borderId="0" applyNumberFormat="0" applyBorder="0" applyAlignment="0" applyProtection="0"/>
    <xf numFmtId="0" fontId="33" fillId="38" borderId="0" applyNumberFormat="0" applyBorder="0" applyAlignment="0" applyProtection="0"/>
    <xf numFmtId="0" fontId="16" fillId="13" borderId="0" applyNumberFormat="0" applyBorder="0" applyAlignment="0" applyProtection="0"/>
    <xf numFmtId="0" fontId="33" fillId="39" borderId="0" applyNumberFormat="0" applyBorder="0" applyAlignment="0" applyProtection="0"/>
    <xf numFmtId="0" fontId="16" fillId="14" borderId="0" applyNumberFormat="0" applyBorder="0" applyAlignment="0" applyProtection="0"/>
    <xf numFmtId="0" fontId="33" fillId="40" borderId="0" applyNumberFormat="0" applyBorder="0" applyAlignment="0" applyProtection="0"/>
    <xf numFmtId="0" fontId="16" fillId="15" borderId="0" applyNumberFormat="0" applyBorder="0" applyAlignment="0" applyProtection="0"/>
    <xf numFmtId="0" fontId="33" fillId="41" borderId="0" applyNumberFormat="0" applyBorder="0" applyAlignment="0" applyProtection="0"/>
    <xf numFmtId="0" fontId="16" fillId="12" borderId="0" applyNumberFormat="0" applyBorder="0" applyAlignment="0" applyProtection="0"/>
    <xf numFmtId="0" fontId="33" fillId="42" borderId="0" applyNumberFormat="0" applyBorder="0" applyAlignment="0" applyProtection="0"/>
    <xf numFmtId="0" fontId="16" fillId="16" borderId="0" applyNumberFormat="0" applyBorder="0" applyAlignment="0" applyProtection="0"/>
    <xf numFmtId="0" fontId="33" fillId="43" borderId="0" applyNumberFormat="0" applyBorder="0" applyAlignment="0" applyProtection="0"/>
    <xf numFmtId="0" fontId="17" fillId="4" borderId="0" applyNumberFormat="0" applyBorder="0" applyAlignment="0" applyProtection="0"/>
    <xf numFmtId="0" fontId="34" fillId="44" borderId="0" applyNumberFormat="0" applyBorder="0" applyAlignment="0" applyProtection="0"/>
    <xf numFmtId="0" fontId="18" fillId="2" borderId="1" applyNumberFormat="0" applyAlignment="0" applyProtection="0"/>
    <xf numFmtId="0" fontId="35" fillId="45" borderId="40" applyNumberFormat="0" applyAlignment="0" applyProtection="0"/>
    <xf numFmtId="0" fontId="19" fillId="17" borderId="2" applyNumberFormat="0" applyAlignment="0" applyProtection="0"/>
    <xf numFmtId="0" fontId="36" fillId="46" borderId="41" applyNumberFormat="0" applyAlignment="0" applyProtection="0"/>
    <xf numFmtId="43" fontId="6" fillId="0" borderId="0" applyFont="0" applyFill="0" applyBorder="0" applyAlignment="0" applyProtection="0"/>
    <xf numFmtId="43" fontId="9" fillId="0" borderId="0" applyFont="0" applyFill="0" applyBorder="0" applyAlignment="0" applyProtection="0"/>
    <xf numFmtId="43" fontId="3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0" fillId="0" borderId="0" applyNumberFormat="0" applyFill="0" applyBorder="0" applyAlignment="0" applyProtection="0"/>
    <xf numFmtId="0" fontId="37" fillId="0" borderId="0" applyNumberFormat="0" applyFill="0" applyBorder="0" applyAlignment="0" applyProtection="0"/>
    <xf numFmtId="0" fontId="21" fillId="6" borderId="0" applyNumberFormat="0" applyBorder="0" applyAlignment="0" applyProtection="0"/>
    <xf numFmtId="0" fontId="38" fillId="47" borderId="0" applyNumberFormat="0" applyBorder="0" applyAlignment="0" applyProtection="0"/>
    <xf numFmtId="0" fontId="22" fillId="0" borderId="3" applyNumberFormat="0" applyFill="0" applyAlignment="0" applyProtection="0"/>
    <xf numFmtId="0" fontId="39" fillId="0" borderId="42" applyNumberFormat="0" applyFill="0" applyAlignment="0" applyProtection="0"/>
    <xf numFmtId="0" fontId="23" fillId="0" borderId="4" applyNumberFormat="0" applyFill="0" applyAlignment="0" applyProtection="0"/>
    <xf numFmtId="0" fontId="40" fillId="0" borderId="43" applyNumberFormat="0" applyFill="0" applyAlignment="0" applyProtection="0"/>
    <xf numFmtId="0" fontId="24" fillId="0" borderId="5" applyNumberFormat="0" applyFill="0" applyAlignment="0" applyProtection="0"/>
    <xf numFmtId="0" fontId="41" fillId="0" borderId="44" applyNumberFormat="0" applyFill="0" applyAlignment="0" applyProtection="0"/>
    <xf numFmtId="0" fontId="24" fillId="0" borderId="0" applyNumberFormat="0" applyFill="0" applyBorder="0" applyAlignment="0" applyProtection="0"/>
    <xf numFmtId="0" fontId="41" fillId="0" borderId="0" applyNumberFormat="0" applyFill="0" applyBorder="0" applyAlignment="0" applyProtection="0"/>
    <xf numFmtId="0" fontId="10"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25" fillId="3" borderId="1" applyNumberFormat="0" applyAlignment="0" applyProtection="0"/>
    <xf numFmtId="0" fontId="43" fillId="48" borderId="40" applyNumberFormat="0" applyAlignment="0" applyProtection="0"/>
    <xf numFmtId="0" fontId="26" fillId="0" borderId="6" applyNumberFormat="0" applyFill="0" applyAlignment="0" applyProtection="0"/>
    <xf numFmtId="0" fontId="44" fillId="0" borderId="45" applyNumberFormat="0" applyFill="0" applyAlignment="0" applyProtection="0"/>
    <xf numFmtId="0" fontId="27" fillId="11" borderId="0" applyNumberFormat="0" applyBorder="0" applyAlignment="0" applyProtection="0"/>
    <xf numFmtId="0" fontId="45" fillId="49" borderId="0" applyNumberFormat="0" applyBorder="0" applyAlignment="0" applyProtection="0"/>
    <xf numFmtId="0" fontId="32" fillId="0" borderId="0"/>
    <xf numFmtId="0" fontId="9" fillId="0" borderId="0"/>
    <xf numFmtId="0" fontId="9" fillId="0" borderId="0"/>
    <xf numFmtId="0" fontId="14" fillId="0" borderId="0"/>
    <xf numFmtId="0" fontId="14" fillId="5" borderId="7" applyNumberFormat="0" applyFont="0" applyAlignment="0" applyProtection="0"/>
    <xf numFmtId="0" fontId="32" fillId="50" borderId="46" applyNumberFormat="0" applyFont="0" applyAlignment="0" applyProtection="0"/>
    <xf numFmtId="0" fontId="28" fillId="2" borderId="8" applyNumberFormat="0" applyAlignment="0" applyProtection="0"/>
    <xf numFmtId="0" fontId="46" fillId="45" borderId="47" applyNumberFormat="0" applyAlignment="0" applyProtection="0"/>
    <xf numFmtId="9" fontId="9" fillId="0" borderId="0" applyFont="0" applyFill="0" applyBorder="0" applyAlignment="0" applyProtection="0"/>
    <xf numFmtId="9" fontId="9" fillId="0" borderId="0" applyFont="0" applyFill="0" applyBorder="0" applyAlignment="0" applyProtection="0"/>
    <xf numFmtId="0" fontId="29" fillId="0" borderId="0" applyNumberFormat="0" applyFill="0" applyBorder="0" applyAlignment="0" applyProtection="0"/>
    <xf numFmtId="0" fontId="47" fillId="0" borderId="0" applyNumberFormat="0" applyFill="0" applyBorder="0" applyAlignment="0" applyProtection="0"/>
    <xf numFmtId="0" fontId="13" fillId="0" borderId="9" applyNumberFormat="0" applyFill="0" applyAlignment="0" applyProtection="0"/>
    <xf numFmtId="0" fontId="48" fillId="0" borderId="48" applyNumberFormat="0" applyFill="0" applyAlignment="0" applyProtection="0"/>
    <xf numFmtId="0" fontId="15" fillId="0" borderId="0" applyNumberFormat="0" applyFill="0" applyBorder="0" applyAlignment="0" applyProtection="0"/>
    <xf numFmtId="0" fontId="49" fillId="0" borderId="0" applyNumberFormat="0" applyFill="0" applyBorder="0" applyAlignment="0" applyProtection="0"/>
    <xf numFmtId="0" fontId="50" fillId="0" borderId="0"/>
    <xf numFmtId="0" fontId="14" fillId="67"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8" borderId="0" applyNumberFormat="0" applyBorder="0" applyAlignment="0" applyProtection="0"/>
    <xf numFmtId="0" fontId="14" fillId="67"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8" borderId="0" applyNumberFormat="0" applyBorder="0" applyAlignment="0" applyProtection="0"/>
    <xf numFmtId="0" fontId="14" fillId="7" borderId="0" applyNumberFormat="0" applyBorder="0" applyAlignment="0" applyProtection="0"/>
    <xf numFmtId="0" fontId="14" fillId="3" borderId="0" applyNumberFormat="0" applyBorder="0" applyAlignment="0" applyProtection="0"/>
    <xf numFmtId="49" fontId="51" fillId="0" borderId="10" applyNumberFormat="0" applyFont="0" applyFill="0" applyBorder="0" applyProtection="0">
      <alignment horizontal="left" vertical="center"/>
    </xf>
    <xf numFmtId="0" fontId="14" fillId="9" borderId="0" applyNumberFormat="0" applyBorder="0" applyAlignment="0" applyProtection="0"/>
    <xf numFmtId="0" fontId="14" fillId="69" borderId="0" applyNumberFormat="0" applyBorder="0" applyAlignment="0" applyProtection="0"/>
    <xf numFmtId="0" fontId="14" fillId="68" borderId="0" applyNumberFormat="0" applyBorder="0" applyAlignment="0" applyProtection="0"/>
    <xf numFmtId="0" fontId="14" fillId="70"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69" borderId="0" applyNumberFormat="0" applyBorder="0" applyAlignment="0" applyProtection="0"/>
    <xf numFmtId="0" fontId="14" fillId="68" borderId="0" applyNumberFormat="0" applyBorder="0" applyAlignment="0" applyProtection="0"/>
    <xf numFmtId="0" fontId="14" fillId="9" borderId="0" applyNumberFormat="0" applyBorder="0" applyAlignment="0" applyProtection="0"/>
    <xf numFmtId="0" fontId="14" fillId="70" borderId="0" applyNumberFormat="0" applyBorder="0" applyAlignment="0" applyProtection="0"/>
    <xf numFmtId="49" fontId="51" fillId="0" borderId="39" applyNumberFormat="0" applyFont="0" applyFill="0" applyBorder="0" applyProtection="0">
      <alignment horizontal="left" vertical="center"/>
    </xf>
    <xf numFmtId="0" fontId="62" fillId="71" borderId="0" applyNumberFormat="0" applyBorder="0" applyAlignment="0" applyProtection="0"/>
    <xf numFmtId="0" fontId="62" fillId="10" borderId="0" applyNumberFormat="0" applyBorder="0" applyAlignment="0" applyProtection="0"/>
    <xf numFmtId="0" fontId="62" fillId="69" borderId="0" applyNumberFormat="0" applyBorder="0" applyAlignment="0" applyProtection="0"/>
    <xf numFmtId="0" fontId="62" fillId="72" borderId="0" applyNumberFormat="0" applyBorder="0" applyAlignment="0" applyProtection="0"/>
    <xf numFmtId="0" fontId="62" fillId="12" borderId="0" applyNumberFormat="0" applyBorder="0" applyAlignment="0" applyProtection="0"/>
    <xf numFmtId="0" fontId="62" fillId="73" borderId="0" applyNumberFormat="0" applyBorder="0" applyAlignment="0" applyProtection="0"/>
    <xf numFmtId="0" fontId="62" fillId="71" borderId="0" applyNumberFormat="0" applyBorder="0" applyAlignment="0" applyProtection="0"/>
    <xf numFmtId="0" fontId="62" fillId="10" borderId="0" applyNumberFormat="0" applyBorder="0" applyAlignment="0" applyProtection="0"/>
    <xf numFmtId="0" fontId="62" fillId="69" borderId="0" applyNumberFormat="0" applyBorder="0" applyAlignment="0" applyProtection="0"/>
    <xf numFmtId="0" fontId="62" fillId="72" borderId="0" applyNumberFormat="0" applyBorder="0" applyAlignment="0" applyProtection="0"/>
    <xf numFmtId="0" fontId="62" fillId="12" borderId="0" applyNumberFormat="0" applyBorder="0" applyAlignment="0" applyProtection="0"/>
    <xf numFmtId="0" fontId="62" fillId="73" borderId="0" applyNumberFormat="0" applyBorder="0" applyAlignment="0" applyProtection="0"/>
    <xf numFmtId="0" fontId="62" fillId="74" borderId="0" applyNumberFormat="0" applyBorder="0" applyAlignment="0" applyProtection="0"/>
    <xf numFmtId="0" fontId="62" fillId="13" borderId="0" applyNumberFormat="0" applyBorder="0" applyAlignment="0" applyProtection="0"/>
    <xf numFmtId="0" fontId="62" fillId="14" borderId="0" applyNumberFormat="0" applyBorder="0" applyAlignment="0" applyProtection="0"/>
    <xf numFmtId="0" fontId="62" fillId="72" borderId="0" applyNumberFormat="0" applyBorder="0" applyAlignment="0" applyProtection="0"/>
    <xf numFmtId="0" fontId="62" fillId="12" borderId="0" applyNumberFormat="0" applyBorder="0" applyAlignment="0" applyProtection="0"/>
    <xf numFmtId="0" fontId="62" fillId="16" borderId="0" applyNumberFormat="0" applyBorder="0" applyAlignment="0" applyProtection="0"/>
    <xf numFmtId="0" fontId="52" fillId="75" borderId="0" applyBorder="0" applyAlignment="0"/>
    <xf numFmtId="0" fontId="51" fillId="75" borderId="0" applyBorder="0">
      <alignment horizontal="right" vertical="center"/>
    </xf>
    <xf numFmtId="4" fontId="51" fillId="76" borderId="0" applyBorder="0">
      <alignment horizontal="right" vertical="center"/>
    </xf>
    <xf numFmtId="4" fontId="51" fillId="76" borderId="0" applyBorder="0">
      <alignment horizontal="right" vertical="center"/>
    </xf>
    <xf numFmtId="0" fontId="53" fillId="76" borderId="10">
      <alignment horizontal="right" vertical="center"/>
    </xf>
    <xf numFmtId="0" fontId="54" fillId="76" borderId="10">
      <alignment horizontal="right" vertical="center"/>
    </xf>
    <xf numFmtId="0" fontId="53" fillId="77" borderId="10">
      <alignment horizontal="right" vertical="center"/>
    </xf>
    <xf numFmtId="0" fontId="53" fillId="77" borderId="10">
      <alignment horizontal="right" vertical="center"/>
    </xf>
    <xf numFmtId="0" fontId="53" fillId="77" borderId="32">
      <alignment horizontal="right" vertical="center"/>
    </xf>
    <xf numFmtId="0" fontId="53" fillId="77" borderId="39">
      <alignment horizontal="right" vertical="center"/>
    </xf>
    <xf numFmtId="0" fontId="53" fillId="77" borderId="16">
      <alignment horizontal="right" vertical="center"/>
    </xf>
    <xf numFmtId="0" fontId="62" fillId="74" borderId="0" applyNumberFormat="0" applyBorder="0" applyAlignment="0" applyProtection="0"/>
    <xf numFmtId="0" fontId="62" fillId="13" borderId="0" applyNumberFormat="0" applyBorder="0" applyAlignment="0" applyProtection="0"/>
    <xf numFmtId="0" fontId="62" fillId="14" borderId="0" applyNumberFormat="0" applyBorder="0" applyAlignment="0" applyProtection="0"/>
    <xf numFmtId="0" fontId="62" fillId="72" borderId="0" applyNumberFormat="0" applyBorder="0" applyAlignment="0" applyProtection="0"/>
    <xf numFmtId="0" fontId="62" fillId="12" borderId="0" applyNumberFormat="0" applyBorder="0" applyAlignment="0" applyProtection="0"/>
    <xf numFmtId="0" fontId="62" fillId="16" borderId="0" applyNumberFormat="0" applyBorder="0" applyAlignment="0" applyProtection="0"/>
    <xf numFmtId="0" fontId="28" fillId="8" borderId="8" applyNumberFormat="0" applyAlignment="0" applyProtection="0"/>
    <xf numFmtId="0" fontId="18" fillId="8" borderId="1" applyNumberFormat="0" applyAlignment="0" applyProtection="0"/>
    <xf numFmtId="4" fontId="52" fillId="0" borderId="21" applyFill="0" applyBorder="0" applyProtection="0">
      <alignment horizontal="right" vertical="center"/>
    </xf>
    <xf numFmtId="0" fontId="18" fillId="8" borderId="1" applyNumberFormat="0" applyAlignment="0" applyProtection="0"/>
    <xf numFmtId="0" fontId="63" fillId="17" borderId="2"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0" fontId="53" fillId="0" borderId="0" applyNumberFormat="0">
      <alignment horizontal="right"/>
    </xf>
    <xf numFmtId="176" fontId="6" fillId="0" borderId="0" applyFont="0" applyFill="0" applyBorder="0" applyAlignment="0" applyProtection="0"/>
    <xf numFmtId="0" fontId="51" fillId="77" borderId="38">
      <alignment horizontal="left" vertical="center" wrapText="1" indent="2"/>
    </xf>
    <xf numFmtId="0" fontId="51" fillId="0" borderId="38">
      <alignment horizontal="left" vertical="center" wrapText="1" indent="2"/>
    </xf>
    <xf numFmtId="0" fontId="51" fillId="76" borderId="39">
      <alignment horizontal="left" vertical="center"/>
    </xf>
    <xf numFmtId="177" fontId="6" fillId="0" borderId="0" applyFont="0" applyFill="0" applyBorder="0" applyAlignment="0" applyProtection="0"/>
    <xf numFmtId="0" fontId="53" fillId="0" borderId="33">
      <alignment horizontal="left" vertical="top" wrapText="1"/>
    </xf>
    <xf numFmtId="0" fontId="25" fillId="3" borderId="1" applyNumberFormat="0" applyAlignment="0" applyProtection="0"/>
    <xf numFmtId="0" fontId="55" fillId="0" borderId="34"/>
    <xf numFmtId="0" fontId="13" fillId="0" borderId="49" applyNumberFormat="0" applyFill="0" applyAlignment="0" applyProtection="0"/>
    <xf numFmtId="0" fontId="20" fillId="0" borderId="0" applyNumberFormat="0" applyFill="0" applyBorder="0" applyAlignment="0" applyProtection="0"/>
    <xf numFmtId="2" fontId="6" fillId="0" borderId="0" applyFont="0" applyFill="0" applyBorder="0" applyAlignment="0" applyProtection="0"/>
    <xf numFmtId="0" fontId="21" fillId="6" borderId="0" applyNumberFormat="0" applyBorder="0" applyAlignment="0" applyProtection="0"/>
    <xf numFmtId="0" fontId="56" fillId="0" borderId="0" applyNumberFormat="0" applyFont="0" applyFill="0" applyAlignment="0" applyProtection="0"/>
    <xf numFmtId="0" fontId="7" fillId="0" borderId="0" applyNumberFormat="0" applyFont="0" applyFill="0" applyAlignment="0" applyProtection="0"/>
    <xf numFmtId="0" fontId="64" fillId="0" borderId="50" applyNumberFormat="0" applyFill="0" applyAlignment="0" applyProtection="0"/>
    <xf numFmtId="0" fontId="64" fillId="0" borderId="0" applyNumberFormat="0" applyFill="0" applyBorder="0" applyAlignment="0" applyProtection="0"/>
    <xf numFmtId="0" fontId="50" fillId="0" borderId="0" applyNumberFormat="0" applyFill="0" applyBorder="0" applyAlignment="0" applyProtection="0"/>
    <xf numFmtId="0" fontId="51" fillId="0" borderId="0" applyBorder="0">
      <alignment horizontal="right" vertical="center"/>
    </xf>
    <xf numFmtId="0" fontId="51" fillId="0" borderId="10">
      <alignment horizontal="right" vertical="center"/>
    </xf>
    <xf numFmtId="1" fontId="57" fillId="76" borderId="0" applyBorder="0">
      <alignment horizontal="right" vertical="center"/>
    </xf>
    <xf numFmtId="2" fontId="58" fillId="0" borderId="0" applyFill="0" applyBorder="0" applyProtection="0"/>
    <xf numFmtId="0" fontId="50" fillId="0" borderId="0"/>
    <xf numFmtId="0" fontId="6" fillId="0" borderId="0"/>
    <xf numFmtId="0" fontId="6" fillId="0" borderId="0"/>
    <xf numFmtId="0" fontId="6" fillId="0" borderId="0"/>
    <xf numFmtId="0" fontId="5" fillId="0" borderId="0"/>
    <xf numFmtId="0" fontId="6" fillId="0" borderId="0"/>
    <xf numFmtId="0" fontId="6" fillId="0" borderId="0"/>
    <xf numFmtId="0" fontId="6" fillId="0" borderId="0"/>
    <xf numFmtId="0" fontId="6" fillId="0" borderId="0"/>
    <xf numFmtId="0" fontId="6" fillId="0" borderId="0"/>
    <xf numFmtId="4" fontId="51" fillId="0" borderId="10" applyFill="0" applyBorder="0" applyProtection="0">
      <alignment horizontal="right" vertical="center"/>
    </xf>
    <xf numFmtId="49" fontId="52" fillId="0" borderId="10" applyNumberFormat="0" applyFill="0" applyBorder="0" applyProtection="0">
      <alignment horizontal="left" vertical="center"/>
    </xf>
    <xf numFmtId="0" fontId="51" fillId="0" borderId="10" applyNumberFormat="0" applyFill="0" applyAlignment="0" applyProtection="0"/>
    <xf numFmtId="0" fontId="59" fillId="78" borderId="0" applyNumberFormat="0" applyFont="0" applyBorder="0" applyAlignment="0" applyProtection="0"/>
    <xf numFmtId="0" fontId="6" fillId="0" borderId="0"/>
    <xf numFmtId="0" fontId="6" fillId="5" borderId="7" applyNumberFormat="0" applyFont="0" applyAlignment="0" applyProtection="0"/>
    <xf numFmtId="0" fontId="6" fillId="5" borderId="7" applyNumberFormat="0" applyFont="0" applyAlignment="0" applyProtection="0"/>
    <xf numFmtId="0" fontId="28" fillId="8" borderId="8" applyNumberFormat="0" applyAlignment="0" applyProtection="0"/>
    <xf numFmtId="168" fontId="51" fillId="79" borderId="10" applyNumberFormat="0" applyFont="0" applyBorder="0" applyAlignment="0" applyProtection="0">
      <alignment horizontal="right" vertical="center"/>
    </xf>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78" fontId="6" fillId="0" borderId="0" applyFont="0" applyFill="0" applyBorder="0" applyAlignment="0" applyProtection="0"/>
    <xf numFmtId="0" fontId="6" fillId="0" borderId="51" applyNumberFormat="0" applyFont="0" applyFill="0" applyAlignment="0" applyProtection="0"/>
    <xf numFmtId="0" fontId="6" fillId="0" borderId="52" applyNumberFormat="0" applyFont="0" applyFill="0" applyAlignment="0" applyProtection="0"/>
    <xf numFmtId="0" fontId="6" fillId="0" borderId="53" applyNumberFormat="0" applyFont="0" applyFill="0" applyAlignment="0" applyProtection="0"/>
    <xf numFmtId="0" fontId="6" fillId="0" borderId="54" applyNumberFormat="0" applyFont="0" applyFill="0" applyAlignment="0" applyProtection="0"/>
    <xf numFmtId="0" fontId="6" fillId="0" borderId="55" applyNumberFormat="0" applyFont="0" applyFill="0" applyAlignment="0" applyProtection="0"/>
    <xf numFmtId="0" fontId="6" fillId="2" borderId="0" applyNumberFormat="0" applyFont="0" applyBorder="0" applyAlignment="0" applyProtection="0"/>
    <xf numFmtId="0" fontId="6" fillId="0" borderId="56" applyNumberFormat="0" applyFont="0" applyFill="0" applyAlignment="0" applyProtection="0"/>
    <xf numFmtId="0" fontId="6" fillId="0" borderId="57" applyNumberFormat="0" applyFont="0" applyFill="0" applyAlignment="0" applyProtection="0"/>
    <xf numFmtId="46" fontId="6" fillId="0" borderId="0" applyFont="0" applyFill="0" applyBorder="0" applyAlignment="0" applyProtection="0"/>
    <xf numFmtId="0" fontId="8" fillId="0" borderId="0" applyNumberFormat="0" applyFill="0" applyBorder="0" applyAlignment="0" applyProtection="0"/>
    <xf numFmtId="0" fontId="6" fillId="0" borderId="58" applyNumberFormat="0" applyFont="0" applyFill="0" applyAlignment="0" applyProtection="0"/>
    <xf numFmtId="0" fontId="6" fillId="0" borderId="59" applyNumberFormat="0" applyFont="0" applyFill="0" applyAlignment="0" applyProtection="0"/>
    <xf numFmtId="0" fontId="6" fillId="0" borderId="7" applyNumberFormat="0" applyFont="0" applyFill="0" applyAlignment="0" applyProtection="0"/>
    <xf numFmtId="0" fontId="6" fillId="0" borderId="60" applyNumberFormat="0" applyFont="0" applyFill="0" applyAlignment="0" applyProtection="0"/>
    <xf numFmtId="0" fontId="6" fillId="0" borderId="7" applyNumberFormat="0" applyFont="0" applyFill="0" applyAlignment="0" applyProtection="0"/>
    <xf numFmtId="0" fontId="6" fillId="0" borderId="0" applyNumberFormat="0" applyFont="0" applyFill="0" applyBorder="0" applyProtection="0">
      <alignment horizontal="center"/>
    </xf>
    <xf numFmtId="0" fontId="66" fillId="0" borderId="0" applyNumberFormat="0" applyFill="0" applyBorder="0" applyAlignment="0" applyProtection="0"/>
    <xf numFmtId="0" fontId="61" fillId="0" borderId="0" applyNumberFormat="0" applyFill="0" applyBorder="0" applyAlignment="0" applyProtection="0"/>
    <xf numFmtId="0" fontId="30" fillId="0" borderId="0" applyNumberFormat="0" applyFill="0" applyBorder="0" applyProtection="0">
      <alignment horizontal="left"/>
    </xf>
    <xf numFmtId="0" fontId="6" fillId="2" borderId="0" applyNumberFormat="0" applyFont="0" applyBorder="0" applyAlignment="0" applyProtection="0"/>
    <xf numFmtId="0" fontId="67" fillId="0" borderId="0" applyNumberFormat="0" applyFill="0" applyBorder="0" applyAlignment="0" applyProtection="0"/>
    <xf numFmtId="0" fontId="8" fillId="0" borderId="0" applyNumberFormat="0" applyFill="0" applyBorder="0" applyAlignment="0" applyProtection="0"/>
    <xf numFmtId="0" fontId="6" fillId="0" borderId="61" applyNumberFormat="0" applyFont="0" applyFill="0" applyAlignment="0" applyProtection="0"/>
    <xf numFmtId="0" fontId="6" fillId="0" borderId="62" applyNumberFormat="0" applyFont="0" applyFill="0" applyAlignment="0" applyProtection="0"/>
    <xf numFmtId="179" fontId="6" fillId="0" borderId="0" applyFont="0" applyFill="0" applyBorder="0" applyAlignment="0" applyProtection="0"/>
    <xf numFmtId="0" fontId="6" fillId="0" borderId="63" applyNumberFormat="0" applyFont="0" applyFill="0" applyAlignment="0" applyProtection="0"/>
    <xf numFmtId="0" fontId="6" fillId="0" borderId="64" applyNumberFormat="0" applyFont="0" applyFill="0" applyAlignment="0" applyProtection="0"/>
    <xf numFmtId="0" fontId="6" fillId="0" borderId="65" applyNumberFormat="0" applyFont="0" applyFill="0" applyAlignment="0" applyProtection="0"/>
    <xf numFmtId="0" fontId="6" fillId="0" borderId="66" applyNumberFormat="0" applyFont="0" applyFill="0" applyAlignment="0" applyProtection="0"/>
    <xf numFmtId="0" fontId="6" fillId="0" borderId="67" applyNumberFormat="0" applyFont="0" applyFill="0" applyAlignment="0" applyProtection="0"/>
    <xf numFmtId="0" fontId="17" fillId="4" borderId="0" applyNumberFormat="0" applyBorder="0" applyAlignment="0" applyProtection="0"/>
    <xf numFmtId="0" fontId="51" fillId="80" borderId="10"/>
    <xf numFmtId="0" fontId="65" fillId="0" borderId="0" applyNumberFormat="0" applyFill="0" applyBorder="0" applyAlignment="0" applyProtection="0"/>
    <xf numFmtId="0" fontId="6" fillId="0" borderId="68" applyNumberFormat="0" applyFont="0" applyBorder="0" applyAlignment="0" applyProtection="0"/>
    <xf numFmtId="0" fontId="65" fillId="0" borderId="0" applyNumberFormat="0" applyFill="0" applyBorder="0" applyAlignment="0" applyProtection="0"/>
    <xf numFmtId="0" fontId="68" fillId="0" borderId="69" applyNumberFormat="0" applyFill="0" applyAlignment="0" applyProtection="0"/>
    <xf numFmtId="0" fontId="69" fillId="0" borderId="4" applyNumberFormat="0" applyFill="0" applyAlignment="0" applyProtection="0"/>
    <xf numFmtId="0" fontId="64" fillId="0" borderId="50" applyNumberFormat="0" applyFill="0" applyAlignment="0" applyProtection="0"/>
    <xf numFmtId="0" fontId="64" fillId="0" borderId="0" applyNumberFormat="0" applyFill="0" applyBorder="0" applyAlignment="0" applyProtection="0"/>
    <xf numFmtId="0" fontId="26" fillId="0" borderId="6" applyNumberFormat="0" applyFill="0" applyAlignment="0" applyProtection="0"/>
    <xf numFmtId="0" fontId="15" fillId="0" borderId="0" applyNumberFormat="0" applyFill="0" applyBorder="0" applyAlignment="0" applyProtection="0"/>
    <xf numFmtId="0" fontId="63" fillId="17" borderId="2" applyNumberFormat="0" applyAlignment="0" applyProtection="0"/>
    <xf numFmtId="0" fontId="60" fillId="0" borderId="0" applyNumberFormat="0" applyFill="0" applyBorder="0" applyAlignment="0" applyProtection="0"/>
    <xf numFmtId="0" fontId="51" fillId="0" borderId="0"/>
    <xf numFmtId="0" fontId="6" fillId="0" borderId="0"/>
    <xf numFmtId="0" fontId="5" fillId="0" borderId="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2" fillId="71" borderId="0" applyNumberFormat="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2" fillId="73" borderId="0" applyNumberFormat="0" applyBorder="0" applyAlignment="0" applyProtection="0"/>
    <xf numFmtId="0" fontId="62" fillId="12" borderId="0" applyNumberFormat="0" applyBorder="0" applyAlignment="0" applyProtection="0"/>
    <xf numFmtId="0" fontId="62" fillId="72" borderId="0" applyNumberFormat="0" applyBorder="0" applyAlignment="0" applyProtection="0"/>
    <xf numFmtId="0" fontId="62" fillId="69" borderId="0" applyNumberFormat="0" applyBorder="0" applyAlignment="0" applyProtection="0"/>
    <xf numFmtId="0" fontId="62" fillId="10" borderId="0" applyNumberFormat="0" applyBorder="0" applyAlignment="0" applyProtection="0"/>
    <xf numFmtId="0" fontId="14" fillId="70" borderId="0" applyNumberFormat="0" applyBorder="0" applyAlignment="0" applyProtection="0"/>
    <xf numFmtId="0" fontId="14" fillId="9"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10" borderId="0" applyNumberFormat="0" applyBorder="0" applyAlignment="0" applyProtection="0"/>
    <xf numFmtId="0" fontId="14" fillId="9" borderId="0" applyNumberFormat="0" applyBorder="0" applyAlignment="0" applyProtection="0"/>
    <xf numFmtId="0" fontId="14" fillId="3" borderId="0" applyNumberFormat="0" applyBorder="0" applyAlignment="0" applyProtection="0"/>
    <xf numFmtId="0" fontId="14" fillId="7" borderId="0" applyNumberFormat="0" applyBorder="0" applyAlignment="0" applyProtection="0"/>
    <xf numFmtId="0" fontId="14" fillId="68" borderId="0" applyNumberFormat="0" applyBorder="0" applyAlignment="0" applyProtection="0"/>
    <xf numFmtId="0" fontId="14" fillId="6" borderId="0" applyNumberFormat="0" applyBorder="0" applyAlignment="0" applyProtection="0"/>
    <xf numFmtId="0" fontId="14" fillId="4" borderId="0" applyNumberFormat="0" applyBorder="0" applyAlignment="0" applyProtection="0"/>
    <xf numFmtId="0" fontId="14" fillId="67" borderId="0" applyNumberFormat="0" applyBorder="0" applyAlignment="0" applyProtection="0"/>
    <xf numFmtId="0" fontId="50" fillId="0" borderId="0"/>
    <xf numFmtId="0" fontId="62" fillId="74" borderId="0" applyNumberFormat="0" applyBorder="0" applyAlignment="0" applyProtection="0"/>
    <xf numFmtId="0" fontId="62" fillId="13" borderId="0" applyNumberFormat="0" applyBorder="0" applyAlignment="0" applyProtection="0"/>
    <xf numFmtId="0" fontId="62" fillId="14" borderId="0" applyNumberFormat="0" applyBorder="0" applyAlignment="0" applyProtection="0"/>
    <xf numFmtId="0" fontId="62" fillId="72" borderId="0" applyNumberFormat="0" applyBorder="0" applyAlignment="0" applyProtection="0"/>
    <xf numFmtId="0" fontId="62" fillId="12" borderId="0" applyNumberFormat="0" applyBorder="0" applyAlignment="0" applyProtection="0"/>
    <xf numFmtId="0" fontId="62" fillId="16" borderId="0" applyNumberFormat="0" applyBorder="0" applyAlignment="0" applyProtection="0"/>
    <xf numFmtId="0" fontId="17" fillId="4" borderId="0" applyNumberFormat="0" applyBorder="0" applyAlignment="0" applyProtection="0"/>
    <xf numFmtId="0" fontId="18" fillId="8" borderId="1" applyNumberFormat="0" applyAlignment="0" applyProtection="0"/>
    <xf numFmtId="0" fontId="63" fillId="17" borderId="2" applyNumberFormat="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6" borderId="0" applyNumberFormat="0" applyBorder="0" applyAlignment="0" applyProtection="0"/>
    <xf numFmtId="0" fontId="56" fillId="0" borderId="0" applyNumberFormat="0" applyFont="0" applyFill="0" applyAlignment="0" applyProtection="0"/>
    <xf numFmtId="0" fontId="7" fillId="0" borderId="0" applyNumberFormat="0" applyFont="0" applyFill="0" applyAlignment="0" applyProtection="0"/>
    <xf numFmtId="0" fontId="64" fillId="0" borderId="50" applyNumberFormat="0" applyFill="0" applyAlignment="0" applyProtection="0"/>
    <xf numFmtId="0" fontId="64" fillId="0" borderId="0" applyNumberFormat="0" applyFill="0" applyBorder="0" applyAlignment="0" applyProtection="0"/>
    <xf numFmtId="0" fontId="25" fillId="3" borderId="1" applyNumberFormat="0" applyAlignment="0" applyProtection="0"/>
    <xf numFmtId="0" fontId="26" fillId="0" borderId="6" applyNumberFormat="0" applyFill="0" applyAlignment="0" applyProtection="0"/>
    <xf numFmtId="0" fontId="27" fillId="11" borderId="0" applyNumberFormat="0" applyBorder="0" applyAlignment="0" applyProtection="0"/>
    <xf numFmtId="0" fontId="50" fillId="0" borderId="0"/>
    <xf numFmtId="0" fontId="6" fillId="0" borderId="0"/>
    <xf numFmtId="0" fontId="6" fillId="0" borderId="0"/>
    <xf numFmtId="0" fontId="6" fillId="5" borderId="7" applyNumberFormat="0" applyFont="0" applyAlignment="0" applyProtection="0"/>
    <xf numFmtId="0" fontId="28" fillId="8" borderId="8"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65" fillId="0" borderId="0" applyNumberFormat="0" applyFill="0" applyBorder="0" applyAlignment="0" applyProtection="0"/>
    <xf numFmtId="0" fontId="6" fillId="0" borderId="68" applyNumberFormat="0" applyFont="0" applyBorder="0" applyAlignment="0" applyProtection="0"/>
    <xf numFmtId="0" fontId="15" fillId="0" borderId="0" applyNumberForma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5" fillId="0" borderId="0"/>
    <xf numFmtId="0" fontId="5" fillId="0" borderId="0"/>
    <xf numFmtId="0" fontId="14" fillId="69" borderId="0" applyNumberFormat="0" applyBorder="0" applyAlignment="0" applyProtection="0"/>
    <xf numFmtId="0" fontId="14" fillId="70" borderId="0" applyNumberFormat="0" applyBorder="0" applyAlignment="0" applyProtection="0"/>
    <xf numFmtId="0" fontId="14" fillId="9" borderId="0" applyNumberFormat="0" applyBorder="0" applyAlignment="0" applyProtection="0"/>
    <xf numFmtId="0" fontId="14" fillId="68" borderId="0" applyNumberFormat="0" applyBorder="0" applyAlignment="0" applyProtection="0"/>
    <xf numFmtId="0" fontId="14" fillId="10" borderId="0" applyNumberFormat="0" applyBorder="0" applyAlignment="0" applyProtection="0"/>
    <xf numFmtId="0" fontId="14" fillId="9" borderId="0" applyNumberFormat="0" applyBorder="0" applyAlignment="0" applyProtection="0"/>
    <xf numFmtId="0" fontId="14" fillId="3" borderId="0" applyNumberFormat="0" applyBorder="0" applyAlignment="0" applyProtection="0"/>
    <xf numFmtId="0" fontId="14" fillId="7" borderId="0" applyNumberFormat="0" applyBorder="0" applyAlignment="0" applyProtection="0"/>
    <xf numFmtId="0" fontId="14" fillId="68" borderId="0" applyNumberFormat="0" applyBorder="0" applyAlignment="0" applyProtection="0"/>
    <xf numFmtId="0" fontId="14" fillId="6" borderId="0" applyNumberFormat="0" applyBorder="0" applyAlignment="0" applyProtection="0"/>
    <xf numFmtId="0" fontId="14" fillId="4" borderId="0" applyNumberFormat="0" applyBorder="0" applyAlignment="0" applyProtection="0"/>
    <xf numFmtId="0" fontId="14" fillId="67" borderId="0" applyNumberFormat="0" applyBorder="0" applyAlignment="0" applyProtection="0"/>
    <xf numFmtId="0" fontId="50" fillId="0" borderId="0"/>
    <xf numFmtId="0" fontId="62" fillId="71" borderId="0" applyNumberFormat="0" applyBorder="0" applyAlignment="0" applyProtection="0"/>
    <xf numFmtId="0" fontId="62" fillId="10" borderId="0" applyNumberFormat="0" applyBorder="0" applyAlignment="0" applyProtection="0"/>
    <xf numFmtId="0" fontId="62" fillId="69" borderId="0" applyNumberFormat="0" applyBorder="0" applyAlignment="0" applyProtection="0"/>
    <xf numFmtId="0" fontId="62" fillId="72" borderId="0" applyNumberFormat="0" applyBorder="0" applyAlignment="0" applyProtection="0"/>
    <xf numFmtId="0" fontId="62" fillId="12" borderId="0" applyNumberFormat="0" applyBorder="0" applyAlignment="0" applyProtection="0"/>
    <xf numFmtId="0" fontId="62" fillId="73" borderId="0" applyNumberFormat="0" applyBorder="0" applyAlignment="0" applyProtection="0"/>
    <xf numFmtId="0" fontId="62" fillId="74" borderId="0" applyNumberFormat="0" applyBorder="0" applyAlignment="0" applyProtection="0"/>
    <xf numFmtId="0" fontId="62" fillId="13" borderId="0" applyNumberFormat="0" applyBorder="0" applyAlignment="0" applyProtection="0"/>
    <xf numFmtId="0" fontId="62" fillId="14" borderId="0" applyNumberFormat="0" applyBorder="0" applyAlignment="0" applyProtection="0"/>
    <xf numFmtId="0" fontId="62" fillId="72" borderId="0" applyNumberFormat="0" applyBorder="0" applyAlignment="0" applyProtection="0"/>
    <xf numFmtId="0" fontId="62" fillId="12" borderId="0" applyNumberFormat="0" applyBorder="0" applyAlignment="0" applyProtection="0"/>
    <xf numFmtId="0" fontId="62" fillId="16" borderId="0" applyNumberFormat="0" applyBorder="0" applyAlignment="0" applyProtection="0"/>
    <xf numFmtId="0" fontId="17" fillId="4" borderId="0" applyNumberFormat="0" applyBorder="0" applyAlignment="0" applyProtection="0"/>
    <xf numFmtId="0" fontId="18" fillId="8" borderId="1" applyNumberFormat="0" applyAlignment="0" applyProtection="0"/>
    <xf numFmtId="0" fontId="63" fillId="17" borderId="2" applyNumberFormat="0" applyAlignment="0" applyProtection="0"/>
    <xf numFmtId="0" fontId="20" fillId="0" borderId="0" applyNumberFormat="0" applyFill="0" applyBorder="0" applyAlignment="0" applyProtection="0"/>
    <xf numFmtId="0" fontId="21" fillId="6" borderId="0" applyNumberFormat="0" applyBorder="0" applyAlignment="0" applyProtection="0"/>
    <xf numFmtId="0" fontId="56" fillId="0" borderId="0" applyNumberFormat="0" applyFont="0" applyFill="0" applyAlignment="0" applyProtection="0"/>
    <xf numFmtId="0" fontId="7" fillId="0" borderId="0" applyNumberFormat="0" applyFont="0" applyFill="0" applyAlignment="0" applyProtection="0"/>
    <xf numFmtId="0" fontId="64" fillId="0" borderId="50" applyNumberFormat="0" applyFill="0" applyAlignment="0" applyProtection="0"/>
    <xf numFmtId="0" fontId="64" fillId="0" borderId="0" applyNumberFormat="0" applyFill="0" applyBorder="0" applyAlignment="0" applyProtection="0"/>
    <xf numFmtId="0" fontId="25" fillId="3" borderId="1" applyNumberFormat="0" applyAlignment="0" applyProtection="0"/>
    <xf numFmtId="0" fontId="26" fillId="0" borderId="6" applyNumberFormat="0" applyFill="0" applyAlignment="0" applyProtection="0"/>
    <xf numFmtId="0" fontId="27" fillId="11" borderId="0" applyNumberFormat="0" applyBorder="0" applyAlignment="0" applyProtection="0"/>
    <xf numFmtId="0" fontId="50" fillId="0" borderId="0"/>
    <xf numFmtId="0" fontId="6" fillId="5" borderId="7" applyNumberFormat="0" applyFont="0" applyAlignment="0" applyProtection="0"/>
    <xf numFmtId="0" fontId="28" fillId="8" borderId="8" applyNumberFormat="0" applyAlignment="0" applyProtection="0"/>
    <xf numFmtId="0" fontId="65" fillId="0" borderId="0" applyNumberFormat="0" applyFill="0" applyBorder="0" applyAlignment="0" applyProtection="0"/>
    <xf numFmtId="0" fontId="6" fillId="0" borderId="68" applyNumberFormat="0" applyFont="0" applyBorder="0" applyAlignment="0" applyProtection="0"/>
    <xf numFmtId="0" fontId="15" fillId="0" borderId="0" applyNumberFormat="0" applyFill="0" applyBorder="0" applyAlignment="0" applyProtection="0"/>
    <xf numFmtId="0" fontId="6" fillId="0" borderId="0"/>
    <xf numFmtId="0" fontId="6" fillId="0" borderId="0"/>
    <xf numFmtId="0" fontId="50" fillId="0" borderId="0"/>
    <xf numFmtId="0" fontId="14" fillId="67"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8" borderId="0" applyNumberFormat="0" applyBorder="0" applyAlignment="0" applyProtection="0"/>
    <xf numFmtId="0" fontId="14" fillId="7" borderId="0" applyNumberFormat="0" applyBorder="0" applyAlignment="0" applyProtection="0"/>
    <xf numFmtId="0" fontId="14" fillId="3"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69" borderId="0" applyNumberFormat="0" applyBorder="0" applyAlignment="0" applyProtection="0"/>
    <xf numFmtId="0" fontId="14" fillId="68" borderId="0" applyNumberFormat="0" applyBorder="0" applyAlignment="0" applyProtection="0"/>
    <xf numFmtId="0" fontId="14" fillId="9" borderId="0" applyNumberFormat="0" applyBorder="0" applyAlignment="0" applyProtection="0"/>
    <xf numFmtId="0" fontId="14" fillId="70" borderId="0" applyNumberFormat="0" applyBorder="0" applyAlignment="0" applyProtection="0"/>
    <xf numFmtId="0" fontId="64" fillId="0" borderId="50" applyNumberFormat="0" applyFill="0" applyAlignment="0" applyProtection="0"/>
    <xf numFmtId="0" fontId="62" fillId="71" borderId="0" applyNumberFormat="0" applyBorder="0" applyAlignment="0" applyProtection="0"/>
    <xf numFmtId="0" fontId="62" fillId="10" borderId="0" applyNumberFormat="0" applyBorder="0" applyAlignment="0" applyProtection="0"/>
    <xf numFmtId="0" fontId="62" fillId="69" borderId="0" applyNumberFormat="0" applyBorder="0" applyAlignment="0" applyProtection="0"/>
    <xf numFmtId="0" fontId="62" fillId="72" borderId="0" applyNumberFormat="0" applyBorder="0" applyAlignment="0" applyProtection="0"/>
    <xf numFmtId="0" fontId="62" fillId="12" borderId="0" applyNumberFormat="0" applyBorder="0" applyAlignment="0" applyProtection="0"/>
    <xf numFmtId="0" fontId="62" fillId="73" borderId="0" applyNumberFormat="0" applyBorder="0" applyAlignment="0" applyProtection="0"/>
    <xf numFmtId="0" fontId="62" fillId="74" borderId="0" applyNumberFormat="0" applyBorder="0" applyAlignment="0" applyProtection="0"/>
    <xf numFmtId="0" fontId="62" fillId="13" borderId="0" applyNumberFormat="0" applyBorder="0" applyAlignment="0" applyProtection="0"/>
    <xf numFmtId="0" fontId="62" fillId="14" borderId="0" applyNumberFormat="0" applyBorder="0" applyAlignment="0" applyProtection="0"/>
    <xf numFmtId="0" fontId="62" fillId="72" borderId="0" applyNumberFormat="0" applyBorder="0" applyAlignment="0" applyProtection="0"/>
    <xf numFmtId="0" fontId="62" fillId="12" borderId="0" applyNumberFormat="0" applyBorder="0" applyAlignment="0" applyProtection="0"/>
    <xf numFmtId="0" fontId="62" fillId="16" borderId="0" applyNumberFormat="0" applyBorder="0" applyAlignment="0" applyProtection="0"/>
    <xf numFmtId="0" fontId="64" fillId="0" borderId="50" applyNumberFormat="0" applyFill="0" applyAlignment="0" applyProtection="0"/>
    <xf numFmtId="0" fontId="17" fillId="4" borderId="0" applyNumberFormat="0" applyBorder="0" applyAlignment="0" applyProtection="0"/>
    <xf numFmtId="0" fontId="18" fillId="8" borderId="1" applyNumberFormat="0" applyAlignment="0" applyProtection="0"/>
    <xf numFmtId="0" fontId="63" fillId="17" borderId="2"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4" fillId="0" borderId="50" applyNumberFormat="0" applyFill="0" applyAlignment="0" applyProtection="0"/>
    <xf numFmtId="0" fontId="20" fillId="0" borderId="0" applyNumberFormat="0" applyFill="0" applyBorder="0" applyAlignment="0" applyProtection="0"/>
    <xf numFmtId="0" fontId="21" fillId="6" borderId="0" applyNumberFormat="0" applyBorder="0" applyAlignment="0" applyProtection="0"/>
    <xf numFmtId="0" fontId="56" fillId="0" borderId="0" applyNumberFormat="0" applyFont="0" applyFill="0" applyAlignment="0" applyProtection="0"/>
    <xf numFmtId="0" fontId="7" fillId="0" borderId="0" applyNumberFormat="0" applyFont="0" applyFill="0" applyAlignment="0" applyProtection="0"/>
    <xf numFmtId="0" fontId="64" fillId="0" borderId="50" applyNumberFormat="0" applyFill="0" applyAlignment="0" applyProtection="0"/>
    <xf numFmtId="0" fontId="64" fillId="0" borderId="0" applyNumberFormat="0" applyFill="0" applyBorder="0" applyAlignment="0" applyProtection="0"/>
    <xf numFmtId="0" fontId="25" fillId="3" borderId="1" applyNumberFormat="0" applyAlignment="0" applyProtection="0"/>
    <xf numFmtId="0" fontId="26" fillId="0" borderId="6" applyNumberFormat="0" applyFill="0" applyAlignment="0" applyProtection="0"/>
    <xf numFmtId="0" fontId="27" fillId="11" borderId="0" applyNumberFormat="0" applyBorder="0" applyAlignment="0" applyProtection="0"/>
    <xf numFmtId="0" fontId="50" fillId="0" borderId="0"/>
    <xf numFmtId="0" fontId="6" fillId="0" borderId="0"/>
    <xf numFmtId="0" fontId="5" fillId="0" borderId="0"/>
    <xf numFmtId="0" fontId="6" fillId="5" borderId="7" applyNumberFormat="0" applyFont="0" applyAlignment="0" applyProtection="0"/>
    <xf numFmtId="0" fontId="28" fillId="8" borderId="8" applyNumberFormat="0" applyAlignment="0" applyProtection="0"/>
    <xf numFmtId="9" fontId="6" fillId="0" borderId="0" applyFont="0" applyFill="0" applyBorder="0" applyAlignment="0" applyProtection="0"/>
    <xf numFmtId="0" fontId="64" fillId="0" borderId="50" applyNumberFormat="0" applyFill="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5" fillId="0" borderId="0" applyNumberFormat="0" applyFill="0" applyBorder="0" applyAlignment="0" applyProtection="0"/>
    <xf numFmtId="0" fontId="6" fillId="0" borderId="68" applyNumberFormat="0" applyFont="0" applyBorder="0" applyAlignment="0" applyProtection="0"/>
    <xf numFmtId="0" fontId="64" fillId="0" borderId="50" applyNumberFormat="0" applyFill="0" applyAlignment="0" applyProtection="0"/>
    <xf numFmtId="0" fontId="15" fillId="0" borderId="0" applyNumberFormat="0" applyFill="0" applyBorder="0" applyAlignment="0" applyProtection="0"/>
    <xf numFmtId="0" fontId="64" fillId="0" borderId="50" applyNumberFormat="0" applyFill="0" applyAlignment="0" applyProtection="0"/>
    <xf numFmtId="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176" fontId="6" fillId="0" borderId="0" applyFont="0" applyFill="0" applyBorder="0" applyAlignment="0" applyProtection="0"/>
    <xf numFmtId="177" fontId="6" fillId="0" borderId="0" applyFont="0" applyFill="0" applyBorder="0" applyAlignment="0" applyProtection="0"/>
    <xf numFmtId="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5" borderId="7" applyNumberFormat="0" applyFont="0" applyAlignment="0" applyProtection="0"/>
    <xf numFmtId="0" fontId="6" fillId="5" borderId="7" applyNumberFormat="0" applyFont="0" applyAlignment="0" applyProtection="0"/>
    <xf numFmtId="0" fontId="6" fillId="5" borderId="7" applyNumberFormat="0" applyFont="0" applyAlignment="0" applyProtection="0"/>
    <xf numFmtId="0" fontId="6" fillId="5" borderId="7"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78" fontId="6" fillId="0" borderId="0" applyFont="0" applyFill="0" applyBorder="0" applyAlignment="0" applyProtection="0"/>
    <xf numFmtId="0" fontId="6" fillId="0" borderId="51" applyNumberFormat="0" applyFont="0" applyFill="0" applyAlignment="0" applyProtection="0"/>
    <xf numFmtId="0" fontId="6" fillId="0" borderId="52" applyNumberFormat="0" applyFont="0" applyFill="0" applyAlignment="0" applyProtection="0"/>
    <xf numFmtId="0" fontId="6" fillId="0" borderId="53" applyNumberFormat="0" applyFont="0" applyFill="0" applyAlignment="0" applyProtection="0"/>
    <xf numFmtId="0" fontId="6" fillId="0" borderId="54" applyNumberFormat="0" applyFont="0" applyFill="0" applyAlignment="0" applyProtection="0"/>
    <xf numFmtId="0" fontId="6" fillId="0" borderId="55" applyNumberFormat="0" applyFont="0" applyFill="0" applyAlignment="0" applyProtection="0"/>
    <xf numFmtId="0" fontId="6" fillId="2" borderId="0" applyNumberFormat="0" applyFont="0" applyBorder="0" applyAlignment="0" applyProtection="0"/>
    <xf numFmtId="0" fontId="6" fillId="0" borderId="56" applyNumberFormat="0" applyFont="0" applyFill="0" applyAlignment="0" applyProtection="0"/>
    <xf numFmtId="0" fontId="6" fillId="0" borderId="57" applyNumberFormat="0" applyFont="0" applyFill="0" applyAlignment="0" applyProtection="0"/>
    <xf numFmtId="46" fontId="6" fillId="0" borderId="0" applyFont="0" applyFill="0" applyBorder="0" applyAlignment="0" applyProtection="0"/>
    <xf numFmtId="0" fontId="6" fillId="0" borderId="58" applyNumberFormat="0" applyFont="0" applyFill="0" applyAlignment="0" applyProtection="0"/>
    <xf numFmtId="0" fontId="6" fillId="0" borderId="59" applyNumberFormat="0" applyFont="0" applyFill="0" applyAlignment="0" applyProtection="0"/>
    <xf numFmtId="0" fontId="6" fillId="0" borderId="7" applyNumberFormat="0" applyFont="0" applyFill="0" applyAlignment="0" applyProtection="0"/>
    <xf numFmtId="0" fontId="6" fillId="0" borderId="60" applyNumberFormat="0" applyFont="0" applyFill="0" applyAlignment="0" applyProtection="0"/>
    <xf numFmtId="0" fontId="6" fillId="0" borderId="7" applyNumberFormat="0" applyFont="0" applyFill="0" applyAlignment="0" applyProtection="0"/>
    <xf numFmtId="0" fontId="6" fillId="0" borderId="0" applyNumberFormat="0" applyFont="0" applyFill="0" applyBorder="0" applyProtection="0">
      <alignment horizontal="center"/>
    </xf>
    <xf numFmtId="0" fontId="6" fillId="2" borderId="0" applyNumberFormat="0" applyFont="0" applyBorder="0" applyAlignment="0" applyProtection="0"/>
    <xf numFmtId="0" fontId="6" fillId="0" borderId="61" applyNumberFormat="0" applyFont="0" applyFill="0" applyAlignment="0" applyProtection="0"/>
    <xf numFmtId="0" fontId="6" fillId="0" borderId="62" applyNumberFormat="0" applyFont="0" applyFill="0" applyAlignment="0" applyProtection="0"/>
    <xf numFmtId="179" fontId="6" fillId="0" borderId="0" applyFont="0" applyFill="0" applyBorder="0" applyAlignment="0" applyProtection="0"/>
    <xf numFmtId="0" fontId="6" fillId="0" borderId="63" applyNumberFormat="0" applyFont="0" applyFill="0" applyAlignment="0" applyProtection="0"/>
    <xf numFmtId="0" fontId="6" fillId="0" borderId="64" applyNumberFormat="0" applyFont="0" applyFill="0" applyAlignment="0" applyProtection="0"/>
    <xf numFmtId="0" fontId="6" fillId="0" borderId="65" applyNumberFormat="0" applyFont="0" applyFill="0" applyAlignment="0" applyProtection="0"/>
    <xf numFmtId="0" fontId="6" fillId="0" borderId="66" applyNumberFormat="0" applyFont="0" applyFill="0" applyAlignment="0" applyProtection="0"/>
    <xf numFmtId="0" fontId="6" fillId="0" borderId="67" applyNumberFormat="0" applyFont="0" applyFill="0" applyAlignment="0" applyProtection="0"/>
    <xf numFmtId="0" fontId="6" fillId="0" borderId="68" applyNumberFormat="0" applyFont="0" applyBorder="0" applyAlignment="0" applyProtection="0"/>
    <xf numFmtId="0" fontId="6" fillId="0" borderId="68" applyNumberFormat="0" applyFont="0" applyBorder="0" applyAlignment="0" applyProtection="0"/>
    <xf numFmtId="0" fontId="6" fillId="0" borderId="68" applyNumberFormat="0" applyFont="0" applyBorder="0" applyAlignment="0" applyProtection="0"/>
    <xf numFmtId="0" fontId="6" fillId="0" borderId="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176" fontId="6" fillId="0" borderId="0" applyFont="0" applyFill="0" applyBorder="0" applyAlignment="0" applyProtection="0"/>
    <xf numFmtId="177" fontId="6" fillId="0" borderId="0" applyFont="0" applyFill="0" applyBorder="0" applyAlignment="0" applyProtection="0"/>
    <xf numFmtId="2" fontId="6" fillId="0" borderId="0" applyFont="0" applyFill="0" applyBorder="0" applyAlignment="0" applyProtection="0"/>
    <xf numFmtId="0" fontId="6" fillId="0" borderId="0"/>
    <xf numFmtId="0" fontId="6" fillId="0" borderId="0"/>
    <xf numFmtId="0" fontId="6" fillId="0" borderId="0"/>
    <xf numFmtId="0" fontId="6" fillId="5" borderId="7" applyNumberFormat="0" applyFont="0" applyAlignment="0" applyProtection="0"/>
    <xf numFmtId="0" fontId="6" fillId="5" borderId="7"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78" fontId="6" fillId="0" borderId="0" applyFont="0" applyFill="0" applyBorder="0" applyAlignment="0" applyProtection="0"/>
    <xf numFmtId="0" fontId="6" fillId="0" borderId="51" applyNumberFormat="0" applyFont="0" applyFill="0" applyAlignment="0" applyProtection="0"/>
    <xf numFmtId="0" fontId="6" fillId="0" borderId="52" applyNumberFormat="0" applyFont="0" applyFill="0" applyAlignment="0" applyProtection="0"/>
    <xf numFmtId="0" fontId="6" fillId="0" borderId="53" applyNumberFormat="0" applyFont="0" applyFill="0" applyAlignment="0" applyProtection="0"/>
    <xf numFmtId="0" fontId="6" fillId="0" borderId="54" applyNumberFormat="0" applyFont="0" applyFill="0" applyAlignment="0" applyProtection="0"/>
    <xf numFmtId="0" fontId="6" fillId="0" borderId="55" applyNumberFormat="0" applyFont="0" applyFill="0" applyAlignment="0" applyProtection="0"/>
    <xf numFmtId="0" fontId="6" fillId="2" borderId="0" applyNumberFormat="0" applyFont="0" applyBorder="0" applyAlignment="0" applyProtection="0"/>
    <xf numFmtId="0" fontId="6" fillId="0" borderId="56" applyNumberFormat="0" applyFont="0" applyFill="0" applyAlignment="0" applyProtection="0"/>
    <xf numFmtId="0" fontId="6" fillId="0" borderId="57" applyNumberFormat="0" applyFont="0" applyFill="0" applyAlignment="0" applyProtection="0"/>
    <xf numFmtId="46" fontId="6" fillId="0" borderId="0" applyFont="0" applyFill="0" applyBorder="0" applyAlignment="0" applyProtection="0"/>
    <xf numFmtId="0" fontId="6" fillId="0" borderId="58" applyNumberFormat="0" applyFont="0" applyFill="0" applyAlignment="0" applyProtection="0"/>
    <xf numFmtId="0" fontId="6" fillId="0" borderId="59" applyNumberFormat="0" applyFont="0" applyFill="0" applyAlignment="0" applyProtection="0"/>
    <xf numFmtId="0" fontId="6" fillId="0" borderId="7" applyNumberFormat="0" applyFont="0" applyFill="0" applyAlignment="0" applyProtection="0"/>
    <xf numFmtId="0" fontId="6" fillId="0" borderId="60" applyNumberFormat="0" applyFont="0" applyFill="0" applyAlignment="0" applyProtection="0"/>
    <xf numFmtId="0" fontId="6" fillId="0" borderId="7" applyNumberFormat="0" applyFont="0" applyFill="0" applyAlignment="0" applyProtection="0"/>
    <xf numFmtId="0" fontId="6" fillId="0" borderId="0" applyNumberFormat="0" applyFont="0" applyFill="0" applyBorder="0" applyProtection="0">
      <alignment horizontal="center"/>
    </xf>
    <xf numFmtId="0" fontId="6" fillId="2" borderId="0" applyNumberFormat="0" applyFont="0" applyBorder="0" applyAlignment="0" applyProtection="0"/>
    <xf numFmtId="0" fontId="6" fillId="0" borderId="61" applyNumberFormat="0" applyFont="0" applyFill="0" applyAlignment="0" applyProtection="0"/>
    <xf numFmtId="0" fontId="6" fillId="0" borderId="62" applyNumberFormat="0" applyFont="0" applyFill="0" applyAlignment="0" applyProtection="0"/>
    <xf numFmtId="179" fontId="6" fillId="0" borderId="0" applyFont="0" applyFill="0" applyBorder="0" applyAlignment="0" applyProtection="0"/>
    <xf numFmtId="0" fontId="6" fillId="0" borderId="63" applyNumberFormat="0" applyFont="0" applyFill="0" applyAlignment="0" applyProtection="0"/>
    <xf numFmtId="0" fontId="6" fillId="0" borderId="64" applyNumberFormat="0" applyFont="0" applyFill="0" applyAlignment="0" applyProtection="0"/>
    <xf numFmtId="0" fontId="6" fillId="0" borderId="65" applyNumberFormat="0" applyFont="0" applyFill="0" applyAlignment="0" applyProtection="0"/>
    <xf numFmtId="0" fontId="6" fillId="0" borderId="66" applyNumberFormat="0" applyFont="0" applyFill="0" applyAlignment="0" applyProtection="0"/>
    <xf numFmtId="0" fontId="6" fillId="0" borderId="67" applyNumberFormat="0" applyFont="0" applyFill="0" applyAlignment="0" applyProtection="0"/>
    <xf numFmtId="0" fontId="6" fillId="0" borderId="68" applyNumberFormat="0" applyFont="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5" borderId="7"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68" applyNumberFormat="0" applyFont="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5" borderId="7" applyNumberFormat="0" applyFont="0" applyAlignment="0" applyProtection="0"/>
    <xf numFmtId="0" fontId="6" fillId="0" borderId="68" applyNumberFormat="0" applyFont="0" applyBorder="0" applyAlignment="0" applyProtection="0"/>
    <xf numFmtId="0" fontId="6" fillId="0" borderId="0"/>
    <xf numFmtId="0" fontId="6" fillId="0" borderId="0"/>
    <xf numFmtId="0" fontId="6" fillId="0" borderId="0"/>
    <xf numFmtId="0" fontId="5"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5"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5" fillId="0" borderId="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176" fontId="6" fillId="0" borderId="0" applyFont="0" applyFill="0" applyBorder="0" applyAlignment="0" applyProtection="0"/>
    <xf numFmtId="177" fontId="6" fillId="0" borderId="0" applyFont="0" applyFill="0" applyBorder="0" applyAlignment="0" applyProtection="0"/>
    <xf numFmtId="2" fontId="6" fillId="0" borderId="0" applyFont="0" applyFill="0" applyBorder="0" applyAlignment="0" applyProtection="0"/>
    <xf numFmtId="0" fontId="6"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5" borderId="7" applyNumberFormat="0" applyFont="0" applyAlignment="0" applyProtection="0"/>
    <xf numFmtId="0" fontId="6" fillId="5" borderId="7"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78" fontId="6" fillId="0" borderId="0" applyFont="0" applyFill="0" applyBorder="0" applyAlignment="0" applyProtection="0"/>
    <xf numFmtId="0" fontId="6" fillId="0" borderId="51" applyNumberFormat="0" applyFont="0" applyFill="0" applyAlignment="0" applyProtection="0"/>
    <xf numFmtId="0" fontId="6" fillId="0" borderId="52" applyNumberFormat="0" applyFont="0" applyFill="0" applyAlignment="0" applyProtection="0"/>
    <xf numFmtId="0" fontId="6" fillId="0" borderId="53" applyNumberFormat="0" applyFont="0" applyFill="0" applyAlignment="0" applyProtection="0"/>
    <xf numFmtId="0" fontId="6" fillId="0" borderId="54" applyNumberFormat="0" applyFont="0" applyFill="0" applyAlignment="0" applyProtection="0"/>
    <xf numFmtId="0" fontId="6" fillId="0" borderId="55" applyNumberFormat="0" applyFont="0" applyFill="0" applyAlignment="0" applyProtection="0"/>
    <xf numFmtId="0" fontId="6" fillId="2" borderId="0" applyNumberFormat="0" applyFont="0" applyBorder="0" applyAlignment="0" applyProtection="0"/>
    <xf numFmtId="0" fontId="6" fillId="0" borderId="56" applyNumberFormat="0" applyFont="0" applyFill="0" applyAlignment="0" applyProtection="0"/>
    <xf numFmtId="0" fontId="6" fillId="0" borderId="57" applyNumberFormat="0" applyFont="0" applyFill="0" applyAlignment="0" applyProtection="0"/>
    <xf numFmtId="46" fontId="6" fillId="0" borderId="0" applyFont="0" applyFill="0" applyBorder="0" applyAlignment="0" applyProtection="0"/>
    <xf numFmtId="0" fontId="6" fillId="0" borderId="58" applyNumberFormat="0" applyFont="0" applyFill="0" applyAlignment="0" applyProtection="0"/>
    <xf numFmtId="0" fontId="6" fillId="0" borderId="59" applyNumberFormat="0" applyFont="0" applyFill="0" applyAlignment="0" applyProtection="0"/>
    <xf numFmtId="0" fontId="6" fillId="0" borderId="7" applyNumberFormat="0" applyFont="0" applyFill="0" applyAlignment="0" applyProtection="0"/>
    <xf numFmtId="0" fontId="6" fillId="0" borderId="60" applyNumberFormat="0" applyFont="0" applyFill="0" applyAlignment="0" applyProtection="0"/>
    <xf numFmtId="0" fontId="6" fillId="0" borderId="7" applyNumberFormat="0" applyFont="0" applyFill="0" applyAlignment="0" applyProtection="0"/>
    <xf numFmtId="0" fontId="6" fillId="0" borderId="0" applyNumberFormat="0" applyFont="0" applyFill="0" applyBorder="0" applyProtection="0">
      <alignment horizontal="center"/>
    </xf>
    <xf numFmtId="0" fontId="6" fillId="2" borderId="0" applyNumberFormat="0" applyFont="0" applyBorder="0" applyAlignment="0" applyProtection="0"/>
    <xf numFmtId="0" fontId="6" fillId="0" borderId="61" applyNumberFormat="0" applyFont="0" applyFill="0" applyAlignment="0" applyProtection="0"/>
    <xf numFmtId="0" fontId="6" fillId="0" borderId="62" applyNumberFormat="0" applyFont="0" applyFill="0" applyAlignment="0" applyProtection="0"/>
    <xf numFmtId="179" fontId="6" fillId="0" borderId="0" applyFont="0" applyFill="0" applyBorder="0" applyAlignment="0" applyProtection="0"/>
    <xf numFmtId="0" fontId="6" fillId="0" borderId="63" applyNumberFormat="0" applyFont="0" applyFill="0" applyAlignment="0" applyProtection="0"/>
    <xf numFmtId="0" fontId="6" fillId="0" borderId="64" applyNumberFormat="0" applyFont="0" applyFill="0" applyAlignment="0" applyProtection="0"/>
    <xf numFmtId="0" fontId="6" fillId="0" borderId="65" applyNumberFormat="0" applyFont="0" applyFill="0" applyAlignment="0" applyProtection="0"/>
    <xf numFmtId="0" fontId="6" fillId="0" borderId="66" applyNumberFormat="0" applyFont="0" applyFill="0" applyAlignment="0" applyProtection="0"/>
    <xf numFmtId="0" fontId="6" fillId="0" borderId="67" applyNumberFormat="0" applyFont="0" applyFill="0" applyAlignment="0" applyProtection="0"/>
    <xf numFmtId="0" fontId="6" fillId="0" borderId="68" applyNumberFormat="0" applyFont="0" applyBorder="0" applyAlignment="0" applyProtection="0"/>
    <xf numFmtId="0" fontId="6" fillId="0" borderId="0"/>
    <xf numFmtId="0" fontId="5" fillId="0" borderId="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5" borderId="7"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68" applyNumberFormat="0" applyFont="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5" fillId="0" borderId="0"/>
    <xf numFmtId="0" fontId="5" fillId="0" borderId="0"/>
    <xf numFmtId="0" fontId="6" fillId="5" borderId="7" applyNumberFormat="0" applyFont="0" applyAlignment="0" applyProtection="0"/>
    <xf numFmtId="0" fontId="6" fillId="0" borderId="68" applyNumberFormat="0" applyFont="0" applyBorder="0" applyAlignment="0" applyProtection="0"/>
    <xf numFmtId="0" fontId="6" fillId="0" borderId="0"/>
    <xf numFmtId="0" fontId="5" fillId="0" borderId="0"/>
    <xf numFmtId="0" fontId="5" fillId="0" borderId="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5"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4" fillId="0" borderId="50" applyNumberFormat="0" applyFill="0" applyAlignment="0" applyProtection="0"/>
    <xf numFmtId="0" fontId="6" fillId="0" borderId="0"/>
    <xf numFmtId="0" fontId="64" fillId="0" borderId="50" applyNumberFormat="0" applyFill="0" applyAlignment="0" applyProtection="0"/>
    <xf numFmtId="0" fontId="6" fillId="0" borderId="0"/>
    <xf numFmtId="0" fontId="64" fillId="0" borderId="50" applyNumberFormat="0" applyFill="0" applyAlignment="0" applyProtection="0"/>
    <xf numFmtId="0" fontId="64" fillId="0" borderId="50" applyNumberFormat="0" applyFill="0" applyAlignment="0" applyProtection="0"/>
    <xf numFmtId="0" fontId="6" fillId="0" borderId="0"/>
    <xf numFmtId="0" fontId="64" fillId="0" borderId="50" applyNumberFormat="0" applyFill="0" applyAlignment="0" applyProtection="0"/>
    <xf numFmtId="0" fontId="64" fillId="0" borderId="50" applyNumberFormat="0" applyFill="0" applyAlignment="0" applyProtection="0"/>
    <xf numFmtId="0" fontId="64" fillId="0" borderId="50" applyNumberFormat="0" applyFill="0" applyAlignment="0" applyProtection="0"/>
    <xf numFmtId="0" fontId="64" fillId="0" borderId="50" applyNumberFormat="0" applyFill="0" applyAlignment="0" applyProtection="0"/>
    <xf numFmtId="0" fontId="64" fillId="0" borderId="50" applyNumberFormat="0" applyFill="0" applyAlignment="0" applyProtection="0"/>
    <xf numFmtId="0" fontId="64" fillId="0" borderId="50" applyNumberFormat="0" applyFill="0" applyAlignment="0" applyProtection="0"/>
    <xf numFmtId="0" fontId="5" fillId="0" borderId="0"/>
    <xf numFmtId="0" fontId="64" fillId="0" borderId="50" applyNumberFormat="0" applyFill="0" applyAlignment="0" applyProtection="0"/>
    <xf numFmtId="0" fontId="64" fillId="0" borderId="50" applyNumberFormat="0" applyFill="0" applyAlignment="0" applyProtection="0"/>
    <xf numFmtId="0" fontId="64" fillId="0" borderId="50" applyNumberFormat="0" applyFill="0" applyAlignment="0" applyProtection="0"/>
    <xf numFmtId="9" fontId="6" fillId="0" borderId="0" applyFont="0" applyFill="0" applyBorder="0" applyAlignment="0" applyProtection="0"/>
    <xf numFmtId="0" fontId="64" fillId="0" borderId="50" applyNumberFormat="0" applyFill="0" applyAlignment="0" applyProtection="0"/>
    <xf numFmtId="0" fontId="6" fillId="0" borderId="0"/>
    <xf numFmtId="0" fontId="6" fillId="0" borderId="0"/>
    <xf numFmtId="0" fontId="70" fillId="0" borderId="0" applyNumberFormat="0" applyFill="0" applyBorder="0" applyAlignment="0" applyProtection="0"/>
    <xf numFmtId="0" fontId="71" fillId="0" borderId="0" applyNumberFormat="0" applyFill="0" applyBorder="0" applyAlignment="0" applyProtection="0"/>
  </cellStyleXfs>
  <cellXfs count="655">
    <xf numFmtId="0" fontId="0" fillId="0" borderId="0" xfId="0"/>
    <xf numFmtId="0" fontId="31" fillId="0" borderId="0" xfId="87" applyFont="1"/>
    <xf numFmtId="0" fontId="10" fillId="0" borderId="0" xfId="76" applyAlignment="1" applyProtection="1"/>
    <xf numFmtId="0" fontId="73" fillId="0" borderId="0" xfId="0" applyFont="1"/>
    <xf numFmtId="0" fontId="72" fillId="0" borderId="0" xfId="0" applyFont="1"/>
    <xf numFmtId="0" fontId="75" fillId="0" borderId="0" xfId="0" applyFont="1"/>
    <xf numFmtId="0" fontId="72" fillId="0" borderId="0" xfId="0" applyFont="1" applyAlignment="1">
      <alignment vertical="center"/>
    </xf>
    <xf numFmtId="0" fontId="76" fillId="0" borderId="0" xfId="0" applyFont="1" applyAlignment="1">
      <alignment vertical="center"/>
    </xf>
    <xf numFmtId="0" fontId="73" fillId="0" borderId="0" xfId="0" applyFont="1" applyAlignment="1">
      <alignment horizontal="left"/>
    </xf>
    <xf numFmtId="0" fontId="73" fillId="0" borderId="0" xfId="0" applyFont="1" applyAlignment="1">
      <alignment vertical="center" wrapText="1"/>
    </xf>
    <xf numFmtId="0" fontId="73" fillId="0" borderId="0" xfId="0" applyFont="1" applyAlignment="1">
      <alignment horizontal="center" vertical="center"/>
    </xf>
    <xf numFmtId="0" fontId="78" fillId="0" borderId="0" xfId="0" applyFont="1"/>
    <xf numFmtId="0" fontId="79" fillId="0" borderId="0" xfId="0" applyFont="1"/>
    <xf numFmtId="0" fontId="80" fillId="0" borderId="0" xfId="0" applyFont="1" applyAlignment="1">
      <alignment horizontal="left" vertical="center"/>
    </xf>
    <xf numFmtId="3" fontId="77" fillId="0" borderId="0" xfId="0" applyNumberFormat="1" applyFont="1" applyAlignment="1">
      <alignment horizontal="left"/>
    </xf>
    <xf numFmtId="3" fontId="81" fillId="0" borderId="0" xfId="0" applyNumberFormat="1" applyFont="1" applyAlignment="1">
      <alignment horizontal="right"/>
    </xf>
    <xf numFmtId="0" fontId="72" fillId="0" borderId="0" xfId="0" applyFont="1" applyAlignment="1">
      <alignment horizontal="left" vertical="center"/>
    </xf>
    <xf numFmtId="43" fontId="73" fillId="0" borderId="0" xfId="55" applyFont="1" applyFill="1" applyBorder="1"/>
    <xf numFmtId="14" fontId="73" fillId="0" borderId="0" xfId="0" applyNumberFormat="1" applyFont="1" applyAlignment="1">
      <alignment horizontal="left"/>
    </xf>
    <xf numFmtId="0" fontId="72" fillId="0" borderId="0" xfId="0" applyFont="1" applyAlignment="1">
      <alignment horizontal="center" wrapText="1"/>
    </xf>
    <xf numFmtId="0" fontId="82" fillId="0" borderId="0" xfId="0" applyFont="1"/>
    <xf numFmtId="3" fontId="77" fillId="0" borderId="0" xfId="0" applyNumberFormat="1" applyFont="1" applyAlignment="1">
      <alignment horizontal="center" vertical="center"/>
    </xf>
    <xf numFmtId="0" fontId="72" fillId="0" borderId="0" xfId="0" applyFont="1" applyAlignment="1">
      <alignment horizontal="center" vertical="center"/>
    </xf>
    <xf numFmtId="0" fontId="77" fillId="0" borderId="0" xfId="0" applyFont="1"/>
    <xf numFmtId="0" fontId="73" fillId="0" borderId="0" xfId="0" applyFont="1" applyAlignment="1">
      <alignment wrapText="1"/>
    </xf>
    <xf numFmtId="0" fontId="73" fillId="0" borderId="10" xfId="0" applyFont="1" applyBorder="1" applyAlignment="1">
      <alignment wrapText="1"/>
    </xf>
    <xf numFmtId="3" fontId="73" fillId="0" borderId="0" xfId="0" applyNumberFormat="1" applyFont="1"/>
    <xf numFmtId="3" fontId="73" fillId="0" borderId="10" xfId="0" applyNumberFormat="1" applyFont="1" applyBorder="1" applyAlignment="1">
      <alignment horizontal="right"/>
    </xf>
    <xf numFmtId="3" fontId="73" fillId="0" borderId="10" xfId="0" applyNumberFormat="1" applyFont="1" applyBorder="1"/>
    <xf numFmtId="170" fontId="73" fillId="0" borderId="0" xfId="0" applyNumberFormat="1" applyFont="1"/>
    <xf numFmtId="171" fontId="73" fillId="0" borderId="0" xfId="0" applyNumberFormat="1" applyFont="1"/>
    <xf numFmtId="164" fontId="73" fillId="0" borderId="0" xfId="0" applyNumberFormat="1" applyFont="1"/>
    <xf numFmtId="1" fontId="73" fillId="0" borderId="0" xfId="0" applyNumberFormat="1" applyFont="1"/>
    <xf numFmtId="2" fontId="73" fillId="0" borderId="0" xfId="0" applyNumberFormat="1" applyFont="1"/>
    <xf numFmtId="0" fontId="80" fillId="0" borderId="0" xfId="0" applyFont="1"/>
    <xf numFmtId="38" fontId="73" fillId="0" borderId="0" xfId="0" applyNumberFormat="1" applyFont="1"/>
    <xf numFmtId="0" fontId="77" fillId="0" borderId="10" xfId="0" applyFont="1" applyBorder="1"/>
    <xf numFmtId="0" fontId="72" fillId="0" borderId="0" xfId="0" applyFont="1" applyAlignment="1">
      <alignment wrapText="1"/>
    </xf>
    <xf numFmtId="0" fontId="83" fillId="0" borderId="0" xfId="0" applyFont="1"/>
    <xf numFmtId="0" fontId="73" fillId="0" borderId="0" xfId="0" applyFont="1" applyAlignment="1">
      <alignment horizontal="center" wrapText="1"/>
    </xf>
    <xf numFmtId="0" fontId="72" fillId="0" borderId="22" xfId="0" applyFont="1" applyBorder="1" applyAlignment="1">
      <alignment horizontal="right" wrapText="1"/>
    </xf>
    <xf numFmtId="0" fontId="73" fillId="0" borderId="12" xfId="0" applyFont="1" applyBorder="1" applyAlignment="1">
      <alignment horizontal="center" wrapText="1"/>
    </xf>
    <xf numFmtId="38" fontId="73" fillId="0" borderId="0" xfId="55" applyNumberFormat="1" applyFont="1" applyFill="1" applyBorder="1" applyAlignment="1">
      <alignment horizontal="right" vertical="center"/>
    </xf>
    <xf numFmtId="0" fontId="72" fillId="0" borderId="0" xfId="0" applyFont="1" applyAlignment="1">
      <alignment horizontal="left"/>
    </xf>
    <xf numFmtId="0" fontId="73" fillId="0" borderId="0" xfId="0" applyFont="1" applyAlignment="1">
      <alignment horizontal="right"/>
    </xf>
    <xf numFmtId="0" fontId="73" fillId="60" borderId="0" xfId="0" applyFont="1" applyFill="1" applyAlignment="1">
      <alignment horizontal="right"/>
    </xf>
    <xf numFmtId="38" fontId="73" fillId="0" borderId="0" xfId="55" applyNumberFormat="1" applyFont="1" applyFill="1" applyBorder="1" applyAlignment="1">
      <alignment horizontal="center" vertical="center"/>
    </xf>
    <xf numFmtId="0" fontId="73" fillId="0" borderId="0" xfId="0" applyFont="1" applyAlignment="1">
      <alignment horizontal="center"/>
    </xf>
    <xf numFmtId="171" fontId="73" fillId="0" borderId="0" xfId="0" applyNumberFormat="1" applyFont="1" applyAlignment="1">
      <alignment horizontal="center"/>
    </xf>
    <xf numFmtId="0" fontId="74" fillId="0" borderId="0" xfId="0" applyFont="1"/>
    <xf numFmtId="0" fontId="81" fillId="0" borderId="0" xfId="87" applyFont="1"/>
    <xf numFmtId="0" fontId="81" fillId="0" borderId="0" xfId="87" applyFont="1" applyAlignment="1">
      <alignment horizontal="right"/>
    </xf>
    <xf numFmtId="0" fontId="77" fillId="0" borderId="34" xfId="87" applyFont="1" applyBorder="1"/>
    <xf numFmtId="0" fontId="80" fillId="0" borderId="0" xfId="87" applyFont="1"/>
    <xf numFmtId="0" fontId="81" fillId="0" borderId="13" xfId="87" applyFont="1" applyBorder="1"/>
    <xf numFmtId="0" fontId="77" fillId="0" borderId="0" xfId="87" applyFont="1" applyAlignment="1">
      <alignment horizontal="center"/>
    </xf>
    <xf numFmtId="0" fontId="72" fillId="0" borderId="0" xfId="87" applyFont="1"/>
    <xf numFmtId="0" fontId="82" fillId="0" borderId="0" xfId="87" applyFont="1"/>
    <xf numFmtId="3" fontId="73" fillId="52" borderId="0" xfId="87" applyNumberFormat="1" applyFont="1" applyFill="1"/>
    <xf numFmtId="3" fontId="73" fillId="0" borderId="0" xfId="87" applyNumberFormat="1" applyFont="1"/>
    <xf numFmtId="0" fontId="86" fillId="0" borderId="0" xfId="76" applyFont="1" applyAlignment="1" applyProtection="1"/>
    <xf numFmtId="0" fontId="73" fillId="0" borderId="0" xfId="87" applyFont="1"/>
    <xf numFmtId="0" fontId="86" fillId="0" borderId="0" xfId="76" applyFont="1" applyBorder="1" applyAlignment="1" applyProtection="1"/>
    <xf numFmtId="0" fontId="86" fillId="0" borderId="0" xfId="76" applyFont="1" applyFill="1" applyBorder="1" applyAlignment="1" applyProtection="1"/>
    <xf numFmtId="0" fontId="77" fillId="0" borderId="34" xfId="87" applyFont="1" applyBorder="1" applyAlignment="1">
      <alignment horizontal="left"/>
    </xf>
    <xf numFmtId="0" fontId="81" fillId="0" borderId="0" xfId="87" applyFont="1" applyAlignment="1">
      <alignment horizontal="left"/>
    </xf>
    <xf numFmtId="3" fontId="81" fillId="0" borderId="0" xfId="87" applyNumberFormat="1" applyFont="1"/>
    <xf numFmtId="3" fontId="73" fillId="64" borderId="0" xfId="87" applyNumberFormat="1" applyFont="1" applyFill="1"/>
    <xf numFmtId="0" fontId="81" fillId="64" borderId="0" xfId="87" applyFont="1" applyFill="1"/>
    <xf numFmtId="0" fontId="81" fillId="0" borderId="34" xfId="87" applyFont="1" applyBorder="1"/>
    <xf numFmtId="0" fontId="87" fillId="0" borderId="0" xfId="87" applyFont="1"/>
    <xf numFmtId="3" fontId="72" fillId="0" borderId="0" xfId="0" applyNumberFormat="1" applyFont="1"/>
    <xf numFmtId="3" fontId="82" fillId="0" borderId="0" xfId="0" applyNumberFormat="1" applyFont="1"/>
    <xf numFmtId="0" fontId="72" fillId="0" borderId="10" xfId="0" applyFont="1" applyBorder="1" applyAlignment="1">
      <alignment horizontal="left"/>
    </xf>
    <xf numFmtId="3" fontId="72" fillId="0" borderId="12" xfId="0" applyNumberFormat="1" applyFont="1" applyBorder="1" applyAlignment="1">
      <alignment wrapText="1"/>
    </xf>
    <xf numFmtId="3" fontId="73" fillId="0" borderId="12" xfId="0" applyNumberFormat="1" applyFont="1" applyBorder="1" applyAlignment="1">
      <alignment wrapText="1"/>
    </xf>
    <xf numFmtId="3" fontId="73" fillId="0" borderId="12" xfId="0" applyNumberFormat="1" applyFont="1" applyBorder="1"/>
    <xf numFmtId="3" fontId="73" fillId="0" borderId="22" xfId="0" applyNumberFormat="1" applyFont="1" applyBorder="1"/>
    <xf numFmtId="3" fontId="72" fillId="0" borderId="22" xfId="0" applyNumberFormat="1" applyFont="1" applyBorder="1" applyAlignment="1">
      <alignment wrapText="1"/>
    </xf>
    <xf numFmtId="3" fontId="72" fillId="0" borderId="0" xfId="0" applyNumberFormat="1" applyFont="1" applyAlignment="1">
      <alignment wrapText="1"/>
    </xf>
    <xf numFmtId="0" fontId="88" fillId="55" borderId="0" xfId="0" applyFont="1" applyFill="1" applyAlignment="1">
      <alignment horizontal="left"/>
    </xf>
    <xf numFmtId="0" fontId="72" fillId="18" borderId="0" xfId="0" applyFont="1" applyFill="1"/>
    <xf numFmtId="0" fontId="73" fillId="18" borderId="0" xfId="0" applyFont="1" applyFill="1"/>
    <xf numFmtId="0" fontId="89" fillId="0" borderId="0" xfId="76" applyFont="1" applyAlignment="1" applyProtection="1"/>
    <xf numFmtId="0" fontId="90" fillId="55" borderId="0" xfId="0" applyFont="1" applyFill="1" applyAlignment="1">
      <alignment horizontal="left"/>
    </xf>
    <xf numFmtId="0" fontId="72" fillId="18" borderId="0" xfId="0" applyFont="1" applyFill="1" applyAlignment="1">
      <alignment horizontal="right"/>
    </xf>
    <xf numFmtId="167" fontId="73" fillId="0" borderId="0" xfId="0" applyNumberFormat="1" applyFont="1"/>
    <xf numFmtId="0" fontId="91" fillId="0" borderId="0" xfId="0" applyFont="1"/>
    <xf numFmtId="3" fontId="91" fillId="0" borderId="0" xfId="0" applyNumberFormat="1" applyFont="1"/>
    <xf numFmtId="0" fontId="73" fillId="0" borderId="10" xfId="0" applyFont="1" applyBorder="1" applyAlignment="1">
      <alignment horizontal="right"/>
    </xf>
    <xf numFmtId="170" fontId="73" fillId="0" borderId="10" xfId="0" applyNumberFormat="1" applyFont="1" applyBorder="1"/>
    <xf numFmtId="173" fontId="73" fillId="0" borderId="0" xfId="0" applyNumberFormat="1" applyFont="1"/>
    <xf numFmtId="0" fontId="90" fillId="0" borderId="0" xfId="0" applyFont="1"/>
    <xf numFmtId="0" fontId="73" fillId="59" borderId="0" xfId="0" applyFont="1" applyFill="1"/>
    <xf numFmtId="173" fontId="73" fillId="0" borderId="12" xfId="0" applyNumberFormat="1" applyFont="1" applyBorder="1"/>
    <xf numFmtId="0" fontId="73" fillId="0" borderId="13" xfId="0" applyFont="1" applyBorder="1" applyAlignment="1">
      <alignment horizontal="right"/>
    </xf>
    <xf numFmtId="0" fontId="73" fillId="53" borderId="15" xfId="0" applyFont="1" applyFill="1" applyBorder="1" applyAlignment="1">
      <alignment horizontal="right"/>
    </xf>
    <xf numFmtId="0" fontId="73" fillId="0" borderId="14" xfId="0" applyFont="1" applyBorder="1" applyAlignment="1">
      <alignment horizontal="right"/>
    </xf>
    <xf numFmtId="0" fontId="73" fillId="53" borderId="24" xfId="0" applyFont="1" applyFill="1" applyBorder="1" applyAlignment="1">
      <alignment horizontal="right"/>
    </xf>
    <xf numFmtId="0" fontId="73" fillId="0" borderId="0" xfId="0" applyFont="1" applyAlignment="1">
      <alignment vertical="top" wrapText="1"/>
    </xf>
    <xf numFmtId="169" fontId="73" fillId="53" borderId="13" xfId="0" applyNumberFormat="1" applyFont="1" applyFill="1" applyBorder="1"/>
    <xf numFmtId="169" fontId="73" fillId="0" borderId="34" xfId="0" applyNumberFormat="1" applyFont="1" applyBorder="1"/>
    <xf numFmtId="169" fontId="73" fillId="53" borderId="14" xfId="0" applyNumberFormat="1" applyFont="1" applyFill="1" applyBorder="1"/>
    <xf numFmtId="0" fontId="82" fillId="0" borderId="0" xfId="0" applyFont="1" applyAlignment="1">
      <alignment horizontal="center"/>
    </xf>
    <xf numFmtId="0" fontId="93" fillId="0" borderId="0" xfId="0" applyFont="1"/>
    <xf numFmtId="0" fontId="81" fillId="0" borderId="10" xfId="0" applyFont="1" applyBorder="1" applyAlignment="1">
      <alignment horizontal="left" wrapText="1"/>
    </xf>
    <xf numFmtId="0" fontId="85" fillId="60" borderId="0" xfId="0" applyFont="1" applyFill="1"/>
    <xf numFmtId="0" fontId="85" fillId="60" borderId="0" xfId="0" applyFont="1" applyFill="1" applyAlignment="1">
      <alignment horizontal="right"/>
    </xf>
    <xf numFmtId="0" fontId="73" fillId="0" borderId="0" xfId="0" applyFont="1" applyAlignment="1">
      <alignment vertical="center"/>
    </xf>
    <xf numFmtId="0" fontId="73" fillId="0" borderId="0" xfId="0" applyFont="1" applyAlignment="1">
      <alignment vertical="top"/>
    </xf>
    <xf numFmtId="0" fontId="72" fillId="0" borderId="0" xfId="0" applyFont="1" applyAlignment="1">
      <alignment vertical="top"/>
    </xf>
    <xf numFmtId="0" fontId="94" fillId="0" borderId="0" xfId="0" applyFont="1"/>
    <xf numFmtId="0" fontId="81" fillId="0" borderId="0" xfId="0" applyFont="1" applyAlignment="1">
      <alignment horizontal="left"/>
    </xf>
    <xf numFmtId="0" fontId="73" fillId="0" borderId="0" xfId="0" applyFont="1" applyAlignment="1">
      <alignment horizontal="center" vertical="top"/>
    </xf>
    <xf numFmtId="0" fontId="81" fillId="0" borderId="0" xfId="0" applyFont="1" applyAlignment="1">
      <alignment horizontal="left" wrapText="1"/>
    </xf>
    <xf numFmtId="0" fontId="72" fillId="56" borderId="0" xfId="0" applyFont="1" applyFill="1"/>
    <xf numFmtId="0" fontId="73" fillId="56" borderId="0" xfId="0" applyFont="1" applyFill="1"/>
    <xf numFmtId="0" fontId="73" fillId="54" borderId="0" xfId="0" applyFont="1" applyFill="1" applyAlignment="1">
      <alignment horizontal="center"/>
    </xf>
    <xf numFmtId="3" fontId="73" fillId="54" borderId="0" xfId="0" applyNumberFormat="1" applyFont="1" applyFill="1"/>
    <xf numFmtId="4" fontId="73" fillId="0" borderId="0" xfId="0" applyNumberFormat="1" applyFont="1"/>
    <xf numFmtId="4" fontId="73" fillId="0" borderId="0" xfId="0" applyNumberFormat="1" applyFont="1" applyAlignment="1">
      <alignment wrapText="1"/>
    </xf>
    <xf numFmtId="0" fontId="73" fillId="0" borderId="11" xfId="0" applyFont="1" applyBorder="1" applyAlignment="1">
      <alignment horizontal="left"/>
    </xf>
    <xf numFmtId="0" fontId="73" fillId="0" borderId="11" xfId="0" applyFont="1" applyBorder="1"/>
    <xf numFmtId="0" fontId="73" fillId="54" borderId="0" xfId="0" applyFont="1" applyFill="1" applyAlignment="1">
      <alignment horizontal="right"/>
    </xf>
    <xf numFmtId="9" fontId="73" fillId="0" borderId="0" xfId="87" applyNumberFormat="1" applyFont="1"/>
    <xf numFmtId="9" fontId="73" fillId="0" borderId="0" xfId="87" applyNumberFormat="1" applyFont="1" applyAlignment="1">
      <alignment horizontal="right"/>
    </xf>
    <xf numFmtId="38" fontId="73" fillId="0" borderId="0" xfId="87" applyNumberFormat="1" applyFont="1"/>
    <xf numFmtId="167" fontId="73" fillId="59" borderId="0" xfId="0" applyNumberFormat="1" applyFont="1" applyFill="1"/>
    <xf numFmtId="38" fontId="73" fillId="0" borderId="0" xfId="0" applyNumberFormat="1" applyFont="1" applyAlignment="1">
      <alignment horizontal="right"/>
    </xf>
    <xf numFmtId="167" fontId="73" fillId="51" borderId="0" xfId="0" applyNumberFormat="1" applyFont="1" applyFill="1"/>
    <xf numFmtId="0" fontId="92" fillId="0" borderId="0" xfId="0" applyFont="1"/>
    <xf numFmtId="164" fontId="73" fillId="0" borderId="0" xfId="0" applyNumberFormat="1" applyFont="1" applyAlignment="1">
      <alignment horizontal="right"/>
    </xf>
    <xf numFmtId="166" fontId="82" fillId="0" borderId="0" xfId="55" applyNumberFormat="1" applyFont="1" applyFill="1"/>
    <xf numFmtId="43" fontId="73" fillId="0" borderId="0" xfId="55" applyFont="1" applyFill="1"/>
    <xf numFmtId="0" fontId="86" fillId="0" borderId="0" xfId="76" applyFont="1" applyFill="1" applyAlignment="1" applyProtection="1"/>
    <xf numFmtId="0" fontId="73" fillId="0" borderId="0" xfId="0" quotePrefix="1" applyFont="1" applyAlignment="1">
      <alignment horizontal="right"/>
    </xf>
    <xf numFmtId="0" fontId="93" fillId="0" borderId="72" xfId="0" applyFont="1" applyBorder="1"/>
    <xf numFmtId="164" fontId="72" fillId="0" borderId="0" xfId="0" applyNumberFormat="1" applyFont="1" applyAlignment="1">
      <alignment horizontal="left"/>
    </xf>
    <xf numFmtId="43" fontId="73" fillId="0" borderId="0" xfId="55" applyFont="1"/>
    <xf numFmtId="0" fontId="93" fillId="0" borderId="72" xfId="0" applyFont="1" applyBorder="1" applyAlignment="1">
      <alignment horizontal="right"/>
    </xf>
    <xf numFmtId="0" fontId="73" fillId="0" borderId="0" xfId="87" applyFont="1" applyAlignment="1">
      <alignment horizontal="left"/>
    </xf>
    <xf numFmtId="0" fontId="77" fillId="0" borderId="74" xfId="87" applyFont="1" applyBorder="1"/>
    <xf numFmtId="0" fontId="77" fillId="0" borderId="0" xfId="87" applyFont="1"/>
    <xf numFmtId="14" fontId="73" fillId="0" borderId="0" xfId="87" applyNumberFormat="1" applyFont="1" applyAlignment="1">
      <alignment horizontal="right"/>
    </xf>
    <xf numFmtId="170" fontId="81" fillId="0" borderId="0" xfId="87" applyNumberFormat="1" applyFont="1"/>
    <xf numFmtId="0" fontId="77" fillId="0" borderId="75" xfId="87" applyFont="1" applyBorder="1"/>
    <xf numFmtId="0" fontId="72" fillId="0" borderId="0" xfId="87" applyFont="1" applyAlignment="1">
      <alignment horizontal="left"/>
    </xf>
    <xf numFmtId="9" fontId="81" fillId="0" borderId="0" xfId="87" applyNumberFormat="1" applyFont="1" applyAlignment="1">
      <alignment horizontal="left"/>
    </xf>
    <xf numFmtId="3" fontId="85" fillId="0" borderId="0" xfId="0" applyNumberFormat="1" applyFont="1" applyAlignment="1">
      <alignment horizontal="right"/>
    </xf>
    <xf numFmtId="9" fontId="82" fillId="0" borderId="0" xfId="87" applyNumberFormat="1" applyFont="1" applyAlignment="1">
      <alignment horizontal="left"/>
    </xf>
    <xf numFmtId="9" fontId="81" fillId="0" borderId="0" xfId="87" applyNumberFormat="1" applyFont="1" applyAlignment="1">
      <alignment horizontal="right"/>
    </xf>
    <xf numFmtId="0" fontId="81" fillId="0" borderId="0" xfId="87" quotePrefix="1" applyFont="1"/>
    <xf numFmtId="0" fontId="77" fillId="0" borderId="72" xfId="87" applyFont="1" applyBorder="1"/>
    <xf numFmtId="0" fontId="77" fillId="0" borderId="14" xfId="87" applyFont="1" applyBorder="1" applyAlignment="1">
      <alignment horizontal="left"/>
    </xf>
    <xf numFmtId="0" fontId="81" fillId="56" borderId="0" xfId="87" applyFont="1" applyFill="1" applyAlignment="1">
      <alignment horizontal="left"/>
    </xf>
    <xf numFmtId="0" fontId="81" fillId="81" borderId="0" xfId="87" applyFont="1" applyFill="1"/>
    <xf numFmtId="0" fontId="81" fillId="0" borderId="77" xfId="0" applyFont="1" applyBorder="1" applyAlignment="1">
      <alignment horizontal="left" wrapText="1"/>
    </xf>
    <xf numFmtId="0" fontId="81" fillId="0" borderId="77" xfId="0" applyFont="1" applyBorder="1" applyAlignment="1">
      <alignment horizontal="right" wrapText="1"/>
    </xf>
    <xf numFmtId="3" fontId="81" fillId="0" borderId="77" xfId="0" applyNumberFormat="1" applyFont="1" applyBorder="1" applyAlignment="1">
      <alignment horizontal="right" wrapText="1"/>
    </xf>
    <xf numFmtId="3" fontId="0" fillId="0" borderId="0" xfId="0" applyNumberFormat="1"/>
    <xf numFmtId="3" fontId="0" fillId="59" borderId="0" xfId="0" applyNumberFormat="1" applyFill="1"/>
    <xf numFmtId="0" fontId="10" fillId="0" borderId="0" xfId="76" applyFill="1" applyAlignment="1" applyProtection="1"/>
    <xf numFmtId="0" fontId="72" fillId="53" borderId="14" xfId="0" applyFont="1" applyFill="1" applyBorder="1" applyAlignment="1">
      <alignment wrapText="1"/>
    </xf>
    <xf numFmtId="0" fontId="72" fillId="53" borderId="24" xfId="0" applyFont="1" applyFill="1" applyBorder="1" applyAlignment="1">
      <alignment wrapText="1"/>
    </xf>
    <xf numFmtId="0" fontId="72" fillId="0" borderId="13" xfId="0" applyFont="1" applyBorder="1" applyAlignment="1">
      <alignment horizontal="center" wrapText="1"/>
    </xf>
    <xf numFmtId="0" fontId="72" fillId="0" borderId="0" xfId="0" applyFont="1" applyAlignment="1">
      <alignment horizontal="right"/>
    </xf>
    <xf numFmtId="2" fontId="73" fillId="0" borderId="0" xfId="0" applyNumberFormat="1" applyFont="1" applyAlignment="1">
      <alignment horizontal="right"/>
    </xf>
    <xf numFmtId="0" fontId="72" fillId="60" borderId="19" xfId="0" applyFont="1" applyFill="1" applyBorder="1"/>
    <xf numFmtId="0" fontId="72" fillId="60" borderId="20" xfId="0" applyFont="1" applyFill="1" applyBorder="1"/>
    <xf numFmtId="0" fontId="72" fillId="65" borderId="35" xfId="0" applyFont="1" applyFill="1" applyBorder="1"/>
    <xf numFmtId="0" fontId="72" fillId="0" borderId="0" xfId="0" applyFont="1" applyAlignment="1">
      <alignment horizontal="left" wrapText="1"/>
    </xf>
    <xf numFmtId="0" fontId="72" fillId="53" borderId="14" xfId="0" applyFont="1" applyFill="1" applyBorder="1" applyAlignment="1">
      <alignment horizontal="left" wrapText="1"/>
    </xf>
    <xf numFmtId="0" fontId="72" fillId="53" borderId="24" xfId="0" applyFont="1" applyFill="1" applyBorder="1" applyAlignment="1">
      <alignment horizontal="left" wrapText="1"/>
    </xf>
    <xf numFmtId="2" fontId="73" fillId="53" borderId="18" xfId="0" applyNumberFormat="1" applyFont="1" applyFill="1" applyBorder="1" applyAlignment="1">
      <alignment horizontal="left"/>
    </xf>
    <xf numFmtId="2" fontId="73" fillId="53" borderId="26" xfId="0" applyNumberFormat="1" applyFont="1" applyFill="1" applyBorder="1" applyAlignment="1">
      <alignment horizontal="left"/>
    </xf>
    <xf numFmtId="2" fontId="73" fillId="53" borderId="13" xfId="0" applyNumberFormat="1" applyFont="1" applyFill="1" applyBorder="1" applyAlignment="1">
      <alignment horizontal="left"/>
    </xf>
    <xf numFmtId="2" fontId="73" fillId="53" borderId="15" xfId="0" applyNumberFormat="1" applyFont="1" applyFill="1" applyBorder="1" applyAlignment="1">
      <alignment horizontal="left"/>
    </xf>
    <xf numFmtId="2" fontId="73" fillId="53" borderId="14" xfId="0" applyNumberFormat="1" applyFont="1" applyFill="1" applyBorder="1" applyAlignment="1">
      <alignment horizontal="left"/>
    </xf>
    <xf numFmtId="2" fontId="73" fillId="53" borderId="24" xfId="0" applyNumberFormat="1" applyFont="1" applyFill="1" applyBorder="1" applyAlignment="1">
      <alignment horizontal="left"/>
    </xf>
    <xf numFmtId="2" fontId="73" fillId="0" borderId="0" xfId="0" applyNumberFormat="1" applyFont="1" applyAlignment="1">
      <alignment horizontal="left"/>
    </xf>
    <xf numFmtId="0" fontId="72" fillId="0" borderId="13" xfId="0" applyFont="1" applyBorder="1" applyAlignment="1">
      <alignment horizontal="left" wrapText="1"/>
    </xf>
    <xf numFmtId="0" fontId="72" fillId="0" borderId="25" xfId="0" applyFont="1" applyBorder="1" applyAlignment="1">
      <alignment horizontal="left" wrapText="1"/>
    </xf>
    <xf numFmtId="169" fontId="73" fillId="0" borderId="0" xfId="0" applyNumberFormat="1" applyFont="1"/>
    <xf numFmtId="169" fontId="73" fillId="0" borderId="0" xfId="0" applyNumberFormat="1" applyFont="1" applyAlignment="1">
      <alignment horizontal="right"/>
    </xf>
    <xf numFmtId="169" fontId="73" fillId="0" borderId="34" xfId="0" applyNumberFormat="1" applyFont="1" applyBorder="1" applyAlignment="1">
      <alignment horizontal="right"/>
    </xf>
    <xf numFmtId="0" fontId="73" fillId="53" borderId="15" xfId="0" applyFont="1" applyFill="1" applyBorder="1" applyAlignment="1">
      <alignment horizontal="left"/>
    </xf>
    <xf numFmtId="169" fontId="73" fillId="0" borderId="0" xfId="0" applyNumberFormat="1" applyFont="1" applyAlignment="1">
      <alignment horizontal="left"/>
    </xf>
    <xf numFmtId="0" fontId="73" fillId="0" borderId="13" xfId="0" applyFont="1" applyBorder="1" applyAlignment="1">
      <alignment horizontal="left"/>
    </xf>
    <xf numFmtId="169" fontId="73" fillId="53" borderId="13" xfId="0" applyNumberFormat="1" applyFont="1" applyFill="1" applyBorder="1" applyAlignment="1">
      <alignment horizontal="left"/>
    </xf>
    <xf numFmtId="0" fontId="73" fillId="0" borderId="14" xfId="0" applyFont="1" applyBorder="1" applyAlignment="1">
      <alignment horizontal="left"/>
    </xf>
    <xf numFmtId="169" fontId="73" fillId="53" borderId="14" xfId="0" applyNumberFormat="1" applyFont="1" applyFill="1" applyBorder="1" applyAlignment="1">
      <alignment horizontal="left"/>
    </xf>
    <xf numFmtId="0" fontId="73" fillId="53" borderId="24" xfId="0" applyFont="1" applyFill="1" applyBorder="1" applyAlignment="1">
      <alignment horizontal="left"/>
    </xf>
    <xf numFmtId="169" fontId="73" fillId="0" borderId="34" xfId="0" applyNumberFormat="1" applyFont="1" applyBorder="1" applyAlignment="1">
      <alignment horizontal="left"/>
    </xf>
    <xf numFmtId="0" fontId="93" fillId="0" borderId="78" xfId="0" applyFont="1" applyBorder="1" applyAlignment="1">
      <alignment wrapText="1"/>
    </xf>
    <xf numFmtId="0" fontId="93" fillId="53" borderId="13" xfId="0" applyFont="1" applyFill="1" applyBorder="1" applyAlignment="1">
      <alignment horizontal="left" wrapText="1"/>
    </xf>
    <xf numFmtId="0" fontId="72" fillId="53" borderId="15" xfId="0" applyFont="1" applyFill="1" applyBorder="1" applyAlignment="1">
      <alignment wrapText="1"/>
    </xf>
    <xf numFmtId="0" fontId="73" fillId="53" borderId="19" xfId="0" applyFont="1" applyFill="1" applyBorder="1" applyAlignment="1">
      <alignment horizontal="left"/>
    </xf>
    <xf numFmtId="0" fontId="73" fillId="53" borderId="20" xfId="0" applyFont="1" applyFill="1" applyBorder="1" applyAlignment="1">
      <alignment wrapText="1"/>
    </xf>
    <xf numFmtId="0" fontId="72" fillId="0" borderId="72" xfId="0" applyFont="1" applyBorder="1" applyAlignment="1">
      <alignment horizontal="left"/>
    </xf>
    <xf numFmtId="2" fontId="72" fillId="0" borderId="79" xfId="0" applyNumberFormat="1" applyFont="1" applyBorder="1" applyAlignment="1">
      <alignment horizontal="left"/>
    </xf>
    <xf numFmtId="0" fontId="93" fillId="0" borderId="0" xfId="0" applyFont="1" applyAlignment="1">
      <alignment wrapText="1"/>
    </xf>
    <xf numFmtId="0" fontId="93" fillId="0" borderId="0" xfId="0" applyFont="1" applyAlignment="1">
      <alignment horizontal="left"/>
    </xf>
    <xf numFmtId="0" fontId="93" fillId="0" borderId="0" xfId="0" applyFont="1" applyAlignment="1">
      <alignment horizontal="left" wrapText="1"/>
    </xf>
    <xf numFmtId="174" fontId="73" fillId="0" borderId="0" xfId="0" applyNumberFormat="1" applyFont="1"/>
    <xf numFmtId="0" fontId="81" fillId="0" borderId="0" xfId="0" applyFont="1" applyAlignment="1">
      <alignment horizontal="center" wrapText="1"/>
    </xf>
    <xf numFmtId="4" fontId="81" fillId="0" borderId="0" xfId="0" applyNumberFormat="1" applyFont="1" applyAlignment="1">
      <alignment horizontal="right" wrapText="1"/>
    </xf>
    <xf numFmtId="4" fontId="81" fillId="0" borderId="10" xfId="0" applyNumberFormat="1" applyFont="1" applyBorder="1" applyAlignment="1">
      <alignment horizontal="left" wrapText="1"/>
    </xf>
    <xf numFmtId="2" fontId="73" fillId="56" borderId="10" xfId="0" applyNumberFormat="1" applyFont="1" applyFill="1" applyBorder="1" applyAlignment="1">
      <alignment horizontal="left"/>
    </xf>
    <xf numFmtId="4" fontId="81" fillId="0" borderId="0" xfId="0" applyNumberFormat="1" applyFont="1" applyAlignment="1">
      <alignment horizontal="left" wrapText="1"/>
    </xf>
    <xf numFmtId="0" fontId="72" fillId="0" borderId="0" xfId="0" applyFont="1" applyAlignment="1">
      <alignment horizontal="right" wrapText="1"/>
    </xf>
    <xf numFmtId="3" fontId="73" fillId="0" borderId="0" xfId="0" applyNumberFormat="1" applyFont="1" applyAlignment="1">
      <alignment horizontal="center"/>
    </xf>
    <xf numFmtId="3" fontId="73" fillId="0" borderId="12" xfId="0" applyNumberFormat="1" applyFont="1" applyBorder="1" applyAlignment="1">
      <alignment horizontal="center"/>
    </xf>
    <xf numFmtId="3" fontId="73" fillId="0" borderId="22" xfId="0" applyNumberFormat="1" applyFont="1" applyBorder="1" applyAlignment="1">
      <alignment horizontal="center"/>
    </xf>
    <xf numFmtId="0" fontId="73" fillId="0" borderId="12" xfId="0" applyFont="1" applyBorder="1" applyAlignment="1">
      <alignment horizontal="center"/>
    </xf>
    <xf numFmtId="3" fontId="73" fillId="0" borderId="22" xfId="0" applyNumberFormat="1" applyFont="1" applyBorder="1" applyAlignment="1">
      <alignment wrapText="1"/>
    </xf>
    <xf numFmtId="0" fontId="4" fillId="0" borderId="0" xfId="0" applyFont="1"/>
    <xf numFmtId="0" fontId="93" fillId="0" borderId="0" xfId="0" applyFont="1" applyAlignment="1">
      <alignment horizontal="center" wrapText="1"/>
    </xf>
    <xf numFmtId="0" fontId="93" fillId="0" borderId="73" xfId="0" applyFont="1" applyBorder="1" applyAlignment="1">
      <alignment wrapText="1"/>
    </xf>
    <xf numFmtId="0" fontId="73" fillId="0" borderId="77" xfId="0" applyFont="1" applyBorder="1" applyAlignment="1">
      <alignment horizontal="center"/>
    </xf>
    <xf numFmtId="0" fontId="73" fillId="0" borderId="22" xfId="0" applyFont="1" applyBorder="1" applyAlignment="1">
      <alignment horizontal="center"/>
    </xf>
    <xf numFmtId="0" fontId="73" fillId="0" borderId="80" xfId="0" applyFont="1" applyBorder="1" applyAlignment="1">
      <alignment horizontal="center"/>
    </xf>
    <xf numFmtId="3" fontId="73" fillId="0" borderId="80" xfId="0" applyNumberFormat="1" applyFont="1" applyBorder="1" applyAlignment="1">
      <alignment horizontal="center"/>
    </xf>
    <xf numFmtId="0" fontId="73" fillId="59" borderId="0" xfId="0" applyFont="1" applyFill="1" applyAlignment="1">
      <alignment horizontal="center"/>
    </xf>
    <xf numFmtId="3" fontId="72" fillId="0" borderId="22" xfId="0" applyNumberFormat="1" applyFont="1" applyBorder="1" applyAlignment="1">
      <alignment horizontal="center" wrapText="1"/>
    </xf>
    <xf numFmtId="3" fontId="73" fillId="0" borderId="12" xfId="0" applyNumberFormat="1" applyFont="1" applyBorder="1" applyAlignment="1">
      <alignment horizontal="center" wrapText="1"/>
    </xf>
    <xf numFmtId="0" fontId="72" fillId="0" borderId="73" xfId="0" applyFont="1" applyBorder="1" applyAlignment="1">
      <alignment horizontal="left" wrapText="1"/>
    </xf>
    <xf numFmtId="3" fontId="93" fillId="0" borderId="0" xfId="0" applyNumberFormat="1" applyFont="1" applyAlignment="1">
      <alignment wrapText="1"/>
    </xf>
    <xf numFmtId="3" fontId="93" fillId="0" borderId="0" xfId="0" applyNumberFormat="1" applyFont="1" applyAlignment="1">
      <alignment horizontal="right" wrapText="1"/>
    </xf>
    <xf numFmtId="0" fontId="4" fillId="0" borderId="0" xfId="0" applyFont="1" applyAlignment="1">
      <alignment wrapText="1"/>
    </xf>
    <xf numFmtId="0" fontId="73" fillId="54" borderId="80" xfId="0" applyFont="1" applyFill="1" applyBorder="1" applyAlignment="1">
      <alignment horizontal="right"/>
    </xf>
    <xf numFmtId="3" fontId="73" fillId="54" borderId="0" xfId="0" applyNumberFormat="1" applyFont="1" applyFill="1" applyAlignment="1">
      <alignment horizontal="right"/>
    </xf>
    <xf numFmtId="3" fontId="73" fillId="0" borderId="80" xfId="0" applyNumberFormat="1" applyFont="1" applyBorder="1" applyAlignment="1">
      <alignment horizontal="right"/>
    </xf>
    <xf numFmtId="3" fontId="73" fillId="0" borderId="0" xfId="0" applyNumberFormat="1" applyFont="1" applyAlignment="1">
      <alignment horizontal="right"/>
    </xf>
    <xf numFmtId="0" fontId="73" fillId="54" borderId="82" xfId="0" applyFont="1" applyFill="1" applyBorder="1" applyAlignment="1">
      <alignment horizontal="right"/>
    </xf>
    <xf numFmtId="3" fontId="73" fillId="0" borderId="82" xfId="0" applyNumberFormat="1" applyFont="1" applyBorder="1" applyAlignment="1">
      <alignment horizontal="right"/>
    </xf>
    <xf numFmtId="3" fontId="73" fillId="0" borderId="77" xfId="0" applyNumberFormat="1" applyFont="1" applyBorder="1" applyAlignment="1">
      <alignment horizontal="right"/>
    </xf>
    <xf numFmtId="3" fontId="73" fillId="0" borderId="22" xfId="0" applyNumberFormat="1" applyFont="1" applyBorder="1" applyAlignment="1">
      <alignment horizontal="right"/>
    </xf>
    <xf numFmtId="3" fontId="73" fillId="0" borderId="0" xfId="0" applyNumberFormat="1" applyFont="1" applyAlignment="1">
      <alignment wrapText="1"/>
    </xf>
    <xf numFmtId="0" fontId="72" fillId="81" borderId="0" xfId="0" applyFont="1" applyFill="1"/>
    <xf numFmtId="3" fontId="73" fillId="81" borderId="0" xfId="0" applyNumberFormat="1" applyFont="1" applyFill="1" applyAlignment="1">
      <alignment wrapText="1"/>
    </xf>
    <xf numFmtId="0" fontId="73" fillId="81" borderId="0" xfId="0" applyFont="1" applyFill="1"/>
    <xf numFmtId="0" fontId="93" fillId="0" borderId="77" xfId="0" applyFont="1" applyBorder="1" applyAlignment="1">
      <alignment wrapText="1"/>
    </xf>
    <xf numFmtId="0" fontId="93" fillId="0" borderId="77" xfId="0" applyFont="1" applyBorder="1" applyAlignment="1">
      <alignment horizontal="right" wrapText="1"/>
    </xf>
    <xf numFmtId="0" fontId="93" fillId="0" borderId="22" xfId="0" applyFont="1" applyBorder="1" applyAlignment="1">
      <alignment wrapText="1"/>
    </xf>
    <xf numFmtId="0" fontId="93" fillId="0" borderId="22" xfId="0" applyFont="1" applyBorder="1" applyAlignment="1">
      <alignment horizontal="right" wrapText="1"/>
    </xf>
    <xf numFmtId="0" fontId="72" fillId="83" borderId="0" xfId="0" applyFont="1" applyFill="1"/>
    <xf numFmtId="3" fontId="73" fillId="83" borderId="0" xfId="0" applyNumberFormat="1" applyFont="1" applyFill="1" applyAlignment="1">
      <alignment wrapText="1"/>
    </xf>
    <xf numFmtId="0" fontId="73" fillId="83" borderId="0" xfId="0" applyFont="1" applyFill="1"/>
    <xf numFmtId="0" fontId="93" fillId="0" borderId="83" xfId="0" applyFont="1" applyBorder="1" applyAlignment="1">
      <alignment wrapText="1"/>
    </xf>
    <xf numFmtId="0" fontId="93" fillId="0" borderId="83" xfId="0" applyFont="1" applyBorder="1" applyAlignment="1">
      <alignment horizontal="right" wrapText="1"/>
    </xf>
    <xf numFmtId="0" fontId="93" fillId="0" borderId="0" xfId="0" applyFont="1" applyAlignment="1">
      <alignment horizontal="right"/>
    </xf>
    <xf numFmtId="3" fontId="73" fillId="0" borderId="71" xfId="0" applyNumberFormat="1" applyFont="1" applyBorder="1"/>
    <xf numFmtId="0" fontId="73" fillId="0" borderId="76" xfId="0" applyFont="1" applyBorder="1"/>
    <xf numFmtId="3" fontId="73" fillId="51" borderId="83" xfId="0" applyNumberFormat="1" applyFont="1" applyFill="1" applyBorder="1" applyAlignment="1">
      <alignment wrapText="1"/>
    </xf>
    <xf numFmtId="0" fontId="72" fillId="18" borderId="80" xfId="0" applyFont="1" applyFill="1" applyBorder="1"/>
    <xf numFmtId="0" fontId="73" fillId="18" borderId="71" xfId="0" applyFont="1" applyFill="1" applyBorder="1"/>
    <xf numFmtId="0" fontId="72" fillId="18" borderId="71" xfId="0" applyFont="1" applyFill="1" applyBorder="1" applyAlignment="1">
      <alignment horizontal="right"/>
    </xf>
    <xf numFmtId="0" fontId="89" fillId="0" borderId="71" xfId="76" applyFont="1" applyBorder="1" applyAlignment="1" applyProtection="1"/>
    <xf numFmtId="0" fontId="73" fillId="18" borderId="76" xfId="0" applyFont="1" applyFill="1" applyBorder="1"/>
    <xf numFmtId="0" fontId="77" fillId="0" borderId="77" xfId="0" applyFont="1" applyBorder="1"/>
    <xf numFmtId="0" fontId="72" fillId="0" borderId="80" xfId="0" applyFont="1" applyBorder="1" applyAlignment="1">
      <alignment horizontal="left"/>
    </xf>
    <xf numFmtId="0" fontId="73" fillId="0" borderId="71" xfId="0" applyFont="1" applyBorder="1"/>
    <xf numFmtId="0" fontId="81" fillId="0" borderId="0" xfId="0" applyFont="1"/>
    <xf numFmtId="0" fontId="81" fillId="0" borderId="0" xfId="0" applyFont="1" applyAlignment="1">
      <alignment horizontal="right" wrapText="1"/>
    </xf>
    <xf numFmtId="3" fontId="81" fillId="0" borderId="0" xfId="0" applyNumberFormat="1" applyFont="1" applyAlignment="1">
      <alignment horizontal="right" wrapText="1"/>
    </xf>
    <xf numFmtId="168" fontId="73" fillId="57" borderId="0" xfId="0" applyNumberFormat="1" applyFont="1" applyFill="1"/>
    <xf numFmtId="3" fontId="77" fillId="0" borderId="83" xfId="0" applyNumberFormat="1" applyFont="1" applyBorder="1" applyAlignment="1">
      <alignment horizontal="center" wrapText="1"/>
    </xf>
    <xf numFmtId="0" fontId="77" fillId="58" borderId="83" xfId="0" applyFont="1" applyFill="1" applyBorder="1" applyAlignment="1">
      <alignment horizontal="center" wrapText="1"/>
    </xf>
    <xf numFmtId="0" fontId="73" fillId="0" borderId="83" xfId="0" applyFont="1" applyBorder="1" applyAlignment="1">
      <alignment wrapText="1"/>
    </xf>
    <xf numFmtId="0" fontId="73" fillId="51" borderId="83" xfId="0" applyFont="1" applyFill="1" applyBorder="1" applyAlignment="1">
      <alignment horizontal="right" wrapText="1"/>
    </xf>
    <xf numFmtId="0" fontId="81" fillId="59" borderId="77" xfId="0" applyFont="1" applyFill="1" applyBorder="1" applyAlignment="1">
      <alignment horizontal="right" wrapText="1"/>
    </xf>
    <xf numFmtId="168" fontId="73" fillId="57" borderId="77" xfId="0" applyNumberFormat="1" applyFont="1" applyFill="1" applyBorder="1"/>
    <xf numFmtId="0" fontId="73" fillId="53" borderId="77" xfId="0" applyFont="1" applyFill="1" applyBorder="1"/>
    <xf numFmtId="3" fontId="81" fillId="59" borderId="0" xfId="0" applyNumberFormat="1" applyFont="1" applyFill="1" applyAlignment="1">
      <alignment horizontal="right" wrapText="1"/>
    </xf>
    <xf numFmtId="3" fontId="73" fillId="53" borderId="0" xfId="0" applyNumberFormat="1" applyFont="1" applyFill="1"/>
    <xf numFmtId="3" fontId="12" fillId="59" borderId="0" xfId="0" applyNumberFormat="1" applyFont="1" applyFill="1"/>
    <xf numFmtId="0" fontId="72" fillId="53" borderId="0" xfId="0" applyFont="1" applyFill="1" applyAlignment="1">
      <alignment horizontal="left"/>
    </xf>
    <xf numFmtId="0" fontId="72" fillId="53" borderId="0" xfId="0" applyFont="1" applyFill="1" applyAlignment="1">
      <alignment horizontal="center"/>
    </xf>
    <xf numFmtId="0" fontId="72" fillId="53" borderId="0" xfId="0" applyFont="1" applyFill="1"/>
    <xf numFmtId="173" fontId="72" fillId="0" borderId="0" xfId="55" applyNumberFormat="1" applyFont="1" applyFill="1" applyBorder="1" applyAlignment="1">
      <alignment horizontal="right" vertical="center"/>
    </xf>
    <xf numFmtId="0" fontId="72" fillId="0" borderId="12" xfId="0" applyFont="1" applyBorder="1" applyAlignment="1">
      <alignment horizontal="center" wrapText="1"/>
    </xf>
    <xf numFmtId="0" fontId="72" fillId="0" borderId="77" xfId="0" applyFont="1" applyBorder="1"/>
    <xf numFmtId="173" fontId="73" fillId="0" borderId="0" xfId="0" applyNumberFormat="1" applyFont="1" applyAlignment="1">
      <alignment horizontal="right"/>
    </xf>
    <xf numFmtId="173" fontId="73" fillId="0" borderId="0" xfId="55" applyNumberFormat="1" applyFont="1" applyFill="1" applyBorder="1" applyAlignment="1">
      <alignment horizontal="right" vertical="center"/>
    </xf>
    <xf numFmtId="0" fontId="72" fillId="0" borderId="77" xfId="0" applyFont="1" applyBorder="1" applyAlignment="1">
      <alignment horizontal="center" wrapText="1"/>
    </xf>
    <xf numFmtId="0" fontId="72" fillId="0" borderId="28" xfId="0" applyFont="1" applyBorder="1" applyAlignment="1">
      <alignment wrapText="1"/>
    </xf>
    <xf numFmtId="0" fontId="72" fillId="0" borderId="84" xfId="0" applyFont="1" applyBorder="1" applyAlignment="1">
      <alignment horizontal="center" wrapText="1"/>
    </xf>
    <xf numFmtId="0" fontId="73" fillId="0" borderId="84" xfId="0" applyFont="1" applyBorder="1" applyAlignment="1">
      <alignment horizontal="center" wrapText="1"/>
    </xf>
    <xf numFmtId="0" fontId="72" fillId="0" borderId="85" xfId="0" applyFont="1" applyBorder="1" applyAlignment="1">
      <alignment horizontal="right" wrapText="1"/>
    </xf>
    <xf numFmtId="0" fontId="73" fillId="0" borderId="25" xfId="0" applyFont="1" applyBorder="1" applyAlignment="1">
      <alignment horizontal="center" wrapText="1"/>
    </xf>
    <xf numFmtId="0" fontId="73" fillId="0" borderId="86" xfId="0" applyFont="1" applyBorder="1" applyAlignment="1">
      <alignment horizontal="center" wrapText="1"/>
    </xf>
    <xf numFmtId="0" fontId="73" fillId="0" borderId="87" xfId="0" applyFont="1" applyBorder="1" applyAlignment="1">
      <alignment horizontal="center" wrapText="1"/>
    </xf>
    <xf numFmtId="0" fontId="73" fillId="0" borderId="26" xfId="0" applyFont="1" applyBorder="1" applyAlignment="1">
      <alignment horizontal="center" wrapText="1"/>
    </xf>
    <xf numFmtId="0" fontId="72" fillId="0" borderId="88" xfId="0" applyFont="1" applyBorder="1" applyAlignment="1">
      <alignment horizontal="right"/>
    </xf>
    <xf numFmtId="0" fontId="73" fillId="0" borderId="15" xfId="0" applyFont="1" applyBorder="1" applyAlignment="1">
      <alignment horizontal="center" wrapText="1"/>
    </xf>
    <xf numFmtId="0" fontId="72" fillId="0" borderId="89" xfId="0" applyFont="1" applyBorder="1" applyAlignment="1">
      <alignment horizontal="right" wrapText="1"/>
    </xf>
    <xf numFmtId="0" fontId="73" fillId="61" borderId="34" xfId="0" applyFont="1" applyFill="1" applyBorder="1" applyAlignment="1">
      <alignment horizontal="center" wrapText="1"/>
    </xf>
    <xf numFmtId="0" fontId="73" fillId="62" borderId="34" xfId="0" applyFont="1" applyFill="1" applyBorder="1" applyAlignment="1">
      <alignment horizontal="center" wrapText="1"/>
    </xf>
    <xf numFmtId="0" fontId="73" fillId="62" borderId="90" xfId="0" applyFont="1" applyFill="1" applyBorder="1" applyAlignment="1">
      <alignment horizontal="center" wrapText="1"/>
    </xf>
    <xf numFmtId="0" fontId="73" fillId="0" borderId="26" xfId="0" quotePrefix="1" applyFont="1" applyBorder="1" applyAlignment="1">
      <alignment horizontal="center" wrapText="1"/>
    </xf>
    <xf numFmtId="0" fontId="73" fillId="62" borderId="91" xfId="0" applyFont="1" applyFill="1" applyBorder="1" applyAlignment="1">
      <alignment horizontal="center" wrapText="1"/>
    </xf>
    <xf numFmtId="0" fontId="72" fillId="0" borderId="88" xfId="0" applyFont="1" applyBorder="1" applyAlignment="1">
      <alignment horizontal="right" wrapText="1"/>
    </xf>
    <xf numFmtId="0" fontId="73" fillId="62" borderId="24" xfId="0" applyFont="1" applyFill="1" applyBorder="1" applyAlignment="1">
      <alignment horizontal="center" wrapText="1"/>
    </xf>
    <xf numFmtId="0" fontId="73" fillId="0" borderId="91" xfId="0" applyFont="1" applyBorder="1" applyAlignment="1">
      <alignment horizontal="center" wrapText="1"/>
    </xf>
    <xf numFmtId="0" fontId="73" fillId="0" borderId="34" xfId="0" applyFont="1" applyBorder="1" applyAlignment="1">
      <alignment horizontal="center" wrapText="1"/>
    </xf>
    <xf numFmtId="0" fontId="73" fillId="0" borderId="24" xfId="0" applyFont="1" applyBorder="1" applyAlignment="1">
      <alignment horizontal="center" wrapText="1"/>
    </xf>
    <xf numFmtId="0" fontId="72" fillId="0" borderId="18" xfId="0" applyFont="1" applyBorder="1" applyAlignment="1">
      <alignment wrapText="1"/>
    </xf>
    <xf numFmtId="2" fontId="73" fillId="0" borderId="0" xfId="0" applyNumberFormat="1" applyFont="1" applyAlignment="1">
      <alignment horizontal="center"/>
    </xf>
    <xf numFmtId="0" fontId="72" fillId="0" borderId="13" xfId="0" applyFont="1" applyBorder="1" applyAlignment="1">
      <alignment wrapText="1"/>
    </xf>
    <xf numFmtId="0" fontId="72" fillId="0" borderId="14" xfId="0" applyFont="1" applyBorder="1" applyAlignment="1">
      <alignment wrapText="1"/>
    </xf>
    <xf numFmtId="0" fontId="72" fillId="0" borderId="22" xfId="0" applyFont="1" applyBorder="1" applyAlignment="1">
      <alignment horizontal="center" wrapText="1"/>
    </xf>
    <xf numFmtId="0" fontId="72" fillId="0" borderId="0" xfId="0" applyFont="1" applyProtection="1">
      <protection locked="0"/>
    </xf>
    <xf numFmtId="0" fontId="73" fillId="0" borderId="0" xfId="0" applyFont="1" applyAlignment="1" applyProtection="1">
      <alignment wrapText="1"/>
      <protection locked="0"/>
    </xf>
    <xf numFmtId="0" fontId="73" fillId="0" borderId="0" xfId="0" applyFont="1" applyAlignment="1" applyProtection="1">
      <alignment horizontal="center" wrapText="1"/>
      <protection locked="0"/>
    </xf>
    <xf numFmtId="0" fontId="73" fillId="0" borderId="0" xfId="0" applyFont="1" applyProtection="1">
      <protection locked="0"/>
    </xf>
    <xf numFmtId="166" fontId="73" fillId="0" borderId="0" xfId="55" applyNumberFormat="1" applyFont="1" applyProtection="1">
      <protection locked="0"/>
    </xf>
    <xf numFmtId="170" fontId="73" fillId="0" borderId="0" xfId="55" applyNumberFormat="1" applyFont="1" applyProtection="1">
      <protection locked="0"/>
    </xf>
    <xf numFmtId="0" fontId="73" fillId="0" borderId="0" xfId="0" applyFont="1" applyAlignment="1" applyProtection="1">
      <alignment horizontal="left"/>
      <protection locked="0"/>
    </xf>
    <xf numFmtId="166" fontId="73" fillId="0" borderId="0" xfId="0" applyNumberFormat="1" applyFont="1" applyProtection="1">
      <protection locked="0"/>
    </xf>
    <xf numFmtId="166" fontId="73" fillId="0" borderId="0" xfId="0" applyNumberFormat="1" applyFont="1"/>
    <xf numFmtId="0" fontId="73" fillId="0" borderId="10" xfId="0" applyFont="1" applyBorder="1" applyAlignment="1">
      <alignment horizontal="left"/>
    </xf>
    <xf numFmtId="166" fontId="72" fillId="0" borderId="0" xfId="55" applyNumberFormat="1" applyFont="1" applyFill="1" applyBorder="1"/>
    <xf numFmtId="0" fontId="72" fillId="0" borderId="83" xfId="0" applyFont="1" applyBorder="1"/>
    <xf numFmtId="0" fontId="72" fillId="0" borderId="83" xfId="0" applyFont="1" applyBorder="1" applyAlignment="1">
      <alignment wrapText="1"/>
    </xf>
    <xf numFmtId="0" fontId="93" fillId="0" borderId="83" xfId="0" applyFont="1" applyBorder="1" applyAlignment="1">
      <alignment horizontal="center" wrapText="1"/>
    </xf>
    <xf numFmtId="0" fontId="93" fillId="0" borderId="83" xfId="0" applyFont="1" applyBorder="1" applyAlignment="1">
      <alignment horizontal="center"/>
    </xf>
    <xf numFmtId="0" fontId="73" fillId="0" borderId="13" xfId="0" applyFont="1" applyBorder="1"/>
    <xf numFmtId="167" fontId="73" fillId="0" borderId="83" xfId="0" applyNumberFormat="1" applyFont="1" applyBorder="1"/>
    <xf numFmtId="0" fontId="73" fillId="0" borderId="31" xfId="0" applyFont="1" applyBorder="1"/>
    <xf numFmtId="167" fontId="73" fillId="0" borderId="10" xfId="0" applyNumberFormat="1" applyFont="1" applyBorder="1"/>
    <xf numFmtId="0" fontId="73" fillId="0" borderId="14" xfId="0" applyFont="1" applyBorder="1"/>
    <xf numFmtId="167" fontId="73" fillId="0" borderId="17" xfId="0" applyNumberFormat="1" applyFont="1" applyBorder="1"/>
    <xf numFmtId="0" fontId="73" fillId="0" borderId="23" xfId="0" applyFont="1" applyBorder="1"/>
    <xf numFmtId="166" fontId="72" fillId="0" borderId="0" xfId="56" applyNumberFormat="1" applyFont="1" applyFill="1" applyBorder="1" applyAlignment="1">
      <alignment horizontal="center"/>
    </xf>
    <xf numFmtId="14" fontId="73" fillId="0" borderId="0" xfId="0" applyNumberFormat="1" applyFont="1" applyAlignment="1">
      <alignment horizontal="right"/>
    </xf>
    <xf numFmtId="14" fontId="73" fillId="0" borderId="0" xfId="0" applyNumberFormat="1" applyFont="1"/>
    <xf numFmtId="0" fontId="73" fillId="0" borderId="73" xfId="0" applyFont="1" applyBorder="1"/>
    <xf numFmtId="0" fontId="73" fillId="60" borderId="83" xfId="0" applyFont="1" applyFill="1" applyBorder="1"/>
    <xf numFmtId="0" fontId="73" fillId="0" borderId="83" xfId="0" applyFont="1" applyBorder="1"/>
    <xf numFmtId="0" fontId="73" fillId="0" borderId="79" xfId="0" applyFont="1" applyBorder="1"/>
    <xf numFmtId="166" fontId="72" fillId="0" borderId="10" xfId="55" applyNumberFormat="1" applyFont="1" applyFill="1" applyBorder="1"/>
    <xf numFmtId="166" fontId="72" fillId="60" borderId="10" xfId="55" applyNumberFormat="1" applyFont="1" applyFill="1" applyBorder="1"/>
    <xf numFmtId="0" fontId="73" fillId="0" borderId="82" xfId="0" applyFont="1" applyBorder="1"/>
    <xf numFmtId="166" fontId="93" fillId="0" borderId="0" xfId="55" applyNumberFormat="1" applyFont="1" applyFill="1" applyBorder="1"/>
    <xf numFmtId="166" fontId="80" fillId="0" borderId="0" xfId="55" applyNumberFormat="1" applyFont="1" applyFill="1" applyBorder="1"/>
    <xf numFmtId="166" fontId="72" fillId="0" borderId="10" xfId="57" applyNumberFormat="1" applyFont="1" applyFill="1" applyBorder="1"/>
    <xf numFmtId="166" fontId="73" fillId="0" borderId="0" xfId="0" applyNumberFormat="1" applyFont="1" applyAlignment="1">
      <alignment horizontal="right"/>
    </xf>
    <xf numFmtId="166" fontId="72" fillId="0" borderId="0" xfId="0" applyNumberFormat="1" applyFont="1"/>
    <xf numFmtId="0" fontId="72" fillId="0" borderId="0" xfId="55" applyNumberFormat="1" applyFont="1" applyFill="1" applyBorder="1" applyAlignment="1">
      <alignment horizontal="left" vertical="center"/>
    </xf>
    <xf numFmtId="3" fontId="73" fillId="0" borderId="0" xfId="0" applyNumberFormat="1" applyFont="1" applyAlignment="1">
      <alignment horizontal="center" vertical="center"/>
    </xf>
    <xf numFmtId="4" fontId="73" fillId="0" borderId="0" xfId="0" applyNumberFormat="1" applyFont="1" applyAlignment="1">
      <alignment horizontal="center" vertical="center"/>
    </xf>
    <xf numFmtId="0" fontId="74" fillId="0" borderId="0" xfId="0" applyFont="1" applyAlignment="1">
      <alignment vertical="center"/>
    </xf>
    <xf numFmtId="166" fontId="73" fillId="0" borderId="0" xfId="55" applyNumberFormat="1" applyFont="1" applyFill="1" applyBorder="1" applyAlignment="1">
      <alignment horizontal="center" vertical="center"/>
    </xf>
    <xf numFmtId="3" fontId="97" fillId="0" borderId="0" xfId="0" applyNumberFormat="1" applyFont="1" applyAlignment="1">
      <alignment horizontal="right" vertical="center"/>
    </xf>
    <xf numFmtId="166" fontId="73" fillId="63" borderId="96" xfId="55" applyNumberFormat="1" applyFont="1" applyFill="1" applyBorder="1"/>
    <xf numFmtId="166" fontId="73" fillId="0" borderId="96" xfId="55" applyNumberFormat="1" applyFont="1" applyFill="1" applyBorder="1"/>
    <xf numFmtId="166" fontId="73" fillId="0" borderId="94" xfId="490" applyNumberFormat="1" applyFont="1" applyFill="1" applyBorder="1" applyAlignment="1">
      <alignment horizontal="center"/>
    </xf>
    <xf numFmtId="166" fontId="73" fillId="0" borderId="33" xfId="55" applyNumberFormat="1" applyFont="1" applyFill="1" applyBorder="1"/>
    <xf numFmtId="166" fontId="73" fillId="0" borderId="23" xfId="490" applyNumberFormat="1" applyFont="1" applyFill="1" applyBorder="1" applyAlignment="1">
      <alignment horizontal="center"/>
    </xf>
    <xf numFmtId="43" fontId="73" fillId="0" borderId="0" xfId="490" applyFont="1" applyFill="1" applyBorder="1" applyAlignment="1">
      <alignment vertical="center"/>
    </xf>
    <xf numFmtId="3" fontId="72" fillId="0" borderId="0" xfId="0" applyNumberFormat="1" applyFont="1" applyAlignment="1">
      <alignment horizontal="center" vertical="center"/>
    </xf>
    <xf numFmtId="0" fontId="98" fillId="0" borderId="0" xfId="0" applyFont="1"/>
    <xf numFmtId="0" fontId="77" fillId="0" borderId="0" xfId="0" applyFont="1" applyAlignment="1">
      <alignment vertical="center"/>
    </xf>
    <xf numFmtId="0" fontId="85" fillId="0" borderId="0" xfId="0" applyFont="1"/>
    <xf numFmtId="0" fontId="76" fillId="0" borderId="0" xfId="0" applyFont="1" applyAlignment="1">
      <alignment vertical="center" wrapText="1"/>
    </xf>
    <xf numFmtId="3" fontId="72" fillId="0" borderId="28" xfId="0" applyNumberFormat="1" applyFont="1" applyBorder="1" applyAlignment="1">
      <alignment horizontal="center" vertical="center" wrapText="1"/>
    </xf>
    <xf numFmtId="167" fontId="72" fillId="0" borderId="30" xfId="0" applyNumberFormat="1" applyFont="1" applyBorder="1" applyAlignment="1">
      <alignment horizontal="center" vertical="center" wrapText="1"/>
    </xf>
    <xf numFmtId="0" fontId="72" fillId="0" borderId="77" xfId="0" applyFont="1" applyBorder="1" applyAlignment="1">
      <alignment horizontal="left" wrapText="1"/>
    </xf>
    <xf numFmtId="3" fontId="72" fillId="84" borderId="97" xfId="0" applyNumberFormat="1" applyFont="1" applyFill="1" applyBorder="1" applyAlignment="1">
      <alignment horizontal="center" vertical="center"/>
    </xf>
    <xf numFmtId="3" fontId="72" fillId="84" borderId="94" xfId="0" applyNumberFormat="1" applyFont="1" applyFill="1" applyBorder="1" applyAlignment="1">
      <alignment horizontal="center" vertical="center"/>
    </xf>
    <xf numFmtId="3" fontId="72" fillId="84" borderId="32" xfId="0" applyNumberFormat="1" applyFont="1" applyFill="1" applyBorder="1" applyAlignment="1">
      <alignment horizontal="center" vertical="center"/>
    </xf>
    <xf numFmtId="3" fontId="72" fillId="84" borderId="23" xfId="0" applyNumberFormat="1" applyFont="1" applyFill="1" applyBorder="1" applyAlignment="1">
      <alignment horizontal="center" vertical="center"/>
    </xf>
    <xf numFmtId="0" fontId="72" fillId="0" borderId="99" xfId="0" applyFont="1" applyBorder="1" applyAlignment="1">
      <alignment wrapText="1"/>
    </xf>
    <xf numFmtId="0" fontId="72" fillId="0" borderId="98" xfId="0" applyFont="1" applyBorder="1" applyAlignment="1">
      <alignment wrapText="1"/>
    </xf>
    <xf numFmtId="0" fontId="72" fillId="0" borderId="100" xfId="0" applyFont="1" applyBorder="1" applyAlignment="1">
      <alignment wrapText="1"/>
    </xf>
    <xf numFmtId="0" fontId="72" fillId="0" borderId="27" xfId="0" applyFont="1" applyBorder="1" applyAlignment="1">
      <alignment wrapText="1"/>
    </xf>
    <xf numFmtId="0" fontId="72" fillId="0" borderId="101" xfId="0" applyFont="1" applyBorder="1" applyAlignment="1">
      <alignment wrapText="1"/>
    </xf>
    <xf numFmtId="0" fontId="72" fillId="82" borderId="13" xfId="0" applyFont="1" applyFill="1" applyBorder="1" applyAlignment="1">
      <alignment wrapText="1"/>
    </xf>
    <xf numFmtId="38" fontId="72" fillId="53" borderId="36" xfId="55" applyNumberFormat="1" applyFont="1" applyFill="1" applyBorder="1" applyAlignment="1">
      <alignment wrapText="1"/>
    </xf>
    <xf numFmtId="38" fontId="72" fillId="0" borderId="83" xfId="55" applyNumberFormat="1" applyFont="1" applyFill="1" applyBorder="1" applyAlignment="1">
      <alignment wrapText="1"/>
    </xf>
    <xf numFmtId="38" fontId="72" fillId="0" borderId="82" xfId="55" applyNumberFormat="1" applyFont="1" applyFill="1" applyBorder="1" applyAlignment="1">
      <alignment wrapText="1"/>
    </xf>
    <xf numFmtId="38" fontId="72" fillId="0" borderId="97" xfId="55" applyNumberFormat="1" applyFont="1" applyFill="1" applyBorder="1" applyAlignment="1">
      <alignment wrapText="1"/>
    </xf>
    <xf numFmtId="38" fontId="72" fillId="0" borderId="32" xfId="55" applyNumberFormat="1" applyFont="1" applyFill="1" applyBorder="1" applyAlignment="1">
      <alignment wrapText="1"/>
    </xf>
    <xf numFmtId="38" fontId="72" fillId="53" borderId="17" xfId="55" applyNumberFormat="1" applyFont="1" applyFill="1" applyBorder="1" applyAlignment="1">
      <alignment wrapText="1"/>
    </xf>
    <xf numFmtId="38" fontId="72" fillId="0" borderId="17" xfId="55" applyNumberFormat="1" applyFont="1" applyFill="1" applyBorder="1" applyAlignment="1">
      <alignment wrapText="1"/>
    </xf>
    <xf numFmtId="38" fontId="72" fillId="0" borderId="93" xfId="55" applyNumberFormat="1" applyFont="1" applyFill="1" applyBorder="1" applyAlignment="1">
      <alignment wrapText="1"/>
    </xf>
    <xf numFmtId="38" fontId="72" fillId="53" borderId="28" xfId="55" applyNumberFormat="1" applyFont="1" applyFill="1" applyBorder="1" applyAlignment="1">
      <alignment wrapText="1"/>
    </xf>
    <xf numFmtId="38" fontId="72" fillId="0" borderId="29" xfId="55" applyNumberFormat="1" applyFont="1" applyFill="1" applyBorder="1" applyAlignment="1">
      <alignment wrapText="1"/>
    </xf>
    <xf numFmtId="38" fontId="72" fillId="0" borderId="70" xfId="55" applyNumberFormat="1" applyFont="1" applyFill="1" applyBorder="1" applyAlignment="1">
      <alignment wrapText="1"/>
    </xf>
    <xf numFmtId="38" fontId="72" fillId="0" borderId="92" xfId="55" applyNumberFormat="1" applyFont="1" applyFill="1" applyBorder="1" applyAlignment="1">
      <alignment wrapText="1"/>
    </xf>
    <xf numFmtId="38" fontId="72" fillId="53" borderId="77" xfId="55" applyNumberFormat="1" applyFont="1" applyFill="1" applyBorder="1" applyAlignment="1">
      <alignment wrapText="1"/>
    </xf>
    <xf numFmtId="38" fontId="72" fillId="0" borderId="77" xfId="55" applyNumberFormat="1" applyFont="1" applyFill="1" applyBorder="1" applyAlignment="1">
      <alignment wrapText="1"/>
    </xf>
    <xf numFmtId="38" fontId="72" fillId="0" borderId="80" xfId="55" applyNumberFormat="1" applyFont="1" applyFill="1" applyBorder="1" applyAlignment="1">
      <alignment wrapText="1"/>
    </xf>
    <xf numFmtId="38" fontId="72" fillId="52" borderId="36" xfId="55" applyNumberFormat="1" applyFont="1" applyFill="1" applyBorder="1" applyAlignment="1">
      <alignment wrapText="1"/>
    </xf>
    <xf numFmtId="38" fontId="72" fillId="53" borderId="97" xfId="55" applyNumberFormat="1" applyFont="1" applyFill="1" applyBorder="1" applyAlignment="1">
      <alignment wrapText="1"/>
    </xf>
    <xf numFmtId="38" fontId="72" fillId="53" borderId="93" xfId="55" applyNumberFormat="1" applyFont="1" applyFill="1" applyBorder="1" applyAlignment="1">
      <alignment wrapText="1"/>
    </xf>
    <xf numFmtId="38" fontId="72" fillId="53" borderId="32" xfId="55" applyNumberFormat="1" applyFont="1" applyFill="1" applyBorder="1" applyAlignment="1">
      <alignment wrapText="1"/>
    </xf>
    <xf numFmtId="0" fontId="72" fillId="0" borderId="29" xfId="0" applyFont="1" applyBorder="1" applyAlignment="1">
      <alignment wrapText="1"/>
    </xf>
    <xf numFmtId="0" fontId="72" fillId="0" borderId="70" xfId="0" applyFont="1" applyBorder="1" applyAlignment="1">
      <alignment wrapText="1"/>
    </xf>
    <xf numFmtId="166" fontId="73" fillId="0" borderId="0" xfId="55" applyNumberFormat="1" applyFont="1" applyFill="1" applyAlignment="1" applyProtection="1">
      <alignment horizontal="left"/>
      <protection locked="0"/>
    </xf>
    <xf numFmtId="170" fontId="73" fillId="0" borderId="0" xfId="0" applyNumberFormat="1" applyFont="1" applyAlignment="1">
      <alignment horizontal="left"/>
    </xf>
    <xf numFmtId="0" fontId="81" fillId="0" borderId="0" xfId="0" applyFont="1" applyAlignment="1">
      <alignment vertical="center"/>
    </xf>
    <xf numFmtId="166" fontId="73" fillId="63" borderId="97" xfId="55" applyNumberFormat="1" applyFont="1" applyFill="1" applyBorder="1"/>
    <xf numFmtId="166" fontId="73" fillId="63" borderId="94" xfId="55" applyNumberFormat="1" applyFont="1" applyFill="1" applyBorder="1"/>
    <xf numFmtId="37" fontId="73" fillId="0" borderId="97" xfId="490" applyNumberFormat="1" applyFont="1" applyFill="1" applyBorder="1" applyAlignment="1">
      <alignment horizontal="right"/>
    </xf>
    <xf numFmtId="37" fontId="73" fillId="0" borderId="32" xfId="490" applyNumberFormat="1" applyFont="1" applyFill="1" applyBorder="1" applyAlignment="1">
      <alignment horizontal="right"/>
    </xf>
    <xf numFmtId="0" fontId="72" fillId="0" borderId="10" xfId="0" applyFont="1" applyBorder="1"/>
    <xf numFmtId="43" fontId="73" fillId="0" borderId="0" xfId="0" applyNumberFormat="1" applyFont="1"/>
    <xf numFmtId="0" fontId="73" fillId="0" borderId="10" xfId="0" applyFont="1" applyBorder="1"/>
    <xf numFmtId="1" fontId="73" fillId="84" borderId="10" xfId="0" applyNumberFormat="1" applyFont="1" applyFill="1" applyBorder="1"/>
    <xf numFmtId="43" fontId="99" fillId="0" borderId="0" xfId="0" applyNumberFormat="1" applyFont="1"/>
    <xf numFmtId="3" fontId="99" fillId="0" borderId="0" xfId="0" applyNumberFormat="1" applyFont="1"/>
    <xf numFmtId="0" fontId="72" fillId="0" borderId="0" xfId="0" applyFont="1" applyAlignment="1">
      <alignment horizontal="center"/>
    </xf>
    <xf numFmtId="0" fontId="93" fillId="0" borderId="0" xfId="0" applyFont="1" applyAlignment="1">
      <alignment horizontal="center"/>
    </xf>
    <xf numFmtId="0" fontId="72" fillId="0" borderId="11" xfId="0" applyFont="1" applyBorder="1"/>
    <xf numFmtId="0" fontId="72" fillId="0" borderId="10" xfId="0" applyFont="1" applyBorder="1" applyAlignment="1">
      <alignment wrapText="1"/>
    </xf>
    <xf numFmtId="3" fontId="73" fillId="19" borderId="10" xfId="0" quotePrefix="1" applyNumberFormat="1" applyFont="1" applyFill="1" applyBorder="1"/>
    <xf numFmtId="4" fontId="73" fillId="19" borderId="10" xfId="0" quotePrefix="1" applyNumberFormat="1" applyFont="1" applyFill="1" applyBorder="1"/>
    <xf numFmtId="3" fontId="73" fillId="19" borderId="102" xfId="0" applyNumberFormat="1" applyFont="1" applyFill="1" applyBorder="1" applyAlignment="1">
      <alignment horizontal="right"/>
    </xf>
    <xf numFmtId="164" fontId="73" fillId="19" borderId="10" xfId="0" quotePrefix="1" applyNumberFormat="1" applyFont="1" applyFill="1" applyBorder="1"/>
    <xf numFmtId="3" fontId="73" fillId="19" borderId="10" xfId="0" applyNumberFormat="1" applyFont="1" applyFill="1" applyBorder="1"/>
    <xf numFmtId="3" fontId="73" fillId="84" borderId="10" xfId="0" applyNumberFormat="1" applyFont="1" applyFill="1" applyBorder="1"/>
    <xf numFmtId="0" fontId="3" fillId="82" borderId="72" xfId="0" applyFont="1" applyFill="1" applyBorder="1"/>
    <xf numFmtId="38" fontId="73" fillId="0" borderId="10" xfId="55" applyNumberFormat="1" applyFont="1" applyFill="1" applyBorder="1" applyAlignment="1">
      <alignment horizontal="right" vertical="center"/>
    </xf>
    <xf numFmtId="173" fontId="72" fillId="0" borderId="10" xfId="55" applyNumberFormat="1" applyFont="1" applyFill="1" applyBorder="1" applyAlignment="1">
      <alignment horizontal="right" vertical="center"/>
    </xf>
    <xf numFmtId="0" fontId="72" fillId="0" borderId="10" xfId="0" applyFont="1" applyBorder="1" applyAlignment="1">
      <alignment horizontal="center" wrapText="1"/>
    </xf>
    <xf numFmtId="0" fontId="93" fillId="82" borderId="10" xfId="0" applyFont="1" applyFill="1" applyBorder="1" applyAlignment="1">
      <alignment wrapText="1"/>
    </xf>
    <xf numFmtId="0" fontId="93" fillId="0" borderId="10" xfId="0" applyFont="1" applyBorder="1" applyAlignment="1">
      <alignment wrapText="1"/>
    </xf>
    <xf numFmtId="38" fontId="72" fillId="0" borderId="10" xfId="55" applyNumberFormat="1" applyFont="1" applyFill="1" applyBorder="1" applyAlignment="1">
      <alignment wrapText="1"/>
    </xf>
    <xf numFmtId="38" fontId="72" fillId="0" borderId="11" xfId="55" applyNumberFormat="1" applyFont="1" applyFill="1" applyBorder="1" applyAlignment="1">
      <alignment wrapText="1"/>
    </xf>
    <xf numFmtId="38" fontId="72" fillId="0" borderId="102" xfId="55" applyNumberFormat="1" applyFont="1" applyFill="1" applyBorder="1" applyAlignment="1">
      <alignment wrapText="1"/>
    </xf>
    <xf numFmtId="0" fontId="81" fillId="0" borderId="10" xfId="87" applyFont="1" applyBorder="1"/>
    <xf numFmtId="3" fontId="73" fillId="0" borderId="10" xfId="87" applyNumberFormat="1" applyFont="1" applyBorder="1"/>
    <xf numFmtId="14" fontId="73" fillId="0" borderId="10" xfId="87" applyNumberFormat="1" applyFont="1" applyBorder="1"/>
    <xf numFmtId="3" fontId="73" fillId="0" borderId="102" xfId="87" applyNumberFormat="1" applyFont="1" applyBorder="1"/>
    <xf numFmtId="3" fontId="73" fillId="64" borderId="10" xfId="87" applyNumberFormat="1" applyFont="1" applyFill="1" applyBorder="1"/>
    <xf numFmtId="166" fontId="81" fillId="0" borderId="10" xfId="55" applyNumberFormat="1" applyFont="1" applyFill="1" applyBorder="1"/>
    <xf numFmtId="0" fontId="3" fillId="0" borderId="0" xfId="0" applyFont="1" applyAlignment="1">
      <alignment horizontal="left"/>
    </xf>
    <xf numFmtId="3" fontId="81" fillId="52" borderId="10" xfId="87" applyNumberFormat="1" applyFont="1" applyFill="1" applyBorder="1"/>
    <xf numFmtId="14" fontId="81" fillId="0" borderId="10" xfId="87" applyNumberFormat="1" applyFont="1" applyBorder="1"/>
    <xf numFmtId="3" fontId="81" fillId="0" borderId="10" xfId="87" applyNumberFormat="1" applyFont="1" applyBorder="1"/>
    <xf numFmtId="0" fontId="73" fillId="0" borderId="84" xfId="0" applyFont="1" applyBorder="1" applyAlignment="1">
      <alignment horizontal="center"/>
    </xf>
    <xf numFmtId="0" fontId="93" fillId="0" borderId="10" xfId="0" applyFont="1" applyBorder="1" applyAlignment="1">
      <alignment horizontal="left" wrapText="1"/>
    </xf>
    <xf numFmtId="0" fontId="93" fillId="0" borderId="10" xfId="0" applyFont="1" applyBorder="1" applyAlignment="1">
      <alignment horizontal="center" wrapText="1"/>
    </xf>
    <xf numFmtId="0" fontId="73" fillId="0" borderId="84" xfId="0" applyFont="1" applyBorder="1" applyAlignment="1">
      <alignment horizontal="left"/>
    </xf>
    <xf numFmtId="3" fontId="73" fillId="0" borderId="84" xfId="0" applyNumberFormat="1" applyFont="1" applyBorder="1" applyAlignment="1">
      <alignment horizontal="center"/>
    </xf>
    <xf numFmtId="0" fontId="72" fillId="0" borderId="11" xfId="0" applyFont="1" applyBorder="1" applyAlignment="1">
      <alignment horizontal="left"/>
    </xf>
    <xf numFmtId="0" fontId="73" fillId="0" borderId="10" xfId="0" applyFont="1" applyBorder="1" applyAlignment="1">
      <alignment horizontal="center"/>
    </xf>
    <xf numFmtId="0" fontId="73" fillId="0" borderId="11" xfId="0" applyFont="1" applyBorder="1" applyAlignment="1">
      <alignment horizontal="center"/>
    </xf>
    <xf numFmtId="0" fontId="73" fillId="0" borderId="103" xfId="0" applyFont="1" applyBorder="1" applyAlignment="1">
      <alignment horizontal="center"/>
    </xf>
    <xf numFmtId="3" fontId="72" fillId="0" borderId="10" xfId="0" applyNumberFormat="1" applyFont="1" applyBorder="1" applyAlignment="1">
      <alignment horizontal="center"/>
    </xf>
    <xf numFmtId="3" fontId="72" fillId="0" borderId="102" xfId="0" applyNumberFormat="1" applyFont="1" applyBorder="1" applyAlignment="1">
      <alignment horizontal="center"/>
    </xf>
    <xf numFmtId="0" fontId="93" fillId="82" borderId="11" xfId="0" applyFont="1" applyFill="1" applyBorder="1" applyAlignment="1">
      <alignment horizontal="left"/>
    </xf>
    <xf numFmtId="0" fontId="3" fillId="82" borderId="10" xfId="0" applyFont="1" applyFill="1" applyBorder="1" applyAlignment="1">
      <alignment horizontal="center"/>
    </xf>
    <xf numFmtId="0" fontId="3" fillId="82" borderId="11" xfId="0" applyFont="1" applyFill="1" applyBorder="1" applyAlignment="1">
      <alignment horizontal="center"/>
    </xf>
    <xf numFmtId="0" fontId="3" fillId="82" borderId="103" xfId="0" applyFont="1" applyFill="1" applyBorder="1" applyAlignment="1">
      <alignment horizontal="center"/>
    </xf>
    <xf numFmtId="3" fontId="73" fillId="0" borderId="11" xfId="0" applyNumberFormat="1" applyFont="1" applyBorder="1" applyAlignment="1">
      <alignment horizontal="center"/>
    </xf>
    <xf numFmtId="0" fontId="3" fillId="0" borderId="81" xfId="0" applyFont="1" applyBorder="1" applyAlignment="1">
      <alignment horizontal="left"/>
    </xf>
    <xf numFmtId="0" fontId="3" fillId="0" borderId="72" xfId="0" applyFont="1" applyBorder="1"/>
    <xf numFmtId="0" fontId="3" fillId="0" borderId="0" xfId="0" applyFont="1"/>
    <xf numFmtId="3" fontId="72" fillId="0" borderId="103" xfId="0" applyNumberFormat="1" applyFont="1" applyBorder="1" applyAlignment="1">
      <alignment horizontal="center"/>
    </xf>
    <xf numFmtId="0" fontId="3" fillId="0" borderId="84" xfId="0" applyFont="1" applyBorder="1" applyAlignment="1">
      <alignment horizontal="left"/>
    </xf>
    <xf numFmtId="0" fontId="73" fillId="0" borderId="84" xfId="0" applyFont="1" applyBorder="1"/>
    <xf numFmtId="0" fontId="93" fillId="0" borderId="11" xfId="0" applyFont="1" applyBorder="1"/>
    <xf numFmtId="3" fontId="73" fillId="0" borderId="102" xfId="0" applyNumberFormat="1" applyFont="1" applyBorder="1" applyAlignment="1">
      <alignment horizontal="center"/>
    </xf>
    <xf numFmtId="0" fontId="3" fillId="0" borderId="81" xfId="0" applyFont="1" applyBorder="1"/>
    <xf numFmtId="0" fontId="93" fillId="0" borderId="11" xfId="0" applyFont="1" applyBorder="1" applyAlignment="1">
      <alignment horizontal="left"/>
    </xf>
    <xf numFmtId="0" fontId="93" fillId="0" borderId="82" xfId="0" applyFont="1" applyBorder="1" applyAlignment="1">
      <alignment horizontal="center" wrapText="1"/>
    </xf>
    <xf numFmtId="0" fontId="93" fillId="0" borderId="103" xfId="0" applyFont="1" applyBorder="1"/>
    <xf numFmtId="3" fontId="73" fillId="0" borderId="84" xfId="0" applyNumberFormat="1" applyFont="1" applyBorder="1"/>
    <xf numFmtId="0" fontId="73" fillId="0" borderId="84" xfId="0" applyFont="1" applyBorder="1" applyAlignment="1">
      <alignment horizontal="right"/>
    </xf>
    <xf numFmtId="0" fontId="73" fillId="0" borderId="83" xfId="0" applyFont="1" applyBorder="1" applyAlignment="1">
      <alignment horizontal="center"/>
    </xf>
    <xf numFmtId="3" fontId="73" fillId="0" borderId="82" xfId="0" applyNumberFormat="1" applyFont="1" applyBorder="1" applyAlignment="1">
      <alignment horizontal="center"/>
    </xf>
    <xf numFmtId="0" fontId="93" fillId="0" borderId="82" xfId="0" applyFont="1" applyBorder="1" applyAlignment="1">
      <alignment wrapText="1"/>
    </xf>
    <xf numFmtId="0" fontId="3" fillId="0" borderId="84" xfId="0" applyFont="1" applyBorder="1"/>
    <xf numFmtId="0" fontId="93" fillId="0" borderId="83" xfId="0" applyFont="1" applyBorder="1" applyAlignment="1">
      <alignment horizontal="left" wrapText="1"/>
    </xf>
    <xf numFmtId="0" fontId="93" fillId="0" borderId="103" xfId="0" applyFont="1" applyBorder="1" applyAlignment="1">
      <alignment horizontal="left"/>
    </xf>
    <xf numFmtId="0" fontId="3" fillId="0" borderId="10" xfId="0" applyFont="1" applyBorder="1" applyAlignment="1">
      <alignment horizontal="center"/>
    </xf>
    <xf numFmtId="3" fontId="3" fillId="0" borderId="11" xfId="0" applyNumberFormat="1" applyFont="1" applyBorder="1" applyAlignment="1">
      <alignment horizontal="center"/>
    </xf>
    <xf numFmtId="3" fontId="3" fillId="0" borderId="102" xfId="0" applyNumberFormat="1" applyFont="1" applyBorder="1" applyAlignment="1">
      <alignment horizontal="center"/>
    </xf>
    <xf numFmtId="0" fontId="3" fillId="0" borderId="0" xfId="0" applyFont="1" applyAlignment="1">
      <alignment horizontal="center"/>
    </xf>
    <xf numFmtId="0" fontId="72" fillId="0" borderId="83" xfId="0" applyFont="1" applyBorder="1" applyAlignment="1">
      <alignment horizontal="center" wrapText="1"/>
    </xf>
    <xf numFmtId="0" fontId="72" fillId="0" borderId="103" xfId="0" applyFont="1" applyBorder="1" applyAlignment="1">
      <alignment horizontal="left"/>
    </xf>
    <xf numFmtId="0" fontId="73" fillId="0" borderId="102" xfId="0" applyFont="1" applyBorder="1" applyAlignment="1">
      <alignment horizontal="center"/>
    </xf>
    <xf numFmtId="0" fontId="3" fillId="0" borderId="72" xfId="0" applyFont="1" applyBorder="1" applyAlignment="1">
      <alignment horizontal="left"/>
    </xf>
    <xf numFmtId="0" fontId="72" fillId="0" borderId="82" xfId="0" applyFont="1" applyBorder="1" applyAlignment="1">
      <alignment horizontal="center" wrapText="1"/>
    </xf>
    <xf numFmtId="0" fontId="72" fillId="0" borderId="103" xfId="0" applyFont="1" applyBorder="1" applyAlignment="1">
      <alignment wrapText="1"/>
    </xf>
    <xf numFmtId="0" fontId="73" fillId="59" borderId="103" xfId="0" applyFont="1" applyFill="1" applyBorder="1" applyAlignment="1">
      <alignment horizontal="center"/>
    </xf>
    <xf numFmtId="3" fontId="72" fillId="0" borderId="10" xfId="0" applyNumberFormat="1" applyFont="1" applyBorder="1" applyAlignment="1">
      <alignment horizontal="center" wrapText="1"/>
    </xf>
    <xf numFmtId="0" fontId="88" fillId="55" borderId="71" xfId="0" applyFont="1" applyFill="1" applyBorder="1" applyAlignment="1">
      <alignment horizontal="left"/>
    </xf>
    <xf numFmtId="0" fontId="72" fillId="55" borderId="71" xfId="0" applyFont="1" applyFill="1" applyBorder="1" applyAlignment="1">
      <alignment horizontal="left"/>
    </xf>
    <xf numFmtId="0" fontId="88" fillId="55" borderId="76" xfId="0" applyFont="1" applyFill="1" applyBorder="1" applyAlignment="1">
      <alignment horizontal="left"/>
    </xf>
    <xf numFmtId="0" fontId="77" fillId="0" borderId="71" xfId="0" applyFont="1" applyBorder="1"/>
    <xf numFmtId="0" fontId="81" fillId="0" borderId="10" xfId="0" applyFont="1" applyBorder="1" applyAlignment="1">
      <alignment horizontal="right" wrapText="1"/>
    </xf>
    <xf numFmtId="3" fontId="81" fillId="0" borderId="10" xfId="0" applyNumberFormat="1" applyFont="1" applyBorder="1" applyAlignment="1">
      <alignment horizontal="right" wrapText="1"/>
    </xf>
    <xf numFmtId="0" fontId="81" fillId="59" borderId="10" xfId="0" applyFont="1" applyFill="1" applyBorder="1" applyAlignment="1">
      <alignment horizontal="right" wrapText="1"/>
    </xf>
    <xf numFmtId="168" fontId="73" fillId="57" borderId="10" xfId="0" applyNumberFormat="1" applyFont="1" applyFill="1" applyBorder="1"/>
    <xf numFmtId="0" fontId="73" fillId="53" borderId="10" xfId="0" applyFont="1" applyFill="1" applyBorder="1"/>
    <xf numFmtId="3" fontId="0" fillId="51" borderId="10" xfId="0" applyNumberFormat="1" applyFill="1" applyBorder="1"/>
    <xf numFmtId="4" fontId="73" fillId="51" borderId="10" xfId="0" applyNumberFormat="1" applyFont="1" applyFill="1" applyBorder="1" applyAlignment="1">
      <alignment horizontal="center" vertical="center"/>
    </xf>
    <xf numFmtId="0" fontId="73" fillId="53" borderId="103" xfId="0" applyFont="1" applyFill="1" applyBorder="1" applyAlignment="1">
      <alignment horizontal="left"/>
    </xf>
    <xf numFmtId="173" fontId="0" fillId="53" borderId="102" xfId="0" applyNumberFormat="1" applyFill="1" applyBorder="1"/>
    <xf numFmtId="173" fontId="73" fillId="53" borderId="102" xfId="0" applyNumberFormat="1" applyFont="1" applyFill="1" applyBorder="1"/>
    <xf numFmtId="3" fontId="3" fillId="0" borderId="72" xfId="0" applyNumberFormat="1" applyFont="1" applyBorder="1"/>
    <xf numFmtId="3" fontId="3" fillId="82" borderId="72" xfId="0" applyNumberFormat="1" applyFont="1" applyFill="1" applyBorder="1"/>
    <xf numFmtId="0" fontId="73" fillId="0" borderId="71" xfId="0" applyFont="1" applyBorder="1" applyAlignment="1">
      <alignment horizontal="left"/>
    </xf>
    <xf numFmtId="0" fontId="73" fillId="0" borderId="71" xfId="0" applyFont="1" applyBorder="1" applyAlignment="1">
      <alignment horizontal="center"/>
    </xf>
    <xf numFmtId="3" fontId="0" fillId="0" borderId="71" xfId="0" applyNumberFormat="1" applyBorder="1"/>
    <xf numFmtId="3" fontId="0" fillId="59" borderId="71" xfId="0" applyNumberFormat="1" applyFill="1" applyBorder="1"/>
    <xf numFmtId="173" fontId="73" fillId="0" borderId="76" xfId="0" applyNumberFormat="1" applyFont="1" applyBorder="1"/>
    <xf numFmtId="0" fontId="73" fillId="0" borderId="79" xfId="0" applyFont="1" applyBorder="1" applyAlignment="1">
      <alignment horizontal="left"/>
    </xf>
    <xf numFmtId="0" fontId="73" fillId="0" borderId="79" xfId="0" applyFont="1" applyBorder="1" applyAlignment="1">
      <alignment horizontal="right"/>
    </xf>
    <xf numFmtId="3" fontId="72" fillId="0" borderId="79" xfId="0" applyNumberFormat="1" applyFont="1" applyBorder="1"/>
    <xf numFmtId="0" fontId="73" fillId="0" borderId="71" xfId="0" applyFont="1" applyBorder="1" applyAlignment="1">
      <alignment horizontal="right"/>
    </xf>
    <xf numFmtId="3" fontId="3" fillId="0" borderId="0" xfId="0" applyNumberFormat="1" applyFont="1" applyAlignment="1">
      <alignment horizontal="right" wrapText="1"/>
    </xf>
    <xf numFmtId="3" fontId="3" fillId="0" borderId="0" xfId="0" applyNumberFormat="1" applyFont="1" applyAlignment="1">
      <alignment horizontal="right"/>
    </xf>
    <xf numFmtId="0" fontId="3" fillId="0" borderId="0" xfId="0" applyFont="1" applyAlignment="1">
      <alignment horizontal="right"/>
    </xf>
    <xf numFmtId="0" fontId="72" fillId="0" borderId="83" xfId="0" applyFont="1" applyBorder="1" applyAlignment="1">
      <alignment horizontal="right" wrapText="1"/>
    </xf>
    <xf numFmtId="0" fontId="73" fillId="54" borderId="84" xfId="0" applyFont="1" applyFill="1" applyBorder="1" applyAlignment="1">
      <alignment horizontal="right"/>
    </xf>
    <xf numFmtId="3" fontId="73" fillId="0" borderId="84" xfId="0" applyNumberFormat="1" applyFont="1" applyBorder="1" applyAlignment="1">
      <alignment horizontal="right"/>
    </xf>
    <xf numFmtId="0" fontId="73" fillId="0" borderId="11" xfId="0" applyFont="1" applyBorder="1" applyAlignment="1">
      <alignment horizontal="right"/>
    </xf>
    <xf numFmtId="0" fontId="73" fillId="0" borderId="103" xfId="0" applyFont="1" applyBorder="1" applyAlignment="1">
      <alignment horizontal="right"/>
    </xf>
    <xf numFmtId="3" fontId="72" fillId="0" borderId="10" xfId="0" applyNumberFormat="1" applyFont="1" applyBorder="1" applyAlignment="1">
      <alignment horizontal="right"/>
    </xf>
    <xf numFmtId="3" fontId="72" fillId="0" borderId="103" xfId="0" applyNumberFormat="1" applyFont="1" applyBorder="1" applyAlignment="1">
      <alignment horizontal="right"/>
    </xf>
    <xf numFmtId="3" fontId="73" fillId="0" borderId="11" xfId="0" applyNumberFormat="1" applyFont="1" applyBorder="1" applyAlignment="1">
      <alignment horizontal="right"/>
    </xf>
    <xf numFmtId="0" fontId="93" fillId="0" borderId="82" xfId="0" applyFont="1" applyBorder="1" applyAlignment="1">
      <alignment horizontal="left" wrapText="1"/>
    </xf>
    <xf numFmtId="0" fontId="93" fillId="0" borderId="82" xfId="0" applyFont="1" applyBorder="1" applyAlignment="1">
      <alignment horizontal="right" wrapText="1"/>
    </xf>
    <xf numFmtId="0" fontId="3" fillId="0" borderId="0" xfId="0" applyFont="1" applyAlignment="1">
      <alignment wrapText="1"/>
    </xf>
    <xf numFmtId="0" fontId="3" fillId="0" borderId="11" xfId="0" applyFont="1" applyBorder="1" applyAlignment="1">
      <alignment horizontal="right"/>
    </xf>
    <xf numFmtId="0" fontId="3" fillId="0" borderId="103" xfId="0" applyFont="1" applyBorder="1" applyAlignment="1">
      <alignment horizontal="right"/>
    </xf>
    <xf numFmtId="3" fontId="72" fillId="0" borderId="11" xfId="0" applyNumberFormat="1" applyFont="1" applyBorder="1" applyAlignment="1">
      <alignment horizontal="right"/>
    </xf>
    <xf numFmtId="0" fontId="93" fillId="0" borderId="11" xfId="0" applyFont="1" applyBorder="1" applyAlignment="1">
      <alignment horizontal="right"/>
    </xf>
    <xf numFmtId="3" fontId="73" fillId="0" borderId="103" xfId="0" applyNumberFormat="1" applyFont="1" applyBorder="1" applyAlignment="1">
      <alignment horizontal="right"/>
    </xf>
    <xf numFmtId="0" fontId="3" fillId="82" borderId="81" xfId="0" applyFont="1" applyFill="1" applyBorder="1" applyAlignment="1">
      <alignment horizontal="left"/>
    </xf>
    <xf numFmtId="0" fontId="73" fillId="0" borderId="103" xfId="0" applyFont="1" applyBorder="1"/>
    <xf numFmtId="3" fontId="72" fillId="0" borderId="103" xfId="0" applyNumberFormat="1" applyFont="1" applyBorder="1"/>
    <xf numFmtId="0" fontId="3" fillId="82" borderId="81" xfId="0" applyFont="1" applyFill="1" applyBorder="1"/>
    <xf numFmtId="0" fontId="93" fillId="82" borderId="11" xfId="0" applyFont="1" applyFill="1" applyBorder="1"/>
    <xf numFmtId="3" fontId="3" fillId="0" borderId="12" xfId="0" applyNumberFormat="1" applyFont="1" applyBorder="1" applyAlignment="1">
      <alignment horizontal="right" wrapText="1"/>
    </xf>
    <xf numFmtId="3" fontId="73" fillId="0" borderId="103" xfId="0" applyNumberFormat="1" applyFont="1" applyBorder="1"/>
    <xf numFmtId="0" fontId="3" fillId="0" borderId="103" xfId="0" applyFont="1" applyBorder="1"/>
    <xf numFmtId="3" fontId="93" fillId="0" borderId="103" xfId="0" applyNumberFormat="1" applyFont="1" applyBorder="1"/>
    <xf numFmtId="3" fontId="3" fillId="0" borderId="0" xfId="0" applyNumberFormat="1" applyFont="1" applyAlignment="1">
      <alignment wrapText="1"/>
    </xf>
    <xf numFmtId="0" fontId="3" fillId="82" borderId="103" xfId="0" applyFont="1" applyFill="1" applyBorder="1"/>
    <xf numFmtId="3" fontId="93" fillId="82" borderId="103" xfId="0" applyNumberFormat="1" applyFont="1" applyFill="1" applyBorder="1"/>
    <xf numFmtId="166" fontId="3" fillId="0" borderId="82" xfId="55" applyNumberFormat="1" applyFont="1" applyFill="1" applyBorder="1"/>
    <xf numFmtId="0" fontId="73" fillId="0" borderId="94" xfId="0" applyFont="1" applyBorder="1"/>
    <xf numFmtId="166" fontId="3" fillId="66" borderId="10" xfId="55" applyNumberFormat="1" applyFont="1" applyFill="1" applyBorder="1"/>
    <xf numFmtId="166" fontId="3" fillId="54" borderId="10" xfId="55" applyNumberFormat="1" applyFont="1" applyFill="1" applyBorder="1"/>
    <xf numFmtId="166" fontId="3" fillId="53" borderId="10" xfId="55" applyNumberFormat="1" applyFont="1" applyFill="1" applyBorder="1"/>
    <xf numFmtId="166" fontId="3" fillId="66" borderId="83" xfId="55" applyNumberFormat="1" applyFont="1" applyFill="1" applyBorder="1"/>
    <xf numFmtId="166" fontId="3" fillId="54" borderId="83" xfId="55" applyNumberFormat="1" applyFont="1" applyFill="1" applyBorder="1"/>
    <xf numFmtId="166" fontId="3" fillId="53" borderId="83" xfId="55" applyNumberFormat="1" applyFont="1" applyFill="1" applyBorder="1"/>
    <xf numFmtId="166" fontId="3" fillId="54" borderId="82" xfId="55" applyNumberFormat="1" applyFont="1" applyFill="1" applyBorder="1"/>
    <xf numFmtId="172" fontId="3" fillId="54" borderId="83" xfId="55" applyNumberFormat="1" applyFont="1" applyFill="1" applyBorder="1"/>
    <xf numFmtId="172" fontId="3" fillId="53" borderId="83" xfId="55" applyNumberFormat="1" applyFont="1" applyFill="1" applyBorder="1"/>
    <xf numFmtId="165" fontId="3" fillId="54" borderId="83" xfId="55" applyNumberFormat="1" applyFont="1" applyFill="1" applyBorder="1"/>
    <xf numFmtId="165" fontId="3" fillId="53" borderId="83" xfId="55" applyNumberFormat="1" applyFont="1" applyFill="1" applyBorder="1"/>
    <xf numFmtId="165" fontId="3" fillId="66" borderId="83" xfId="55" applyNumberFormat="1" applyFont="1" applyFill="1" applyBorder="1"/>
    <xf numFmtId="166" fontId="3" fillId="66" borderId="29" xfId="55" applyNumberFormat="1" applyFont="1" applyFill="1" applyBorder="1"/>
    <xf numFmtId="166" fontId="3" fillId="0" borderId="83" xfId="55" applyNumberFormat="1" applyFont="1" applyFill="1" applyBorder="1"/>
    <xf numFmtId="166" fontId="3" fillId="0" borderId="22" xfId="55" applyNumberFormat="1" applyFont="1" applyFill="1" applyBorder="1"/>
    <xf numFmtId="166" fontId="3" fillId="60" borderId="83" xfId="57" applyNumberFormat="1" applyFont="1" applyFill="1" applyBorder="1"/>
    <xf numFmtId="166" fontId="3" fillId="0" borderId="83" xfId="57" applyNumberFormat="1" applyFont="1" applyFill="1" applyBorder="1"/>
    <xf numFmtId="0" fontId="73" fillId="0" borderId="103" xfId="0" applyFont="1" applyBorder="1" applyAlignment="1">
      <alignment horizontal="left"/>
    </xf>
    <xf numFmtId="166" fontId="73" fillId="0" borderId="83" xfId="57" applyNumberFormat="1" applyFont="1" applyFill="1" applyBorder="1"/>
    <xf numFmtId="0" fontId="72" fillId="0" borderId="102" xfId="0" applyFont="1" applyBorder="1" applyAlignment="1">
      <alignment horizontal="left"/>
    </xf>
    <xf numFmtId="166" fontId="72" fillId="0" borderId="10" xfId="0" applyNumberFormat="1" applyFont="1" applyBorder="1"/>
    <xf numFmtId="166" fontId="72" fillId="0" borderId="10" xfId="55" applyNumberFormat="1" applyFont="1" applyBorder="1"/>
    <xf numFmtId="166" fontId="73" fillId="60" borderId="83" xfId="57" applyNumberFormat="1" applyFont="1" applyFill="1" applyBorder="1"/>
    <xf numFmtId="166" fontId="3" fillId="0" borderId="0" xfId="55" applyNumberFormat="1" applyFont="1" applyFill="1" applyBorder="1"/>
    <xf numFmtId="166" fontId="85" fillId="0" borderId="10" xfId="0" applyNumberFormat="1" applyFont="1" applyBorder="1"/>
    <xf numFmtId="166" fontId="85" fillId="60" borderId="10" xfId="0" applyNumberFormat="1" applyFont="1" applyFill="1" applyBorder="1"/>
    <xf numFmtId="166" fontId="96" fillId="0" borderId="82" xfId="0" applyNumberFormat="1" applyFont="1" applyBorder="1"/>
    <xf numFmtId="166" fontId="96" fillId="0" borderId="79" xfId="0" applyNumberFormat="1" applyFont="1" applyBorder="1"/>
    <xf numFmtId="166" fontId="96" fillId="0" borderId="73" xfId="0" applyNumberFormat="1" applyFont="1" applyBorder="1"/>
    <xf numFmtId="166" fontId="96" fillId="60" borderId="82" xfId="0" applyNumberFormat="1" applyFont="1" applyFill="1" applyBorder="1"/>
    <xf numFmtId="166" fontId="96" fillId="60" borderId="79" xfId="0" applyNumberFormat="1" applyFont="1" applyFill="1" applyBorder="1"/>
    <xf numFmtId="166" fontId="96" fillId="60" borderId="73" xfId="0" applyNumberFormat="1" applyFont="1" applyFill="1" applyBorder="1"/>
    <xf numFmtId="166" fontId="3" fillId="0" borderId="82" xfId="57" applyNumberFormat="1" applyFont="1" applyFill="1" applyBorder="1"/>
    <xf numFmtId="166" fontId="72" fillId="0" borderId="11" xfId="55" applyNumberFormat="1" applyFont="1" applyFill="1" applyBorder="1"/>
    <xf numFmtId="166" fontId="3" fillId="0" borderId="10" xfId="57" applyNumberFormat="1" applyFont="1" applyFill="1" applyBorder="1"/>
    <xf numFmtId="166" fontId="3" fillId="0" borderId="80" xfId="55" applyNumberFormat="1" applyFont="1" applyFill="1" applyBorder="1"/>
    <xf numFmtId="166" fontId="3" fillId="0" borderId="11" xfId="57" applyNumberFormat="1" applyFont="1" applyFill="1" applyBorder="1"/>
    <xf numFmtId="166" fontId="3" fillId="0" borderId="11" xfId="55" applyNumberFormat="1" applyFont="1" applyFill="1" applyBorder="1"/>
    <xf numFmtId="166" fontId="72" fillId="0" borderId="83" xfId="57" applyNumberFormat="1" applyFont="1" applyFill="1" applyBorder="1"/>
    <xf numFmtId="166" fontId="72" fillId="0" borderId="82" xfId="57" applyNumberFormat="1" applyFont="1" applyFill="1" applyBorder="1"/>
    <xf numFmtId="166" fontId="3" fillId="0" borderId="37" xfId="57" applyNumberFormat="1" applyFont="1" applyFill="1" applyBorder="1"/>
    <xf numFmtId="166" fontId="3" fillId="0" borderId="14" xfId="55" applyNumberFormat="1" applyFont="1" applyFill="1" applyBorder="1"/>
    <xf numFmtId="0" fontId="73" fillId="0" borderId="102" xfId="0" applyFont="1" applyBorder="1"/>
    <xf numFmtId="166" fontId="3" fillId="0" borderId="10" xfId="55" applyNumberFormat="1" applyFont="1" applyFill="1" applyBorder="1"/>
    <xf numFmtId="0" fontId="73" fillId="0" borderId="102" xfId="0" applyFont="1" applyBorder="1" applyAlignment="1">
      <alignment horizontal="left"/>
    </xf>
    <xf numFmtId="166" fontId="73" fillId="0" borderId="10" xfId="0" applyNumberFormat="1" applyFont="1" applyBorder="1"/>
    <xf numFmtId="0" fontId="77" fillId="0" borderId="83" xfId="0" applyFont="1" applyBorder="1" applyAlignment="1">
      <alignment horizontal="left" wrapText="1"/>
    </xf>
    <xf numFmtId="4" fontId="77" fillId="0" borderId="83" xfId="0" applyNumberFormat="1" applyFont="1" applyBorder="1" applyAlignment="1">
      <alignment horizontal="left" wrapText="1"/>
    </xf>
    <xf numFmtId="0" fontId="81" fillId="59" borderId="0" xfId="87" applyFont="1" applyFill="1"/>
    <xf numFmtId="9" fontId="73" fillId="59" borderId="0" xfId="87" applyNumberFormat="1" applyFont="1" applyFill="1"/>
    <xf numFmtId="9" fontId="73" fillId="59" borderId="0" xfId="87" applyNumberFormat="1" applyFont="1" applyFill="1" applyAlignment="1">
      <alignment horizontal="right"/>
    </xf>
    <xf numFmtId="38" fontId="73" fillId="59" borderId="0" xfId="87" applyNumberFormat="1" applyFont="1" applyFill="1"/>
    <xf numFmtId="0" fontId="77" fillId="59" borderId="0" xfId="87" applyFont="1" applyFill="1" applyAlignment="1">
      <alignment horizontal="center"/>
    </xf>
    <xf numFmtId="0" fontId="73" fillId="59" borderId="0" xfId="0" applyFont="1" applyFill="1" applyAlignment="1">
      <alignment horizontal="right"/>
    </xf>
    <xf numFmtId="171" fontId="73" fillId="59" borderId="0" xfId="0" applyNumberFormat="1" applyFont="1" applyFill="1"/>
    <xf numFmtId="0" fontId="76" fillId="0" borderId="0" xfId="0" applyFont="1" applyAlignment="1">
      <alignment wrapText="1"/>
    </xf>
    <xf numFmtId="0" fontId="76" fillId="0" borderId="0" xfId="0" applyFont="1"/>
    <xf numFmtId="3" fontId="99" fillId="0" borderId="0" xfId="0" applyNumberFormat="1" applyFont="1" applyAlignment="1">
      <alignment wrapText="1"/>
    </xf>
    <xf numFmtId="4" fontId="99" fillId="0" borderId="0" xfId="0" quotePrefix="1" applyNumberFormat="1" applyFont="1"/>
    <xf numFmtId="3" fontId="99" fillId="0" borderId="0" xfId="0" quotePrefix="1" applyNumberFormat="1" applyFont="1"/>
    <xf numFmtId="3" fontId="76" fillId="0" borderId="0" xfId="0" applyNumberFormat="1" applyFont="1"/>
    <xf numFmtId="4" fontId="76" fillId="0" borderId="0" xfId="0" applyNumberFormat="1" applyFont="1"/>
    <xf numFmtId="0" fontId="72" fillId="0" borderId="0" xfId="0" applyFont="1" applyAlignment="1">
      <alignment horizontal="center" vertical="center" wrapText="1"/>
    </xf>
    <xf numFmtId="0" fontId="96" fillId="0" borderId="0" xfId="0" applyFont="1" applyAlignment="1">
      <alignment horizontal="center" vertical="center"/>
    </xf>
    <xf numFmtId="38" fontId="85" fillId="0" borderId="0" xfId="55" applyNumberFormat="1" applyFont="1" applyFill="1" applyBorder="1" applyAlignment="1">
      <alignment horizontal="center" vertical="center"/>
    </xf>
    <xf numFmtId="38" fontId="73" fillId="0" borderId="0" xfId="0" applyNumberFormat="1" applyFont="1" applyAlignment="1">
      <alignment horizontal="center"/>
    </xf>
    <xf numFmtId="3" fontId="73" fillId="84" borderId="0" xfId="0" applyNumberFormat="1" applyFont="1" applyFill="1" applyAlignment="1">
      <alignment horizontal="left"/>
    </xf>
    <xf numFmtId="0" fontId="72" fillId="0" borderId="95" xfId="0" applyFont="1" applyBorder="1" applyAlignment="1">
      <alignment horizontal="left"/>
    </xf>
    <xf numFmtId="0" fontId="72" fillId="0" borderId="37" xfId="0" applyFont="1" applyBorder="1" applyAlignment="1">
      <alignment horizontal="left"/>
    </xf>
    <xf numFmtId="0" fontId="72" fillId="0" borderId="104" xfId="0" applyFont="1" applyBorder="1" applyAlignment="1">
      <alignment horizontal="left"/>
    </xf>
    <xf numFmtId="0" fontId="2" fillId="85" borderId="0" xfId="0" applyFont="1" applyFill="1"/>
    <xf numFmtId="0" fontId="73" fillId="63" borderId="0" xfId="0" applyFont="1" applyFill="1" applyAlignment="1">
      <alignment horizontal="left"/>
    </xf>
    <xf numFmtId="0" fontId="90" fillId="0" borderId="0" xfId="0" applyFont="1" applyAlignment="1">
      <alignment vertical="center"/>
    </xf>
    <xf numFmtId="0" fontId="100" fillId="0" borderId="0" xfId="0" applyFont="1"/>
    <xf numFmtId="0" fontId="101" fillId="0" borderId="0" xfId="76" applyFont="1" applyAlignment="1" applyProtection="1"/>
    <xf numFmtId="0" fontId="81" fillId="85" borderId="72" xfId="87" applyFont="1" applyFill="1" applyBorder="1"/>
    <xf numFmtId="0" fontId="72" fillId="0" borderId="104" xfId="0" applyFont="1" applyBorder="1" applyAlignment="1">
      <alignment horizontal="center" wrapText="1"/>
    </xf>
    <xf numFmtId="0" fontId="72" fillId="0" borderId="36" xfId="0" applyFont="1" applyBorder="1" applyAlignment="1">
      <alignment horizontal="center" wrapText="1"/>
    </xf>
    <xf numFmtId="0" fontId="72" fillId="0" borderId="31" xfId="0" applyFont="1" applyBorder="1" applyAlignment="1">
      <alignment horizontal="center" wrapText="1"/>
    </xf>
    <xf numFmtId="0" fontId="72" fillId="63" borderId="96" xfId="55" applyNumberFormat="1" applyFont="1" applyFill="1" applyBorder="1" applyAlignment="1">
      <alignment horizontal="left"/>
    </xf>
    <xf numFmtId="0" fontId="81" fillId="0" borderId="72" xfId="87" applyFont="1" applyBorder="1"/>
    <xf numFmtId="0" fontId="81" fillId="82" borderId="72" xfId="87" applyFont="1" applyFill="1" applyBorder="1"/>
    <xf numFmtId="0" fontId="77" fillId="0" borderId="83" xfId="0" applyFont="1" applyBorder="1" applyAlignment="1">
      <alignment vertical="center"/>
    </xf>
    <xf numFmtId="0" fontId="77" fillId="0" borderId="83" xfId="0" applyFont="1" applyBorder="1"/>
    <xf numFmtId="0" fontId="73" fillId="0" borderId="73" xfId="0" applyFont="1" applyBorder="1" applyAlignment="1">
      <alignment wrapText="1"/>
    </xf>
    <xf numFmtId="0" fontId="73" fillId="0" borderId="83" xfId="0" applyFont="1" applyBorder="1" applyAlignment="1">
      <alignment horizontal="center" wrapText="1"/>
    </xf>
    <xf numFmtId="0" fontId="81" fillId="0" borderId="83" xfId="0" applyFont="1" applyBorder="1" applyAlignment="1">
      <alignment wrapText="1"/>
    </xf>
    <xf numFmtId="0" fontId="73" fillId="0" borderId="105" xfId="0" applyFont="1" applyBorder="1" applyAlignment="1">
      <alignment horizontal="center" wrapText="1"/>
    </xf>
    <xf numFmtId="0" fontId="77" fillId="0" borderId="10" xfId="0" applyFont="1" applyBorder="1" applyAlignment="1">
      <alignment horizontal="center" wrapText="1"/>
    </xf>
    <xf numFmtId="3" fontId="77" fillId="0" borderId="10" xfId="0" applyNumberFormat="1" applyFont="1" applyBorder="1" applyAlignment="1">
      <alignment horizontal="center" wrapText="1"/>
    </xf>
    <xf numFmtId="0" fontId="81" fillId="0" borderId="0" xfId="0" applyFont="1" applyAlignment="1">
      <alignment wrapText="1"/>
    </xf>
    <xf numFmtId="0" fontId="73" fillId="0" borderId="82" xfId="0" applyFont="1" applyBorder="1" applyAlignment="1">
      <alignment horizontal="right"/>
    </xf>
    <xf numFmtId="0" fontId="73" fillId="0" borderId="0" xfId="0" quotePrefix="1" applyFont="1"/>
    <xf numFmtId="0" fontId="73" fillId="0" borderId="82" xfId="0" applyFont="1" applyBorder="1" applyAlignment="1">
      <alignment horizontal="center"/>
    </xf>
    <xf numFmtId="0" fontId="73" fillId="0" borderId="12" xfId="0" applyFont="1" applyBorder="1"/>
    <xf numFmtId="166" fontId="73" fillId="54" borderId="83" xfId="55" applyNumberFormat="1" applyFont="1" applyFill="1" applyBorder="1"/>
    <xf numFmtId="0" fontId="72" fillId="0" borderId="83" xfId="0" applyFont="1" applyBorder="1" applyAlignment="1">
      <alignment horizontal="left" wrapText="1"/>
    </xf>
    <xf numFmtId="0" fontId="74" fillId="55" borderId="0" xfId="0" applyFont="1" applyFill="1" applyAlignment="1">
      <alignment horizontal="left"/>
    </xf>
    <xf numFmtId="173" fontId="1" fillId="0" borderId="10" xfId="55" applyNumberFormat="1" applyFont="1" applyFill="1" applyBorder="1" applyAlignment="1">
      <alignment horizontal="right" vertical="center"/>
    </xf>
    <xf numFmtId="173" fontId="1" fillId="0" borderId="0" xfId="55" applyNumberFormat="1" applyFont="1" applyFill="1" applyBorder="1" applyAlignment="1">
      <alignment horizontal="right" vertical="center"/>
    </xf>
    <xf numFmtId="0" fontId="1" fillId="59" borderId="10" xfId="0" applyFont="1" applyFill="1" applyBorder="1" applyAlignment="1">
      <alignment horizontal="right" wrapText="1"/>
    </xf>
    <xf numFmtId="0" fontId="1" fillId="0" borderId="0" xfId="0" applyFont="1"/>
    <xf numFmtId="2" fontId="1" fillId="0" borderId="0" xfId="0" applyNumberFormat="1" applyFont="1"/>
    <xf numFmtId="0" fontId="73" fillId="0" borderId="0" xfId="0" applyFont="1" applyAlignment="1">
      <alignment horizontal="left" wrapText="1"/>
    </xf>
    <xf numFmtId="0" fontId="72" fillId="0" borderId="0" xfId="0" applyFont="1" applyAlignment="1">
      <alignment horizontal="center"/>
    </xf>
    <xf numFmtId="0" fontId="93" fillId="0" borderId="0" xfId="0" applyFont="1" applyAlignment="1">
      <alignment horizontal="center"/>
    </xf>
    <xf numFmtId="0" fontId="102" fillId="0" borderId="0" xfId="76" applyFont="1" applyAlignment="1" applyProtection="1"/>
    <xf numFmtId="0" fontId="103" fillId="0" borderId="0" xfId="76" applyFont="1" applyAlignment="1" applyProtection="1"/>
  </cellXfs>
  <cellStyles count="1320">
    <cellStyle name="20% - Accent1" xfId="1" builtinId="30" customBuiltin="1"/>
    <cellStyle name="20% - Accent1 2" xfId="2" xr:uid="{00000000-0005-0000-0000-000001000000}"/>
    <cellStyle name="20% - Accent1 2 2" xfId="326" xr:uid="{BA6BF3C2-903B-447C-942E-F8E11C0B337A}"/>
    <cellStyle name="20% - Accent1 3" xfId="377" xr:uid="{FEE3A86F-D12E-4189-A117-C93DB30A5480}"/>
    <cellStyle name="20% - Accent1 4" xfId="412" xr:uid="{A068A58E-89CC-46AD-A81C-42A92F5FD972}"/>
    <cellStyle name="20% - Accent1 5" xfId="101" xr:uid="{5DE53199-EC39-44BA-8234-F3F0BBD39446}"/>
    <cellStyle name="20% - Accent2" xfId="3" builtinId="34" customBuiltin="1"/>
    <cellStyle name="20% - Accent2 2" xfId="4" xr:uid="{00000000-0005-0000-0000-000003000000}"/>
    <cellStyle name="20% - Accent2 2 2" xfId="325" xr:uid="{A91E8F34-B1DE-489E-BF39-07AED4EDA39F}"/>
    <cellStyle name="20% - Accent2 3" xfId="376" xr:uid="{D6481206-89DF-45E5-B554-42D0F763BCCD}"/>
    <cellStyle name="20% - Accent2 4" xfId="413" xr:uid="{D572EAE3-F23F-4AF6-9CB2-F8BAFC209373}"/>
    <cellStyle name="20% - Accent2 5" xfId="102" xr:uid="{28FF30C9-F880-4B2C-A8E1-735495B9727B}"/>
    <cellStyle name="20% - Accent3" xfId="5" builtinId="38" customBuiltin="1"/>
    <cellStyle name="20% - Accent3 2" xfId="6" xr:uid="{00000000-0005-0000-0000-000005000000}"/>
    <cellStyle name="20% - Accent3 2 2" xfId="324" xr:uid="{27B643EB-8C8E-4D8B-8F35-0FFD8D52A974}"/>
    <cellStyle name="20% - Accent3 3" xfId="375" xr:uid="{823BE91E-6B52-4FF2-857E-B1A10ECFAF92}"/>
    <cellStyle name="20% - Accent3 4" xfId="414" xr:uid="{3E56EB70-8670-4831-969F-9EA4FBAD4BD4}"/>
    <cellStyle name="20% - Accent3 5" xfId="103" xr:uid="{0068F975-DAE2-4B22-A24A-081E7B9B93CC}"/>
    <cellStyle name="20% - Accent4" xfId="7" builtinId="42" customBuiltin="1"/>
    <cellStyle name="20% - Accent4 2" xfId="8" xr:uid="{00000000-0005-0000-0000-000007000000}"/>
    <cellStyle name="20% - Accent4 2 2" xfId="323" xr:uid="{74AE5E82-0C18-4494-AFD1-05DFB21D19BF}"/>
    <cellStyle name="20% - Accent4 3" xfId="374" xr:uid="{B069755F-5909-42E9-88E1-486B63C1B773}"/>
    <cellStyle name="20% - Accent4 4" xfId="415" xr:uid="{1493BDFF-E84F-489A-8EB2-0514B3D96F6C}"/>
    <cellStyle name="20% - Accent4 5" xfId="104" xr:uid="{FE6917A3-DD3D-4EEF-8BF2-43A96659E885}"/>
    <cellStyle name="20% - Accent5" xfId="9" builtinId="46" customBuiltin="1"/>
    <cellStyle name="20% - Accent5 2" xfId="10" xr:uid="{00000000-0005-0000-0000-000009000000}"/>
    <cellStyle name="20% - Accent5 2 2" xfId="322" xr:uid="{95CA2B9B-2E5D-4F81-A31E-A2EDB15E0864}"/>
    <cellStyle name="20% - Accent5 3" xfId="373" xr:uid="{8E2A386D-E04E-4FD0-A100-96B20FA7248D}"/>
    <cellStyle name="20% - Accent5 4" xfId="416" xr:uid="{95F6E703-2E2A-4163-BC23-E4E8EB5EA6A7}"/>
    <cellStyle name="20% - Accent6" xfId="11" builtinId="50" customBuiltin="1"/>
    <cellStyle name="20% - Accent6 2" xfId="12" xr:uid="{00000000-0005-0000-0000-00000B000000}"/>
    <cellStyle name="20% - Accent6 2 2" xfId="321" xr:uid="{5F6E8A71-4F23-419C-9323-009D2A35470F}"/>
    <cellStyle name="20% - Accent6 3" xfId="372" xr:uid="{70230B27-DE13-451D-8811-40691E520FA5}"/>
    <cellStyle name="20% - Accent6 4" xfId="417" xr:uid="{311A210A-020B-4845-A86B-6CBF8D943915}"/>
    <cellStyle name="20% - Akzent1" xfId="105" xr:uid="{546F546D-7037-4D3B-9907-B4C5E48422E2}"/>
    <cellStyle name="20% - Akzent2" xfId="106" xr:uid="{F2CCBDC7-C2B4-4486-B3A9-E0EDCCE6C2D6}"/>
    <cellStyle name="20% - Akzent3" xfId="107" xr:uid="{2DCF23D7-9A38-4840-A34D-08066394C308}"/>
    <cellStyle name="20% - Akzent4" xfId="108" xr:uid="{DCC12DA5-96D8-4794-83D6-56CF8861EEBE}"/>
    <cellStyle name="20% - Akzent5" xfId="109" xr:uid="{D5F28A13-F83A-4FA5-88CC-5B415922A54B}"/>
    <cellStyle name="20% - Akzent6" xfId="110" xr:uid="{3538E104-6B69-4D1A-AFB8-1FA5E2745272}"/>
    <cellStyle name="2x indented GHG Textfiels" xfId="111" xr:uid="{45CC20B1-8A26-4010-AF82-927B7D7447E0}"/>
    <cellStyle name="40% - Accent1" xfId="13" builtinId="31" customBuiltin="1"/>
    <cellStyle name="40% - Accent1 2" xfId="14" xr:uid="{00000000-0005-0000-0000-00000D000000}"/>
    <cellStyle name="40% - Accent1 2 2" xfId="320" xr:uid="{8AC74503-1D30-4B00-978B-F26358834B0E}"/>
    <cellStyle name="40% - Accent1 3" xfId="371" xr:uid="{941F5AC1-3D53-424C-AB4B-E1FA5E08118C}"/>
    <cellStyle name="40% - Accent1 4" xfId="418" xr:uid="{118B61D1-403B-4FED-A2F9-D91DBEE2884D}"/>
    <cellStyle name="40% - Accent1 5" xfId="112" xr:uid="{D2387D75-5C4F-4B42-AB0B-3A019D535C8D}"/>
    <cellStyle name="40% - Accent2" xfId="15" builtinId="35" customBuiltin="1"/>
    <cellStyle name="40% - Accent2 2" xfId="16" xr:uid="{00000000-0005-0000-0000-00000F000000}"/>
    <cellStyle name="40% - Accent2 2 2" xfId="319" xr:uid="{91A4BDB7-9EC2-4FC9-92DE-9F5CA7FC79A6}"/>
    <cellStyle name="40% - Accent2 3" xfId="370" xr:uid="{B1308186-0B5F-4326-B896-0EA77099CC85}"/>
    <cellStyle name="40% - Accent2 4" xfId="419" xr:uid="{3DB429FF-FEAF-4458-8B6A-10813A1562EB}"/>
    <cellStyle name="40% - Accent3" xfId="17" builtinId="39" customBuiltin="1"/>
    <cellStyle name="40% - Accent3 2" xfId="18" xr:uid="{00000000-0005-0000-0000-000011000000}"/>
    <cellStyle name="40% - Accent3 2 2" xfId="318" xr:uid="{928A4D52-2E4D-4A85-9E57-478912147005}"/>
    <cellStyle name="40% - Accent3 3" xfId="366" xr:uid="{6C0990BB-96B7-4EB0-A141-C3E737FA9AC3}"/>
    <cellStyle name="40% - Accent3 4" xfId="420" xr:uid="{BCAFB3E2-5E4E-4F81-9C2F-A89CDF9A2B64}"/>
    <cellStyle name="40% - Accent3 5" xfId="113" xr:uid="{EF478240-83A8-415A-ACC1-392A3E1957BB}"/>
    <cellStyle name="40% - Accent4" xfId="19" builtinId="43" customBuiltin="1"/>
    <cellStyle name="40% - Accent4 2" xfId="20" xr:uid="{00000000-0005-0000-0000-000013000000}"/>
    <cellStyle name="40% - Accent4 2 2" xfId="317" xr:uid="{20AB78FB-FC14-41DD-A333-C5B2CB8915A2}"/>
    <cellStyle name="40% - Accent4 3" xfId="369" xr:uid="{FF37D48F-F758-44B5-88A2-C7CCFD6C01CD}"/>
    <cellStyle name="40% - Accent4 4" xfId="421" xr:uid="{7BB71156-1925-47EB-81D7-07AE8C33069E}"/>
    <cellStyle name="40% - Accent4 5" xfId="114" xr:uid="{74A2984E-EF3C-486A-99B6-9069CA3168FB}"/>
    <cellStyle name="40% - Accent5" xfId="21" builtinId="47" customBuiltin="1"/>
    <cellStyle name="40% - Accent5 2" xfId="22" xr:uid="{00000000-0005-0000-0000-000015000000}"/>
    <cellStyle name="40% - Accent5 2 2" xfId="316" xr:uid="{E7D53164-884F-49D0-AF04-DAF84501E05A}"/>
    <cellStyle name="40% - Accent5 3" xfId="368" xr:uid="{9CCA54B5-EBE1-43A2-8193-16EF9C2ED5E6}"/>
    <cellStyle name="40% - Accent5 4" xfId="422" xr:uid="{7E76294D-03D0-4DD8-A6FD-E5B4AF1CB7D6}"/>
    <cellStyle name="40% - Accent6" xfId="23" builtinId="51" customBuiltin="1"/>
    <cellStyle name="40% - Accent6 2" xfId="24" xr:uid="{00000000-0005-0000-0000-000017000000}"/>
    <cellStyle name="40% - Accent6 2 2" xfId="315" xr:uid="{5308ED5C-7EC7-4F58-B1CE-60BBE5D5C9FC}"/>
    <cellStyle name="40% - Accent6 3" xfId="367" xr:uid="{23FC86B9-75C9-4495-A130-C1E1F33AB022}"/>
    <cellStyle name="40% - Accent6 4" xfId="423" xr:uid="{6CC24B72-BA5B-4E47-9ED0-7CDF270FFE0F}"/>
    <cellStyle name="40% - Accent6 5" xfId="115" xr:uid="{37EA969A-01BB-469F-B90A-E753AC2FF608}"/>
    <cellStyle name="40% - Akzent1" xfId="116" xr:uid="{94CE86D4-1B21-4605-B784-92DDF9E1D4A6}"/>
    <cellStyle name="40% - Akzent2" xfId="117" xr:uid="{C93E5901-D48D-4642-8499-D020DC74267D}"/>
    <cellStyle name="40% - Akzent3" xfId="118" xr:uid="{EB78743E-C82D-48AD-928F-165B4996F563}"/>
    <cellStyle name="40% - Akzent4" xfId="119" xr:uid="{7C595812-2388-4371-AACB-5BB87C801112}"/>
    <cellStyle name="40% - Akzent5" xfId="120" xr:uid="{3844C6EB-3D1D-4B54-A605-DEBE64CEAA03}"/>
    <cellStyle name="40% - Akzent6" xfId="121" xr:uid="{1CBAD0D5-A38C-4075-A9C2-9F5825B5C5F0}"/>
    <cellStyle name="5x indented GHG Textfiels" xfId="122" xr:uid="{4B72E685-6261-41D1-9CE1-B8DF901E7B8B}"/>
    <cellStyle name="60% - Accent1" xfId="25" builtinId="32" customBuiltin="1"/>
    <cellStyle name="60% - Accent1 2" xfId="26" xr:uid="{00000000-0005-0000-0000-000019000000}"/>
    <cellStyle name="60% - Accent1 2 2" xfId="293" xr:uid="{E17AA125-1A00-464C-B3DD-CFBDF196A17B}"/>
    <cellStyle name="60% - Accent1 3" xfId="379" xr:uid="{CECB7782-4422-4DAD-9301-834EAFBD4F71}"/>
    <cellStyle name="60% - Accent1 4" xfId="425" xr:uid="{D67E9AE2-9F4E-49A9-84C7-E41D164F2D2E}"/>
    <cellStyle name="60% - Accent1 5" xfId="123" xr:uid="{E7ABABB9-0101-403B-81C0-AA61804AB6E6}"/>
    <cellStyle name="60% - Accent2" xfId="27" builtinId="36" customBuiltin="1"/>
    <cellStyle name="60% - Accent2 2" xfId="28" xr:uid="{00000000-0005-0000-0000-00001B000000}"/>
    <cellStyle name="60% - Accent2 2 2" xfId="314" xr:uid="{F0541AA7-DC60-4856-8B5B-01BCCE16866E}"/>
    <cellStyle name="60% - Accent2 3" xfId="380" xr:uid="{65E799DD-7213-4777-B5E2-3531A9AE23FB}"/>
    <cellStyle name="60% - Accent2 4" xfId="426" xr:uid="{5A4D3C99-E1B5-4B08-8B7C-5A9306639B60}"/>
    <cellStyle name="60% - Accent2 5" xfId="124" xr:uid="{3C4A8F76-8356-42D3-BBFC-3D28580870AD}"/>
    <cellStyle name="60% - Accent3" xfId="29" builtinId="40" customBuiltin="1"/>
    <cellStyle name="60% - Accent3 2" xfId="30" xr:uid="{00000000-0005-0000-0000-00001D000000}"/>
    <cellStyle name="60% - Accent3 2 2" xfId="313" xr:uid="{3057B3CC-EFAC-4F3B-A1F6-73186E5F913D}"/>
    <cellStyle name="60% - Accent3 3" xfId="381" xr:uid="{414AD053-D42E-4BF1-BC8E-C5CC0311D860}"/>
    <cellStyle name="60% - Accent3 4" xfId="427" xr:uid="{ED950862-4CF5-41F0-A331-72FE4726B9FF}"/>
    <cellStyle name="60% - Accent3 5" xfId="125" xr:uid="{6897EF26-40E8-4106-8426-504A50EA9BDF}"/>
    <cellStyle name="60% - Accent4" xfId="31" builtinId="44" customBuiltin="1"/>
    <cellStyle name="60% - Accent4 2" xfId="32" xr:uid="{00000000-0005-0000-0000-00001F000000}"/>
    <cellStyle name="60% - Accent4 2 2" xfId="312" xr:uid="{EEC9C3D9-8B97-4AF9-A0AE-D80096F6D2F1}"/>
    <cellStyle name="60% - Accent4 3" xfId="382" xr:uid="{93083DB8-CDB6-4E27-9207-1BB31ACD404E}"/>
    <cellStyle name="60% - Accent4 4" xfId="428" xr:uid="{3D9E4FB8-2434-4D18-A937-173B66D2745D}"/>
    <cellStyle name="60% - Accent4 5" xfId="126" xr:uid="{E4609D93-291E-4CE8-8651-5274D2EA5F6C}"/>
    <cellStyle name="60% - Accent5" xfId="33" builtinId="48" customBuiltin="1"/>
    <cellStyle name="60% - Accent5 2" xfId="34" xr:uid="{00000000-0005-0000-0000-000021000000}"/>
    <cellStyle name="60% - Accent5 2 2" xfId="311" xr:uid="{B07351FD-C8B2-408B-99F7-8DDEF0FBB807}"/>
    <cellStyle name="60% - Accent5 3" xfId="383" xr:uid="{6733CA80-6E5F-495A-86C8-8100594E1CE9}"/>
    <cellStyle name="60% - Accent5 4" xfId="429" xr:uid="{8A62156B-CC21-459E-B7FD-D7544834DCEC}"/>
    <cellStyle name="60% - Accent5 5" xfId="127" xr:uid="{CA9D55E5-C308-4332-8720-EE293EAAFB2A}"/>
    <cellStyle name="60% - Accent6" xfId="35" builtinId="52" customBuiltin="1"/>
    <cellStyle name="60% - Accent6 2" xfId="36" xr:uid="{00000000-0005-0000-0000-000023000000}"/>
    <cellStyle name="60% - Accent6 2 2" xfId="310" xr:uid="{EF6C8CCE-F396-427A-BDB7-3BFA73A552BC}"/>
    <cellStyle name="60% - Accent6 3" xfId="384" xr:uid="{83BD30C5-D536-4E83-B9D6-AE26A93A9D8D}"/>
    <cellStyle name="60% - Accent6 4" xfId="430" xr:uid="{D71C5DF4-EF81-49BB-B41D-22009C18E25A}"/>
    <cellStyle name="60% - Accent6 5" xfId="128" xr:uid="{76C7B752-40E8-4CF5-B358-C5AAAC094522}"/>
    <cellStyle name="60% - Akzent1" xfId="129" xr:uid="{0588551B-A0E8-42DC-9078-0540EB240DA8}"/>
    <cellStyle name="60% - Akzent2" xfId="130" xr:uid="{8DDACAC7-DC8F-45C1-8CB5-E61E3921150F}"/>
    <cellStyle name="60% - Akzent3" xfId="131" xr:uid="{F496CE1A-E9E4-4BD8-9CF0-329649E900AC}"/>
    <cellStyle name="60% - Akzent4" xfId="132" xr:uid="{061E01AB-AFD3-471D-B97E-2F952A931529}"/>
    <cellStyle name="60% - Akzent5" xfId="133" xr:uid="{401E4EF2-1511-4E4F-9463-F144BEFAC4DD}"/>
    <cellStyle name="60% - Akzent6" xfId="134" xr:uid="{C96C183C-8D1F-40CB-9786-A8F9A8569B67}"/>
    <cellStyle name="Accent1" xfId="37" builtinId="29" customBuiltin="1"/>
    <cellStyle name="Accent1 2" xfId="38" xr:uid="{00000000-0005-0000-0000-000025000000}"/>
    <cellStyle name="Accent1 2 2" xfId="328" xr:uid="{F6FE3ED7-C14C-48E9-AD5A-DDD5E74B9747}"/>
    <cellStyle name="Accent1 3" xfId="385" xr:uid="{0F12C3E3-642E-4B35-970F-30ED4116F54A}"/>
    <cellStyle name="Accent1 4" xfId="431" xr:uid="{97D330A7-A846-4FB8-921F-5B3732D7217E}"/>
    <cellStyle name="Accent1 5" xfId="135" xr:uid="{434A3499-E540-44DF-B630-00D115A00B8A}"/>
    <cellStyle name="Accent2" xfId="39" builtinId="33" customBuiltin="1"/>
    <cellStyle name="Accent2 2" xfId="40" xr:uid="{00000000-0005-0000-0000-000027000000}"/>
    <cellStyle name="Accent2 2 2" xfId="329" xr:uid="{22864AA7-CA0D-487E-A025-55FC0F6F7F51}"/>
    <cellStyle name="Accent2 3" xfId="386" xr:uid="{398A22BC-5FC4-49D7-A512-EA1616CDDA65}"/>
    <cellStyle name="Accent2 4" xfId="432" xr:uid="{D2B125B7-7C0B-44B9-92FE-4A8AB3F36081}"/>
    <cellStyle name="Accent2 5" xfId="136" xr:uid="{A4024036-34FD-4529-8886-C64793C6B693}"/>
    <cellStyle name="Accent3" xfId="41" builtinId="37" customBuiltin="1"/>
    <cellStyle name="Accent3 2" xfId="42" xr:uid="{00000000-0005-0000-0000-000029000000}"/>
    <cellStyle name="Accent3 2 2" xfId="330" xr:uid="{BD523EF5-60B3-4AA0-BDD3-E7168EA32D1A}"/>
    <cellStyle name="Accent3 3" xfId="387" xr:uid="{F89B385E-502C-46F9-97D0-BEB498BEBF75}"/>
    <cellStyle name="Accent3 4" xfId="433" xr:uid="{88156D0B-02B1-4017-915A-4B7CF586C12D}"/>
    <cellStyle name="Accent3 5" xfId="137" xr:uid="{E62A4D4F-6096-43CC-B3EA-D5F3DBDA091A}"/>
    <cellStyle name="Accent4" xfId="43" builtinId="41" customBuiltin="1"/>
    <cellStyle name="Accent4 2" xfId="44" xr:uid="{00000000-0005-0000-0000-00002B000000}"/>
    <cellStyle name="Accent4 2 2" xfId="331" xr:uid="{2BC465E4-82D5-411A-BB85-07D3DB220BC9}"/>
    <cellStyle name="Accent4 3" xfId="388" xr:uid="{CA1CECF7-3E88-46CC-8391-A41783F1AC45}"/>
    <cellStyle name="Accent4 4" xfId="434" xr:uid="{8605336A-AAF3-4145-9CD2-DB223036D633}"/>
    <cellStyle name="Accent4 5" xfId="138" xr:uid="{FFD72798-91C6-453D-A544-BF6CE8C7F7AE}"/>
    <cellStyle name="Accent5" xfId="45" builtinId="45" customBuiltin="1"/>
    <cellStyle name="Accent5 2" xfId="46" xr:uid="{00000000-0005-0000-0000-00002D000000}"/>
    <cellStyle name="Accent5 2 2" xfId="332" xr:uid="{F0C88A94-02F6-4647-BB14-4EE955D03E63}"/>
    <cellStyle name="Accent5 3" xfId="389" xr:uid="{B82547CD-9C91-4C11-B23B-1110CF56EA16}"/>
    <cellStyle name="Accent5 4" xfId="435" xr:uid="{D8961603-C00E-4F44-A9EE-DED2A27A899F}"/>
    <cellStyle name="Accent5 5" xfId="139" xr:uid="{40334380-BE5B-48B1-BE9D-5791E2227D26}"/>
    <cellStyle name="Accent6" xfId="47" builtinId="49" customBuiltin="1"/>
    <cellStyle name="Accent6 2" xfId="48" xr:uid="{00000000-0005-0000-0000-00002F000000}"/>
    <cellStyle name="Accent6 2 2" xfId="333" xr:uid="{BAFAD573-277F-4A9E-A962-7FC56F2DADFD}"/>
    <cellStyle name="Accent6 3" xfId="390" xr:uid="{4626219C-30F3-41D7-B279-E4EFB7ABAEF9}"/>
    <cellStyle name="Accent6 4" xfId="436" xr:uid="{31A134FC-FB12-464D-9C33-394C84004A92}"/>
    <cellStyle name="Accent6 5" xfId="140" xr:uid="{7EF6C8BA-41E9-44FC-89AD-38BCA9C2FE92}"/>
    <cellStyle name="AggblueBoldCels" xfId="141" xr:uid="{644C4F8B-E4A3-4CC6-BA86-D161788FB30F}"/>
    <cellStyle name="AggblueCels" xfId="142" xr:uid="{1E70CBC6-1E22-4C3B-9188-5C97220ABF0A}"/>
    <cellStyle name="AggBoldCells" xfId="143" xr:uid="{C9944682-FC9F-4E95-A2BD-4F6B749AAB04}"/>
    <cellStyle name="AggCels" xfId="144" xr:uid="{1D9E4B0A-3288-4B92-9684-F6AD161A254A}"/>
    <cellStyle name="AggGreen" xfId="145" xr:uid="{01993FD7-F0CF-44FB-BE05-3F5A1C50345E}"/>
    <cellStyle name="AggGreen12" xfId="146" xr:uid="{5418E204-0FF7-4737-92AB-1CF8B0A036F8}"/>
    <cellStyle name="AggOrange" xfId="147" xr:uid="{EE1EFBB5-B572-4304-A7A0-98938288A5AE}"/>
    <cellStyle name="AggOrange9" xfId="148" xr:uid="{60C9D2E9-D5E9-4C00-A305-227666184F33}"/>
    <cellStyle name="AggOrangeLB_2x" xfId="149" xr:uid="{C25682D8-19AD-45A4-8425-CFC2B73A99F4}"/>
    <cellStyle name="AggOrangeLBorder" xfId="150" xr:uid="{3044A90B-DD85-40FB-926E-5FBBD57EDBE8}"/>
    <cellStyle name="AggOrangeRBorder" xfId="151" xr:uid="{50DFAFAF-E34C-4D11-B770-345F1B4752FB}"/>
    <cellStyle name="Akzent1" xfId="152" xr:uid="{27EC71C6-F0BF-4A5E-99E6-80533141BE89}"/>
    <cellStyle name="Akzent2" xfId="153" xr:uid="{31C84AB5-3BDC-429F-99C0-E609967D268A}"/>
    <cellStyle name="Akzent3" xfId="154" xr:uid="{F273BA8E-32AA-4DBD-B5FB-AA0446DF98A1}"/>
    <cellStyle name="Akzent4" xfId="155" xr:uid="{0697ED7D-9447-40D4-96C0-77B6CD70773D}"/>
    <cellStyle name="Akzent5" xfId="156" xr:uid="{34635BD8-7CE4-49A1-9B8E-9A62951E9982}"/>
    <cellStyle name="Akzent6" xfId="157" xr:uid="{05221B84-E444-4BF2-8BB4-CA8CF5ABF2E4}"/>
    <cellStyle name="Ausgabe" xfId="158" xr:uid="{110347B1-3874-4108-AA50-A47415EBE49B}"/>
    <cellStyle name="Bad" xfId="49" builtinId="27" customBuiltin="1"/>
    <cellStyle name="Bad 2" xfId="50" xr:uid="{00000000-0005-0000-0000-000031000000}"/>
    <cellStyle name="Bad 2 2" xfId="334" xr:uid="{8843653F-F58A-48E3-8BD7-BD73F6E071FA}"/>
    <cellStyle name="Bad 3" xfId="391" xr:uid="{F63D668C-D4E7-4F99-83BA-CFA1A0C21DB3}"/>
    <cellStyle name="Bad 4" xfId="438" xr:uid="{0BC7B581-95B7-4996-A2F8-0F3822C767BC}"/>
    <cellStyle name="Berechnung" xfId="159" xr:uid="{FA5FB244-160B-485B-8E5E-B158CDF470EE}"/>
    <cellStyle name="Bold GHG Numbers (0.00)" xfId="160" xr:uid="{5D4FDBFC-44CC-49F8-8E81-09DF794FBF45}"/>
    <cellStyle name="Calculation" xfId="51" builtinId="22" customBuiltin="1"/>
    <cellStyle name="Calculation 2" xfId="52" xr:uid="{00000000-0005-0000-0000-000033000000}"/>
    <cellStyle name="Calculation 2 2" xfId="335" xr:uid="{03B3E737-DD8A-4312-BA0D-F0A40EB9D80D}"/>
    <cellStyle name="Calculation 3" xfId="392" xr:uid="{D1DF2DB7-EA64-4571-9383-658B83294E0F}"/>
    <cellStyle name="Calculation 4" xfId="439" xr:uid="{D9BC2C80-1458-4136-8204-E77722B0127E}"/>
    <cellStyle name="Calculation 5" xfId="161" xr:uid="{2BC32253-45E9-4FF7-982C-76B15B33735E}"/>
    <cellStyle name="Check Cell" xfId="53" builtinId="23" customBuiltin="1"/>
    <cellStyle name="Check Cell 2" xfId="54" xr:uid="{00000000-0005-0000-0000-000035000000}"/>
    <cellStyle name="Check Cell 2 2" xfId="336" xr:uid="{D5DBABAA-DFF5-493D-9145-6362D92AB05D}"/>
    <cellStyle name="Check Cell 3" xfId="393" xr:uid="{529B2183-AC7E-4DB0-AF43-D927A50E3AC0}"/>
    <cellStyle name="Check Cell 4" xfId="440" xr:uid="{EDA95CE6-1BB3-4ABB-9B8B-04D557D46C80}"/>
    <cellStyle name="Check Cell 5" xfId="162" xr:uid="{B0BAA004-C64F-4EB5-BD80-CDB1ED38E2AD}"/>
    <cellStyle name="Comma" xfId="55" builtinId="3"/>
    <cellStyle name="Comma 10" xfId="1212" xr:uid="{AE211027-501F-442A-8F35-4A9828E3129F}"/>
    <cellStyle name="Comma 2" xfId="56" xr:uid="{00000000-0005-0000-0000-000037000000}"/>
    <cellStyle name="Comma 2 2" xfId="57" xr:uid="{00000000-0005-0000-0000-000038000000}"/>
    <cellStyle name="Comma 2 2 2" xfId="490" xr:uid="{A245A43C-F24A-4BB8-A820-0907D82A69E5}"/>
    <cellStyle name="Comma 2 2 2 2" xfId="893" xr:uid="{0DB5895A-3880-4836-BCE8-4DAC5504E3A9}"/>
    <cellStyle name="Comma 2 2 3" xfId="748" xr:uid="{31E6EDD5-DD9F-40C8-92DF-FA52B6FE0104}"/>
    <cellStyle name="Comma 2 2 4" xfId="287" xr:uid="{F0F761E7-7619-40D6-84C2-339FDA3FCE76}"/>
    <cellStyle name="Comma 2 3" xfId="441" xr:uid="{55AE6590-CA29-4FD9-9C7F-9B2CF64EF710}"/>
    <cellStyle name="Comma 2 3 2" xfId="787" xr:uid="{456A8EA1-CB75-475F-A652-1FFE52C5BD14}"/>
    <cellStyle name="Comma 2 4" xfId="680" xr:uid="{A885B504-2645-4B81-B120-3731F432385D}"/>
    <cellStyle name="Comma 2 5" xfId="163" xr:uid="{CA51DD9D-E725-43F6-87A8-DDB9C8F4B1B9}"/>
    <cellStyle name="Comma 3" xfId="58" xr:uid="{00000000-0005-0000-0000-000039000000}"/>
    <cellStyle name="Comma 3 2" xfId="59" xr:uid="{00000000-0005-0000-0000-00003A000000}"/>
    <cellStyle name="Comma 3 2 2" xfId="289" xr:uid="{D9F59A4A-79F7-44B9-A56B-B2EB908B9498}"/>
    <cellStyle name="Comma 3 2 2 2" xfId="491" xr:uid="{A73162E0-C743-43A9-ADA7-87C0EF683BE2}"/>
    <cellStyle name="Comma 3 2 2 2 2" xfId="895" xr:uid="{29E5F8C8-65D9-4E13-92E7-639485A8B38E}"/>
    <cellStyle name="Comma 3 2 2 3" xfId="750" xr:uid="{A84753B3-4CB9-44D8-B0D6-A0F53B8A4294}"/>
    <cellStyle name="Comma 3 2 3" xfId="443" xr:uid="{B66AC727-918B-4D50-8053-AEC380FF3A11}"/>
    <cellStyle name="Comma 3 2 3 2" xfId="789" xr:uid="{F0679DE7-6F22-449E-8E68-9B551490F67E}"/>
    <cellStyle name="Comma 3 2 4" xfId="682" xr:uid="{9ED47FEB-BD00-4B22-BC39-FD43B9EC8858}"/>
    <cellStyle name="Comma 3 2 5" xfId="165" xr:uid="{12A63C64-79DE-4A39-A71F-F633453232E2}"/>
    <cellStyle name="Comma 3 3" xfId="288" xr:uid="{C8951C70-3726-4DAD-A4B9-2C2EA2E89B02}"/>
    <cellStyle name="Comma 3 3 2" xfId="492" xr:uid="{8784DBCB-A518-4018-B84C-303E17465898}"/>
    <cellStyle name="Comma 3 3 2 2" xfId="894" xr:uid="{36CCD430-6772-424E-BEDD-073C15639C83}"/>
    <cellStyle name="Comma 3 3 3" xfId="749" xr:uid="{4F996AE1-6B48-45EA-871E-13990E68DD5A}"/>
    <cellStyle name="Comma 3 4" xfId="442" xr:uid="{9FEB386D-24A8-4F45-94E4-FAD2212682E8}"/>
    <cellStyle name="Comma 3 4 2" xfId="788" xr:uid="{12824037-FDB4-482C-AC32-9DEA471FD50E}"/>
    <cellStyle name="Comma 3 5" xfId="681" xr:uid="{830A1B2D-2A86-4FDE-B203-EBC46BBF979C}"/>
    <cellStyle name="Comma 3 6" xfId="164" xr:uid="{B181F645-AF8A-42C4-BF7C-59AC43B0E025}"/>
    <cellStyle name="Comma 4" xfId="60" xr:uid="{00000000-0005-0000-0000-00003B000000}"/>
    <cellStyle name="Comma 4 2" xfId="290" xr:uid="{AE3F9EF6-F8C9-4831-B201-EE34848829C7}"/>
    <cellStyle name="Comma 4 2 2" xfId="493" xr:uid="{64077D74-8088-4302-B532-79AE7EC4556A}"/>
    <cellStyle name="Comma 4 2 2 2" xfId="896" xr:uid="{1E825822-2E2C-4B72-89CF-667983C2F734}"/>
    <cellStyle name="Comma 4 2 3" xfId="751" xr:uid="{10F63D00-2BDD-4551-96E8-C0701344F215}"/>
    <cellStyle name="Comma 4 3" xfId="444" xr:uid="{99342A3B-FAE9-4085-BCC7-5D664A08FEAA}"/>
    <cellStyle name="Comma 4 3 2" xfId="790" xr:uid="{276EBEBB-CB82-4902-B509-6BC263179F28}"/>
    <cellStyle name="Comma 4 4" xfId="683" xr:uid="{92079BB8-8F70-4E9F-A048-7B96E224AF6F}"/>
    <cellStyle name="Comma 4 5" xfId="166" xr:uid="{502DB104-2CCA-4B79-AE48-887406270A32}"/>
    <cellStyle name="Comma 5" xfId="61" xr:uid="{00000000-0005-0000-0000-00003C000000}"/>
    <cellStyle name="Comma 5 2" xfId="62" xr:uid="{00000000-0005-0000-0000-00003D000000}"/>
    <cellStyle name="Comma 5 2 2" xfId="494" xr:uid="{A70123B4-DE3F-4F9F-8AFC-34C7E7EA87C6}"/>
    <cellStyle name="Comma 5 2 2 2" xfId="897" xr:uid="{D1E3F5E2-B34B-4AE6-899D-D14FDC4F89A0}"/>
    <cellStyle name="Comma 5 2 3" xfId="752" xr:uid="{15574BCC-10E2-4AA7-9135-A0210048DF75}"/>
    <cellStyle name="Comma 5 2 4" xfId="291" xr:uid="{76C6E12E-8CD8-4424-818F-E3530B9E16F0}"/>
    <cellStyle name="Comma 5 3" xfId="445" xr:uid="{29ED040C-8E0F-4ABA-8CB5-DB2465CBBA8B}"/>
    <cellStyle name="Comma 5 3 2" xfId="791" xr:uid="{12B3172B-989E-4ACD-973D-AEEA293E9E91}"/>
    <cellStyle name="Comma 5 4" xfId="684" xr:uid="{5D6463B5-9B33-4F08-A984-39B0B0C4491B}"/>
    <cellStyle name="Comma 5 5" xfId="167" xr:uid="{AE321AE2-6B3B-4A12-B9E3-0AB68A50C22C}"/>
    <cellStyle name="Comma 6" xfId="63" xr:uid="{00000000-0005-0000-0000-00003E000000}"/>
    <cellStyle name="Comma 6 2" xfId="169" xr:uid="{4B007256-942E-40C9-BDA8-D64C9ACE7D2E}"/>
    <cellStyle name="Comma 6 2 2" xfId="495" xr:uid="{24903F0F-84FF-4D6A-A4D5-59941F261FF5}"/>
    <cellStyle name="Comma 6 2 2 2" xfId="842" xr:uid="{9A75AFFC-A704-469F-B743-4B044B32654D}"/>
    <cellStyle name="Comma 6 2 3" xfId="706" xr:uid="{F976BF00-4423-4290-A3A6-B082B02194E6}"/>
    <cellStyle name="Comma 6 3" xfId="446" xr:uid="{5F2C58B0-3EAE-49D4-AF8E-7D9CE9ED74F8}"/>
    <cellStyle name="Comma 6 3 2" xfId="792" xr:uid="{BBD77522-87F6-486C-864E-CDD3B22D5AC6}"/>
    <cellStyle name="Comma 6 4" xfId="685" xr:uid="{1F3A489F-0F9F-4215-B567-FAE976B3AEEE}"/>
    <cellStyle name="Comma 6 5" xfId="168" xr:uid="{536E525A-0EF8-444A-8D24-AA603D731A3C}"/>
    <cellStyle name="Comma 7" xfId="170" xr:uid="{16F53A8D-A5EF-49C2-BF3F-561D5CA53B6C}"/>
    <cellStyle name="Comma 7 2" xfId="496" xr:uid="{4F98A32F-05D6-4FB2-B61B-CF5470FBEE9F}"/>
    <cellStyle name="Comma 7 2 2" xfId="843" xr:uid="{10DD5962-C97A-4344-8BDF-B5D5CE72C7A4}"/>
    <cellStyle name="Comma 7 3" xfId="707" xr:uid="{3A64ACF5-0142-48E5-A337-4B195A4FD8F2}"/>
    <cellStyle name="Comma 8" xfId="171" xr:uid="{901DF452-1EC3-4BCF-A49F-DC3A023A2AA0}"/>
    <cellStyle name="Comma 8 2" xfId="337" xr:uid="{B5B483CA-45F9-41F5-903D-31C55E82DD98}"/>
    <cellStyle name="Comma 8 2 2" xfId="497" xr:uid="{D282F030-7B19-449E-91C2-FD9B1DDBC1C1}"/>
    <cellStyle name="Comma 8 2 2 2" xfId="915" xr:uid="{2F9E1ABD-E454-4AA0-8199-D7437660845E}"/>
    <cellStyle name="Comma 8 2 3" xfId="770" xr:uid="{0D959E86-C46C-448C-8488-2BF528D54662}"/>
    <cellStyle name="Comma 8 3" xfId="498" xr:uid="{59889D9F-8EA9-4941-B7A2-229F933DAF1E}"/>
    <cellStyle name="Comma 8 3 2" xfId="499" xr:uid="{57B2715B-2C3C-4626-9575-87314E449D35}"/>
    <cellStyle name="Comma 8 3 2 2" xfId="954" xr:uid="{92CD691A-50DE-4900-BD24-BF3F3FFFAAC5}"/>
    <cellStyle name="Comma 8 3 3" xfId="831" xr:uid="{E3EC2A32-87BF-480B-8AB8-86B9DE35F9BC}"/>
    <cellStyle name="Comma 8 3 4" xfId="488" xr:uid="{051915A9-443B-4B4C-BAF5-45259BC2EF55}"/>
    <cellStyle name="Comma 8 4" xfId="500" xr:uid="{BB79D875-E7F9-45E4-B399-120EE884C209}"/>
    <cellStyle name="Comma 8 4 2" xfId="844" xr:uid="{01886647-B5AB-4756-91FC-F7A7A4F52F56}"/>
    <cellStyle name="Comma 8 5" xfId="1003" xr:uid="{3B500C5E-B9C0-4C35-98D5-76C6A970EE82}"/>
    <cellStyle name="Comma 8 5 2" xfId="1011" xr:uid="{3682DFC2-BDB5-4782-A6CB-1151C50B1D59}"/>
    <cellStyle name="Comma 9" xfId="501" xr:uid="{D21FF939-05F9-473F-8AAE-865552FC88F5}"/>
    <cellStyle name="Comma 9 2" xfId="502" xr:uid="{2500DB18-9F31-43D5-BBC5-65A62297831C}"/>
    <cellStyle name="Comma 9 2 2" xfId="952" xr:uid="{B40C6057-A776-4315-95BD-51C7ABD8410C}"/>
    <cellStyle name="Comma 9 3" xfId="829" xr:uid="{CFDE8FE2-20BC-4543-BCAD-1B4A679CEEE5}"/>
    <cellStyle name="Comma0" xfId="172" xr:uid="{401D3BCD-A1F2-446C-9FF7-104E60D459F6}"/>
    <cellStyle name="Comma0 2" xfId="503" xr:uid="{C0ACE0F2-2FCC-4E40-ABDC-F0B78C8B7EF4}"/>
    <cellStyle name="Comma0 2 2" xfId="845" xr:uid="{CCDED9C6-A9C4-49B0-9FC8-6533DA66E584}"/>
    <cellStyle name="Comma0 3" xfId="708" xr:uid="{E3535ECA-92D5-4EF2-8D5D-DC11D04163A2}"/>
    <cellStyle name="Constants" xfId="173" xr:uid="{8B7E2874-A51C-4AC3-8163-A57E9943252F}"/>
    <cellStyle name="Currency0" xfId="174" xr:uid="{387AF982-367D-45F8-9E51-24519DF1250F}"/>
    <cellStyle name="Currency0 2" xfId="504" xr:uid="{192B5A8F-AD54-4279-AC41-C6A907A5359F}"/>
    <cellStyle name="Currency0 2 2" xfId="846" xr:uid="{7B4CFDAA-63D8-42DA-A7D1-410A7946FA08}"/>
    <cellStyle name="Currency0 3" xfId="709" xr:uid="{E8E13267-568E-42C6-8408-70B67AE472E9}"/>
    <cellStyle name="CustomCellsOrange" xfId="175" xr:uid="{22AA00E1-B599-4669-9C58-B80023F452FB}"/>
    <cellStyle name="CustomizationCells" xfId="176" xr:uid="{4FA93E76-0A63-4A4E-BA9B-6CD2A0D50EAD}"/>
    <cellStyle name="CustomizationGreenCells" xfId="177" xr:uid="{74ABF637-34B5-4ADD-8CA3-C6365EB20D12}"/>
    <cellStyle name="Date" xfId="178" xr:uid="{61F42983-CAA7-4C40-A111-45C448B11B7D}"/>
    <cellStyle name="Date 2" xfId="505" xr:uid="{0318FE3B-7880-46F2-BC19-E6B5F5823EA5}"/>
    <cellStyle name="Date 2 2" xfId="847" xr:uid="{325A3A6A-7808-4D07-ADBD-9E9EFF305ADD}"/>
    <cellStyle name="Date 3" xfId="710" xr:uid="{E9B9B7EB-2D10-4B8E-BEBB-1E0D6D2598D2}"/>
    <cellStyle name="DocBox_EmptyRow" xfId="179" xr:uid="{8910ED10-776B-4CE9-BD49-F93EFFCFB5B7}"/>
    <cellStyle name="Eingabe" xfId="180" xr:uid="{1BCF1E2B-56F1-4902-92A4-E3374D614FE0}"/>
    <cellStyle name="Empty_B_border" xfId="181" xr:uid="{5D360504-4E17-4914-86F8-155896233F39}"/>
    <cellStyle name="Ergebnis" xfId="182" xr:uid="{68B3B861-9221-4E72-BA94-3D20A33ECEC2}"/>
    <cellStyle name="Erklärender Text" xfId="183" xr:uid="{96F5AE7F-E670-45A1-AFA4-12CC1EE0EE95}"/>
    <cellStyle name="Explanatory Text" xfId="64" builtinId="53" customBuiltin="1"/>
    <cellStyle name="Explanatory Text 2" xfId="65" xr:uid="{00000000-0005-0000-0000-000040000000}"/>
    <cellStyle name="Explanatory Text 2 2" xfId="338" xr:uid="{11FDB0C1-35C2-4B5F-9D40-CE5AF33CD6C6}"/>
    <cellStyle name="Explanatory Text 3" xfId="394" xr:uid="{AD83D2FC-1BF2-4C38-AADD-5D7AB0EBAD44}"/>
    <cellStyle name="Explanatory Text 4" xfId="448" xr:uid="{E6F82D81-7BD0-4F60-8E5C-8EF3E9694FBB}"/>
    <cellStyle name="Fixed" xfId="184" xr:uid="{F90A56AA-739D-489E-8297-F9B0A707D6BE}"/>
    <cellStyle name="Fixed 2" xfId="506" xr:uid="{45C9D6DC-154A-4E28-9772-6E0C78BACCC0}"/>
    <cellStyle name="Fixed 2 2" xfId="848" xr:uid="{586CB140-1244-4269-907E-5E1CA00B8ED6}"/>
    <cellStyle name="Fixed 3" xfId="711" xr:uid="{0DC43772-62EF-4A6C-A3CC-6771788B5E39}"/>
    <cellStyle name="Good" xfId="66" builtinId="26" customBuiltin="1"/>
    <cellStyle name="Good 2" xfId="67" xr:uid="{00000000-0005-0000-0000-000042000000}"/>
    <cellStyle name="Good 2 2" xfId="339" xr:uid="{E36840FB-886C-49A3-BADA-5806BE1C3D4A}"/>
    <cellStyle name="Good 3" xfId="395" xr:uid="{9D6FD37E-41EA-400C-B9DE-D5FCA3A55683}"/>
    <cellStyle name="Good 4" xfId="449" xr:uid="{61DFF666-1C5C-4489-B5E1-2285B4F901E0}"/>
    <cellStyle name="Gut" xfId="185" xr:uid="{7779ECDC-B5D0-45F9-B115-AE00E4B09D7F}"/>
    <cellStyle name="Heading 1" xfId="68" builtinId="16" customBuiltin="1"/>
    <cellStyle name="Heading 1 2" xfId="69" xr:uid="{00000000-0005-0000-0000-000044000000}"/>
    <cellStyle name="Heading 1 2 2" xfId="340" xr:uid="{70A47CCA-1CAA-4F24-A09E-FD20023A3697}"/>
    <cellStyle name="Heading 1 3" xfId="396" xr:uid="{F41A4116-2390-4272-8554-A9AB632A38D6}"/>
    <cellStyle name="Heading 1 4" xfId="450" xr:uid="{802EC2A2-1AEE-46BA-8D18-DC0EC4708974}"/>
    <cellStyle name="Heading 1 5" xfId="186" xr:uid="{319F3469-C308-49DF-9169-87792DAF0620}"/>
    <cellStyle name="Heading 2" xfId="70" builtinId="17" customBuiltin="1"/>
    <cellStyle name="Heading 2 2" xfId="71" xr:uid="{00000000-0005-0000-0000-000046000000}"/>
    <cellStyle name="Heading 2 2 2" xfId="341" xr:uid="{29572576-7B6B-4C2A-B564-1028295428EA}"/>
    <cellStyle name="Heading 2 3" xfId="397" xr:uid="{8A4FF65B-EE8B-4FE6-B05E-8AB5F92E6E53}"/>
    <cellStyle name="Heading 2 4" xfId="451" xr:uid="{26714628-C693-48E0-9FF3-B9CEFB7FD06E}"/>
    <cellStyle name="Heading 2 5" xfId="187" xr:uid="{2BEB8604-ED91-4B6A-86E3-2649B75BA87E}"/>
    <cellStyle name="Heading 3" xfId="72" builtinId="18" customBuiltin="1"/>
    <cellStyle name="Heading 3 2" xfId="73" xr:uid="{00000000-0005-0000-0000-000048000000}"/>
    <cellStyle name="Heading 3 2 2" xfId="1304" xr:uid="{EEB94860-34A3-4F9A-B5A7-77A609AC236F}"/>
    <cellStyle name="Heading 3 2 2 2" xfId="1307" xr:uid="{986E7064-5FF3-4645-96F4-D045E0932D65}"/>
    <cellStyle name="Heading 3 2 3" xfId="1311" xr:uid="{044CF808-911C-4F22-B78E-20194D1D7673}"/>
    <cellStyle name="Heading 3 2 4" xfId="1306" xr:uid="{B36E04AD-8050-4E67-8652-27147AE8A70A}"/>
    <cellStyle name="Heading 3 2 5" xfId="1315" xr:uid="{98BFEF10-7007-4411-998F-A30EA152708B}"/>
    <cellStyle name="Heading 3 2 6" xfId="342" xr:uid="{588E4BB9-03F4-42EF-BE05-F775E2AB3699}"/>
    <cellStyle name="Heading 3 3" xfId="398" xr:uid="{5515E406-25A1-4D5D-BD77-D5BF70E4E5C2}"/>
    <cellStyle name="Heading 3 3 2" xfId="1309" xr:uid="{9B23D931-EA44-442E-A1EC-A2F6515D6724}"/>
    <cellStyle name="Heading 3 3 2 2" xfId="1308" xr:uid="{48DED973-81FD-475C-A548-AC0B862C0E86}"/>
    <cellStyle name="Heading 3 3 3" xfId="1302" xr:uid="{F85D3CEF-5BC9-4564-80BD-CF8D823C4A28}"/>
    <cellStyle name="Heading 3 3 4" xfId="1297" xr:uid="{A14AF9A7-40EE-4B60-AEC3-CA59217B0B92}"/>
    <cellStyle name="Heading 3 3 5" xfId="484" xr:uid="{347FFEBD-127F-42B3-A514-F9D498718D89}"/>
    <cellStyle name="Heading 3 4" xfId="452" xr:uid="{5B1F7622-8C15-4C2F-B49F-DCC1179693EB}"/>
    <cellStyle name="Heading 3 4 2" xfId="447" xr:uid="{E2B0E70A-11DC-407E-95CB-BE1C34216EE7}"/>
    <cellStyle name="Heading 3 4 2 2" xfId="1312" xr:uid="{4A51ACE6-1B51-4F4F-AB79-949669BAE488}"/>
    <cellStyle name="Heading 3 4 3" xfId="437" xr:uid="{D51D8DDD-F44F-4184-8F54-5039210F77C9}"/>
    <cellStyle name="Heading 3 4 4" xfId="463" xr:uid="{15FA226F-F66F-4769-BFD9-D64C82AB409E}"/>
    <cellStyle name="Heading 3 4 5" xfId="1299" xr:uid="{23F72A85-8146-4EC4-BFC8-32643ABD9678}"/>
    <cellStyle name="Heading 3 5" xfId="188" xr:uid="{ED1A74C9-F6F6-4502-866A-1A319D89A1EB}"/>
    <cellStyle name="Heading 4" xfId="74" builtinId="19" customBuiltin="1"/>
    <cellStyle name="Heading 4 2" xfId="75" xr:uid="{00000000-0005-0000-0000-00004A000000}"/>
    <cellStyle name="Heading 4 2 2" xfId="343" xr:uid="{49FC3843-BAD4-4C0B-A379-65B87FFCFAA8}"/>
    <cellStyle name="Heading 4 3" xfId="399" xr:uid="{FE3633FB-5493-4BB2-B75A-C2031E3DDF9E}"/>
    <cellStyle name="Heading 4 4" xfId="453" xr:uid="{1983DD87-7A23-4BB3-97F7-EAA7D2950ED4}"/>
    <cellStyle name="Heading 4 5" xfId="189" xr:uid="{A727813F-9FAC-4008-B371-910B6E78A3DF}"/>
    <cellStyle name="Headline" xfId="190" xr:uid="{D209FD84-0D37-49E9-A5E1-0AF5345C7A00}"/>
    <cellStyle name="Hyperlink" xfId="76" builtinId="8"/>
    <cellStyle name="Hyperlink 2" xfId="77" xr:uid="{00000000-0005-0000-0000-00004C000000}"/>
    <cellStyle name="Hyperlink 2 2" xfId="1319" xr:uid="{6BD7AFDF-586A-4471-A805-226BB665C8CA}"/>
    <cellStyle name="Hyperlink 3" xfId="1318" xr:uid="{EB3E5014-6CA7-467D-842A-1E0A25A7A7B1}"/>
    <cellStyle name="Input" xfId="78" builtinId="20" customBuiltin="1"/>
    <cellStyle name="Input 2" xfId="79" xr:uid="{00000000-0005-0000-0000-00004E000000}"/>
    <cellStyle name="Input 2 2" xfId="344" xr:uid="{9241F98E-0575-4D01-A8DF-A86A43A67C9F}"/>
    <cellStyle name="Input 3" xfId="400" xr:uid="{572959BC-8B4C-4139-A689-61B6258CFB7C}"/>
    <cellStyle name="Input 4" xfId="454" xr:uid="{B707D8C2-A7CD-435E-9392-1F7D21891367}"/>
    <cellStyle name="InputCells" xfId="191" xr:uid="{5EBCC2A5-7942-4DD0-829D-0C828AFE5D2B}"/>
    <cellStyle name="InputCells12" xfId="192" xr:uid="{B1095CD8-F0AE-40C7-9DC9-D3349896F28C}"/>
    <cellStyle name="IntCells" xfId="193" xr:uid="{32B45010-69ED-4FA4-BE45-E2383E99D0F1}"/>
    <cellStyle name="KP_Value_Cells" xfId="194" xr:uid="{0BFD2AAD-8C28-41AE-A8C8-6C1B9E779B8D}"/>
    <cellStyle name="Linked Cell" xfId="80" builtinId="24" customBuiltin="1"/>
    <cellStyle name="Linked Cell 2" xfId="81" xr:uid="{00000000-0005-0000-0000-000050000000}"/>
    <cellStyle name="Linked Cell 2 2" xfId="345" xr:uid="{AFF595CC-C117-4068-9193-9B8EC3A75BBD}"/>
    <cellStyle name="Linked Cell 3" xfId="401" xr:uid="{056099DA-A9ED-4989-BD3D-87A109D1AC72}"/>
    <cellStyle name="Linked Cell 4" xfId="455" xr:uid="{0DA5F7C1-5037-48E9-BBE7-EAC7A059E3C6}"/>
    <cellStyle name="Neutral" xfId="82" builtinId="28" customBuiltin="1"/>
    <cellStyle name="Neutral 2" xfId="83" xr:uid="{00000000-0005-0000-0000-000052000000}"/>
    <cellStyle name="Neutral 2 2" xfId="346" xr:uid="{EB5F9E61-8004-4C0C-9A6D-388FEA075A2E}"/>
    <cellStyle name="Neutral 3" xfId="402" xr:uid="{B4D1A071-8052-401C-B258-6D05697896DE}"/>
    <cellStyle name="Neutral 4" xfId="456" xr:uid="{C5EFA8C3-608C-42A7-9397-0C30E41B2AED}"/>
    <cellStyle name="Normal" xfId="0" builtinId="0"/>
    <cellStyle name="Normal 10" xfId="327" xr:uid="{4D9DF41C-BBDA-4C93-9B5E-F794CA596DE7}"/>
    <cellStyle name="Normal 11" xfId="363" xr:uid="{D153DCB9-804D-49EA-B29A-BE0518BB7EDF}"/>
    <cellStyle name="Normal 11 2" xfId="409" xr:uid="{FD61CDEB-8487-4953-8BBD-66A8AA24A981}"/>
    <cellStyle name="Normal 11 2 2" xfId="507" xr:uid="{F4B1D5F2-738A-47AA-910C-9BE3C9C1BAC0}"/>
    <cellStyle name="Normal 11 2 2 2" xfId="931" xr:uid="{E0F0519B-885D-492A-AB7C-545D77ABB12E}"/>
    <cellStyle name="Normal 11 2 3" xfId="783" xr:uid="{1F56AFD9-6444-4EB2-B6DE-41C531D2AE4F}"/>
    <cellStyle name="Normal 11 3" xfId="508" xr:uid="{36CA141A-C113-4718-A4B5-E7B5963FE817}"/>
    <cellStyle name="Normal 11 3 2" xfId="509" xr:uid="{E58B0D94-35B9-4B2F-A89E-0F67F775B346}"/>
    <cellStyle name="Normal 11 3 2 2" xfId="961" xr:uid="{AA1714AC-6CDE-4E54-97C6-CAB429894626}"/>
    <cellStyle name="Normal 11 3 3" xfId="837" xr:uid="{6250E853-162B-4911-B24E-1B1EA0F0D16F}"/>
    <cellStyle name="Normal 11 4" xfId="510" xr:uid="{1A372228-A643-4B6D-B0EF-8952AEA7CA04}"/>
    <cellStyle name="Normal 11 4 2" xfId="926" xr:uid="{25DE55B7-DB6F-48FD-973D-03D7715E8063}"/>
    <cellStyle name="Normal 11 5" xfId="1004" xr:uid="{AE2394CD-CBA7-4FF4-B910-4C2E461F6150}"/>
    <cellStyle name="Normal 11 5 2" xfId="1012" xr:uid="{42A055B5-3343-451A-B6C1-094D1EC50E14}"/>
    <cellStyle name="Normal 12" xfId="378" xr:uid="{364713DE-9CDA-460D-BCD1-25B23E41BE3E}"/>
    <cellStyle name="Normal 13" xfId="411" xr:uid="{DA701234-8AA2-4739-8633-00051D8314F8}"/>
    <cellStyle name="Normal 14" xfId="511" xr:uid="{C50E32F0-E5D2-4FAE-843E-F4A4C4F2693D}"/>
    <cellStyle name="Normal 14 2" xfId="838" xr:uid="{B8D05230-2380-4283-900D-0FD3F604FC57}"/>
    <cellStyle name="Normal 15" xfId="1101" xr:uid="{5A447BC6-C152-489E-AE9B-0E1DD52E5036}"/>
    <cellStyle name="Normal 15 2" xfId="1310" xr:uid="{ED8D37A6-4998-4861-8303-AC7366C0646C}"/>
    <cellStyle name="Normal 15 3" xfId="1298" xr:uid="{C9304227-B8BF-4568-92D2-F8EC2740568D}"/>
    <cellStyle name="Normal 16" xfId="410" xr:uid="{DA7828E4-0BB1-43F3-82C9-9702120E4DAF}"/>
    <cellStyle name="Normal 17" xfId="1317" xr:uid="{D3DF7E62-7D60-4C32-9F27-73E8BE8FD474}"/>
    <cellStyle name="Normal 18" xfId="100" xr:uid="{A64D676D-3F68-4730-83EC-6FFD3617C219}"/>
    <cellStyle name="Normal 2" xfId="84" xr:uid="{00000000-0005-0000-0000-000054000000}"/>
    <cellStyle name="Normal 2 2" xfId="196" xr:uid="{8243A366-60BF-45C5-8623-5C0999CDBA85}"/>
    <cellStyle name="Normal 2 2 2" xfId="512" xr:uid="{79A55074-8C84-4841-8205-575A3A5AF25F}"/>
    <cellStyle name="Normal 2 2 2 2" xfId="849" xr:uid="{9A301F44-EE94-4E8F-9B58-B9607D247F62}"/>
    <cellStyle name="Normal 2 2 3" xfId="712" xr:uid="{8C7591C6-0CBD-4DC1-8402-EA3D8FB22CFE}"/>
    <cellStyle name="Normal 2 3" xfId="347" xr:uid="{69D4D9D6-6B3A-47F5-A972-E692E92CC2CB}"/>
    <cellStyle name="Normal 2 4" xfId="403" xr:uid="{16612139-24EA-4747-8E40-635C1CB55A7C}"/>
    <cellStyle name="Normal 2 5" xfId="457" xr:uid="{57C9F9AB-D118-4663-93F7-A7FEE3F1CC58}"/>
    <cellStyle name="Normal 2 6" xfId="513" xr:uid="{9F1702A0-4C3B-4533-B5BF-B44D4D2E6F78}"/>
    <cellStyle name="Normal 2 6 2" xfId="839" xr:uid="{7E28BB96-34CE-44BA-9F77-56299959A442}"/>
    <cellStyle name="Normal 2 7" xfId="686" xr:uid="{F6383828-F49A-4FDD-8567-0C7A3D9B1587}"/>
    <cellStyle name="Normal 2 8" xfId="195" xr:uid="{93DFF617-1108-4414-BECF-B49B57878867}"/>
    <cellStyle name="Normal 2_A4-1" xfId="197" xr:uid="{87568703-7F72-442F-9480-8C5D9DA8287A}"/>
    <cellStyle name="Normal 22" xfId="1316" xr:uid="{C57BEACF-ACE2-4745-AC63-5859C3EEBF78}"/>
    <cellStyle name="Normal 3" xfId="85" xr:uid="{00000000-0005-0000-0000-000055000000}"/>
    <cellStyle name="Normal 3 2" xfId="292" xr:uid="{BD9C70C8-7408-4BAE-82D6-FF2D362404FB}"/>
    <cellStyle name="Normal 3 2 2" xfId="514" xr:uid="{5C80B3D6-E1E2-490D-9B1C-FDE20DAEEF05}"/>
    <cellStyle name="Normal 3 2 2 2" xfId="898" xr:uid="{045EFC07-F97D-48C9-9BB5-D5728F5D9682}"/>
    <cellStyle name="Normal 3 2 3" xfId="753" xr:uid="{33BCDD53-5F8B-4081-AEFF-F6444BFE917F}"/>
    <cellStyle name="Normal 3 3" xfId="458" xr:uid="{0C3BA75F-6D66-4414-B296-79DBC035749B}"/>
    <cellStyle name="Normal 3 3 2" xfId="793" xr:uid="{77F81603-4868-4426-8BE9-BA513D21D410}"/>
    <cellStyle name="Normal 3 4" xfId="687" xr:uid="{26E66EDC-A740-4EC4-84F4-8E720EBA69F1}"/>
    <cellStyle name="Normal 3 5" xfId="198" xr:uid="{7730A9BD-8FE5-4322-8C64-1DA09BF28A32}"/>
    <cellStyle name="Normal 4" xfId="86" xr:uid="{00000000-0005-0000-0000-000056000000}"/>
    <cellStyle name="Normal 4 10" xfId="515" xr:uid="{9B8A8BBC-F2BC-450A-8D83-4F15C31C58D3}"/>
    <cellStyle name="Normal 4 10 2" xfId="962" xr:uid="{EBF53B55-8B35-40B0-85EB-BBB1BD6B2C70}"/>
    <cellStyle name="Normal 4 10 3" xfId="1066" xr:uid="{9B6A4B7B-9917-4BA7-8D6B-41A3949B4B22}"/>
    <cellStyle name="Normal 4 10 4" xfId="1206" xr:uid="{9C9782B8-5265-4786-B90F-0BF8896FC576}"/>
    <cellStyle name="Normal 4 10 5" xfId="1280" xr:uid="{C0AC25A3-2399-4418-9787-71058AF79AB8}"/>
    <cellStyle name="Normal 4 11" xfId="516" xr:uid="{0239B713-DACC-43F2-85C0-74157462E4C9}"/>
    <cellStyle name="Normal 4 11 2" xfId="998" xr:uid="{E515A865-0FD8-4073-8E40-01795E88C0B8}"/>
    <cellStyle name="Normal 4 11 3" xfId="1018" xr:uid="{4C426720-FEAA-43DB-A3DA-028D93195785}"/>
    <cellStyle name="Normal 4 11 4" xfId="1281" xr:uid="{248F6BA7-2244-4399-B876-C2E84E267F78}"/>
    <cellStyle name="Normal 4 12" xfId="786" xr:uid="{F5B8903D-588F-465F-8386-AE2229066A22}"/>
    <cellStyle name="Normal 4 12 2" xfId="1290" xr:uid="{C853C9BA-45A9-452F-814E-FE2893EE48B5}"/>
    <cellStyle name="Normal 4 13" xfId="1023" xr:uid="{BAFECC77-6C62-4A7C-995C-D215A761F2BB}"/>
    <cellStyle name="Normal 4 14" xfId="199" xr:uid="{993686AE-BF68-4256-B7F9-BC3594E175F3}"/>
    <cellStyle name="Normal 4 2" xfId="285" xr:uid="{EB1A44E7-3C07-4C01-8A25-30861CD4D1F5}"/>
    <cellStyle name="Normal 4 2 10" xfId="1021" xr:uid="{9CC49123-4FC4-4185-A9BD-1FEBE4221CA0}"/>
    <cellStyle name="Normal 4 2 2" xfId="365" xr:uid="{DC4F3FEC-6888-42A0-8224-48FCB301E62F}"/>
    <cellStyle name="Normal 4 2 2 2" xfId="517" xr:uid="{D1FDBA72-E334-472A-A855-606CFDA5C3F6}"/>
    <cellStyle name="Normal 4 2 2 2 2" xfId="518" xr:uid="{F88ABDEA-CD93-40C6-882F-19AD0BD30FB3}"/>
    <cellStyle name="Normal 4 2 2 2 2 2" xfId="519" xr:uid="{9F2CC07F-3E20-4E2E-90A1-106A2BDA7EA4}"/>
    <cellStyle name="Normal 4 2 2 2 2 2 2" xfId="984" xr:uid="{98559AA9-B060-4614-A5AA-D412ACD8E9D8}"/>
    <cellStyle name="Normal 4 2 2 2 2 2 3" xfId="1087" xr:uid="{C52D0E86-9BA4-49A1-A0B6-D9F27DB4B8B9}"/>
    <cellStyle name="Normal 4 2 2 2 2 2 4" xfId="1192" xr:uid="{BA5DB7D7-C245-4E93-A171-790A4DCFC3CF}"/>
    <cellStyle name="Normal 4 2 2 2 2 2 5" xfId="1266" xr:uid="{D0DA5BDC-9344-4CBD-8A4E-F947C1827952}"/>
    <cellStyle name="Normal 4 2 2 2 2 3" xfId="938" xr:uid="{79858477-3C94-4D49-BF7D-A72A9B9734F0}"/>
    <cellStyle name="Normal 4 2 2 2 2 3 2" xfId="1126" xr:uid="{CF59CC31-E232-4759-9FDF-BFA923F78526}"/>
    <cellStyle name="Normal 4 2 2 2 2 4" xfId="1052" xr:uid="{464D7149-F569-42DF-9C95-78A56D90A9C2}"/>
    <cellStyle name="Normal 4 2 2 2 2 5" xfId="1168" xr:uid="{485E8A48-551E-4D84-89E6-00A2C2B9E898}"/>
    <cellStyle name="Normal 4 2 2 2 2 6" xfId="1242" xr:uid="{A2F1A6DD-46F2-426E-93F9-639728B5D8F7}"/>
    <cellStyle name="Normal 4 2 2 2 3" xfId="520" xr:uid="{AD140CEF-46C9-40C2-A9FA-C715AE535E07}"/>
    <cellStyle name="Normal 4 2 2 2 3 2" xfId="521" xr:uid="{EF51CA5C-2C27-4E76-91EF-875686C0C781}"/>
    <cellStyle name="Normal 4 2 2 2 3 2 2" xfId="989" xr:uid="{A56A3F70-8755-44B4-8394-0947FDD5035A}"/>
    <cellStyle name="Normal 4 2 2 2 3 2 3" xfId="1092" xr:uid="{A964E448-E885-49DF-8385-9049CD183D8A}"/>
    <cellStyle name="Normal 4 2 2 2 3 2 4" xfId="1197" xr:uid="{05617232-3813-4D80-82DF-FC8B684F78C7}"/>
    <cellStyle name="Normal 4 2 2 2 3 2 5" xfId="1271" xr:uid="{89F4E91F-9CE1-4A00-99BE-87085DEF4D99}"/>
    <cellStyle name="Normal 4 2 2 2 3 3" xfId="943" xr:uid="{B5819F45-FA7B-4589-BA0B-D3E23598DB2B}"/>
    <cellStyle name="Normal 4 2 2 2 3 3 2" xfId="1131" xr:uid="{E4436928-A7B2-4C50-92EE-809E00F59753}"/>
    <cellStyle name="Normal 4 2 2 2 3 4" xfId="1057" xr:uid="{91191031-76D0-4631-A935-921191B0A2FC}"/>
    <cellStyle name="Normal 4 2 2 2 3 5" xfId="1149" xr:uid="{18CDBB5D-E442-4C47-95C2-7FF2BCBA7A10}"/>
    <cellStyle name="Normal 4 2 2 2 3 6" xfId="1223" xr:uid="{23358477-A878-4DF4-859A-B0B29D1D81D9}"/>
    <cellStyle name="Normal 4 2 2 2 4" xfId="522" xr:uid="{DDDAB97E-6142-46A9-93F3-379171A72712}"/>
    <cellStyle name="Normal 4 2 2 2 4 2" xfId="965" xr:uid="{6E441D95-1E71-40BC-975D-6BF2C0246667}"/>
    <cellStyle name="Normal 4 2 2 2 4 3" xfId="1069" xr:uid="{5E443DCA-C7AA-4D44-A2EC-618E6C4FDFD8}"/>
    <cellStyle name="Normal 4 2 2 2 4 4" xfId="1173" xr:uid="{3C6E2437-4C79-4AAB-BE04-2F46AB050932}"/>
    <cellStyle name="Normal 4 2 2 2 4 5" xfId="1247" xr:uid="{68D6173E-BA8E-46EE-BB65-165274E04F57}"/>
    <cellStyle name="Normal 4 2 2 2 5" xfId="820" xr:uid="{465B4E35-9704-4FAA-81F5-A60787C58DF5}"/>
    <cellStyle name="Normal 4 2 2 2 5 2" xfId="1109" xr:uid="{8784BD8B-C164-4C6C-8395-44504BDC8C76}"/>
    <cellStyle name="Normal 4 2 2 2 6" xfId="1033" xr:uid="{C965F58B-B07A-474A-A36F-5CE9FAC07B83}"/>
    <cellStyle name="Normal 4 2 2 2 7" xfId="1144" xr:uid="{E48768C8-36D5-4257-92A4-B5733ED29DC0}"/>
    <cellStyle name="Normal 4 2 2 2 8" xfId="1218" xr:uid="{9774CE61-D572-430A-9000-2BAF05C62AEC}"/>
    <cellStyle name="Normal 4 2 2 3" xfId="523" xr:uid="{08C2B68D-22A5-48C8-915C-D4BA739F608E}"/>
    <cellStyle name="Normal 4 2 2 3 2" xfId="524" xr:uid="{1B74779E-8F0A-41EF-B536-043BDCE19333}"/>
    <cellStyle name="Normal 4 2 2 3 2 2" xfId="978" xr:uid="{92B26EF9-BF44-4A46-B495-642FDFEE9B88}"/>
    <cellStyle name="Normal 4 2 2 3 2 3" xfId="1081" xr:uid="{2B62F82F-864D-4C4A-A339-24E055FB1D77}"/>
    <cellStyle name="Normal 4 2 2 3 2 4" xfId="1186" xr:uid="{71B6B4F0-32D6-4A7E-B56B-0E6455E3348C}"/>
    <cellStyle name="Normal 4 2 2 3 2 5" xfId="1260" xr:uid="{6460F14B-86FD-438B-94BC-1EAA616D6DCD}"/>
    <cellStyle name="Normal 4 2 2 3 3" xfId="928" xr:uid="{61E69D28-A9B6-49E6-A7BE-B54A1EFEE09A}"/>
    <cellStyle name="Normal 4 2 2 3 3 2" xfId="1120" xr:uid="{7DC4D2B8-AE5B-4EDE-8EFD-3E2869FC2A3B}"/>
    <cellStyle name="Normal 4 2 2 3 4" xfId="1046" xr:uid="{2B94E265-2C64-4FAA-8A5A-C9AE38DDAAD3}"/>
    <cellStyle name="Normal 4 2 2 3 5" xfId="1162" xr:uid="{68342F27-B185-4C7D-B07B-4F62678D716C}"/>
    <cellStyle name="Normal 4 2 2 3 6" xfId="1236" xr:uid="{04A122B2-2837-45EF-8164-7F082E4EC6AE}"/>
    <cellStyle name="Normal 4 2 2 4" xfId="525" xr:uid="{51784E17-FD15-450A-A2C6-A2763D9BD328}"/>
    <cellStyle name="Normal 4 2 2 4 2" xfId="526" xr:uid="{7228295D-BB11-4107-902E-60810D808962}"/>
    <cellStyle name="Normal 4 2 2 4 2 2" xfId="988" xr:uid="{CA77F802-347C-41D9-90C6-0EF4C530DE98}"/>
    <cellStyle name="Normal 4 2 2 4 2 3" xfId="1091" xr:uid="{463CF1F4-2D23-444F-9EB7-C4D173640282}"/>
    <cellStyle name="Normal 4 2 2 4 2 4" xfId="1196" xr:uid="{1EFACDCB-1DE0-4583-945D-64D0658A7F66}"/>
    <cellStyle name="Normal 4 2 2 4 2 5" xfId="1270" xr:uid="{954FD522-E310-4737-A89D-57FDB132669F}"/>
    <cellStyle name="Normal 4 2 2 4 3" xfId="942" xr:uid="{DE8AA4C3-6F12-421C-BD6B-379A2D248750}"/>
    <cellStyle name="Normal 4 2 2 4 3 2" xfId="1130" xr:uid="{08BB8EA2-D3B1-41D2-ABB8-68240A2DA915}"/>
    <cellStyle name="Normal 4 2 2 4 4" xfId="1056" xr:uid="{1FC500D9-FE69-4E0A-8D93-DF2375A24A56}"/>
    <cellStyle name="Normal 4 2 2 4 5" xfId="1148" xr:uid="{67F14E62-B9C0-4F54-A913-8A68D8EA6C60}"/>
    <cellStyle name="Normal 4 2 2 4 6" xfId="1222" xr:uid="{AB20893E-43BF-446C-8C78-ADB5D3D6D5FD}"/>
    <cellStyle name="Normal 4 2 2 5" xfId="527" xr:uid="{AAE4050D-2DED-4FEA-A422-A84089CD59F6}"/>
    <cellStyle name="Normal 4 2 2 5 2" xfId="819" xr:uid="{F6237D4D-2841-4D2B-980C-894547E5C158}"/>
    <cellStyle name="Normal 4 2 2 5 3" xfId="1032" xr:uid="{677EB789-2E74-41DA-A3BA-63FA741AF7AB}"/>
    <cellStyle name="Normal 4 2 2 5 4" xfId="1026" xr:uid="{7DC9B77A-C7E3-48CC-84ED-EBA9B0F9ABE5}"/>
    <cellStyle name="Normal 4 2 2 5 5" xfId="1106" xr:uid="{D1E070EB-D719-4D68-8CD3-420FAB7B25DE}"/>
    <cellStyle name="Normal 4 2 2 5 6" xfId="1172" xr:uid="{84EA7A19-B186-474D-AF0A-5AD754F17387}"/>
    <cellStyle name="Normal 4 2 2 5 7" xfId="1246" xr:uid="{67B427FB-7D18-4F5A-9FD9-C114F222B334}"/>
    <cellStyle name="Normal 4 2 2 6" xfId="528" xr:uid="{FF14E599-719D-4D85-BAA4-15F99216961B}"/>
    <cellStyle name="Normal 4 2 2 6 2" xfId="964" xr:uid="{083C0112-C6A3-4558-A111-61510734F475}"/>
    <cellStyle name="Normal 4 2 2 6 3" xfId="1068" xr:uid="{4E5C3EE4-D6B5-4D5A-A899-2F53F9C9C6E3}"/>
    <cellStyle name="Normal 4 2 2 6 4" xfId="1207" xr:uid="{261AEEE6-1191-4FE6-800D-1F0F81BDFC73}"/>
    <cellStyle name="Normal 4 2 2 6 5" xfId="1282" xr:uid="{C42A2362-F412-4CC1-9EBD-796121F8DA20}"/>
    <cellStyle name="Normal 4 2 2 7" xfId="529" xr:uid="{43393986-E7D0-45ED-BE81-E825A745385F}"/>
    <cellStyle name="Normal 4 2 2 7 2" xfId="1002" xr:uid="{ED7E0583-DA00-451C-935C-EB782F638F03}"/>
    <cellStyle name="Normal 4 2 2 7 3" xfId="1022" xr:uid="{87C94405-C950-48DD-9705-BBF1F2707B42}"/>
    <cellStyle name="Normal 4 2 2 7 4" xfId="1283" xr:uid="{689B3310-DED9-41B1-8FDE-36BE3F5F22AF}"/>
    <cellStyle name="Normal 4 2 2 8" xfId="816" xr:uid="{F670B5FA-A2CD-4D4E-B034-CFDE6ABD8593}"/>
    <cellStyle name="Normal 4 2 2 8 2" xfId="1294" xr:uid="{FF1049F9-3860-486C-9EFC-802F24E57C8C}"/>
    <cellStyle name="Normal 4 2 2 9" xfId="1103" xr:uid="{237C66F1-C1ED-45CD-97DF-7C3F8970E36E}"/>
    <cellStyle name="Normal 4 2 3" xfId="530" xr:uid="{55A288A0-8E6D-495F-8303-D3ABEF9BCC10}"/>
    <cellStyle name="Normal 4 2 3 2" xfId="531" xr:uid="{599DFA44-8F75-44EA-90E7-DD5F002878B7}"/>
    <cellStyle name="Normal 4 2 3 2 2" xfId="532" xr:uid="{3BDBF925-5817-4536-AA97-5DDC05FEBAB4}"/>
    <cellStyle name="Normal 4 2 3 2 2 2" xfId="982" xr:uid="{00932C81-9616-4FEC-BEFF-E12B36BC326E}"/>
    <cellStyle name="Normal 4 2 3 2 2 3" xfId="1085" xr:uid="{4149DD51-0549-4C86-8F03-FD7DCF651B51}"/>
    <cellStyle name="Normal 4 2 3 2 2 4" xfId="1190" xr:uid="{302C9409-8C39-46FD-9674-180DC008DE4A}"/>
    <cellStyle name="Normal 4 2 3 2 2 5" xfId="1264" xr:uid="{F257FB3B-A6C3-4EEF-A231-32DBE07BC799}"/>
    <cellStyle name="Normal 4 2 3 2 3" xfId="936" xr:uid="{9C9869D5-4951-42BD-9D64-0593FA35EE90}"/>
    <cellStyle name="Normal 4 2 3 2 3 2" xfId="1124" xr:uid="{9D3539D3-C578-4FA2-90A6-B52297A6CD18}"/>
    <cellStyle name="Normal 4 2 3 2 4" xfId="1050" xr:uid="{563CD74C-9876-467C-8D7A-F4A7E75665BE}"/>
    <cellStyle name="Normal 4 2 3 2 5" xfId="1166" xr:uid="{D628D18A-04C7-45B8-B93A-4AC373C4C7B2}"/>
    <cellStyle name="Normal 4 2 3 2 6" xfId="1240" xr:uid="{6204EA2F-8F93-4F67-8532-2AD55D41FFC7}"/>
    <cellStyle name="Normal 4 2 3 3" xfId="533" xr:uid="{8C831488-D065-40DB-A338-D2CF10917A6A}"/>
    <cellStyle name="Normal 4 2 3 3 2" xfId="534" xr:uid="{44895C9E-60DC-46B0-9DBA-E526510887C1}"/>
    <cellStyle name="Normal 4 2 3 3 2 2" xfId="990" xr:uid="{4E13D07C-1B89-4F6B-9703-56160C8F6BDF}"/>
    <cellStyle name="Normal 4 2 3 3 2 3" xfId="1093" xr:uid="{B9AD7140-279E-4A80-9FEB-F1D37D605398}"/>
    <cellStyle name="Normal 4 2 3 3 2 4" xfId="1198" xr:uid="{55A142DB-FF09-4D13-B595-39CB0CCDAA17}"/>
    <cellStyle name="Normal 4 2 3 3 2 5" xfId="1272" xr:uid="{7C161E4C-DAB8-4F1B-8942-C4724EE460EB}"/>
    <cellStyle name="Normal 4 2 3 3 3" xfId="944" xr:uid="{DA50DC5C-0EB1-4658-973C-23D863566B8B}"/>
    <cellStyle name="Normal 4 2 3 3 3 2" xfId="1132" xr:uid="{F7C49C81-3422-44F5-A8A0-02B8BC647B1D}"/>
    <cellStyle name="Normal 4 2 3 3 4" xfId="1058" xr:uid="{F378D11E-25B0-4E29-8247-40A4EF386F48}"/>
    <cellStyle name="Normal 4 2 3 3 5" xfId="1150" xr:uid="{D4B352AC-BC6A-4A21-8A2E-B7A7683489BD}"/>
    <cellStyle name="Normal 4 2 3 3 6" xfId="1224" xr:uid="{FC6FC9D4-605B-479C-A9D3-914238AB9E80}"/>
    <cellStyle name="Normal 4 2 3 4" xfId="535" xr:uid="{5E2B9BEA-2D52-4944-806B-E6B0DEC44134}"/>
    <cellStyle name="Normal 4 2 3 4 2" xfId="966" xr:uid="{DA7AD0EB-B5F4-4937-BA87-D6BDE2FB0CAF}"/>
    <cellStyle name="Normal 4 2 3 4 3" xfId="1034" xr:uid="{49D17833-10A3-4A89-8C1D-71F835C7DFCB}"/>
    <cellStyle name="Normal 4 2 3 4 4" xfId="1174" xr:uid="{1A5DDCEF-1D91-451E-99B0-1BFDD9220F92}"/>
    <cellStyle name="Normal 4 2 3 4 5" xfId="1248" xr:uid="{43281406-444B-41EA-A3BD-E277D0D713FC}"/>
    <cellStyle name="Normal 4 2 3 5" xfId="821" xr:uid="{9DBEA925-F97B-4C0F-B6F1-6060B2BF100C}"/>
    <cellStyle name="Normal 4 2 3 5 2" xfId="1110" xr:uid="{DEE87F07-B81D-4C9A-8232-312265917270}"/>
    <cellStyle name="Normal 4 2 3 5 3" xfId="1211" xr:uid="{650B5257-E0B4-4E0B-8E20-ABC12846DF33}"/>
    <cellStyle name="Normal 4 2 3 5 4" xfId="1295" xr:uid="{50C0A384-123D-4652-8BE4-F7FD38B575EE}"/>
    <cellStyle name="Normal 4 2 3 6" xfId="1102" xr:uid="{3EC2E4D1-A47F-4214-A3C7-66D1AD47BC9A}"/>
    <cellStyle name="Normal 4 2 3 6 2" xfId="1296" xr:uid="{C8B68FE5-25E0-4680-8DE2-109FF9E99FD0}"/>
    <cellStyle name="Normal 4 2 3 7" xfId="1029" xr:uid="{C1F1923A-0A57-4BA6-89FA-4B101984AB47}"/>
    <cellStyle name="Normal 4 2 3 8" xfId="1216" xr:uid="{930341AF-1F5D-4250-97DB-5F1ED005DED1}"/>
    <cellStyle name="Normal 4 2 4" xfId="536" xr:uid="{916B496C-9EE9-4675-A182-8FD12B0DB8DC}"/>
    <cellStyle name="Normal 4 2 4 2" xfId="537" xr:uid="{40D31ED3-54D6-4585-A894-30B4D973143E}"/>
    <cellStyle name="Normal 4 2 4 2 2" xfId="976" xr:uid="{8E2CE217-2F1E-4576-8A1B-9874C4671EC7}"/>
    <cellStyle name="Normal 4 2 4 2 3" xfId="1079" xr:uid="{818BD30B-DE5A-49ED-81E0-18CC33467050}"/>
    <cellStyle name="Normal 4 2 4 2 4" xfId="1184" xr:uid="{213F48B3-B977-4237-B9E2-7DA96D53715B}"/>
    <cellStyle name="Normal 4 2 4 2 5" xfId="1258" xr:uid="{0EDFA615-80A7-4D5D-B9F9-3EA8AEFFE04E}"/>
    <cellStyle name="Normal 4 2 4 3" xfId="891" xr:uid="{233BB522-CDC2-4913-80F6-4EBFA4C10C13}"/>
    <cellStyle name="Normal 4 2 4 3 2" xfId="1118" xr:uid="{F20387BD-DDD8-4DD8-9208-9B661641FAF6}"/>
    <cellStyle name="Normal 4 2 4 4" xfId="1044" xr:uid="{2282C04B-A3C7-4246-91F3-7EB181375E93}"/>
    <cellStyle name="Normal 4 2 4 5" xfId="1160" xr:uid="{D78C2CAC-CC14-4CCC-9456-284ED99D4CE5}"/>
    <cellStyle name="Normal 4 2 4 6" xfId="1234" xr:uid="{8CE1A9CB-347C-4294-8226-729439B5C323}"/>
    <cellStyle name="Normal 4 2 5" xfId="538" xr:uid="{B83037AA-6085-4825-99E3-BC4A540A6C87}"/>
    <cellStyle name="Normal 4 2 5 2" xfId="539" xr:uid="{989C00C2-A00C-40CC-AA1B-E68C9F090AA3}"/>
    <cellStyle name="Normal 4 2 5 2 2" xfId="987" xr:uid="{20BC9A8E-2ECC-49D5-908A-5D538239034C}"/>
    <cellStyle name="Normal 4 2 5 2 3" xfId="1090" xr:uid="{F431B67E-AE34-4D2D-B949-CF1767D9D09A}"/>
    <cellStyle name="Normal 4 2 5 2 4" xfId="1195" xr:uid="{07868730-E3D4-4B2C-AE14-F4C8B6B055F7}"/>
    <cellStyle name="Normal 4 2 5 2 5" xfId="1269" xr:uid="{368480D9-A306-4BD4-9688-D8D01973E80D}"/>
    <cellStyle name="Normal 4 2 5 3" xfId="941" xr:uid="{5F721D2B-8C0A-446C-BA70-C6878CC58AD9}"/>
    <cellStyle name="Normal 4 2 5 3 2" xfId="1129" xr:uid="{A8ABED9A-324C-4E97-AAE0-7B402C1D661A}"/>
    <cellStyle name="Normal 4 2 5 4" xfId="1055" xr:uid="{BC1CD5A7-61C1-492D-A3DD-7FE42372C95F}"/>
    <cellStyle name="Normal 4 2 5 5" xfId="1147" xr:uid="{FC41E647-FAC4-4331-91C8-7F780A4375C6}"/>
    <cellStyle name="Normal 4 2 5 6" xfId="1221" xr:uid="{06D55E1D-62B4-488C-BA46-425D313B79C7}"/>
    <cellStyle name="Normal 4 2 6" xfId="540" xr:uid="{D6025C8F-09A8-4D12-A32B-12EE39EEFA99}"/>
    <cellStyle name="Normal 4 2 6 2" xfId="818" xr:uid="{7A8BCB00-7681-487E-98DD-B1643D5B4D88}"/>
    <cellStyle name="Normal 4 2 6 3" xfId="1031" xr:uid="{CB1ED3D7-B6DE-470B-A3A5-9D5DD14328C6}"/>
    <cellStyle name="Normal 4 2 6 4" xfId="1025" xr:uid="{4780C571-7704-4406-814A-EDB1120364CB}"/>
    <cellStyle name="Normal 4 2 6 5" xfId="1105" xr:uid="{2C897A52-BDF3-4E2E-BEEA-EF981D673DC9}"/>
    <cellStyle name="Normal 4 2 6 6" xfId="1171" xr:uid="{FC570905-B0FE-4B81-96B9-F20A7FCBADC8}"/>
    <cellStyle name="Normal 4 2 6 7" xfId="1245" xr:uid="{5AFB322D-C74D-4BF7-81B9-7A3516C07AAE}"/>
    <cellStyle name="Normal 4 2 7" xfId="541" xr:uid="{17C61063-4B39-489B-B82D-26877F148344}"/>
    <cellStyle name="Normal 4 2 7 2" xfId="963" xr:uid="{80220A6C-6FEF-45EF-A0AF-5DBDDF5A7F24}"/>
    <cellStyle name="Normal 4 2 7 3" xfId="1067" xr:uid="{B5F57166-BE35-4DE7-98C8-B7F07E07E0F1}"/>
    <cellStyle name="Normal 4 2 7 4" xfId="1208" xr:uid="{BC1007C5-494A-436D-8BAF-407EBF070553}"/>
    <cellStyle name="Normal 4 2 7 5" xfId="1284" xr:uid="{D14D97E7-3F41-467F-8AF9-FDC75E11546D}"/>
    <cellStyle name="Normal 4 2 8" xfId="542" xr:uid="{E271517F-F3B8-414E-B9C8-2C46689CFE84}"/>
    <cellStyle name="Normal 4 2 8 2" xfId="1000" xr:uid="{5592AB29-6942-4E73-9398-BFF79EAED3F3}"/>
    <cellStyle name="Normal 4 2 8 3" xfId="1020" xr:uid="{2F8DA419-9EDB-42BC-AB90-FD689E2086B1}"/>
    <cellStyle name="Normal 4 2 8 4" xfId="1285" xr:uid="{6C223428-00B6-435E-96D3-FD312DD5DAE6}"/>
    <cellStyle name="Normal 4 2 9" xfId="814" xr:uid="{917E9A39-4B2D-41ED-BD4E-8113FC5F5A6A}"/>
    <cellStyle name="Normal 4 2 9 2" xfId="1292" xr:uid="{CFCCB22A-CE65-4A9C-9F50-CFAA3A165432}"/>
    <cellStyle name="Normal 4 3" xfId="364" xr:uid="{7F03A1E4-5848-4DF6-A11F-A3CF9F5F51BA}"/>
    <cellStyle name="Normal 4 3 2" xfId="543" xr:uid="{F8AFB1FD-E3A1-4B18-8469-814FA2ADE0C4}"/>
    <cellStyle name="Normal 4 3 2 2" xfId="544" xr:uid="{7BACF5B0-F15B-41E6-8F24-AFE5C7B9A601}"/>
    <cellStyle name="Normal 4 3 2 2 2" xfId="545" xr:uid="{D3DADD1A-577D-429D-9C6D-B5E2009E44FC}"/>
    <cellStyle name="Normal 4 3 2 2 2 2" xfId="983" xr:uid="{ED53A2A5-DBED-4FEB-A846-9C06E6804B0C}"/>
    <cellStyle name="Normal 4 3 2 2 2 3" xfId="1086" xr:uid="{959BF18D-A3B9-4B2B-A8DB-BCF391E4133E}"/>
    <cellStyle name="Normal 4 3 2 2 2 4" xfId="1191" xr:uid="{C804E47B-BCCA-49D3-971A-7D30AA5336CB}"/>
    <cellStyle name="Normal 4 3 2 2 2 5" xfId="1265" xr:uid="{694183CD-A750-4C95-AA25-B93C30E5898C}"/>
    <cellStyle name="Normal 4 3 2 2 3" xfId="937" xr:uid="{3BEA92A6-37B7-4211-87E9-575A719ED198}"/>
    <cellStyle name="Normal 4 3 2 2 3 2" xfId="1125" xr:uid="{90F46215-3747-448E-AA6C-2ADE00980D66}"/>
    <cellStyle name="Normal 4 3 2 2 4" xfId="1051" xr:uid="{8ED3D30C-385D-4EE5-AEF7-101A99503F61}"/>
    <cellStyle name="Normal 4 3 2 2 5" xfId="1167" xr:uid="{B2609246-6B29-4446-8B61-AB19E8F31AFC}"/>
    <cellStyle name="Normal 4 3 2 2 6" xfId="1241" xr:uid="{037DF4B5-34E1-4A94-B065-207D95AE2751}"/>
    <cellStyle name="Normal 4 3 2 3" xfId="546" xr:uid="{41E008E7-90B2-4534-AF53-47A8B8C1C754}"/>
    <cellStyle name="Normal 4 3 2 3 2" xfId="547" xr:uid="{B590AC71-8908-43BA-A7BF-3A666D042E83}"/>
    <cellStyle name="Normal 4 3 2 3 2 2" xfId="992" xr:uid="{C668A64F-F565-4349-90B0-2D8598099701}"/>
    <cellStyle name="Normal 4 3 2 3 2 3" xfId="1095" xr:uid="{6E1791F6-84A8-4029-952B-F0B3896321C0}"/>
    <cellStyle name="Normal 4 3 2 3 2 4" xfId="1200" xr:uid="{E286FB32-42B1-48CE-B932-D7B6E717DF92}"/>
    <cellStyle name="Normal 4 3 2 3 2 5" xfId="1274" xr:uid="{9775C9A0-BA8E-4DEF-814F-84D22A171D21}"/>
    <cellStyle name="Normal 4 3 2 3 3" xfId="946" xr:uid="{77820BD4-F4FC-46B2-B801-26246A1109E4}"/>
    <cellStyle name="Normal 4 3 2 3 3 2" xfId="1134" xr:uid="{3F342B06-446C-402A-B226-B652CE529A34}"/>
    <cellStyle name="Normal 4 3 2 3 4" xfId="1060" xr:uid="{FDBD0019-A373-4E6E-9F4D-F56ED056AFF7}"/>
    <cellStyle name="Normal 4 3 2 3 5" xfId="1152" xr:uid="{4785B1F7-A455-49CD-9B48-C02C6189FC58}"/>
    <cellStyle name="Normal 4 3 2 3 6" xfId="1226" xr:uid="{A151A623-10C4-484F-8900-CB67CD220440}"/>
    <cellStyle name="Normal 4 3 2 4" xfId="548" xr:uid="{3935F0CD-5C4C-41AF-A669-9D82566CE6AD}"/>
    <cellStyle name="Normal 4 3 2 4 2" xfId="968" xr:uid="{3349DEEA-52F4-405A-9894-1CFBFE98D6F0}"/>
    <cellStyle name="Normal 4 3 2 4 3" xfId="1071" xr:uid="{90050E11-4A1C-4F84-9C96-536572F62C2B}"/>
    <cellStyle name="Normal 4 3 2 4 4" xfId="1176" xr:uid="{90275E76-9617-4934-8646-A2FA150280C8}"/>
    <cellStyle name="Normal 4 3 2 4 5" xfId="1250" xr:uid="{808BB98E-9397-46D7-A921-F6635A8EDBBE}"/>
    <cellStyle name="Normal 4 3 2 5" xfId="823" xr:uid="{24E31382-6B77-4D39-BE26-1F53EC14D156}"/>
    <cellStyle name="Normal 4 3 2 5 2" xfId="1111" xr:uid="{A1B7E49B-F409-45AB-9B3F-FBB325E5B807}"/>
    <cellStyle name="Normal 4 3 2 6" xfId="1036" xr:uid="{260873F7-6694-4C7C-82F4-2E40E858D2FA}"/>
    <cellStyle name="Normal 4 3 2 7" xfId="1143" xr:uid="{952FFBCB-6A38-4E58-9307-BE0D4FC70A60}"/>
    <cellStyle name="Normal 4 3 2 8" xfId="1217" xr:uid="{C4FE0EBF-1FD0-4560-8CCE-DB935F8C1931}"/>
    <cellStyle name="Normal 4 3 3" xfId="549" xr:uid="{C5855DAE-8013-4E51-948A-C535C03EC0BF}"/>
    <cellStyle name="Normal 4 3 3 2" xfId="550" xr:uid="{7E34B595-E71A-4836-A354-574E9A1775E0}"/>
    <cellStyle name="Normal 4 3 3 2 2" xfId="977" xr:uid="{056721C3-DDD0-4A72-8F17-2011088708CF}"/>
    <cellStyle name="Normal 4 3 3 2 3" xfId="1080" xr:uid="{AB53582E-2AD7-43A6-932B-5E76830B5254}"/>
    <cellStyle name="Normal 4 3 3 2 4" xfId="1185" xr:uid="{4FDBD7A0-099A-4613-AD34-AF228A98BD61}"/>
    <cellStyle name="Normal 4 3 3 2 5" xfId="1259" xr:uid="{CF228894-84CF-4E40-9650-75D3F8E196A8}"/>
    <cellStyle name="Normal 4 3 3 3" xfId="927" xr:uid="{AE5C0D9F-5A1D-42AF-B5C2-C85BEA8F8946}"/>
    <cellStyle name="Normal 4 3 3 3 2" xfId="1119" xr:uid="{597611FB-504C-40CF-BF8F-320E2E502AFD}"/>
    <cellStyle name="Normal 4 3 3 4" xfId="1045" xr:uid="{779C0CE4-614A-46CC-A03F-EA2BC0A62690}"/>
    <cellStyle name="Normal 4 3 3 5" xfId="1161" xr:uid="{E358F693-AC82-4A61-A770-9C4EBFFE4BCF}"/>
    <cellStyle name="Normal 4 3 3 6" xfId="1235" xr:uid="{D2CEB4D1-9015-4521-BA26-4829F795DE19}"/>
    <cellStyle name="Normal 4 3 4" xfId="551" xr:uid="{2F16743D-A9BE-4B94-9EC3-B8C096F3A7B5}"/>
    <cellStyle name="Normal 4 3 4 2" xfId="552" xr:uid="{1C701F8C-6AFB-41B0-9098-870EF91A6394}"/>
    <cellStyle name="Normal 4 3 4 2 2" xfId="991" xr:uid="{E6D3FB33-BBE9-423C-8F22-187B2B912D14}"/>
    <cellStyle name="Normal 4 3 4 2 3" xfId="1094" xr:uid="{F2BC1060-2C7A-447D-AB3A-73B381A9B65B}"/>
    <cellStyle name="Normal 4 3 4 2 4" xfId="1199" xr:uid="{94CB15F4-30AD-4708-90AE-6370E171D87D}"/>
    <cellStyle name="Normal 4 3 4 2 5" xfId="1273" xr:uid="{13A51AB2-E755-4D93-8D1D-D04F0B040198}"/>
    <cellStyle name="Normal 4 3 4 3" xfId="945" xr:uid="{7106A95B-1ADF-4BDE-80EA-912CE1C024FB}"/>
    <cellStyle name="Normal 4 3 4 3 2" xfId="1133" xr:uid="{EB759198-593C-4376-8402-B8A62700F591}"/>
    <cellStyle name="Normal 4 3 4 4" xfId="1059" xr:uid="{7A2147F2-6A1A-4B38-AC6F-362E991972EB}"/>
    <cellStyle name="Normal 4 3 4 5" xfId="1151" xr:uid="{3D711E11-1148-426A-9054-343924080185}"/>
    <cellStyle name="Normal 4 3 4 6" xfId="1225" xr:uid="{93F29F44-17D4-429B-B5D2-700B6926237C}"/>
    <cellStyle name="Normal 4 3 5" xfId="553" xr:uid="{A8BF98BB-D1C9-4340-8C8C-D69491B91BC1}"/>
    <cellStyle name="Normal 4 3 5 2" xfId="822" xr:uid="{1791B1A7-2C63-4602-A770-3D3A8B2210B8}"/>
    <cellStyle name="Normal 4 3 5 3" xfId="1035" xr:uid="{8064F02F-42FE-4695-AA75-7FA5577AA614}"/>
    <cellStyle name="Normal 4 3 5 4" xfId="1027" xr:uid="{85B8FDED-8DAD-43B7-A695-3909CB22D057}"/>
    <cellStyle name="Normal 4 3 5 5" xfId="1107" xr:uid="{B684FBF8-3583-462E-BB84-388E9C883CEA}"/>
    <cellStyle name="Normal 4 3 5 6" xfId="1175" xr:uid="{2C208DFB-3B63-4E67-BDB3-486487C74F2C}"/>
    <cellStyle name="Normal 4 3 5 7" xfId="1249" xr:uid="{C390F9E1-5313-4129-9885-E43125F901E9}"/>
    <cellStyle name="Normal 4 3 6" xfId="554" xr:uid="{BB79F582-C7F8-4CBE-8603-F4FDD8D72E8D}"/>
    <cellStyle name="Normal 4 3 6 2" xfId="967" xr:uid="{6ADA07CF-0F37-4270-822B-5A971B6AD3DC}"/>
    <cellStyle name="Normal 4 3 6 3" xfId="1070" xr:uid="{312D186E-C697-497B-88FA-74B1A9884B68}"/>
    <cellStyle name="Normal 4 3 6 4" xfId="1209" xr:uid="{5BB1231E-1FE1-4021-991D-9E7A0B73A48B}"/>
    <cellStyle name="Normal 4 3 6 5" xfId="1286" xr:uid="{D44B4506-9000-4203-BCC3-3C15335EA18A}"/>
    <cellStyle name="Normal 4 3 7" xfId="555" xr:uid="{91BB6486-BDEC-4A39-9A37-234283F0B6DC}"/>
    <cellStyle name="Normal 4 3 7 2" xfId="1001" xr:uid="{C21F2E41-3C09-49D2-89DB-A81FFE1F42FB}"/>
    <cellStyle name="Normal 4 3 7 3" xfId="1017" xr:uid="{9EF92B27-920A-409D-A382-A3B7BDFDB675}"/>
    <cellStyle name="Normal 4 3 7 4" xfId="1287" xr:uid="{6BA367C1-97AE-48DF-996C-0590F69911F3}"/>
    <cellStyle name="Normal 4 3 8" xfId="815" xr:uid="{BFA8F2D5-46A8-4185-AC6F-4AF2D959D610}"/>
    <cellStyle name="Normal 4 3 8 2" xfId="1293" xr:uid="{EB5E1E56-5296-4B13-8CC1-A3DF7720BFA2}"/>
    <cellStyle name="Normal 4 3 9" xfId="1015" xr:uid="{DBF3A755-FEDE-4AFF-8447-23349E1E8996}"/>
    <cellStyle name="Normal 4 4" xfId="459" xr:uid="{B13F57C4-FA51-4155-AB64-02A78829F2AB}"/>
    <cellStyle name="Normal 4 4 2" xfId="556" xr:uid="{356433CF-2C7D-4F92-BAA6-F07FD0526D04}"/>
    <cellStyle name="Normal 4 4 2 2" xfId="557" xr:uid="{5258B9BC-2033-444C-ADF5-AA4BE7CB1EF0}"/>
    <cellStyle name="Normal 4 4 2 2 2" xfId="558" xr:uid="{EB853361-0C93-4791-B1BA-4CFABA60FB18}"/>
    <cellStyle name="Normal 4 4 2 2 2 2" xfId="981" xr:uid="{FA9DA185-FDCE-4D48-A3EC-3B754B5514F3}"/>
    <cellStyle name="Normal 4 4 2 2 2 3" xfId="1084" xr:uid="{C345BBEE-2E96-4073-9EEC-373DBB012430}"/>
    <cellStyle name="Normal 4 4 2 2 2 4" xfId="1189" xr:uid="{51FB4614-9D99-4FAA-8603-CEDAB850D8DB}"/>
    <cellStyle name="Normal 4 4 2 2 2 5" xfId="1263" xr:uid="{D814E060-3829-4F5F-8718-AF54F00A956A}"/>
    <cellStyle name="Normal 4 4 2 2 3" xfId="935" xr:uid="{7F4EBAF9-0F09-4FCD-8522-0427F961BA76}"/>
    <cellStyle name="Normal 4 4 2 2 3 2" xfId="1123" xr:uid="{DBFC881B-123E-4998-8B2F-124D5D4061FC}"/>
    <cellStyle name="Normal 4 4 2 2 4" xfId="1049" xr:uid="{886BF81E-D273-4B10-9B1E-40CDBECC792C}"/>
    <cellStyle name="Normal 4 4 2 2 5" xfId="1165" xr:uid="{A14789AA-C774-4C37-86CB-2E8DB692DC66}"/>
    <cellStyle name="Normal 4 4 2 2 6" xfId="1239" xr:uid="{0F82F027-D5B9-41AE-973D-D04FCE971ACE}"/>
    <cellStyle name="Normal 4 4 2 3" xfId="559" xr:uid="{049D7AF0-CA6F-4AA1-AEE1-C33E6D1ABB84}"/>
    <cellStyle name="Normal 4 4 2 3 2" xfId="560" xr:uid="{D6838D6F-5081-4A69-900D-758ACA17A495}"/>
    <cellStyle name="Normal 4 4 2 3 2 2" xfId="994" xr:uid="{D42374E0-1BA4-42B1-A0D4-8D3F2E6079B7}"/>
    <cellStyle name="Normal 4 4 2 3 2 3" xfId="1097" xr:uid="{4D9E08F3-039F-40E8-AA43-1549C093181C}"/>
    <cellStyle name="Normal 4 4 2 3 2 4" xfId="1202" xr:uid="{8C4895A5-B9FC-4770-8057-973E1603AF4E}"/>
    <cellStyle name="Normal 4 4 2 3 2 5" xfId="1276" xr:uid="{74F75160-5F63-4B3D-AE24-FEB086FF57AE}"/>
    <cellStyle name="Normal 4 4 2 3 3" xfId="948" xr:uid="{AAEC4062-AD3B-4706-849D-13ECEA1CC257}"/>
    <cellStyle name="Normal 4 4 2 3 3 2" xfId="1136" xr:uid="{D03B29B4-5886-4F03-AC5D-3E7173A85915}"/>
    <cellStyle name="Normal 4 4 2 3 4" xfId="1062" xr:uid="{3B828FA6-612F-4ECD-A9C8-D256612CD66E}"/>
    <cellStyle name="Normal 4 4 2 3 5" xfId="1154" xr:uid="{AB79B66A-F804-4679-9BF5-60AE571C366A}"/>
    <cellStyle name="Normal 4 4 2 3 6" xfId="1228" xr:uid="{7D0A14BB-081B-43E7-BCCA-CE7A38371BB0}"/>
    <cellStyle name="Normal 4 4 2 4" xfId="561" xr:uid="{7DE7E1C3-38F2-4584-9384-50BB1EEE701D}"/>
    <cellStyle name="Normal 4 4 2 4 2" xfId="970" xr:uid="{6C378CAF-125D-4A36-8187-BFC0CA1C4ED2}"/>
    <cellStyle name="Normal 4 4 2 4 3" xfId="1073" xr:uid="{63C34C9A-7B15-4503-9BD5-B05D9829012C}"/>
    <cellStyle name="Normal 4 4 2 4 4" xfId="1178" xr:uid="{C0C7E53F-C96F-48E3-81E7-9D2A7E659FF1}"/>
    <cellStyle name="Normal 4 4 2 4 5" xfId="1252" xr:uid="{253C51D0-2993-42C6-ADA4-53E17420E202}"/>
    <cellStyle name="Normal 4 4 2 5" xfId="825" xr:uid="{8D69AC27-696D-459B-996E-2B651A2FA2BC}"/>
    <cellStyle name="Normal 4 4 2 5 2" xfId="1112" xr:uid="{EF74DF40-0B54-4BA6-A857-992EE33CDD10}"/>
    <cellStyle name="Normal 4 4 2 6" xfId="1038" xr:uid="{18BE970D-6464-4239-8F32-A15E06A83897}"/>
    <cellStyle name="Normal 4 4 2 7" xfId="1142" xr:uid="{6BA416D1-4A63-4165-B0D9-C818A0F94635}"/>
    <cellStyle name="Normal 4 4 2 8" xfId="1215" xr:uid="{2C129EB4-7E51-41F9-92EE-A36F6F797705}"/>
    <cellStyle name="Normal 4 4 3" xfId="562" xr:uid="{D1924C9E-66F8-423F-8122-51776638B4DD}"/>
    <cellStyle name="Normal 4 4 3 2" xfId="563" xr:uid="{C27EA1EB-4BA5-4ACE-B2A7-1E302465935D}"/>
    <cellStyle name="Normal 4 4 3 2 2" xfId="975" xr:uid="{9EBE3F12-45AB-4078-A21B-E5FE9787A7AC}"/>
    <cellStyle name="Normal 4 4 3 2 3" xfId="1078" xr:uid="{35719471-D7FC-4013-926F-12F6935F45E5}"/>
    <cellStyle name="Normal 4 4 3 2 4" xfId="1183" xr:uid="{71C2EE8D-51C4-4828-A2F4-2D9F172BEC10}"/>
    <cellStyle name="Normal 4 4 3 2 5" xfId="1257" xr:uid="{AD129D53-4F09-4A8D-8AE2-8BD470C9EE10}"/>
    <cellStyle name="Normal 4 4 3 3" xfId="850" xr:uid="{13932B85-711C-411C-AFBE-20BF792605B5}"/>
    <cellStyle name="Normal 4 4 3 3 2" xfId="1117" xr:uid="{8222CC96-E168-4ABE-BF20-16526F0890AD}"/>
    <cellStyle name="Normal 4 4 3 4" xfId="1043" xr:uid="{8D5C01CD-0AC1-4B9E-87A1-536400491D83}"/>
    <cellStyle name="Normal 4 4 3 5" xfId="1159" xr:uid="{12121407-8F00-433F-83F2-36B0306205F8}"/>
    <cellStyle name="Normal 4 4 3 6" xfId="1233" xr:uid="{AA74291E-ABFC-44DC-82B4-915E4F47425E}"/>
    <cellStyle name="Normal 4 4 4" xfId="564" xr:uid="{F254CD63-253D-4699-9B6A-85251B0B409D}"/>
    <cellStyle name="Normal 4 4 4 2" xfId="565" xr:uid="{44039E51-F1AA-4601-871E-846759F45380}"/>
    <cellStyle name="Normal 4 4 4 2 2" xfId="993" xr:uid="{0F1C3E0B-FC98-42F3-977F-F2EF83AFB7D0}"/>
    <cellStyle name="Normal 4 4 4 2 3" xfId="1096" xr:uid="{6200D300-64D6-4D80-8AF7-AA07E38EFCEC}"/>
    <cellStyle name="Normal 4 4 4 2 4" xfId="1201" xr:uid="{BFDD3153-DB1D-43F9-994B-572BD8103F0D}"/>
    <cellStyle name="Normal 4 4 4 2 5" xfId="1275" xr:uid="{1F5E0115-915F-4E9D-9B08-FD500C462AB2}"/>
    <cellStyle name="Normal 4 4 4 3" xfId="947" xr:uid="{E21A819F-494E-4AD6-8028-BD3119343636}"/>
    <cellStyle name="Normal 4 4 4 3 2" xfId="1135" xr:uid="{FF041E0E-9A86-409C-8358-56E292D25FAC}"/>
    <cellStyle name="Normal 4 4 4 4" xfId="1061" xr:uid="{D79BAD4C-649D-4ACC-8815-B9CED43A98A7}"/>
    <cellStyle name="Normal 4 4 4 5" xfId="1153" xr:uid="{88B9CC69-7B27-480F-9F9D-0719CD9B436C}"/>
    <cellStyle name="Normal 4 4 4 6" xfId="1227" xr:uid="{8161E3E4-E794-4776-811C-F1BCCE730B86}"/>
    <cellStyle name="Normal 4 4 5" xfId="566" xr:uid="{72E84B4B-07AA-4D0B-A748-45CB2268D308}"/>
    <cellStyle name="Normal 4 4 5 2" xfId="824" xr:uid="{B7624B88-3B66-4A60-B1EA-E7CCB605B406}"/>
    <cellStyle name="Normal 4 4 5 3" xfId="1037" xr:uid="{70FDA481-D1A5-449C-9A1F-BF27C59C46D1}"/>
    <cellStyle name="Normal 4 4 5 4" xfId="1028" xr:uid="{A27711DD-4B0C-492F-81DC-80CA73E37F14}"/>
    <cellStyle name="Normal 4 4 5 5" xfId="1108" xr:uid="{FD415192-ABCB-449C-AB97-80111006DF06}"/>
    <cellStyle name="Normal 4 4 5 6" xfId="1177" xr:uid="{01AF080A-07BE-4D46-BBC8-5647326FA844}"/>
    <cellStyle name="Normal 4 4 5 7" xfId="1251" xr:uid="{3FA3F381-BE30-4CF5-89C1-7FD78956C3D4}"/>
    <cellStyle name="Normal 4 4 6" xfId="567" xr:uid="{7DA58C6B-147A-40C4-8154-88E3820EEF29}"/>
    <cellStyle name="Normal 4 4 6 2" xfId="969" xr:uid="{E0C0DF34-B0EF-4721-8A83-3C038B488C5B}"/>
    <cellStyle name="Normal 4 4 6 3" xfId="1072" xr:uid="{03325D3D-96CC-4743-8447-EFF15549FE11}"/>
    <cellStyle name="Normal 4 4 6 4" xfId="1210" xr:uid="{8BF135CA-7FD5-4A39-917B-38C75BC5E1A2}"/>
    <cellStyle name="Normal 4 4 6 5" xfId="1288" xr:uid="{D62EF764-EC59-477D-A671-651B81B1711C}"/>
    <cellStyle name="Normal 4 4 7" xfId="568" xr:uid="{91A76C6D-AAF7-42EC-805F-F7C561E60B2F}"/>
    <cellStyle name="Normal 4 4 7 2" xfId="999" xr:uid="{6E1CE354-C917-4DC6-9B92-32B5510B44CE}"/>
    <cellStyle name="Normal 4 4 7 3" xfId="1016" xr:uid="{1E86A137-76F1-4CE5-9EA1-44B30B9E4E1E}"/>
    <cellStyle name="Normal 4 4 7 4" xfId="1289" xr:uid="{658EAF26-6514-4D94-A9D3-1A68C0B02B65}"/>
    <cellStyle name="Normal 4 4 8" xfId="794" xr:uid="{BBA066BA-5F0D-43B2-B13A-A6BBF7C8A97D}"/>
    <cellStyle name="Normal 4 4 8 2" xfId="1291" xr:uid="{D7C5D7A6-5E16-42F8-A82F-EA6CBB7E33C8}"/>
    <cellStyle name="Normal 4 4 9" xfId="1019" xr:uid="{FEF4372F-D278-4882-9E63-2ABCA897117E}"/>
    <cellStyle name="Normal 4 5" xfId="569" xr:uid="{7E48274F-F5E5-4697-9158-A1D888ED4937}"/>
    <cellStyle name="Normal 4 5 2" xfId="570" xr:uid="{4326D500-FF14-44E2-8E4F-6A2F3369480E}"/>
    <cellStyle name="Normal 4 5 2 2" xfId="571" xr:uid="{E005713D-5C58-4ABC-AEA8-065237D715E8}"/>
    <cellStyle name="Normal 4 5 2 2 2" xfId="572" xr:uid="{70B0AB72-81B2-457B-9152-49C79CC1AF66}"/>
    <cellStyle name="Normal 4 5 2 2 2 2" xfId="985" xr:uid="{BAD4E8CF-24DA-4998-8FC6-8394D13F7BA4}"/>
    <cellStyle name="Normal 4 5 2 2 2 3" xfId="1088" xr:uid="{DCE4FC1C-D7B6-4C83-BAB9-C10E05558F83}"/>
    <cellStyle name="Normal 4 5 2 2 2 4" xfId="1193" xr:uid="{465061D5-E7CE-4DA4-8658-61CCAB710F6A}"/>
    <cellStyle name="Normal 4 5 2 2 2 5" xfId="1267" xr:uid="{BA721588-C742-4E91-A93F-70503352888F}"/>
    <cellStyle name="Normal 4 5 2 2 3" xfId="939" xr:uid="{0798A1F8-784D-4C2E-BD37-DBC59066BA76}"/>
    <cellStyle name="Normal 4 5 2 2 3 2" xfId="1127" xr:uid="{407645E1-E288-4EB8-A230-512449145C0E}"/>
    <cellStyle name="Normal 4 5 2 2 4" xfId="1053" xr:uid="{12551190-4288-42D3-9F23-1C8E2B5DE0B6}"/>
    <cellStyle name="Normal 4 5 2 2 5" xfId="1169" xr:uid="{93FF1191-92C3-4B4B-A361-8FDEA8AB606A}"/>
    <cellStyle name="Normal 4 5 2 2 6" xfId="1243" xr:uid="{2CF95ED4-B53D-4D27-A303-7A511EE6ED8C}"/>
    <cellStyle name="Normal 4 5 2 3" xfId="573" xr:uid="{715463CD-3E82-4BEF-9DC7-3CE3A5E1D450}"/>
    <cellStyle name="Normal 4 5 2 3 2" xfId="574" xr:uid="{48FC4494-4C73-4233-8D1B-416E3A6D8A4A}"/>
    <cellStyle name="Normal 4 5 2 3 2 2" xfId="996" xr:uid="{63572A02-0ABC-42E6-ABA9-44129FF20D5E}"/>
    <cellStyle name="Normal 4 5 2 3 2 3" xfId="1099" xr:uid="{B2C1A797-607F-49CD-8530-E015171E316B}"/>
    <cellStyle name="Normal 4 5 2 3 2 4" xfId="1204" xr:uid="{FBCDF91A-6B99-4DF2-84CE-5977EC489CAD}"/>
    <cellStyle name="Normal 4 5 2 3 2 5" xfId="1278" xr:uid="{EFF29CF4-DF81-4068-B296-266A82B633CE}"/>
    <cellStyle name="Normal 4 5 2 3 3" xfId="950" xr:uid="{9EA0075F-92AC-4E9F-8E39-54B739621CB9}"/>
    <cellStyle name="Normal 4 5 2 3 3 2" xfId="1138" xr:uid="{2BFE600B-D88C-4A2B-AA42-D5B9AF62BD41}"/>
    <cellStyle name="Normal 4 5 2 3 4" xfId="1064" xr:uid="{5E20ADCA-9F91-41F2-8BD6-C7EABF27A501}"/>
    <cellStyle name="Normal 4 5 2 3 5" xfId="1156" xr:uid="{245C7E0D-0DB5-4934-BDF1-F8A44F714773}"/>
    <cellStyle name="Normal 4 5 2 3 6" xfId="1230" xr:uid="{357B80EC-66A7-4756-B173-CC8C4E27BE24}"/>
    <cellStyle name="Normal 4 5 2 4" xfId="575" xr:uid="{2C85909E-6CF2-4646-9E82-7E24ECE6635A}"/>
    <cellStyle name="Normal 4 5 2 4 2" xfId="972" xr:uid="{D393B1AE-A165-46E3-812A-63F9677CDE66}"/>
    <cellStyle name="Normal 4 5 2 4 3" xfId="1075" xr:uid="{F94CA8C7-F702-400F-888E-47A137CC4062}"/>
    <cellStyle name="Normal 4 5 2 4 4" xfId="1180" xr:uid="{93EFA785-5147-4975-BB67-C563DF33AC28}"/>
    <cellStyle name="Normal 4 5 2 4 5" xfId="1254" xr:uid="{8F9EDAE7-1B4C-4EF4-BC59-AE1D0B642B10}"/>
    <cellStyle name="Normal 4 5 2 5" xfId="827" xr:uid="{98B240E0-FFEE-48EA-80E6-3DED57C63F02}"/>
    <cellStyle name="Normal 4 5 2 5 2" xfId="1114" xr:uid="{ED2F2276-73D3-48C0-A7D5-2481FCDB707E}"/>
    <cellStyle name="Normal 4 5 2 6" xfId="1040" xr:uid="{F9C13F35-B4B2-4E1B-B63A-3AC36010BF7C}"/>
    <cellStyle name="Normal 4 5 2 7" xfId="1145" xr:uid="{E94F1BA1-9753-4D82-B4DF-D7ADDE06E26D}"/>
    <cellStyle name="Normal 4 5 2 8" xfId="1219" xr:uid="{37A7AEC5-1A2B-4F4D-8ED0-038CE37708B5}"/>
    <cellStyle name="Normal 4 5 3" xfId="576" xr:uid="{D70DA9D6-4136-4E14-A896-B755EB512591}"/>
    <cellStyle name="Normal 4 5 3 2" xfId="577" xr:uid="{30CA4F69-13A6-4C21-8915-35D35623225D}"/>
    <cellStyle name="Normal 4 5 3 2 2" xfId="979" xr:uid="{E1184521-B8AB-4A56-BEED-A6542F5B560B}"/>
    <cellStyle name="Normal 4 5 3 2 3" xfId="1082" xr:uid="{FBB69081-C6B1-4C4F-8B2E-A128C06A02FF}"/>
    <cellStyle name="Normal 4 5 3 2 4" xfId="1187" xr:uid="{FF9B8356-FD99-4595-A024-FCA9D8BE3582}"/>
    <cellStyle name="Normal 4 5 3 2 5" xfId="1261" xr:uid="{8B67FBB5-391D-4C55-87DB-8306C75BC977}"/>
    <cellStyle name="Normal 4 5 3 3" xfId="932" xr:uid="{CB9E2DDD-E9A0-49F1-8587-7AB8824D21EB}"/>
    <cellStyle name="Normal 4 5 3 3 2" xfId="1121" xr:uid="{8E354C38-3D20-4D5F-BE66-132E64E348F0}"/>
    <cellStyle name="Normal 4 5 3 4" xfId="1047" xr:uid="{3E6CEE0E-6F8E-489C-9E3B-70F3E5D547E3}"/>
    <cellStyle name="Normal 4 5 3 5" xfId="1163" xr:uid="{87DA732D-EFB2-4E3D-B187-D4298B3C0114}"/>
    <cellStyle name="Normal 4 5 3 6" xfId="1237" xr:uid="{C3A1947E-51A8-4D38-8F51-D0647A44636E}"/>
    <cellStyle name="Normal 4 5 4" xfId="578" xr:uid="{B45FCA4B-2329-44FB-87D2-006C7D835ACF}"/>
    <cellStyle name="Normal 4 5 4 2" xfId="579" xr:uid="{3EE23657-439A-4A71-9775-F1D8C8D72000}"/>
    <cellStyle name="Normal 4 5 4 2 2" xfId="995" xr:uid="{E7C61894-BD7E-4C1D-9288-AA1ABC967A22}"/>
    <cellStyle name="Normal 4 5 4 2 3" xfId="1098" xr:uid="{4B0E5F62-75CF-4C9A-8DF1-EA4B2F6A334F}"/>
    <cellStyle name="Normal 4 5 4 2 4" xfId="1203" xr:uid="{AAE07858-FA03-4317-9765-01D099B84BBC}"/>
    <cellStyle name="Normal 4 5 4 2 5" xfId="1277" xr:uid="{C2E92553-4060-46F2-85DA-E7788CF0A3F5}"/>
    <cellStyle name="Normal 4 5 4 3" xfId="949" xr:uid="{D9382C6F-426E-4C43-9438-9357BA190E27}"/>
    <cellStyle name="Normal 4 5 4 3 2" xfId="1137" xr:uid="{7FBB059A-5EAC-46B2-AE43-E6767A42AF0E}"/>
    <cellStyle name="Normal 4 5 4 4" xfId="1063" xr:uid="{0BBFDF5D-3041-4CD2-A6F3-483D82EFDEC7}"/>
    <cellStyle name="Normal 4 5 4 5" xfId="1155" xr:uid="{A8E62EE4-2408-420D-8101-A9473C38B793}"/>
    <cellStyle name="Normal 4 5 4 6" xfId="1229" xr:uid="{752BB198-3120-4256-A5C6-DA3EB4AD329B}"/>
    <cellStyle name="Normal 4 5 5" xfId="580" xr:uid="{7BB5E5EF-48CE-4187-B9FA-172B5C2A8D72}"/>
    <cellStyle name="Normal 4 5 5 2" xfId="971" xr:uid="{8E602225-05A1-4AAB-B22A-C9CE77EB7A94}"/>
    <cellStyle name="Normal 4 5 5 3" xfId="1074" xr:uid="{65F667FE-D84E-43D1-A642-C34C57751BD8}"/>
    <cellStyle name="Normal 4 5 5 4" xfId="1179" xr:uid="{4C069CCC-7997-48AB-9948-42BE73BACCFB}"/>
    <cellStyle name="Normal 4 5 5 5" xfId="1253" xr:uid="{C16AFB4F-F973-42CF-B4AF-52ED531BED82}"/>
    <cellStyle name="Normal 4 5 6" xfId="826" xr:uid="{9BA232CE-11D1-4918-8B06-B9AE5174649A}"/>
    <cellStyle name="Normal 4 5 6 2" xfId="1113" xr:uid="{7842657B-BD0A-4004-A483-A217A97C75D2}"/>
    <cellStyle name="Normal 4 5 7" xfId="1039" xr:uid="{ED6EF40E-83E1-4770-A96C-811877EB9334}"/>
    <cellStyle name="Normal 4 5 8" xfId="1140" xr:uid="{4FC0C256-DC7F-45B0-BEF5-77257878E522}"/>
    <cellStyle name="Normal 4 5 9" xfId="1213" xr:uid="{6F0638C8-5295-4E10-A36E-1D7D197AE124}"/>
    <cellStyle name="Normal 4 6" xfId="581" xr:uid="{520C4278-8C03-4896-B2F1-44E5319025AE}"/>
    <cellStyle name="Normal 4 6 2" xfId="582" xr:uid="{71209DB3-C2EB-4B77-AE85-6802DCDC82EA}"/>
    <cellStyle name="Normal 4 6 2 2" xfId="583" xr:uid="{8CB748ED-BC47-445E-AD78-8EEC8D73B1F2}"/>
    <cellStyle name="Normal 4 6 2 2 2" xfId="980" xr:uid="{D3487DCE-ED1A-44E0-9328-A04828944C91}"/>
    <cellStyle name="Normal 4 6 2 2 3" xfId="1083" xr:uid="{D496F529-D7B3-4258-9D47-0DBADA62F2B1}"/>
    <cellStyle name="Normal 4 6 2 2 4" xfId="1188" xr:uid="{262DD8C4-2D80-45F4-BC03-EBA46CBB72AC}"/>
    <cellStyle name="Normal 4 6 2 2 5" xfId="1262" xr:uid="{5B928F31-9C58-4F5C-BEC1-02DF97072B40}"/>
    <cellStyle name="Normal 4 6 2 3" xfId="933" xr:uid="{DEEF42A0-353A-46EE-99E6-A8CCA417ADC0}"/>
    <cellStyle name="Normal 4 6 2 3 2" xfId="1122" xr:uid="{945B7A77-05AF-49D5-81AE-173F330CB2F5}"/>
    <cellStyle name="Normal 4 6 2 4" xfId="1048" xr:uid="{FAABC2B4-3933-45AE-A747-619BCF4D2D2D}"/>
    <cellStyle name="Normal 4 6 2 5" xfId="1164" xr:uid="{FF00450A-7A8F-49C6-AFC5-2401DB8FB8E0}"/>
    <cellStyle name="Normal 4 6 2 6" xfId="1238" xr:uid="{A8BF5806-8DC5-4A87-B087-5EF7308172C1}"/>
    <cellStyle name="Normal 4 6 3" xfId="584" xr:uid="{22EC0500-805D-4625-A129-5BDC7F954F04}"/>
    <cellStyle name="Normal 4 6 3 2" xfId="585" xr:uid="{AD52CDFF-6559-44A0-9208-E860F7B2236E}"/>
    <cellStyle name="Normal 4 6 3 2 2" xfId="997" xr:uid="{395C03EA-52D3-477F-BAFE-E340E11DB0FA}"/>
    <cellStyle name="Normal 4 6 3 2 3" xfId="1100" xr:uid="{B52F9B9A-120E-4A4B-87B3-CD2173BF00F0}"/>
    <cellStyle name="Normal 4 6 3 2 4" xfId="1205" xr:uid="{238B0C91-2BD4-499C-A701-442B76EFB498}"/>
    <cellStyle name="Normal 4 6 3 2 5" xfId="1279" xr:uid="{F5096AB7-3EA7-4F85-B385-8B821D6186AC}"/>
    <cellStyle name="Normal 4 6 3 3" xfId="951" xr:uid="{2CF475ED-0450-44A4-A9BC-7A6926F3CAE6}"/>
    <cellStyle name="Normal 4 6 3 3 2" xfId="1139" xr:uid="{30ACAF0D-22CF-4106-A719-60750CD0BB66}"/>
    <cellStyle name="Normal 4 6 3 4" xfId="1065" xr:uid="{745D628C-4E1A-4633-8125-78C45C0609E6}"/>
    <cellStyle name="Normal 4 6 3 5" xfId="1157" xr:uid="{7A02BA77-E28B-4602-8B71-4831C39E5D47}"/>
    <cellStyle name="Normal 4 6 3 6" xfId="1231" xr:uid="{9858F04A-D92B-4C72-A7B1-31A2A3AD175C}"/>
    <cellStyle name="Normal 4 6 4" xfId="586" xr:uid="{7C60EDF2-9CE0-4353-9916-9C706CE482ED}"/>
    <cellStyle name="Normal 4 6 4 2" xfId="973" xr:uid="{207609C9-3C84-4CA1-B751-9DCB23AF4D88}"/>
    <cellStyle name="Normal 4 6 4 3" xfId="1076" xr:uid="{B2DA5428-9DDA-462D-AD88-F8E6FFB4B235}"/>
    <cellStyle name="Normal 4 6 4 4" xfId="1181" xr:uid="{5FB4FBBE-4F6C-4542-85D5-97FCD30B8853}"/>
    <cellStyle name="Normal 4 6 4 5" xfId="1255" xr:uid="{8AB58BE0-6B3F-40DC-B5F1-5907D3EF3148}"/>
    <cellStyle name="Normal 4 6 5" xfId="828" xr:uid="{5BA0DBE1-B279-4725-9569-7FD3A999AB65}"/>
    <cellStyle name="Normal 4 6 5 2" xfId="1115" xr:uid="{CB2CE86B-88A2-4515-B2C9-CCFF17248E7A}"/>
    <cellStyle name="Normal 4 6 6" xfId="1041" xr:uid="{E2C77CEF-B058-4D47-965A-4CD7BB7A7658}"/>
    <cellStyle name="Normal 4 6 7" xfId="1141" xr:uid="{EC341627-5AAD-407D-A295-F52AB299E210}"/>
    <cellStyle name="Normal 4 6 8" xfId="1214" xr:uid="{C6CAD597-65BD-4C41-86F0-B6E551A3C399}"/>
    <cellStyle name="Normal 4 7" xfId="587" xr:uid="{70966DE7-CCB4-45A1-8ACB-B35E3EB84B23}"/>
    <cellStyle name="Normal 4 7 2" xfId="588" xr:uid="{26C9A3A8-E6DE-4459-B42A-BF95CAACF9D1}"/>
    <cellStyle name="Normal 4 7 2 2" xfId="974" xr:uid="{B45D5889-1B14-4665-93B5-B66A774968EE}"/>
    <cellStyle name="Normal 4 7 2 3" xfId="1077" xr:uid="{6E1171D5-8745-46AA-B23B-29E70BBBEEB2}"/>
    <cellStyle name="Normal 4 7 2 4" xfId="1182" xr:uid="{7AB68C7F-3991-403B-9AD5-338F0739B4FF}"/>
    <cellStyle name="Normal 4 7 2 5" xfId="1256" xr:uid="{32ECB4CC-C633-49DC-A88D-91880499A5F4}"/>
    <cellStyle name="Normal 4 7 3" xfId="840" xr:uid="{F3BB38CF-2008-46BB-86BA-65EBC1DB98D0}"/>
    <cellStyle name="Normal 4 7 3 2" xfId="1116" xr:uid="{050C7A2C-B7E9-4268-B901-02569B511AD0}"/>
    <cellStyle name="Normal 4 7 4" xfId="1042" xr:uid="{811A3BD4-E04F-4354-B7E4-D4D18FBE5AE3}"/>
    <cellStyle name="Normal 4 7 5" xfId="1158" xr:uid="{9C3515B5-5BEF-4AB6-BE39-02C72DC13153}"/>
    <cellStyle name="Normal 4 7 6" xfId="1232" xr:uid="{BF3F1980-05A5-45D2-9AAE-EB7570E7B77C}"/>
    <cellStyle name="Normal 4 8" xfId="589" xr:uid="{67D500F7-1C9B-4623-A970-AB0AB0DF424B}"/>
    <cellStyle name="Normal 4 8 2" xfId="590" xr:uid="{5E4B6F27-F5D3-449D-B991-061F918C0125}"/>
    <cellStyle name="Normal 4 8 2 2" xfId="986" xr:uid="{41A257F6-646B-4C06-9526-52EE4C36AA32}"/>
    <cellStyle name="Normal 4 8 2 3" xfId="1089" xr:uid="{DA5BCB1A-A40E-4760-90F9-A5A72400CDEF}"/>
    <cellStyle name="Normal 4 8 2 4" xfId="1194" xr:uid="{4C7EAB52-9F28-4CE5-9A7D-67C967A53207}"/>
    <cellStyle name="Normal 4 8 2 5" xfId="1268" xr:uid="{0528659C-9EF7-4BBB-B40C-FA559F7EA0BE}"/>
    <cellStyle name="Normal 4 8 3" xfId="940" xr:uid="{B0E78285-6699-48C3-97DD-0ED5B0FDBB7C}"/>
    <cellStyle name="Normal 4 8 3 2" xfId="1128" xr:uid="{665D0960-4C89-4F20-A5F8-D6FE5D323D39}"/>
    <cellStyle name="Normal 4 8 4" xfId="1054" xr:uid="{010850DB-C599-4759-8F3B-D9529FBC6C3F}"/>
    <cellStyle name="Normal 4 8 5" xfId="1146" xr:uid="{055CDE94-93AB-4DFC-A838-EE32BFEA2194}"/>
    <cellStyle name="Normal 4 8 6" xfId="1220" xr:uid="{C6D34096-DE87-4E49-B6C6-92FA377E3CAE}"/>
    <cellStyle name="Normal 4 9" xfId="591" xr:uid="{72833F09-7910-4F5A-BFBD-E7D0B68F554F}"/>
    <cellStyle name="Normal 4 9 2" xfId="817" xr:uid="{7F0E2EC1-54F2-43FF-A1D6-700E4A95BB2B}"/>
    <cellStyle name="Normal 4 9 3" xfId="1030" xr:uid="{CA617415-D124-46B6-8C0E-87A410808548}"/>
    <cellStyle name="Normal 4 9 4" xfId="1024" xr:uid="{CE522937-EFE2-4C81-84CF-5710A300BC5F}"/>
    <cellStyle name="Normal 4 9 5" xfId="1104" xr:uid="{B9FC1D69-6ED8-4D81-A3AC-FBE4F17E96C8}"/>
    <cellStyle name="Normal 4 9 6" xfId="1170" xr:uid="{01B42024-2F63-4048-8DE6-88557041E625}"/>
    <cellStyle name="Normal 4 9 7" xfId="1244" xr:uid="{14DE75EB-E6EA-4009-9EA6-EFD2F0CFCE74}"/>
    <cellStyle name="Normal 5" xfId="200" xr:uid="{0BCE698F-EA19-4B49-BF81-294CE4452099}"/>
    <cellStyle name="Normal 5 2" xfId="592" xr:uid="{BD44926B-7A71-4AA2-851D-C0DA836C6C60}"/>
    <cellStyle name="Normal 5 2 2" xfId="851" xr:uid="{526C7EB1-250B-4D16-B03D-45BCE80981FC}"/>
    <cellStyle name="Normal 5 3" xfId="713" xr:uid="{20993241-7B1F-48E8-A8EC-43256C2CA6EC}"/>
    <cellStyle name="Normal 6" xfId="201" xr:uid="{5E409244-A28D-4A02-B18F-3D43D7FB478F}"/>
    <cellStyle name="Normal 6 2" xfId="202" xr:uid="{BA011BA8-F81F-406D-B90D-81961DC71A59}"/>
    <cellStyle name="Normal 6 2 2" xfId="593" xr:uid="{054B03FD-CAB1-4690-B32A-BD55F34353E9}"/>
    <cellStyle name="Normal 6 2 2 2" xfId="853" xr:uid="{90EB7173-9486-40D2-B778-FBB7E62C102F}"/>
    <cellStyle name="Normal 6 2 3" xfId="714" xr:uid="{6FF32334-03D5-4B37-9410-7CFE35B6012C}"/>
    <cellStyle name="Normal 6 3" xfId="594" xr:uid="{2D07F45B-1B40-47C7-BF5D-DA87014F3F27}"/>
    <cellStyle name="Normal 6 3 2" xfId="595" xr:uid="{6DBE9E62-3E38-4F09-A63B-DB56AEBDC375}"/>
    <cellStyle name="Normal 6 3 2 2" xfId="955" xr:uid="{B5C7C635-F2F6-4083-A8A4-4DFE0147D2AA}"/>
    <cellStyle name="Normal 6 3 3" xfId="832" xr:uid="{1017A075-4BA3-4E03-9EA8-14B2FCF9034E}"/>
    <cellStyle name="Normal 6 3 4" xfId="1303" xr:uid="{E5D4F420-444D-4DF9-95AE-76124B7C835D}"/>
    <cellStyle name="Normal 6 4" xfId="596" xr:uid="{2C614A22-4286-40A1-9AD4-6183DED29129}"/>
    <cellStyle name="Normal 6 4 2" xfId="852" xr:uid="{69CFC8A7-6CCF-4413-9C93-C56C020364B3}"/>
    <cellStyle name="Normal 6 5" xfId="678" xr:uid="{3338F8C4-245E-4FB5-9304-FF7F0EF6DFBE}"/>
    <cellStyle name="Normal 6 5 2" xfId="1007" xr:uid="{29FF744C-BC96-402D-8B5A-BCD766EF2C8F}"/>
    <cellStyle name="Normal 7" xfId="203" xr:uid="{14735BF9-A628-4EDC-9006-435A67AD450F}"/>
    <cellStyle name="Normal 7 2" xfId="348" xr:uid="{4640CBFA-FB5E-4A56-833A-FD7880FB48FB}"/>
    <cellStyle name="Normal 7 2 2" xfId="597" xr:uid="{90D57221-A0C5-4C19-BE97-8BE0DD98BA4A}"/>
    <cellStyle name="Normal 7 2 2 2" xfId="916" xr:uid="{267A08BD-77D5-4E21-941C-D34F531122B2}"/>
    <cellStyle name="Normal 7 2 3" xfId="771" xr:uid="{F7F6E2BF-7DD9-46AE-9C0C-92C18DB92B1C}"/>
    <cellStyle name="Normal 7 3" xfId="598" xr:uid="{0F483E0F-245E-48D5-988E-6D3C5B0EA388}"/>
    <cellStyle name="Normal 7 3 2" xfId="599" xr:uid="{EBA4BE18-04E9-4FAA-8C4B-5D260B981C6E}"/>
    <cellStyle name="Normal 7 3 2 2" xfId="956" xr:uid="{22FF99D2-4B12-463B-9C59-411F26F5169F}"/>
    <cellStyle name="Normal 7 3 3" xfId="833" xr:uid="{531C50EC-F68D-4C25-B0FB-F79449C33F52}"/>
    <cellStyle name="Normal 7 3 4" xfId="1300" xr:uid="{083AFB38-A47D-48CA-AC9A-914E5E78B134}"/>
    <cellStyle name="Normal 7 4" xfId="600" xr:uid="{544F3F1A-486B-41E9-8660-24F33AC76ABE}"/>
    <cellStyle name="Normal 7 4 2" xfId="854" xr:uid="{F2F32ED7-5359-4723-BE37-6B9402828679}"/>
    <cellStyle name="Normal 7 5" xfId="784" xr:uid="{89A85CBB-5263-4AF8-88C6-5018DD51CD1E}"/>
    <cellStyle name="Normal 7 5 2" xfId="1009" xr:uid="{AE89F49D-9F66-4603-B407-43775AD59B28}"/>
    <cellStyle name="Normal 8" xfId="204" xr:uid="{C4A3B562-C353-43F1-B0D2-BE64440DF54D}"/>
    <cellStyle name="Normal 8 2" xfId="349" xr:uid="{24389105-8743-41A5-B408-BF3284C4BD8B}"/>
    <cellStyle name="Normal 8 2 2" xfId="601" xr:uid="{B481415B-B5A1-4464-816D-C502021135B9}"/>
    <cellStyle name="Normal 8 2 2 2" xfId="917" xr:uid="{A68A8B6B-3F82-4AF6-AD7E-1920A35917D5}"/>
    <cellStyle name="Normal 8 2 3" xfId="772" xr:uid="{B7CB92E4-8A58-4A02-ADEC-6D635F80E37E}"/>
    <cellStyle name="Normal 8 3" xfId="602" xr:uid="{7656743F-4888-4E8F-A474-B010E6B5A781}"/>
    <cellStyle name="Normal 8 3 2" xfId="603" xr:uid="{0C64A274-4EE0-478B-926C-DF5153CB1C76}"/>
    <cellStyle name="Normal 8 3 2 2" xfId="957" xr:uid="{07064A24-DC6F-4039-9F66-20015F3E91AF}"/>
    <cellStyle name="Normal 8 3 3" xfId="834" xr:uid="{3D418691-D17B-4067-B69F-410297127395}"/>
    <cellStyle name="Normal 8 4" xfId="604" xr:uid="{4EFAB2A7-8116-499E-A1D8-25DA5DADE6AA}"/>
    <cellStyle name="Normal 8 4 2" xfId="855" xr:uid="{F19FC591-8438-49A7-A618-FFF1A3BBD44A}"/>
    <cellStyle name="Normal 8 5" xfId="785" xr:uid="{135FD0DB-9E1A-46CC-8FE5-E6A4C6D4755F}"/>
    <cellStyle name="Normal 8 5 2" xfId="1010" xr:uid="{C6D5F1C0-71E9-4228-B5DF-52B8AD1D165F}"/>
    <cellStyle name="Normal 9" xfId="284" xr:uid="{8033F5F9-C265-4B11-82E4-2C554A1FB352}"/>
    <cellStyle name="Normal 9 2" xfId="359" xr:uid="{8C4BE3A3-9F76-49F3-A80B-5BFFC02199AE}"/>
    <cellStyle name="Normal 9 2 2" xfId="605" xr:uid="{22B32088-BD6A-4ED9-B431-A9E2EF2986A9}"/>
    <cellStyle name="Normal 9 2 2 2" xfId="922" xr:uid="{59AE33B2-28F0-4530-A667-C7940B727D4C}"/>
    <cellStyle name="Normal 9 2 3" xfId="777" xr:uid="{9DB8DEF3-7EA4-46FC-8C0D-A230A5A56BDD}"/>
    <cellStyle name="Normal 9 3" xfId="606" xr:uid="{A992AED9-9683-4FED-8F79-BC66FA7F5619}"/>
    <cellStyle name="Normal 9 3 2" xfId="607" xr:uid="{5E23D67A-31D6-473A-8859-1102BDC3D165}"/>
    <cellStyle name="Normal 9 3 2 2" xfId="959" xr:uid="{C3A0A352-BFBF-4961-B6F9-DDAC050D5318}"/>
    <cellStyle name="Normal 9 3 3" xfId="836" xr:uid="{6726C390-FCA2-4049-8699-54FF9565108B}"/>
    <cellStyle name="Normal 9 4" xfId="608" xr:uid="{10111CFB-F822-4982-9AFC-F94278B5140F}"/>
    <cellStyle name="Normal 9 4 2" xfId="890" xr:uid="{05E10079-1534-4F7B-BD50-EF6F3532FF3F}"/>
    <cellStyle name="Normal 9 5" xfId="1006" xr:uid="{5FB382F4-7410-4EB6-A46A-AE83CD855CB6}"/>
    <cellStyle name="Normal 9 5 2" xfId="1014" xr:uid="{31E6DA33-CEFC-4E28-A7A8-2118725C83B2}"/>
    <cellStyle name="Normal GHG Numbers (0.00)" xfId="205" xr:uid="{E5CFC2DB-B6B9-42AD-8E21-CD7F9E5609E0}"/>
    <cellStyle name="Normal GHG Textfiels Bold" xfId="206" xr:uid="{9CC42EDF-E20E-4F18-8A2E-E14A88CD52CE}"/>
    <cellStyle name="Normal GHG whole table" xfId="207" xr:uid="{C0ABFB72-F2F7-4EA0-B686-F942F1B88F1B}"/>
    <cellStyle name="Normal GHG-Shade" xfId="208" xr:uid="{3069DE55-2747-44F1-8D20-18BCC61A4A04}"/>
    <cellStyle name="Normal_Gen and Load Data ISO and States 2000-2009 (2)" xfId="87" xr:uid="{00000000-0005-0000-0000-000057000000}"/>
    <cellStyle name="Normál_Munka1" xfId="209" xr:uid="{72F58E00-6008-4250-BAF0-FC9FC476D6F0}"/>
    <cellStyle name="Note" xfId="88" builtinId="10" customBuiltin="1"/>
    <cellStyle name="Note 2" xfId="89" xr:uid="{00000000-0005-0000-0000-000059000000}"/>
    <cellStyle name="Note 2 2" xfId="609" xr:uid="{FAF752F7-BE18-40F6-8869-9BE910BCF547}"/>
    <cellStyle name="Note 2 2 2" xfId="918" xr:uid="{4037E465-7203-4DBE-BA26-7159D26D57AB}"/>
    <cellStyle name="Note 2 3" xfId="773" xr:uid="{65943E96-47E0-4D54-9F74-EBE3DB0DB220}"/>
    <cellStyle name="Note 2 4" xfId="350" xr:uid="{1F12BBAD-DF53-404F-9A6F-15E65168C27B}"/>
    <cellStyle name="Note 3" xfId="404" xr:uid="{E495D178-DD7D-4AEA-B299-B3F09C33BD4F}"/>
    <cellStyle name="Note 3 2" xfId="610" xr:uid="{1B0215D3-B792-4EE1-A4B6-847A3AAF9C2E}"/>
    <cellStyle name="Note 3 2 2" xfId="929" xr:uid="{848C3E03-BB13-4887-B36E-D825D5AC68C5}"/>
    <cellStyle name="Note 3 3" xfId="781" xr:uid="{ECEC1DA1-D250-4564-AD7D-933D73B7FAFA}"/>
    <cellStyle name="Note 4" xfId="460" xr:uid="{95A90916-E5E7-41CE-8E56-DB77142943DA}"/>
    <cellStyle name="Note 4 2" xfId="611" xr:uid="{C21FFEF1-651D-450C-805F-4175A8B24D69}"/>
    <cellStyle name="Note 4 2 2" xfId="856" xr:uid="{89E20480-29DB-4669-89A3-0923715C0723}"/>
    <cellStyle name="Note 4 3" xfId="715" xr:uid="{6A1921DB-8985-4B1F-B88D-984DFE01FD35}"/>
    <cellStyle name="Note 5" xfId="210" xr:uid="{3274A73A-159C-40C2-9B57-918EB447BD54}"/>
    <cellStyle name="Notiz" xfId="211" xr:uid="{06C7029A-B326-4302-91C1-33F4A7F36459}"/>
    <cellStyle name="Notiz 2" xfId="612" xr:uid="{54B889F7-A732-43C5-A40F-5F2AC25A1C5A}"/>
    <cellStyle name="Notiz 2 2" xfId="857" xr:uid="{53403793-AD59-4B94-AE72-376D5A47F069}"/>
    <cellStyle name="Notiz 3" xfId="716" xr:uid="{57DA3059-A6ED-4182-9703-1AED6C34D329}"/>
    <cellStyle name="Output" xfId="90" builtinId="21" customBuiltin="1"/>
    <cellStyle name="Output 2" xfId="91" xr:uid="{00000000-0005-0000-0000-00005B000000}"/>
    <cellStyle name="Output 2 2" xfId="351" xr:uid="{5314095A-2820-4BF2-8F1E-0AC91AB98529}"/>
    <cellStyle name="Output 3" xfId="405" xr:uid="{2CF8DCFB-5514-4437-854E-37A9CAE30A55}"/>
    <cellStyle name="Output 4" xfId="461" xr:uid="{77C91338-ED2B-4FD8-AB69-E42E7905C0B9}"/>
    <cellStyle name="Output 5" xfId="212" xr:uid="{C260A33D-C3C9-4F0C-8168-D66F4DD1CF38}"/>
    <cellStyle name="Pattern" xfId="213" xr:uid="{E0351151-B88B-46A5-B601-77BC44BD0971}"/>
    <cellStyle name="Percent 10" xfId="214" xr:uid="{D15F5B27-EE76-410B-9C29-388E66BBD858}"/>
    <cellStyle name="Percent 10 2" xfId="286" xr:uid="{26268D4F-6C3F-45A1-A778-CC7EEC1C5C4E}"/>
    <cellStyle name="Percent 10 2 2" xfId="360" xr:uid="{782529B7-6550-4E0E-9672-788DAA0A96E1}"/>
    <cellStyle name="Percent 10 2 2 2" xfId="613" xr:uid="{5B42D008-59E7-4F45-9E05-11611920F416}"/>
    <cellStyle name="Percent 10 2 2 2 2" xfId="923" xr:uid="{AD39090C-CC4C-4297-9BCD-F27C4E033F48}"/>
    <cellStyle name="Percent 10 2 2 3" xfId="778" xr:uid="{893DA1B4-894E-4705-B1E1-55B6348DD84A}"/>
    <cellStyle name="Percent 10 2 3" xfId="614" xr:uid="{5D285111-56CF-49CB-823F-C76AD0962993}"/>
    <cellStyle name="Percent 10 2 3 2" xfId="615" xr:uid="{6FD7D148-D1FC-4358-AE2C-41F5BBBC7605}"/>
    <cellStyle name="Percent 10 2 3 2 2" xfId="960" xr:uid="{CC38BB5C-D2D3-4FCA-A3E4-58DE8ED8FAB5}"/>
    <cellStyle name="Percent 10 2 3 3" xfId="616" xr:uid="{1F5828C0-3563-4E6A-B321-D7A685C54AEA}"/>
    <cellStyle name="Percent 10 2 3 4" xfId="489" xr:uid="{46E45A49-27E0-4683-8EFC-4D211FE4A670}"/>
    <cellStyle name="Percent 10 2 4" xfId="617" xr:uid="{CE9E03AA-71C7-4D45-BC77-8290EA57F235}"/>
    <cellStyle name="Percent 10 2 4 2" xfId="892" xr:uid="{6D2E6DEC-C71B-470F-80DF-05803AA755C5}"/>
    <cellStyle name="Percent 10 2 5" xfId="1005" xr:uid="{6500389B-BDDD-431E-BA52-FB06BA6EBD91}"/>
    <cellStyle name="Percent 10 2 5 2" xfId="1013" xr:uid="{6D91625E-83AF-4EE2-B7AB-76FFC6346A65}"/>
    <cellStyle name="Percent 10 3" xfId="361" xr:uid="{C6E7F25C-5B34-4A7A-9DF8-D3A6FE821578}"/>
    <cellStyle name="Percent 10 3 2" xfId="618" xr:uid="{A3E2D559-CACB-4544-993C-12E9F0D19BE2}"/>
    <cellStyle name="Percent 10 3 2 2" xfId="924" xr:uid="{04C80273-D8A4-4AC8-866B-3D770F6B85DE}"/>
    <cellStyle name="Percent 10 3 3" xfId="779" xr:uid="{5C25AB2C-7039-4092-942C-A78C8BDE6FCD}"/>
    <cellStyle name="Percent 10 4" xfId="462" xr:uid="{5CDCCD0E-0AB3-45F7-B695-E6F45697054C}"/>
    <cellStyle name="Percent 10 4 2" xfId="795" xr:uid="{12F3E579-4C53-4E7D-9799-EA0DD5441C2A}"/>
    <cellStyle name="Percent 10 5" xfId="1314" xr:uid="{6AECBAFB-60B5-497E-B1B5-351D81D3F93E}"/>
    <cellStyle name="Percent 11" xfId="215" xr:uid="{36269A2E-8561-491B-BD2F-F644CF32AF64}"/>
    <cellStyle name="Percent 11 2" xfId="619" xr:uid="{8B42B1A4-8383-4862-8D48-49B69093297F}"/>
    <cellStyle name="Percent 11 2 2" xfId="858" xr:uid="{6C03F70F-3DDE-4E1F-9A53-AE4836C4DFBF}"/>
    <cellStyle name="Percent 11 3" xfId="717" xr:uid="{3ADAD4FB-F193-4E43-90E1-4EFAFD605AF2}"/>
    <cellStyle name="Percent 12" xfId="216" xr:uid="{2ACAB305-A821-4A12-ADBB-E4E1F156283C}"/>
    <cellStyle name="Percent 12 2" xfId="217" xr:uid="{4BC884E4-9F19-4740-8462-F2F05C2707E3}"/>
    <cellStyle name="Percent 12 2 2" xfId="620" xr:uid="{61B5CB20-CE83-4931-9890-567131BD9CC4}"/>
    <cellStyle name="Percent 12 2 2 2" xfId="860" xr:uid="{A6754430-BC0D-4F86-A484-1A0564903161}"/>
    <cellStyle name="Percent 12 2 3" xfId="718" xr:uid="{FD2B8940-EC0C-4F14-BEB6-D71B9F83C891}"/>
    <cellStyle name="Percent 12 3" xfId="621" xr:uid="{C748D612-D574-4D78-9604-9935461E66A2}"/>
    <cellStyle name="Percent 12 3 2" xfId="622" xr:uid="{EA0DED0A-6FCD-4527-82A9-01295D42634C}"/>
    <cellStyle name="Percent 12 3 2 2" xfId="958" xr:uid="{FC4D08BC-2412-4ED6-8F62-4BA80E9C4A0E}"/>
    <cellStyle name="Percent 12 3 3" xfId="835" xr:uid="{A9B4507D-4FA0-42BB-AD1D-8782A865504F}"/>
    <cellStyle name="Percent 12 3 4" xfId="487" xr:uid="{74ABC049-25B6-468F-A1EE-F464F1B281BF}"/>
    <cellStyle name="Percent 12 4" xfId="623" xr:uid="{0B50E53F-D6EE-428A-9D66-6DCDF07DE5C3}"/>
    <cellStyle name="Percent 12 4 2" xfId="859" xr:uid="{7F886D82-D7A8-4BC9-A9DC-FD44E48DBD5E}"/>
    <cellStyle name="Percent 12 5" xfId="679" xr:uid="{AD3F2064-6B3A-4C24-A8D5-32413641881C}"/>
    <cellStyle name="Percent 12 5 2" xfId="1008" xr:uid="{C610D73C-1591-4311-BD7A-7FE0A3391ADF}"/>
    <cellStyle name="Percent 13" xfId="624" xr:uid="{96216853-51B1-47F4-89DE-05A4982B059E}"/>
    <cellStyle name="Percent 13 2" xfId="625" xr:uid="{5CC3AC95-A59E-4F0F-B1CE-DFBEA22D5485}"/>
    <cellStyle name="Percent 13 2 2" xfId="953" xr:uid="{39A8E686-CB46-4AAD-9A26-A776DC8D10C4}"/>
    <cellStyle name="Percent 13 3" xfId="830" xr:uid="{4E07454E-88C4-4F62-A2EC-FF83D53ADCF8}"/>
    <cellStyle name="Percent 2" xfId="92" xr:uid="{00000000-0005-0000-0000-00005D000000}"/>
    <cellStyle name="Percent 2 2" xfId="219" xr:uid="{143C110A-9157-4038-8B08-DA64FE61DB46}"/>
    <cellStyle name="Percent 2 2 2" xfId="626" xr:uid="{9AC88D69-9C83-4FB4-95B9-ABA9E4519BC1}"/>
    <cellStyle name="Percent 2 2 2 2" xfId="861" xr:uid="{7217B5B1-06D8-4AD0-BABE-C98F429B50D9}"/>
    <cellStyle name="Percent 2 2 3" xfId="719" xr:uid="{C2F06017-6785-4F38-B26A-0937B89EAB99}"/>
    <cellStyle name="Percent 2 3" xfId="464" xr:uid="{7C826813-FF12-4FFE-8A0D-13BB52B8680A}"/>
    <cellStyle name="Percent 2 3 2" xfId="796" xr:uid="{A5C3762A-5C71-488A-AF00-DB6F75F9921A}"/>
    <cellStyle name="Percent 2 4" xfId="688" xr:uid="{C652411A-A7EF-45BB-A33C-AAF42B739D6F}"/>
    <cellStyle name="Percent 2 5" xfId="218" xr:uid="{68FD3111-3400-4E13-A4F1-FA2D721739C0}"/>
    <cellStyle name="Percent 3" xfId="93" xr:uid="{00000000-0005-0000-0000-00005E000000}"/>
    <cellStyle name="Percent 3 2" xfId="221" xr:uid="{5D1E2519-F12D-4223-8E2B-B9AABE8E7826}"/>
    <cellStyle name="Percent 3 2 2" xfId="295" xr:uid="{5F3179A0-D388-47C9-B1BD-84DA83A3B202}"/>
    <cellStyle name="Percent 3 2 2 2" xfId="627" xr:uid="{0A27010C-EEED-4C75-8267-1CDDC0639E1B}"/>
    <cellStyle name="Percent 3 2 2 2 2" xfId="900" xr:uid="{99321FBA-83F9-4D65-96E4-7411DC89CBFC}"/>
    <cellStyle name="Percent 3 2 2 3" xfId="755" xr:uid="{125FCEE3-9CB1-4E75-9F0E-76D6BF90862A}"/>
    <cellStyle name="Percent 3 2 3" xfId="466" xr:uid="{BB6F4A5A-7481-47A9-9C2B-9CF94414C1BF}"/>
    <cellStyle name="Percent 3 2 3 2" xfId="798" xr:uid="{0E415ED1-43E3-4E47-9128-39994BFABFC9}"/>
    <cellStyle name="Percent 3 2 4" xfId="690" xr:uid="{45FACFDE-7FEC-46F8-95B7-FA6C49F2F220}"/>
    <cellStyle name="Percent 3 3" xfId="294" xr:uid="{2D506158-99E9-4DF2-B3BB-CA1B579C0A64}"/>
    <cellStyle name="Percent 3 3 2" xfId="628" xr:uid="{C6EB6580-56A7-4EE1-B0FB-BF34AA79DBFA}"/>
    <cellStyle name="Percent 3 3 2 2" xfId="899" xr:uid="{2617F31F-55B9-41DA-9B43-03DA3B9C6BE4}"/>
    <cellStyle name="Percent 3 3 3" xfId="754" xr:uid="{2967B640-DD6C-4300-9ACC-699076554953}"/>
    <cellStyle name="Percent 3 4" xfId="465" xr:uid="{FD51ED3D-B7E7-4444-B353-2CAC6EF9C019}"/>
    <cellStyle name="Percent 3 4 2" xfId="797" xr:uid="{4AB26557-1EBC-4E3A-8F86-CB8B52060138}"/>
    <cellStyle name="Percent 3 5" xfId="689" xr:uid="{9E53A7D1-B99C-419F-BEEF-AC615AC43210}"/>
    <cellStyle name="Percent 3 6" xfId="220" xr:uid="{F809C3B3-BDE6-4FDC-A487-F58F257B6220}"/>
    <cellStyle name="Percent 4" xfId="222" xr:uid="{A1639537-ADA6-4365-B12E-3ED85169C2B3}"/>
    <cellStyle name="Percent 4 2" xfId="223" xr:uid="{84B42F49-BEED-4C4C-8A88-649433CF15C7}"/>
    <cellStyle name="Percent 4 2 2" xfId="297" xr:uid="{83123890-251D-445F-A228-3BF4801516CA}"/>
    <cellStyle name="Percent 4 2 2 2" xfId="629" xr:uid="{08A8BEA5-0105-43F5-9DE4-8F2291EC031C}"/>
    <cellStyle name="Percent 4 2 2 2 2" xfId="902" xr:uid="{8643C225-5C10-47A3-99B8-CAD3C8EA8723}"/>
    <cellStyle name="Percent 4 2 2 3" xfId="757" xr:uid="{E6848866-759C-44BF-8F85-831501F47175}"/>
    <cellStyle name="Percent 4 2 3" xfId="468" xr:uid="{BB1E8708-B281-4734-86B0-846F92BA3C75}"/>
    <cellStyle name="Percent 4 2 3 2" xfId="800" xr:uid="{BCD9267C-AEAD-4E76-B10B-213716655B14}"/>
    <cellStyle name="Percent 4 2 4" xfId="692" xr:uid="{D09BE6ED-00C7-4269-8FD6-071630BB685F}"/>
    <cellStyle name="Percent 4 3" xfId="296" xr:uid="{E892C372-2D8F-49E1-9371-BD8FDCC64857}"/>
    <cellStyle name="Percent 4 3 2" xfId="630" xr:uid="{45B7284C-CE50-4C97-8AB2-7FD9BD725AA4}"/>
    <cellStyle name="Percent 4 3 2 2" xfId="901" xr:uid="{CF50C35B-B2A6-4DFE-A0C7-86A1BC6EB674}"/>
    <cellStyle name="Percent 4 3 3" xfId="756" xr:uid="{56AD1792-9ED5-46A9-9025-4B476ACB4745}"/>
    <cellStyle name="Percent 4 4" xfId="467" xr:uid="{C0A20870-2F36-4F6F-8552-56C9D060B6A9}"/>
    <cellStyle name="Percent 4 4 2" xfId="799" xr:uid="{B2A6A510-3263-403F-8927-8EF544321D93}"/>
    <cellStyle name="Percent 4 5" xfId="691" xr:uid="{E6B42968-54CF-425E-9A81-C01D4CCF9BA1}"/>
    <cellStyle name="Percent 5" xfId="224" xr:uid="{E09DD469-F489-490B-93DC-148BDB01E071}"/>
    <cellStyle name="Percent 5 2" xfId="225" xr:uid="{EECCBB30-FED9-4F59-A6BF-802D83F551EB}"/>
    <cellStyle name="Percent 5 2 2" xfId="299" xr:uid="{75103654-1C42-4696-9ECC-251D1C141016}"/>
    <cellStyle name="Percent 5 2 2 2" xfId="631" xr:uid="{63A2E985-83F6-4E19-986B-A2A1C28E7952}"/>
    <cellStyle name="Percent 5 2 2 2 2" xfId="904" xr:uid="{94A5B80D-38D7-49C8-8391-AB3482D7CB3A}"/>
    <cellStyle name="Percent 5 2 2 3" xfId="759" xr:uid="{668D257A-CD8B-43A4-9DFD-26E91E19871E}"/>
    <cellStyle name="Percent 5 2 3" xfId="470" xr:uid="{52D1A7ED-BC2A-4D15-B824-53370EC44FF2}"/>
    <cellStyle name="Percent 5 2 3 2" xfId="802" xr:uid="{F11478F1-7B2B-4BAA-9CC1-3C0F3FE86858}"/>
    <cellStyle name="Percent 5 2 4" xfId="694" xr:uid="{DEA25019-4E89-4A32-B5E3-82943C6E1616}"/>
    <cellStyle name="Percent 5 3" xfId="298" xr:uid="{796D6904-3A23-4E26-B332-57C6EB27DB79}"/>
    <cellStyle name="Percent 5 3 2" xfId="632" xr:uid="{5EA3C956-8F75-4687-A592-9FDAA5222CC6}"/>
    <cellStyle name="Percent 5 3 2 2" xfId="903" xr:uid="{318C7E8B-E0B9-47D1-9F8F-EAF1F09E4AC5}"/>
    <cellStyle name="Percent 5 3 3" xfId="758" xr:uid="{D56891F2-319D-43DE-AD07-F9E491A3C39B}"/>
    <cellStyle name="Percent 5 4" xfId="469" xr:uid="{670EB9E4-F9CE-4101-94C3-E61823F051CE}"/>
    <cellStyle name="Percent 5 4 2" xfId="801" xr:uid="{E16994EC-A126-42B1-95FA-E3881B75C3D2}"/>
    <cellStyle name="Percent 5 5" xfId="693" xr:uid="{45D06E7F-4DD4-4DDD-AA56-9AD3E90667AE}"/>
    <cellStyle name="Percent 6" xfId="226" xr:uid="{4491FF52-876E-4F70-BBB9-E0272FEA6CD0}"/>
    <cellStyle name="Percent 6 2" xfId="227" xr:uid="{A0ED9138-EBD0-4F15-A4E8-9FFA97E691B5}"/>
    <cellStyle name="Percent 6 2 2" xfId="301" xr:uid="{06BDA1CC-6E48-4DD2-8AC3-DE8378DA9AAF}"/>
    <cellStyle name="Percent 6 2 2 2" xfId="633" xr:uid="{7FFDF279-359B-4C88-BFA4-16B63F68703F}"/>
    <cellStyle name="Percent 6 2 2 2 2" xfId="906" xr:uid="{136F6C23-F977-4304-9D40-BE66076D7077}"/>
    <cellStyle name="Percent 6 2 2 3" xfId="761" xr:uid="{40C15FF0-96FC-476E-BA84-0161BB16009B}"/>
    <cellStyle name="Percent 6 2 3" xfId="472" xr:uid="{DC704D2F-A435-4BCA-9746-F6F4686214FA}"/>
    <cellStyle name="Percent 6 2 3 2" xfId="804" xr:uid="{DD0EC07C-F9C8-4FA5-95DD-A0D507472938}"/>
    <cellStyle name="Percent 6 2 4" xfId="696" xr:uid="{0A42FAF8-85EE-4768-BCCD-FF7CBFB369B5}"/>
    <cellStyle name="Percent 6 3" xfId="300" xr:uid="{71B7E328-8D36-4802-ABAF-4213B23713D9}"/>
    <cellStyle name="Percent 6 3 2" xfId="634" xr:uid="{9AFAAE22-FA85-44F7-A14A-4158E5F9DFF0}"/>
    <cellStyle name="Percent 6 3 2 2" xfId="905" xr:uid="{4BEAE948-AC9A-4314-9A6B-E6AB83D9C121}"/>
    <cellStyle name="Percent 6 3 3" xfId="760" xr:uid="{1D36138A-C0C3-4A01-B37D-C9C36044D035}"/>
    <cellStyle name="Percent 6 4" xfId="471" xr:uid="{36769161-83D9-4191-B78B-0F458530A8D2}"/>
    <cellStyle name="Percent 6 4 2" xfId="803" xr:uid="{98ACE846-BC57-46B8-BDEB-0877E6F1A9B6}"/>
    <cellStyle name="Percent 6 5" xfId="695" xr:uid="{A3E32708-83E6-4DEB-85D7-BA327DFEE8B7}"/>
    <cellStyle name="Percent 7" xfId="228" xr:uid="{7AEB7763-369E-4751-AAA0-66687C271E6D}"/>
    <cellStyle name="Percent 7 2" xfId="229" xr:uid="{4D157F68-435D-4E5A-8B45-21138C3EBDBF}"/>
    <cellStyle name="Percent 7 2 2" xfId="303" xr:uid="{B9950B28-122E-43EA-94B2-F3CB3EA72EBD}"/>
    <cellStyle name="Percent 7 2 2 2" xfId="635" xr:uid="{05433FCB-B725-411A-9F71-630238227D59}"/>
    <cellStyle name="Percent 7 2 2 2 2" xfId="908" xr:uid="{3A20AE66-1889-40E6-806E-50C6AFD730AD}"/>
    <cellStyle name="Percent 7 2 2 3" xfId="763" xr:uid="{6D4B7F92-71BB-45DF-A3B8-A78FB064315A}"/>
    <cellStyle name="Percent 7 2 3" xfId="474" xr:uid="{B5272486-C54A-4D43-98AE-1337CB652CC6}"/>
    <cellStyle name="Percent 7 2 3 2" xfId="806" xr:uid="{08C3FFBC-DA09-4D60-B334-3A4ED32AF2C1}"/>
    <cellStyle name="Percent 7 2 4" xfId="698" xr:uid="{56FA7361-7583-4EBF-9CF6-2EBB852F638B}"/>
    <cellStyle name="Percent 7 3" xfId="230" xr:uid="{6654CD63-0999-442F-AE77-472E02A8F0AC}"/>
    <cellStyle name="Percent 7 3 2" xfId="304" xr:uid="{68655C4A-3BA8-4272-973D-1584208ADE56}"/>
    <cellStyle name="Percent 7 3 2 2" xfId="636" xr:uid="{AB27D72A-A80F-4184-B81A-BDC31780110A}"/>
    <cellStyle name="Percent 7 3 2 2 2" xfId="909" xr:uid="{11FB61B5-E252-480D-A3BE-190CA9018D08}"/>
    <cellStyle name="Percent 7 3 2 3" xfId="764" xr:uid="{FFD7CE7F-10BE-4A60-85C8-54792849C5A0}"/>
    <cellStyle name="Percent 7 3 3" xfId="475" xr:uid="{E18D8342-9E8D-4552-8216-B3F813D7AB6D}"/>
    <cellStyle name="Percent 7 3 3 2" xfId="807" xr:uid="{9134016B-BC79-4664-A47B-4640BFC52942}"/>
    <cellStyle name="Percent 7 3 4" xfId="699" xr:uid="{43730FA6-6280-4004-9274-6991A6A39B1B}"/>
    <cellStyle name="Percent 7 4" xfId="231" xr:uid="{023BF23B-84FA-4EA1-BB7E-F61F3AB526A9}"/>
    <cellStyle name="Percent 7 4 2" xfId="352" xr:uid="{EBCC5E20-E1D9-4C1F-98C4-64B8773087F2}"/>
    <cellStyle name="Percent 7 4 2 2" xfId="637" xr:uid="{5EAA417C-4C14-4015-8325-13731C8DCDC9}"/>
    <cellStyle name="Percent 7 4 2 2 2" xfId="919" xr:uid="{C55B1602-719D-4F84-A9F8-4721CF6DB98E}"/>
    <cellStyle name="Percent 7 4 2 3" xfId="774" xr:uid="{3391815D-D2D8-40B5-B429-5AA2B2D6F918}"/>
    <cellStyle name="Percent 7 4 3" xfId="638" xr:uid="{499078B8-502C-4987-9BED-DD6E21ADD4AF}"/>
    <cellStyle name="Percent 7 4 3 2" xfId="862" xr:uid="{D40CEBB9-B611-4F6B-9B17-4AA79F94B7D6}"/>
    <cellStyle name="Percent 7 4 4" xfId="720" xr:uid="{834A0B96-18DE-45F1-89B3-C5AFEC99D217}"/>
    <cellStyle name="Percent 7 5" xfId="302" xr:uid="{FD2390A0-382B-4315-9DAD-51B286450BEB}"/>
    <cellStyle name="Percent 7 5 2" xfId="639" xr:uid="{D4C2B531-E080-4BCE-946B-50C6B4D23B8A}"/>
    <cellStyle name="Percent 7 5 2 2" xfId="907" xr:uid="{C07AB417-2085-42F9-9F20-805261BAE027}"/>
    <cellStyle name="Percent 7 5 3" xfId="762" xr:uid="{BBA9E212-4F0F-4B95-89EC-8F4F81885F4A}"/>
    <cellStyle name="Percent 7 6" xfId="473" xr:uid="{82B27CEB-22EA-4B95-870F-3BBA3D091243}"/>
    <cellStyle name="Percent 7 6 2" xfId="805" xr:uid="{3C39FA87-A4CF-4885-8F83-E4F6E7F66596}"/>
    <cellStyle name="Percent 7 7" xfId="697" xr:uid="{334B99F9-5040-454A-85B3-353DE2A79153}"/>
    <cellStyle name="Percent 8" xfId="232" xr:uid="{3017CEDB-B2EA-4CA9-A6B4-080BF518CEEB}"/>
    <cellStyle name="Percent 8 2" xfId="233" xr:uid="{5693C3C6-BB2E-41DE-89B1-78DA446446B1}"/>
    <cellStyle name="Percent 8 2 2" xfId="306" xr:uid="{C472BC0A-65D2-4C27-BF14-29019A9CCEB4}"/>
    <cellStyle name="Percent 8 2 2 2" xfId="640" xr:uid="{A550ECCE-B967-4FF0-9AB2-FEEBE84D0CC9}"/>
    <cellStyle name="Percent 8 2 2 2 2" xfId="911" xr:uid="{724C76D5-9D56-46A7-B5FF-44B6EE1A3553}"/>
    <cellStyle name="Percent 8 2 2 3" xfId="766" xr:uid="{0DB061B9-54DB-4570-8422-1005A9ACD0AF}"/>
    <cellStyle name="Percent 8 2 3" xfId="477" xr:uid="{8F6E4844-8195-4400-A8D5-FDB82E5FF05F}"/>
    <cellStyle name="Percent 8 2 3 2" xfId="809" xr:uid="{B62B65D4-4C76-4F81-AE52-8E2BC67001AE}"/>
    <cellStyle name="Percent 8 2 4" xfId="701" xr:uid="{DC35BCA3-BDFE-4D04-A99E-31BB6C9D893C}"/>
    <cellStyle name="Percent 8 3" xfId="234" xr:uid="{8E8A3EA0-A18B-4C04-A972-C59FD2A78D5D}"/>
    <cellStyle name="Percent 8 3 2" xfId="307" xr:uid="{6A55240F-9E3B-476E-83B1-3E24310E7145}"/>
    <cellStyle name="Percent 8 3 2 2" xfId="641" xr:uid="{A2230226-1852-4042-882E-7B2505FDF7C3}"/>
    <cellStyle name="Percent 8 3 2 2 2" xfId="912" xr:uid="{7963149C-A971-4322-9365-A76793420606}"/>
    <cellStyle name="Percent 8 3 2 3" xfId="767" xr:uid="{AAF35818-37E8-44AB-8582-2790B8ED0907}"/>
    <cellStyle name="Percent 8 3 3" xfId="478" xr:uid="{337682CB-F6CA-4EB8-BF0A-0E24A42FAD29}"/>
    <cellStyle name="Percent 8 3 3 2" xfId="810" xr:uid="{9CFDDE3D-3FC2-4B8E-BB34-BEDDA5F78DBB}"/>
    <cellStyle name="Percent 8 3 4" xfId="702" xr:uid="{D1A54CAD-0FF9-4DE6-8582-7BF290E9BFAC}"/>
    <cellStyle name="Percent 8 4" xfId="235" xr:uid="{144F6116-9958-4B56-B5C8-B7A09AB844E0}"/>
    <cellStyle name="Percent 8 4 2" xfId="308" xr:uid="{70CAFC98-C0A5-41D6-8D7E-AFD31F32C5FF}"/>
    <cellStyle name="Percent 8 4 2 2" xfId="642" xr:uid="{C24353AA-891D-4AB2-9012-31CADDD2FB44}"/>
    <cellStyle name="Percent 8 4 2 2 2" xfId="913" xr:uid="{91907BA4-EF56-4DC8-996C-10E7F25E5F33}"/>
    <cellStyle name="Percent 8 4 2 3" xfId="768" xr:uid="{B1845EC3-53B1-4D29-9CD1-1B6F87F449F3}"/>
    <cellStyle name="Percent 8 4 3" xfId="479" xr:uid="{4242EE6C-7AAA-44B4-8078-600D511582CA}"/>
    <cellStyle name="Percent 8 4 3 2" xfId="811" xr:uid="{992A1027-B352-4250-ADA2-780A99CA316D}"/>
    <cellStyle name="Percent 8 4 4" xfId="703" xr:uid="{533C67F5-40DA-46DA-9701-C8CFE7EA6192}"/>
    <cellStyle name="Percent 8 5" xfId="236" xr:uid="{C5BDEC01-6CB3-449C-B996-F9C20CBD0EE5}"/>
    <cellStyle name="Percent 8 5 2" xfId="353" xr:uid="{5F8180E5-CA0D-46F9-A5DE-0DB6CFB4349A}"/>
    <cellStyle name="Percent 8 5 2 2" xfId="643" xr:uid="{9CD08805-0512-4550-999C-31D36B93129C}"/>
    <cellStyle name="Percent 8 5 2 2 2" xfId="920" xr:uid="{A6E88D3E-6CAC-45A8-876C-A5DE309E0090}"/>
    <cellStyle name="Percent 8 5 2 3" xfId="775" xr:uid="{BE05755D-FAA5-4E0D-8946-4452D50AFE0B}"/>
    <cellStyle name="Percent 8 5 3" xfId="644" xr:uid="{63DF4862-67BB-41BD-B2B6-63EEFED7712A}"/>
    <cellStyle name="Percent 8 5 3 2" xfId="863" xr:uid="{9E42FF5F-473F-4EE6-A080-462952E88415}"/>
    <cellStyle name="Percent 8 5 4" xfId="721" xr:uid="{F144D43A-0932-4827-8F00-75C181D2C9A3}"/>
    <cellStyle name="Percent 8 6" xfId="305" xr:uid="{86A8DF2B-B7D6-4DA6-9D69-44FE4923640F}"/>
    <cellStyle name="Percent 8 6 2" xfId="645" xr:uid="{F97177A6-5EBC-4659-9615-8EA5FA17A190}"/>
    <cellStyle name="Percent 8 6 2 2" xfId="910" xr:uid="{8FEA5FE1-5D6A-41EC-BD39-1571A77FF212}"/>
    <cellStyle name="Percent 8 6 3" xfId="765" xr:uid="{7F62B568-931F-41C6-901A-AFB490269771}"/>
    <cellStyle name="Percent 8 7" xfId="476" xr:uid="{6A3E3326-D079-4347-A3A7-712D18BECA39}"/>
    <cellStyle name="Percent 8 7 2" xfId="808" xr:uid="{321B7CAD-FDE0-43C2-B978-6F4579DDDA90}"/>
    <cellStyle name="Percent 8 8" xfId="700" xr:uid="{F69E74DB-B866-4622-9E23-417B89BBB169}"/>
    <cellStyle name="Percent 9" xfId="237" xr:uid="{AA2FDF1C-47E7-4B88-89E8-0F0A1943A009}"/>
    <cellStyle name="Percent 9 2" xfId="238" xr:uid="{D725761A-54BA-4A7D-86D4-BC7FFEF30EDC}"/>
    <cellStyle name="Percent 9 2 2" xfId="362" xr:uid="{DFBF51C4-3F1C-4632-966A-E38F3EF89BA9}"/>
    <cellStyle name="Percent 9 2 2 2" xfId="646" xr:uid="{FCA4B8A4-D862-403A-A8A4-D9A521858528}"/>
    <cellStyle name="Percent 9 2 2 2 2" xfId="925" xr:uid="{B9312E5E-E458-4EBC-A52C-4490486E1658}"/>
    <cellStyle name="Percent 9 2 2 3" xfId="780" xr:uid="{6B2BC296-9C6E-42A1-BCDB-645AB048E124}"/>
    <cellStyle name="Percent 9 2 3" xfId="481" xr:uid="{A9636CED-3115-4E1C-8448-2AE0315A4013}"/>
    <cellStyle name="Percent 9 2 3 2" xfId="813" xr:uid="{72A78FBE-CF7A-48F2-9A2C-F7E4B8A66058}"/>
    <cellStyle name="Percent 9 2 4" xfId="705" xr:uid="{45BA8848-CDBB-4FCD-84E2-00ED07F297CB}"/>
    <cellStyle name="Percent 9 3" xfId="309" xr:uid="{08EC96BD-B7F7-43EC-AB03-986636F9B283}"/>
    <cellStyle name="Percent 9 3 2" xfId="647" xr:uid="{1473CC93-EE06-4BEC-B481-4DCC36861C0E}"/>
    <cellStyle name="Percent 9 3 2 2" xfId="914" xr:uid="{5BB4BD46-C3AA-4B1A-9827-78517A4C8BE9}"/>
    <cellStyle name="Percent 9 3 3" xfId="769" xr:uid="{FA45D542-BEB9-42E4-9F38-526BF98AA656}"/>
    <cellStyle name="Percent 9 4" xfId="480" xr:uid="{BFA09D7E-8919-4CF1-A209-439C0DECE238}"/>
    <cellStyle name="Percent 9 4 2" xfId="648" xr:uid="{38E5047B-F44F-4369-B9EC-4723860DE60B}"/>
    <cellStyle name="Percent 9 4 2 2" xfId="934" xr:uid="{D9874E88-DEB8-4538-990E-550896C05523}"/>
    <cellStyle name="Percent 9 4 3" xfId="812" xr:uid="{7BF091F2-A238-4386-AB25-283496BA277E}"/>
    <cellStyle name="Percent 9 5" xfId="649" xr:uid="{D4D39020-6AB4-44F2-A710-6B1D18FAF6A8}"/>
    <cellStyle name="Percent 9 5 2" xfId="841" xr:uid="{8FB0D8C4-64BA-4B94-8C94-E89926951901}"/>
    <cellStyle name="Percent 9 6" xfId="704" xr:uid="{B4E702A3-B194-4C91-A3CF-862A59C1C7CB}"/>
    <cellStyle name="RISKbigPercent" xfId="239" xr:uid="{EABB7237-6BC8-4016-9FB0-BC41AA48075E}"/>
    <cellStyle name="RISKbigPercent 2" xfId="650" xr:uid="{1639D271-1126-4156-B147-4ACDF38C2E81}"/>
    <cellStyle name="RISKbigPercent 2 2" xfId="864" xr:uid="{AC20D4CD-DD64-4C09-9C8B-4AC9F3FCD285}"/>
    <cellStyle name="RISKbigPercent 3" xfId="722" xr:uid="{6912AD29-18B3-4B29-B8AD-3905079CAC75}"/>
    <cellStyle name="RISKblandrEdge" xfId="240" xr:uid="{A864CC58-0443-4C66-A98E-32895759B61D}"/>
    <cellStyle name="RISKblandrEdge 2" xfId="651" xr:uid="{A02C4B8E-41B7-4840-9FED-F775E9C1BFA1}"/>
    <cellStyle name="RISKblandrEdge 2 2" xfId="865" xr:uid="{E90879CC-E6FC-45ED-9FC6-B62CAE6D6FF3}"/>
    <cellStyle name="RISKblandrEdge 3" xfId="723" xr:uid="{9E6A095A-D9D2-4998-8CC5-FA9987D37598}"/>
    <cellStyle name="RISKblCorner" xfId="241" xr:uid="{24A01088-EA43-42EE-ACA5-3CDEC6B0C70D}"/>
    <cellStyle name="RISKblCorner 2" xfId="652" xr:uid="{9D313A32-CA0E-4F7F-8B01-4767C9C56C81}"/>
    <cellStyle name="RISKblCorner 2 2" xfId="866" xr:uid="{34934E75-E762-4596-B8D8-07F0C1404226}"/>
    <cellStyle name="RISKblCorner 3" xfId="724" xr:uid="{41FE993B-4B87-4D59-8B7B-618527B66FE8}"/>
    <cellStyle name="RISKbottomEdge" xfId="242" xr:uid="{D65FE98B-3C52-43CA-AB96-B963B066CC00}"/>
    <cellStyle name="RISKbottomEdge 2" xfId="653" xr:uid="{7F992336-D632-4E7F-AC76-73938FAF5E77}"/>
    <cellStyle name="RISKbottomEdge 2 2" xfId="867" xr:uid="{1A5152E2-6DAB-4FDC-9815-118EAD9890BB}"/>
    <cellStyle name="RISKbottomEdge 3" xfId="725" xr:uid="{11E3BF5B-B530-43E1-98B1-2FE98E1DE6CD}"/>
    <cellStyle name="RISKbrCorner" xfId="243" xr:uid="{EDA479BD-855B-4DB8-A9F3-C270BAF62418}"/>
    <cellStyle name="RISKbrCorner 2" xfId="654" xr:uid="{B56BBB08-8DE2-476B-935D-1F6F1EDC46AF}"/>
    <cellStyle name="RISKbrCorner 2 2" xfId="868" xr:uid="{B78C3D34-32E2-4CC8-B05D-1D156C62DE90}"/>
    <cellStyle name="RISKbrCorner 3" xfId="726" xr:uid="{0D5667AB-A4B7-47DB-A9BD-C3C2A18DD290}"/>
    <cellStyle name="RISKdarkBoxed" xfId="244" xr:uid="{0CE415FC-CB85-43D8-930C-00B1FC39A8B5}"/>
    <cellStyle name="RISKdarkBoxed 2" xfId="655" xr:uid="{DBDD03A5-1D3B-443D-BB00-078A600BE60D}"/>
    <cellStyle name="RISKdarkBoxed 2 2" xfId="869" xr:uid="{59C25C70-B29B-41BF-8EE3-318E8F94A290}"/>
    <cellStyle name="RISKdarkBoxed 3" xfId="727" xr:uid="{A1FF58F1-15DE-4FB4-A9CB-7034BD54FBF4}"/>
    <cellStyle name="RISKdarkShade" xfId="245" xr:uid="{A2961DFF-80BD-4E95-A422-61656554C124}"/>
    <cellStyle name="RISKdarkShade 2" xfId="656" xr:uid="{DB5DC80F-606D-4A09-A970-7F69E67DE7E6}"/>
    <cellStyle name="RISKdarkShade 2 2" xfId="870" xr:uid="{2C466380-C091-48A6-99A0-48D6E63E2E8B}"/>
    <cellStyle name="RISKdarkShade 3" xfId="728" xr:uid="{9461C213-107A-42D1-964A-384EC18C9C80}"/>
    <cellStyle name="RISKdbottomEdge" xfId="246" xr:uid="{1447E990-44DA-44A9-84D6-F539456FB57A}"/>
    <cellStyle name="RISKdbottomEdge 2" xfId="657" xr:uid="{3FD9F175-5FE9-41C1-88EA-89BF742783CC}"/>
    <cellStyle name="RISKdbottomEdge 2 2" xfId="871" xr:uid="{8939D0A1-F487-445A-8EB7-137B5D2C496E}"/>
    <cellStyle name="RISKdbottomEdge 3" xfId="729" xr:uid="{7A32E32C-4C30-43FC-BD56-73C6922EC79D}"/>
    <cellStyle name="RISKdrightEdge" xfId="247" xr:uid="{61013178-8F87-4D9B-9638-B1408AF8B2A3}"/>
    <cellStyle name="RISKdrightEdge 2" xfId="658" xr:uid="{326221F8-2E57-43DC-9542-5CE3A6D9959E}"/>
    <cellStyle name="RISKdrightEdge 2 2" xfId="872" xr:uid="{5321EAEC-E8C7-4AC7-AB6D-5F2B3DB683FE}"/>
    <cellStyle name="RISKdrightEdge 3" xfId="730" xr:uid="{F794F267-4440-4AC9-8607-F086E8E45246}"/>
    <cellStyle name="RISKdurationTime" xfId="248" xr:uid="{A508B50D-A35F-487A-B3E3-11DC4B8251D5}"/>
    <cellStyle name="RISKdurationTime 2" xfId="659" xr:uid="{85F0A18A-C61F-409E-97B7-7C2FBAC62B2B}"/>
    <cellStyle name="RISKdurationTime 2 2" xfId="873" xr:uid="{46EE8018-C68A-46A2-8AAA-03E2EFFB4EAA}"/>
    <cellStyle name="RISKdurationTime 3" xfId="731" xr:uid="{2FD1D6CC-0330-407F-8F46-8566B5D16149}"/>
    <cellStyle name="RISKinNumber" xfId="249" xr:uid="{24B3CC9E-76C8-4435-9DC5-2041A484A093}"/>
    <cellStyle name="RISKinNumber 2" xfId="354" xr:uid="{6F1897A2-E153-4CC2-BFFF-225D5B9EFECF}"/>
    <cellStyle name="RISKlandrEdge" xfId="250" xr:uid="{92B49D15-0694-4A7D-BD8C-8BF34FC213D1}"/>
    <cellStyle name="RISKlandrEdge 2" xfId="660" xr:uid="{58F5DEE0-61C2-448E-80C5-39109C09FD4F}"/>
    <cellStyle name="RISKlandrEdge 2 2" xfId="874" xr:uid="{4C2ACC5D-16B7-48DF-8413-73ECC4726480}"/>
    <cellStyle name="RISKlandrEdge 3" xfId="732" xr:uid="{BF99144D-6508-4CCF-868A-3CF735BC6DE8}"/>
    <cellStyle name="RISKleftEdge" xfId="251" xr:uid="{24E071DD-5834-43BD-A4DA-D64FACC8B6C2}"/>
    <cellStyle name="RISKleftEdge 2" xfId="661" xr:uid="{FE653F77-E5FB-42EC-ADC8-B83C556806EB}"/>
    <cellStyle name="RISKleftEdge 2 2" xfId="875" xr:uid="{E15E00F6-8A2A-4E7E-8C57-C1A78152B246}"/>
    <cellStyle name="RISKleftEdge 3" xfId="733" xr:uid="{B2D9D8BD-5962-42A9-80B1-7A977CD5E0F1}"/>
    <cellStyle name="RISKlightBoxed" xfId="252" xr:uid="{07E5A598-303E-4036-8532-22DE09B3B0C6}"/>
    <cellStyle name="RISKlightBoxed 2" xfId="662" xr:uid="{E78A5965-43E5-4DD5-BFB5-6D28647758C5}"/>
    <cellStyle name="RISKlightBoxed 2 2" xfId="876" xr:uid="{C5F4A576-624B-4F0D-87B8-BF7D264027E2}"/>
    <cellStyle name="RISKlightBoxed 3" xfId="734" xr:uid="{CACFAFD6-8DDA-4313-8F1F-200D791806F9}"/>
    <cellStyle name="RISKltandbEdge" xfId="253" xr:uid="{18A2BBEA-5C6E-454C-BC08-14C72CB423C3}"/>
    <cellStyle name="RISKltandbEdge 2" xfId="663" xr:uid="{5E9D012A-4FEF-4A00-8FF7-E5F0463FA87F}"/>
    <cellStyle name="RISKltandbEdge 2 2" xfId="877" xr:uid="{B5FCD9EC-54D3-4D5D-B549-C92AA43BCFB6}"/>
    <cellStyle name="RISKltandbEdge 3" xfId="735" xr:uid="{A129FC46-8D01-45C6-8E73-29FFBA58BB18}"/>
    <cellStyle name="RISKnormBoxed" xfId="254" xr:uid="{7FE9CCDE-2662-4D46-A56C-56D2A3F02AE3}"/>
    <cellStyle name="RISKnormBoxed 2" xfId="664" xr:uid="{5292E0D6-938D-4407-BAB5-56AF46716364}"/>
    <cellStyle name="RISKnormBoxed 2 2" xfId="878" xr:uid="{88AA7C50-2EE0-4F92-A458-787620683673}"/>
    <cellStyle name="RISKnormBoxed 3" xfId="736" xr:uid="{CBD8E9F7-3543-45D0-A6B0-19168418BDE1}"/>
    <cellStyle name="RISKnormCenter" xfId="255" xr:uid="{9C587E3B-F9A9-4385-9D59-A565278C5CAE}"/>
    <cellStyle name="RISKnormCenter 2" xfId="665" xr:uid="{369A9B7B-365F-4C77-928D-9DA6E371CB55}"/>
    <cellStyle name="RISKnormCenter 2 2" xfId="879" xr:uid="{0EEC18C3-56C4-407F-9755-C2F5368C9C9E}"/>
    <cellStyle name="RISKnormCenter 3" xfId="737" xr:uid="{B92A76CC-9351-4AF5-AEE0-946CCFEA01AB}"/>
    <cellStyle name="RISKnormHeading" xfId="256" xr:uid="{2217AFC8-707B-4B09-A033-BCE0A8ABA044}"/>
    <cellStyle name="RISKnormItal" xfId="257" xr:uid="{9AE0286B-80E8-4933-A437-DC6E72422E1C}"/>
    <cellStyle name="RISKnormLabel" xfId="258" xr:uid="{8AAB2736-BC39-470F-8EA6-716D4E21396C}"/>
    <cellStyle name="RISKnormShade" xfId="259" xr:uid="{E45058EE-A1A1-427C-B14B-9C1E962798F3}"/>
    <cellStyle name="RISKnormShade 2" xfId="666" xr:uid="{BB0D8AD9-0777-41A7-928D-6A86EE03D6BD}"/>
    <cellStyle name="RISKnormShade 2 2" xfId="880" xr:uid="{AD1510EE-9D87-49F9-BA77-1A3759899F4C}"/>
    <cellStyle name="RISKnormShade 3" xfId="738" xr:uid="{1D8C4AC9-587D-4207-A851-579AAB933DA9}"/>
    <cellStyle name="RISKnormTitle" xfId="260" xr:uid="{E3E09CB5-972E-460B-B54F-0B98BC0DC22A}"/>
    <cellStyle name="RISKoutNumber" xfId="261" xr:uid="{200EA11A-9B7B-467F-BE0C-946E5105BEAA}"/>
    <cellStyle name="RISKoutNumber 2" xfId="355" xr:uid="{A3B82C37-F9F5-4B11-9327-030C45B7EDCF}"/>
    <cellStyle name="RISKrightEdge" xfId="262" xr:uid="{097D79D5-DE82-400C-B4C3-0E79219B71BD}"/>
    <cellStyle name="RISKrightEdge 2" xfId="667" xr:uid="{C81E128D-391E-47CF-A5DC-5D6286D5E1A3}"/>
    <cellStyle name="RISKrightEdge 2 2" xfId="881" xr:uid="{D6B4A014-C5C3-4A7F-B137-3DF8F9E34B98}"/>
    <cellStyle name="RISKrightEdge 3" xfId="739" xr:uid="{185B4A94-D85A-4134-B6F2-7500B5D7CD33}"/>
    <cellStyle name="RISKrtandbEdge" xfId="263" xr:uid="{A42535A6-225A-44FC-BB1C-234D67DA98AD}"/>
    <cellStyle name="RISKrtandbEdge 2" xfId="668" xr:uid="{56055522-3D33-4381-BDE4-A4488342C074}"/>
    <cellStyle name="RISKrtandbEdge 2 2" xfId="882" xr:uid="{4DE49355-49F4-4F74-B511-FCD0F0A40132}"/>
    <cellStyle name="RISKrtandbEdge 3" xfId="740" xr:uid="{F8030E7B-8A91-4B1E-8C19-6D3D8D9C2870}"/>
    <cellStyle name="RISKssTime" xfId="264" xr:uid="{B85292B6-A5B1-4A96-9CD4-189F1FF9E65D}"/>
    <cellStyle name="RISKssTime 2" xfId="669" xr:uid="{E8D85D8B-E462-46D0-AE13-7B8D0362141B}"/>
    <cellStyle name="RISKssTime 2 2" xfId="883" xr:uid="{CC9EB19D-A152-4777-9A2F-0E0EE1FE8EF9}"/>
    <cellStyle name="RISKssTime 3" xfId="741" xr:uid="{9088C4BF-187E-4A1B-ABEA-81DB9F47CBE5}"/>
    <cellStyle name="RISKtandbEdge" xfId="265" xr:uid="{92C51AFA-5E05-4E87-B935-6C9BB3B1FE7E}"/>
    <cellStyle name="RISKtandbEdge 2" xfId="670" xr:uid="{FAC2EF0A-3437-4A0A-B634-38A745783371}"/>
    <cellStyle name="RISKtandbEdge 2 2" xfId="884" xr:uid="{CD4C1CDD-9494-46E7-8743-DFA690629C5D}"/>
    <cellStyle name="RISKtandbEdge 3" xfId="742" xr:uid="{8C8FB0A2-CB6F-4B8A-A094-A684E0BACE76}"/>
    <cellStyle name="RISKtlandrEdge" xfId="266" xr:uid="{131A876B-DC1F-41BA-8F43-03F297533CEF}"/>
    <cellStyle name="RISKtlandrEdge 2" xfId="671" xr:uid="{BC02373C-5B6B-46F0-94C9-416B8F95A20B}"/>
    <cellStyle name="RISKtlandrEdge 2 2" xfId="885" xr:uid="{88993B26-A4D8-448F-A5DA-689B5501340C}"/>
    <cellStyle name="RISKtlandrEdge 3" xfId="743" xr:uid="{4C37B211-191B-478D-93F7-7476219FF3C3}"/>
    <cellStyle name="RISKtlCorner" xfId="267" xr:uid="{0B621AE8-DED6-42AA-A0F4-12996959F716}"/>
    <cellStyle name="RISKtlCorner 2" xfId="672" xr:uid="{BAE38A5E-ED0E-4691-93F2-19EEE66F1488}"/>
    <cellStyle name="RISKtlCorner 2 2" xfId="886" xr:uid="{E1143A58-DA01-479D-AD0F-52AA50B711BF}"/>
    <cellStyle name="RISKtlCorner 3" xfId="744" xr:uid="{981E375A-C9DB-4F46-A17B-A347071C5443}"/>
    <cellStyle name="RISKtopEdge" xfId="268" xr:uid="{826285D6-56EB-41E4-8109-C6EF40D635D4}"/>
    <cellStyle name="RISKtopEdge 2" xfId="673" xr:uid="{53B8F725-8EBB-42F3-A965-ABDEB62DAA2E}"/>
    <cellStyle name="RISKtopEdge 2 2" xfId="887" xr:uid="{DF15D73F-B2D5-4C78-BEE1-07B089E11D67}"/>
    <cellStyle name="RISKtopEdge 3" xfId="745" xr:uid="{3AF26539-313D-4E9C-8784-AF9A694A0C9D}"/>
    <cellStyle name="RISKtrCorner" xfId="269" xr:uid="{A598AF5D-40FA-4939-A11D-A0B61004D135}"/>
    <cellStyle name="RISKtrCorner 2" xfId="674" xr:uid="{6B777278-7143-465E-B795-1C5BA284CB15}"/>
    <cellStyle name="RISKtrCorner 2 2" xfId="888" xr:uid="{7B9FB86F-F852-44D0-9CC0-A282B7CD22AC}"/>
    <cellStyle name="RISKtrCorner 3" xfId="746" xr:uid="{27E97BFC-EDC2-44EA-8751-E19043B5CD25}"/>
    <cellStyle name="Schlecht" xfId="270" xr:uid="{15C69A6B-7A37-4D60-A901-FE117D5FC6CC}"/>
    <cellStyle name="Shade" xfId="271" xr:uid="{FF38EB4C-6010-4020-AD94-D4D90BCB2E0A}"/>
    <cellStyle name="Title" xfId="94" builtinId="15" customBuiltin="1"/>
    <cellStyle name="Title 2" xfId="95" xr:uid="{00000000-0005-0000-0000-000060000000}"/>
    <cellStyle name="Title 2 2" xfId="356" xr:uid="{9EFBCB92-83CC-4056-ABA5-6A2782391408}"/>
    <cellStyle name="Title 3" xfId="406" xr:uid="{39EFDABC-82A0-4613-AB25-D423442D5642}"/>
    <cellStyle name="Title 4" xfId="482" xr:uid="{37C743E3-E006-4DF6-ACF7-715F03B68F15}"/>
    <cellStyle name="Title 5" xfId="272" xr:uid="{7245AE0A-63EC-48CA-8AD4-091C57CF815A}"/>
    <cellStyle name="Total" xfId="96" builtinId="25" customBuiltin="1"/>
    <cellStyle name="Total 2" xfId="97" xr:uid="{00000000-0005-0000-0000-000062000000}"/>
    <cellStyle name="Total 2 2" xfId="675" xr:uid="{5581743B-93B7-4D63-B712-EEDDD8F0A01C}"/>
    <cellStyle name="Total 2 2 2" xfId="921" xr:uid="{41EE42CA-1550-4A92-8E33-3357F3627FDF}"/>
    <cellStyle name="Total 2 3" xfId="776" xr:uid="{D155104C-FCEC-4162-9AE4-254C8E6B9DE6}"/>
    <cellStyle name="Total 2 4" xfId="357" xr:uid="{6D30EEDA-A237-4986-B37C-2EE55E8B92F9}"/>
    <cellStyle name="Total 3" xfId="407" xr:uid="{508DAB7D-F1D4-4D2A-8D01-82881BB017D0}"/>
    <cellStyle name="Total 3 2" xfId="676" xr:uid="{41FDBF7B-8F44-4BDF-968B-B9CB3B07C7B3}"/>
    <cellStyle name="Total 3 2 2" xfId="930" xr:uid="{17E745D8-58A9-4AB7-BC45-FD6E4FACEC6A}"/>
    <cellStyle name="Total 3 3" xfId="782" xr:uid="{FE6D5B33-748B-4169-8393-F2FFE3330FE7}"/>
    <cellStyle name="Total 4" xfId="483" xr:uid="{48F39F06-AE50-4DE2-A458-95BD31834785}"/>
    <cellStyle name="Total 4 2" xfId="677" xr:uid="{DCCD74B4-3D96-4B96-806C-89CB898DABD4}"/>
    <cellStyle name="Total 4 2 2" xfId="889" xr:uid="{AFF52D93-72FE-4853-97A9-4C4C0B901BF1}"/>
    <cellStyle name="Total 4 3" xfId="747" xr:uid="{5C711784-6CDF-42BE-8917-EFA7108CDC4D}"/>
    <cellStyle name="Total 5" xfId="273" xr:uid="{19C3AF72-23BB-4927-ABA0-E495545F3590}"/>
    <cellStyle name="Überschrift" xfId="274" xr:uid="{9FF3B2B9-3079-4724-9645-4EE7F320D9AF}"/>
    <cellStyle name="Überschrift 1" xfId="275" xr:uid="{E70B1F55-A7CD-4711-AFD5-4FD08882456B}"/>
    <cellStyle name="Überschrift 2" xfId="276" xr:uid="{0DEF6990-5C0C-4ACD-BCF5-E7EAF4EEE4DF}"/>
    <cellStyle name="Überschrift 3" xfId="277" xr:uid="{A889B8D3-573E-4E83-9D97-426E13DF7DA3}"/>
    <cellStyle name="Überschrift 3 2" xfId="1301" xr:uid="{A2FE9E35-6219-43AA-910E-B4BFC0DFA359}"/>
    <cellStyle name="Überschrift 3 2 2" xfId="486" xr:uid="{FE377B82-3E0B-401C-8016-8CF030D3DAFE}"/>
    <cellStyle name="Überschrift 3 3" xfId="1305" xr:uid="{4C0B50B7-68B1-4B76-AFF8-B7C0CD7DB7D5}"/>
    <cellStyle name="Überschrift 3 4" xfId="424" xr:uid="{20690E23-7BAD-4F29-BF31-B2C95B0BC38F}"/>
    <cellStyle name="Überschrift 3 5" xfId="1313" xr:uid="{7DEEA1FA-BDF7-4873-BC40-CF6145BE1133}"/>
    <cellStyle name="Überschrift 4" xfId="278" xr:uid="{1B95C211-08F1-4871-8820-07C831EB5129}"/>
    <cellStyle name="Verknüpfte Zelle" xfId="279" xr:uid="{C36D2716-9269-467A-A533-0F7FAADDD56B}"/>
    <cellStyle name="Warnender Text" xfId="280" xr:uid="{6E565D02-D8A7-491A-98B5-54E8544F8D2F}"/>
    <cellStyle name="Warning Text" xfId="98" builtinId="11" customBuiltin="1"/>
    <cellStyle name="Warning Text 2" xfId="99" xr:uid="{00000000-0005-0000-0000-000064000000}"/>
    <cellStyle name="Warning Text 2 2" xfId="358" xr:uid="{8139CF67-21B6-4945-B350-28DCB9FC53F7}"/>
    <cellStyle name="Warning Text 3" xfId="408" xr:uid="{EE4DE639-CD22-4DF4-8F1F-8915FF6B99BD}"/>
    <cellStyle name="Warning Text 4" xfId="485" xr:uid="{5567AF13-4771-4BD4-B15C-3C19B2DFB7D9}"/>
    <cellStyle name="Zelle überprüfen" xfId="281" xr:uid="{85989771-428A-407E-AD4E-B5619EFD83AD}"/>
    <cellStyle name="Гиперссылка" xfId="282" xr:uid="{7157E86B-1466-4932-A3DC-6585AA13A525}"/>
    <cellStyle name="Обычный_2++" xfId="283" xr:uid="{6C14F956-FFF2-493C-BF99-75B7C6BDF7AB}"/>
  </cellStyles>
  <dxfs count="1389">
    <dxf>
      <font>
        <b val="0"/>
        <i val="0"/>
        <strike val="0"/>
        <condense val="0"/>
        <extend val="0"/>
        <outline val="0"/>
        <shadow val="0"/>
        <u/>
        <vertAlign val="baseline"/>
        <sz val="16"/>
        <color indexed="12"/>
        <name val="Aptos"/>
        <family val="2"/>
        <scheme val="none"/>
      </font>
      <alignment horizontal="general" vertical="bottom" textRotation="0" wrapText="0" indent="0" justifyLastLine="0" shrinkToFit="0" readingOrder="0"/>
      <protection locked="1" hidden="0"/>
    </dxf>
    <dxf>
      <font>
        <b val="0"/>
        <i val="0"/>
        <strike val="0"/>
        <condense val="0"/>
        <extend val="0"/>
        <outline val="0"/>
        <shadow val="0"/>
        <u/>
        <vertAlign val="baseline"/>
        <sz val="16"/>
        <color indexed="12"/>
        <name val="Aptos"/>
        <family val="2"/>
        <scheme val="none"/>
      </font>
      <alignment horizontal="general" vertical="bottom" textRotation="0" wrapText="0" indent="0" justifyLastLine="0" shrinkToFit="0" readingOrder="0"/>
      <protection locked="1" hidden="0"/>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vertAlign val="baseline"/>
        <sz val="12"/>
        <name val="Aptos"/>
        <family val="2"/>
        <scheme val="none"/>
      </font>
    </dxf>
    <dxf>
      <font>
        <b val="0"/>
        <i val="0"/>
        <strike val="0"/>
        <condense val="0"/>
        <extend val="0"/>
        <outline val="0"/>
        <shadow val="0"/>
        <u val="none"/>
        <vertAlign val="baseline"/>
        <sz val="12"/>
        <color auto="1"/>
        <name val="Aptos"/>
        <family val="2"/>
        <scheme val="none"/>
      </font>
      <numFmt numFmtId="166" formatCode="_(* #,##0_);_(* \(#,##0\);_(* &quot;-&quot;??_);_(@_)"/>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ptos"/>
        <family val="2"/>
        <scheme val="none"/>
      </font>
      <numFmt numFmtId="166" formatCode="_(* #,##0_);_(* \(#,##0\);_(* &quot;-&quot;??_);_(@_)"/>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ptos"/>
        <family val="2"/>
        <scheme val="none"/>
      </font>
      <numFmt numFmtId="166" formatCode="_(* #,##0_);_(* \(#,##0\);_(* &quot;-&quot;??_);_(@_)"/>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ptos"/>
        <family val="2"/>
        <scheme val="none"/>
      </font>
      <numFmt numFmtId="166" formatCode="_(* #,##0_);_(* \(#,##0\);_(* &quot;-&quot;??_);_(@_)"/>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ptos"/>
        <family val="2"/>
        <scheme val="none"/>
      </font>
      <numFmt numFmtId="166" formatCode="_(* #,##0_);_(* \(#,##0\);_(* &quot;-&quot;??_);_(@_)"/>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ptos"/>
        <family val="2"/>
        <scheme val="none"/>
      </font>
      <numFmt numFmtId="166" formatCode="_(* #,##0_);_(* \(#,##0\);_(* &quot;-&quot;??_);_(@_)"/>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ptos"/>
        <family val="2"/>
        <scheme val="none"/>
      </font>
      <border diagonalUp="0" diagonalDown="0" outline="0">
        <left/>
        <right style="thin">
          <color auto="1"/>
        </right>
        <top style="thin">
          <color auto="1"/>
        </top>
        <bottom style="thin">
          <color auto="1"/>
        </bottom>
      </border>
    </dxf>
    <dxf>
      <border outline="0">
        <left style="thin">
          <color indexed="64"/>
        </left>
        <top style="thin">
          <color auto="1"/>
        </top>
      </border>
    </dxf>
    <dxf>
      <font>
        <strike val="0"/>
        <outline val="0"/>
        <shadow val="0"/>
        <vertAlign val="baseline"/>
        <sz val="12"/>
        <name val="Aptos"/>
        <family val="2"/>
        <scheme val="none"/>
      </font>
    </dxf>
    <dxf>
      <border outline="0">
        <bottom style="thin">
          <color auto="1"/>
        </bottom>
      </border>
    </dxf>
    <dxf>
      <font>
        <b val="0"/>
        <i val="0"/>
        <strike val="0"/>
        <condense val="0"/>
        <extend val="0"/>
        <outline val="0"/>
        <shadow val="0"/>
        <u val="none"/>
        <vertAlign val="baseline"/>
        <sz val="12"/>
        <color auto="1"/>
        <name val="Aptos"/>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0" tint="-0.14999847407452621"/>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0" tint="-0.14999847407452621"/>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0" tint="-0.14999847407452621"/>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border diagonalUp="0" diagonalDown="0" outline="0">
        <left/>
        <right/>
        <top style="thin">
          <color auto="1"/>
        </top>
        <bottom style="thin">
          <color auto="1"/>
        </bottom>
      </border>
    </dxf>
    <dxf>
      <border outline="0">
        <left style="thin">
          <color indexed="64"/>
        </left>
        <top style="thin">
          <color auto="1"/>
        </top>
      </border>
    </dxf>
    <dxf>
      <font>
        <b val="0"/>
        <i val="0"/>
        <strike val="0"/>
        <condense val="0"/>
        <extend val="0"/>
        <outline val="0"/>
        <shadow val="0"/>
        <u val="none"/>
        <vertAlign val="baseline"/>
        <sz val="12"/>
        <color theme="1"/>
        <name val="Aptos"/>
        <family val="2"/>
        <scheme val="none"/>
      </font>
      <fill>
        <patternFill patternType="none">
          <fgColor indexed="64"/>
          <bgColor indexed="65"/>
        </patternFill>
      </fill>
    </dxf>
    <dxf>
      <border outline="0">
        <bottom style="thin">
          <color auto="1"/>
        </bottom>
      </border>
    </dxf>
    <dxf>
      <font>
        <b val="0"/>
        <i val="0"/>
        <strike val="0"/>
        <condense val="0"/>
        <extend val="0"/>
        <outline val="0"/>
        <shadow val="0"/>
        <u val="none"/>
        <vertAlign val="baseline"/>
        <sz val="12"/>
        <color auto="1"/>
        <name val="Aptos"/>
        <family val="2"/>
        <scheme val="none"/>
      </font>
      <fill>
        <patternFill patternType="none">
          <fgColor indexed="64"/>
          <bgColor indexed="65"/>
        </patternFill>
      </fill>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numFmt numFmtId="166" formatCode="_(* #,##0_);_(* \(#,##0\);_(* &quot;-&quot;??_);_(@_)"/>
      <fill>
        <patternFill patternType="solid">
          <fgColor indexed="64"/>
          <bgColor theme="0" tint="-0.34998626667073579"/>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numFmt numFmtId="166" formatCode="_(* #,##0_);_(* \(#,##0\);_(* &quot;-&quot;??_);_(@_)"/>
      <fill>
        <patternFill patternType="solid">
          <fgColor indexed="64"/>
          <bgColor theme="0" tint="-0.34998626667073579"/>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numFmt numFmtId="166" formatCode="_(* #,##0_);_(* \(#,##0\);_(* &quot;-&quot;??_);_(@_)"/>
      <fill>
        <patternFill patternType="solid">
          <fgColor indexed="64"/>
          <bgColor theme="0" tint="-0.34998626667073579"/>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numFmt numFmtId="166" formatCode="_(* #,##0_);_(* \(#,##0\);_(* &quot;-&quot;??_);_(@_)"/>
      <fill>
        <patternFill patternType="solid">
          <fgColor indexed="64"/>
          <bgColor theme="0" tint="-0.34998626667073579"/>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border diagonalUp="0" diagonalDown="0" outline="0">
        <left/>
        <right/>
        <top style="thin">
          <color auto="1"/>
        </top>
        <bottom style="thin">
          <color auto="1"/>
        </bottom>
      </border>
    </dxf>
    <dxf>
      <border outline="0">
        <left style="thin">
          <color indexed="64"/>
        </left>
        <top style="thin">
          <color auto="1"/>
        </top>
      </border>
    </dxf>
    <dxf>
      <font>
        <b val="0"/>
        <i val="0"/>
        <strike val="0"/>
        <condense val="0"/>
        <extend val="0"/>
        <outline val="0"/>
        <shadow val="0"/>
        <u val="none"/>
        <vertAlign val="baseline"/>
        <sz val="12"/>
        <color auto="1"/>
        <name val="Aptos"/>
        <family val="2"/>
        <scheme val="none"/>
      </font>
      <fill>
        <patternFill patternType="none">
          <fgColor indexed="64"/>
          <bgColor indexed="65"/>
        </patternFill>
      </fill>
    </dxf>
    <dxf>
      <border outline="0">
        <bottom style="thin">
          <color auto="1"/>
        </bottom>
      </border>
    </dxf>
    <dxf>
      <font>
        <b val="0"/>
        <i val="0"/>
        <strike val="0"/>
        <condense val="0"/>
        <extend val="0"/>
        <outline val="0"/>
        <shadow val="0"/>
        <u val="none"/>
        <vertAlign val="baseline"/>
        <sz val="12"/>
        <color auto="1"/>
        <name val="Aptos"/>
        <family val="2"/>
        <scheme val="none"/>
      </font>
      <fill>
        <patternFill patternType="none">
          <fgColor indexed="64"/>
          <bgColor indexed="65"/>
        </patternFill>
      </fill>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0" tint="-0.34998626667073579"/>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0" tint="-0.34998626667073579"/>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0" tint="-0.34998626667073579"/>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border diagonalUp="0" diagonalDown="0" outline="0">
        <left/>
        <right/>
        <top style="thin">
          <color auto="1"/>
        </top>
        <bottom style="thin">
          <color auto="1"/>
        </bottom>
      </border>
    </dxf>
    <dxf>
      <border outline="0">
        <left style="thin">
          <color indexed="64"/>
        </left>
        <top style="thin">
          <color auto="1"/>
        </top>
      </border>
    </dxf>
    <dxf>
      <font>
        <b val="0"/>
        <i val="0"/>
        <strike val="0"/>
        <condense val="0"/>
        <extend val="0"/>
        <outline val="0"/>
        <shadow val="0"/>
        <u val="none"/>
        <vertAlign val="baseline"/>
        <sz val="12"/>
        <color theme="1"/>
        <name val="Aptos"/>
        <family val="2"/>
        <scheme val="none"/>
      </font>
      <fill>
        <patternFill patternType="none">
          <fgColor indexed="64"/>
          <bgColor indexed="65"/>
        </patternFill>
      </fill>
    </dxf>
    <dxf>
      <border outline="0">
        <bottom style="thin">
          <color auto="1"/>
        </bottom>
      </border>
    </dxf>
    <dxf>
      <font>
        <b val="0"/>
        <i val="0"/>
        <strike val="0"/>
        <condense val="0"/>
        <extend val="0"/>
        <outline val="0"/>
        <shadow val="0"/>
        <u val="none"/>
        <vertAlign val="baseline"/>
        <sz val="12"/>
        <color auto="1"/>
        <name val="Aptos"/>
        <family val="2"/>
        <scheme val="none"/>
      </font>
      <fill>
        <patternFill patternType="none">
          <fgColor indexed="64"/>
          <bgColor indexed="65"/>
        </patternFill>
      </fill>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Aptos"/>
        <family val="2"/>
        <scheme val="none"/>
      </font>
      <numFmt numFmtId="166" formatCode="_(* #,##0_);_(* \(#,##0\);_(* &quot;-&quot;??_);_(@_)"/>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Aptos"/>
        <family val="2"/>
        <scheme val="none"/>
      </font>
      <numFmt numFmtId="166" formatCode="_(* #,##0_);_(* \(#,##0\);_(* &quot;-&quot;??_);_(@_)"/>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Aptos"/>
        <family val="2"/>
        <scheme val="none"/>
      </font>
      <numFmt numFmtId="166" formatCode="_(* #,##0_);_(* \(#,##0\);_(* &quot;-&quot;??_);_(@_)"/>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Aptos"/>
        <family val="2"/>
        <scheme val="none"/>
      </font>
      <numFmt numFmtId="166" formatCode="_(* #,##0_);_(* \(#,##0\);_(* &quot;-&quot;??_);_(@_)"/>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Aptos"/>
        <family val="2"/>
        <scheme val="none"/>
      </font>
      <numFmt numFmtId="166" formatCode="_(* #,##0_);_(* \(#,##0\);_(* &quot;-&quot;??_);_(@_)"/>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Aptos"/>
        <family val="2"/>
        <scheme val="none"/>
      </font>
      <numFmt numFmtId="166" formatCode="_(* #,##0_);_(* \(#,##0\);_(* &quot;-&quot;??_);_(@_)"/>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Aptos"/>
        <family val="2"/>
        <scheme val="none"/>
      </font>
      <numFmt numFmtId="166" formatCode="_(* #,##0_);_(* \(#,##0\);_(* &quot;-&quot;??_);_(@_)"/>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Aptos"/>
        <family val="2"/>
        <scheme val="none"/>
      </font>
      <numFmt numFmtId="166" formatCode="_(* #,##0_);_(* \(#,##0\);_(* &quot;-&quot;??_);_(@_)"/>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Aptos"/>
        <family val="2"/>
        <scheme val="none"/>
      </font>
      <numFmt numFmtId="166" formatCode="_(* #,##0_);_(* \(#,##0\);_(* &quot;-&quot;??_);_(@_)"/>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Aptos"/>
        <family val="2"/>
        <scheme val="none"/>
      </font>
      <numFmt numFmtId="166" formatCode="_(* #,##0_);_(* \(#,##0\);_(* &quot;-&quot;??_);_(@_)"/>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Aptos"/>
        <family val="2"/>
        <scheme val="none"/>
      </font>
      <numFmt numFmtId="166" formatCode="_(* #,##0_);_(* \(#,##0\);_(* &quot;-&quot;??_);_(@_)"/>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Aptos"/>
        <family val="2"/>
        <scheme val="none"/>
      </font>
      <numFmt numFmtId="166" formatCode="_(* #,##0_);_(* \(#,##0\);_(* &quot;-&quot;??_);_(@_)"/>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Aptos"/>
        <family val="2"/>
        <scheme val="none"/>
      </font>
      <numFmt numFmtId="166" formatCode="_(* #,##0_);_(* \(#,##0\);_(* &quot;-&quot;??_);_(@_)"/>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Aptos"/>
        <family val="2"/>
        <scheme val="none"/>
      </font>
      <numFmt numFmtId="166" formatCode="_(* #,##0_);_(* \(#,##0\);_(* &quot;-&quot;??_);_(@_)"/>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Aptos"/>
        <family val="2"/>
        <scheme val="none"/>
      </font>
      <numFmt numFmtId="166" formatCode="_(* #,##0_);_(* \(#,##0\);_(* &quot;-&quot;??_);_(@_)"/>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Aptos"/>
        <family val="2"/>
        <scheme val="none"/>
      </font>
      <numFmt numFmtId="166" formatCode="_(* #,##0_);_(* \(#,##0\);_(* &quot;-&quot;??_);_(@_)"/>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Aptos"/>
        <family val="2"/>
        <scheme val="none"/>
      </font>
      <numFmt numFmtId="166" formatCode="_(* #,##0_);_(* \(#,##0\);_(* &quot;-&quot;??_);_(@_)"/>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Aptos"/>
        <family val="2"/>
        <scheme val="none"/>
      </font>
      <numFmt numFmtId="166" formatCode="_(* #,##0_);_(* \(#,##0\);_(* &quot;-&quot;??_);_(@_)"/>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border diagonalUp="0" diagonalDown="0" outline="0">
        <left/>
        <right/>
        <top style="thin">
          <color auto="1"/>
        </top>
        <bottom style="thin">
          <color auto="1"/>
        </bottom>
      </border>
    </dxf>
    <dxf>
      <border outline="0">
        <left style="thin">
          <color indexed="64"/>
        </left>
        <top style="thin">
          <color auto="1"/>
        </top>
      </border>
    </dxf>
    <dxf>
      <font>
        <b val="0"/>
        <i val="0"/>
        <strike val="0"/>
        <condense val="0"/>
        <extend val="0"/>
        <outline val="0"/>
        <shadow val="0"/>
        <u val="none"/>
        <vertAlign val="baseline"/>
        <sz val="12"/>
        <color rgb="FF000000"/>
        <name val="Aptos"/>
        <family val="2"/>
        <scheme val="none"/>
      </font>
    </dxf>
    <dxf>
      <border outline="0">
        <bottom style="thin">
          <color auto="1"/>
        </bottom>
      </border>
    </dxf>
    <dxf>
      <font>
        <b val="0"/>
        <i val="0"/>
        <strike val="0"/>
        <condense val="0"/>
        <extend val="0"/>
        <outline val="0"/>
        <shadow val="0"/>
        <u val="none"/>
        <vertAlign val="baseline"/>
        <sz val="12"/>
        <color auto="1"/>
        <name val="Aptos"/>
        <family val="2"/>
        <scheme val="none"/>
      </font>
      <fill>
        <patternFill patternType="none">
          <fgColor indexed="64"/>
          <bgColor indexed="65"/>
        </patternFill>
      </fill>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0" tint="-0.34998626667073579"/>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0" tint="-0.34998626667073579"/>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0" tint="-0.34998626667073579"/>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border diagonalUp="0" diagonalDown="0" outline="0">
        <left/>
        <right/>
        <top style="thin">
          <color auto="1"/>
        </top>
        <bottom style="thin">
          <color auto="1"/>
        </bottom>
      </border>
    </dxf>
    <dxf>
      <border outline="0">
        <left style="thin">
          <color indexed="64"/>
        </left>
        <top style="thin">
          <color auto="1"/>
        </top>
      </border>
    </dxf>
    <dxf>
      <font>
        <b val="0"/>
        <i val="0"/>
        <strike val="0"/>
        <condense val="0"/>
        <extend val="0"/>
        <outline val="0"/>
        <shadow val="0"/>
        <u val="none"/>
        <vertAlign val="baseline"/>
        <sz val="12"/>
        <color theme="1"/>
        <name val="Aptos"/>
        <family val="2"/>
        <scheme val="none"/>
      </font>
      <fill>
        <patternFill patternType="solid">
          <fgColor indexed="64"/>
          <bgColor theme="0" tint="-0.34998626667073579"/>
        </patternFill>
      </fill>
    </dxf>
    <dxf>
      <border outline="0">
        <bottom style="thin">
          <color auto="1"/>
        </bottom>
      </border>
    </dxf>
    <dxf>
      <font>
        <b val="0"/>
        <i val="0"/>
        <strike val="0"/>
        <condense val="0"/>
        <extend val="0"/>
        <outline val="0"/>
        <shadow val="0"/>
        <u val="none"/>
        <vertAlign val="baseline"/>
        <sz val="12"/>
        <color auto="1"/>
        <name val="Aptos"/>
        <family val="2"/>
        <scheme val="none"/>
      </font>
      <fill>
        <patternFill patternType="none">
          <fgColor indexed="64"/>
          <bgColor indexed="65"/>
        </patternFill>
      </fill>
      <border diagonalUp="0" diagonalDown="0" outline="0">
        <left style="thin">
          <color auto="1"/>
        </left>
        <right style="thin">
          <color auto="1"/>
        </right>
        <top/>
        <bottom/>
      </border>
    </dxf>
    <dxf>
      <font>
        <strike val="0"/>
        <outline val="0"/>
        <shadow val="0"/>
        <vertAlign val="baseline"/>
        <sz val="12"/>
        <name val="Aptos"/>
        <family val="2"/>
        <scheme val="none"/>
      </font>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strike val="0"/>
        <outline val="0"/>
        <shadow val="0"/>
        <vertAlign val="baseline"/>
        <sz val="12"/>
        <name val="Aptos"/>
        <family val="2"/>
        <scheme val="none"/>
      </font>
    </dxf>
    <dxf>
      <border outline="0">
        <left style="thin">
          <color indexed="64"/>
        </left>
        <top style="thin">
          <color auto="1"/>
        </top>
      </border>
    </dxf>
    <dxf>
      <font>
        <b val="0"/>
        <i val="0"/>
        <strike val="0"/>
        <condense val="0"/>
        <extend val="0"/>
        <outline val="0"/>
        <shadow val="0"/>
        <u val="none"/>
        <vertAlign val="baseline"/>
        <sz val="12"/>
        <color theme="1"/>
        <name val="Aptos"/>
        <family val="2"/>
        <scheme val="none"/>
      </font>
      <fill>
        <patternFill patternType="none">
          <fgColor indexed="64"/>
          <bgColor indexed="65"/>
        </patternFill>
      </fill>
    </dxf>
    <dxf>
      <border outline="0">
        <bottom style="thin">
          <color auto="1"/>
        </bottom>
      </border>
    </dxf>
    <dxf>
      <font>
        <b val="0"/>
        <i val="0"/>
        <strike val="0"/>
        <condense val="0"/>
        <extend val="0"/>
        <outline val="0"/>
        <shadow val="0"/>
        <u val="none"/>
        <vertAlign val="baseline"/>
        <sz val="12"/>
        <color auto="1"/>
        <name val="Aptos"/>
        <family val="2"/>
        <scheme val="none"/>
      </font>
      <fill>
        <patternFill patternType="none">
          <fgColor indexed="64"/>
          <bgColor indexed="65"/>
        </patternFill>
      </fill>
      <border diagonalUp="0" diagonalDown="0" outline="0">
        <left style="thin">
          <color auto="1"/>
        </left>
        <right style="thin">
          <color auto="1"/>
        </right>
        <top/>
        <bottom/>
      </border>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vertAlign val="baseline"/>
        <sz val="12"/>
        <name val="Aptos"/>
        <family val="2"/>
        <scheme val="none"/>
      </font>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strike val="0"/>
        <outline val="0"/>
        <shadow val="0"/>
        <vertAlign val="baseline"/>
        <sz val="12"/>
        <name val="Aptos"/>
        <family val="2"/>
        <scheme val="none"/>
      </font>
    </dxf>
    <dxf>
      <border outline="0">
        <left style="thin">
          <color indexed="64"/>
        </left>
        <top style="thin">
          <color auto="1"/>
        </top>
      </border>
    </dxf>
    <dxf>
      <font>
        <strike val="0"/>
        <outline val="0"/>
        <shadow val="0"/>
        <vertAlign val="baseline"/>
        <sz val="12"/>
        <name val="Aptos"/>
        <family val="2"/>
        <scheme val="none"/>
      </font>
    </dxf>
    <dxf>
      <border outline="0">
        <bottom style="thin">
          <color auto="1"/>
        </bottom>
      </border>
    </dxf>
    <dxf>
      <font>
        <b val="0"/>
        <i val="0"/>
        <strike val="0"/>
        <condense val="0"/>
        <extend val="0"/>
        <outline val="0"/>
        <shadow val="0"/>
        <u val="none"/>
        <vertAlign val="baseline"/>
        <sz val="12"/>
        <color auto="1"/>
        <name val="Aptos"/>
        <family val="2"/>
        <scheme val="none"/>
      </font>
      <fill>
        <patternFill patternType="none">
          <fgColor indexed="64"/>
          <bgColor indexed="65"/>
        </patternFill>
      </fill>
      <border diagonalUp="0" diagonalDown="0" outline="0">
        <left style="thin">
          <color auto="1"/>
        </left>
        <right style="thin">
          <color auto="1"/>
        </right>
        <top/>
        <bottom/>
      </border>
    </dxf>
    <dxf>
      <font>
        <strike val="0"/>
        <outline val="0"/>
        <shadow val="0"/>
        <vertAlign val="baseline"/>
        <sz val="12"/>
        <name val="Aptos"/>
        <family val="2"/>
        <scheme val="none"/>
      </font>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strike val="0"/>
        <outline val="0"/>
        <shadow val="0"/>
        <vertAlign val="baseline"/>
        <sz val="12"/>
        <name val="Aptos"/>
        <family val="2"/>
        <scheme val="none"/>
      </font>
    </dxf>
    <dxf>
      <border outline="0">
        <left style="thin">
          <color indexed="64"/>
        </left>
        <top style="thin">
          <color auto="1"/>
        </top>
      </border>
    </dxf>
    <dxf>
      <font>
        <b val="0"/>
        <i val="0"/>
        <strike val="0"/>
        <condense val="0"/>
        <extend val="0"/>
        <outline val="0"/>
        <shadow val="0"/>
        <u val="none"/>
        <vertAlign val="baseline"/>
        <sz val="12"/>
        <color theme="1"/>
        <name val="Aptos"/>
        <family val="2"/>
        <scheme val="none"/>
      </font>
      <fill>
        <patternFill patternType="none">
          <fgColor indexed="64"/>
          <bgColor indexed="65"/>
        </patternFill>
      </fill>
    </dxf>
    <dxf>
      <border outline="0">
        <bottom style="thin">
          <color auto="1"/>
        </bottom>
      </border>
    </dxf>
    <dxf>
      <font>
        <b val="0"/>
        <i val="0"/>
        <strike val="0"/>
        <condense val="0"/>
        <extend val="0"/>
        <outline val="0"/>
        <shadow val="0"/>
        <u val="none"/>
        <vertAlign val="baseline"/>
        <sz val="12"/>
        <color auto="1"/>
        <name val="Aptos"/>
        <family val="2"/>
        <scheme val="none"/>
      </font>
      <fill>
        <patternFill patternType="none">
          <fgColor indexed="64"/>
          <bgColor indexed="65"/>
        </patternFill>
      </fill>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bottom style="thin">
          <color indexed="64"/>
        </bottom>
      </border>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vertAlign val="baseline"/>
        <sz val="12"/>
        <name val="Aptos"/>
        <family val="2"/>
        <scheme val="none"/>
      </font>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0" tint="-0.34998626667073579"/>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0" tint="-0.34998626667073579"/>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0" tint="-0.34998626667073579"/>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border diagonalUp="0" diagonalDown="0" outline="0">
        <left/>
        <right/>
        <top style="thin">
          <color auto="1"/>
        </top>
        <bottom style="thin">
          <color auto="1"/>
        </bottom>
      </border>
    </dxf>
    <dxf>
      <border outline="0">
        <left style="thin">
          <color indexed="64"/>
        </left>
        <top style="thin">
          <color auto="1"/>
        </top>
      </border>
    </dxf>
    <dxf>
      <font>
        <b val="0"/>
        <i val="0"/>
        <strike val="0"/>
        <condense val="0"/>
        <extend val="0"/>
        <outline val="0"/>
        <shadow val="0"/>
        <u val="none"/>
        <vertAlign val="baseline"/>
        <sz val="12"/>
        <color theme="1"/>
        <name val="Aptos"/>
        <family val="2"/>
        <scheme val="none"/>
      </font>
      <fill>
        <patternFill patternType="none">
          <fgColor indexed="64"/>
          <bgColor indexed="65"/>
        </patternFill>
      </fill>
    </dxf>
    <dxf>
      <border outline="0">
        <bottom style="thin">
          <color auto="1"/>
        </bottom>
      </border>
    </dxf>
    <dxf>
      <font>
        <b val="0"/>
        <i val="0"/>
        <strike val="0"/>
        <condense val="0"/>
        <extend val="0"/>
        <outline val="0"/>
        <shadow val="0"/>
        <u val="none"/>
        <vertAlign val="baseline"/>
        <sz val="12"/>
        <color auto="1"/>
        <name val="Aptos"/>
        <family val="2"/>
        <scheme val="none"/>
      </font>
      <fill>
        <patternFill patternType="none">
          <fgColor indexed="64"/>
          <bgColor indexed="65"/>
        </patternFill>
      </fill>
      <border diagonalUp="0" diagonalDown="0" outline="0">
        <left style="thin">
          <color auto="1"/>
        </left>
        <right style="thin">
          <color auto="1"/>
        </right>
        <top/>
        <bottom/>
      </border>
    </dxf>
    <dxf>
      <border outline="0">
        <top style="thin">
          <color auto="1"/>
        </top>
      </border>
    </dxf>
    <dxf>
      <border outline="0">
        <bottom style="thin">
          <color auto="1"/>
        </bottom>
      </border>
    </dxf>
    <dxf>
      <font>
        <b/>
        <i val="0"/>
        <strike val="0"/>
        <condense val="0"/>
        <extend val="0"/>
        <outline val="0"/>
        <shadow val="0"/>
        <u val="none"/>
        <vertAlign val="baseline"/>
        <sz val="12"/>
        <color theme="1"/>
        <name val="Aptos"/>
        <family val="2"/>
        <scheme val="none"/>
      </font>
      <fill>
        <patternFill patternType="solid">
          <fgColor indexed="64"/>
          <bgColor theme="5" tint="0.79998168889431442"/>
        </patternFill>
      </fill>
      <alignment horizontal="center" vertical="bottom"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border outline="0">
        <top style="thin">
          <color auto="1"/>
        </top>
      </border>
    </dxf>
    <dxf>
      <font>
        <b val="0"/>
        <i val="0"/>
        <strike val="0"/>
        <condense val="0"/>
        <extend val="0"/>
        <outline val="0"/>
        <shadow val="0"/>
        <u val="none"/>
        <vertAlign val="baseline"/>
        <sz val="12"/>
        <color theme="1"/>
        <name val="Aptos"/>
        <family val="2"/>
        <scheme val="none"/>
      </font>
      <fill>
        <patternFill patternType="solid">
          <fgColor indexed="64"/>
          <bgColor theme="4" tint="0.79998168889431442"/>
        </patternFill>
      </fill>
    </dxf>
    <dxf>
      <border outline="0">
        <bottom style="thin">
          <color auto="1"/>
        </bottom>
      </border>
    </dxf>
    <dxf>
      <font>
        <b/>
        <i val="0"/>
        <strike val="0"/>
        <condense val="0"/>
        <extend val="0"/>
        <outline val="0"/>
        <shadow val="0"/>
        <u val="none"/>
        <vertAlign val="baseline"/>
        <sz val="12"/>
        <color auto="1"/>
        <name val="Aptos"/>
        <family val="2"/>
        <scheme val="none"/>
      </font>
      <fill>
        <patternFill patternType="solid">
          <fgColor indexed="64"/>
          <bgColor theme="4" tint="0.79998168889431442"/>
        </patternFill>
      </fill>
      <alignment horizontal="general"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auto="1"/>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auto="1"/>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auto="1"/>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auto="1"/>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auto="1"/>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auto="1"/>
        </patternFill>
      </fill>
      <border diagonalUp="0" diagonalDown="0" outline="0">
        <left style="thin">
          <color indexed="64"/>
        </left>
        <right style="thin">
          <color indexed="64"/>
        </right>
        <top/>
        <bottom style="thin">
          <color indexed="64"/>
        </bottom>
      </border>
    </dxf>
    <dxf>
      <fill>
        <patternFill patternType="none">
          <bgColor auto="1"/>
        </patternFill>
      </fill>
    </dxf>
    <dxf>
      <border outline="0">
        <top style="thin">
          <color auto="1"/>
        </top>
      </border>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border outline="0">
        <bottom style="thin">
          <color auto="1"/>
        </bottom>
      </border>
    </dxf>
    <dxf>
      <font>
        <b/>
        <i val="0"/>
        <strike val="0"/>
        <condense val="0"/>
        <extend val="0"/>
        <outline val="0"/>
        <shadow val="0"/>
        <u val="none"/>
        <vertAlign val="baseline"/>
        <sz val="12"/>
        <color auto="1"/>
        <name val="Aptos"/>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border outline="0">
        <top style="thin">
          <color auto="1"/>
        </top>
      </border>
    </dxf>
    <dxf>
      <font>
        <b val="0"/>
        <i val="0"/>
        <strike val="0"/>
        <condense val="0"/>
        <extend val="0"/>
        <outline val="0"/>
        <shadow val="0"/>
        <u val="none"/>
        <vertAlign val="baseline"/>
        <sz val="12"/>
        <color theme="1"/>
        <name val="Aptos"/>
        <family val="2"/>
        <scheme val="none"/>
      </font>
      <fill>
        <patternFill patternType="solid">
          <fgColor indexed="64"/>
          <bgColor theme="4" tint="0.79998168889431442"/>
        </patternFill>
      </fill>
    </dxf>
    <dxf>
      <border outline="0">
        <bottom style="thin">
          <color auto="1"/>
        </bottom>
      </border>
    </dxf>
    <dxf>
      <font>
        <b/>
        <i val="0"/>
        <strike val="0"/>
        <condense val="0"/>
        <extend val="0"/>
        <outline val="0"/>
        <shadow val="0"/>
        <u val="none"/>
        <vertAlign val="baseline"/>
        <sz val="12"/>
        <color auto="1"/>
        <name val="Aptos"/>
        <family val="2"/>
        <scheme val="none"/>
      </font>
      <fill>
        <patternFill patternType="solid">
          <fgColor indexed="64"/>
          <bgColor theme="4" tint="0.79998168889431442"/>
        </patternFill>
      </fill>
      <alignment horizontal="general"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0" tint="-0.34998626667073579"/>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0" tint="-0.34998626667073579"/>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border outline="0">
        <top style="thin">
          <color auto="1"/>
        </top>
      </border>
    </dxf>
    <dxf>
      <border outline="0">
        <bottom style="thin">
          <color auto="1"/>
        </bottom>
      </border>
    </dxf>
    <dxf>
      <font>
        <b/>
        <i val="0"/>
        <strike val="0"/>
        <condense val="0"/>
        <extend val="0"/>
        <outline val="0"/>
        <shadow val="0"/>
        <u val="none"/>
        <vertAlign val="baseline"/>
        <sz val="12"/>
        <color auto="1"/>
        <name val="Aptos"/>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5" formatCode="_(* #,##0.0_);_(* \(#,##0.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5" formatCode="_(* #,##0.0_);_(* \(#,##0.0\);_(* &quot;-&quot;??_);_(@_)"/>
      <fill>
        <patternFill patternType="solid">
          <fgColor indexed="64"/>
          <bgColor theme="0" tint="-0.34998626667073579"/>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0" tint="-0.34998626667073579"/>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5" formatCode="_(* #,##0.0_);_(* \(#,##0.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5" formatCode="_(* #,##0.0_);_(* \(#,##0.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5" formatCode="_(* #,##0.0_);_(* \(#,##0.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5" formatCode="_(* #,##0.0_);_(* \(#,##0.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5" formatCode="_(* #,##0.0_);_(* \(#,##0.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5" formatCode="_(* #,##0.0_);_(* \(#,##0.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5" formatCode="_(* #,##0.0_);_(* \(#,##0.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5" formatCode="_(* #,##0.0_);_(* \(#,##0.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border outline="0">
        <top style="thin">
          <color auto="1"/>
        </top>
      </border>
    </dxf>
    <dxf>
      <border outline="0">
        <bottom style="thin">
          <color auto="1"/>
        </bottom>
      </border>
    </dxf>
    <dxf>
      <font>
        <b/>
        <i val="0"/>
        <strike val="0"/>
        <condense val="0"/>
        <extend val="0"/>
        <outline val="0"/>
        <shadow val="0"/>
        <u val="none"/>
        <vertAlign val="baseline"/>
        <sz val="12"/>
        <color auto="1"/>
        <name val="Aptos"/>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5" formatCode="_(* #,##0.0_);_(* \(#,##0.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5" formatCode="_(* #,##0.0_);_(* \(#,##0.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5" formatCode="_(* #,##0.0_);_(* \(#,##0.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5" formatCode="_(* #,##0.0_);_(* \(#,##0.0\);_(* &quot;-&quot;??_);_(@_)"/>
      <fill>
        <patternFill patternType="solid">
          <fgColor indexed="64"/>
          <bgColor theme="0" tint="-0.34998626667073579"/>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0" tint="-0.34998626667073579"/>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5" formatCode="_(* #,##0.0_);_(* \(#,##0.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5" formatCode="_(* #,##0.0_);_(* \(#,##0.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5" formatCode="_(* #,##0.0_);_(* \(#,##0.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5" formatCode="_(* #,##0.0_);_(* \(#,##0.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5" formatCode="_(* #,##0.0_);_(* \(#,##0.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5" formatCode="_(* #,##0.0_);_(* \(#,##0.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border outline="0">
        <top style="thin">
          <color auto="1"/>
        </top>
      </border>
    </dxf>
    <dxf>
      <border outline="0">
        <bottom style="thin">
          <color auto="1"/>
        </bottom>
      </border>
    </dxf>
    <dxf>
      <font>
        <b/>
        <i val="0"/>
        <strike val="0"/>
        <condense val="0"/>
        <extend val="0"/>
        <outline val="0"/>
        <shadow val="0"/>
        <u val="none"/>
        <vertAlign val="baseline"/>
        <sz val="12"/>
        <color auto="1"/>
        <name val="Aptos"/>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72" formatCode="_(* #,##0.0_);_(* \(#,##0.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72" formatCode="_(* #,##0.0_);_(* \(#,##0.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72" formatCode="_(* #,##0.0_);_(* \(#,##0.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0" tint="-0.34998626667073579"/>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0" tint="-0.34998626667073579"/>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border outline="0">
        <top style="thin">
          <color auto="1"/>
        </top>
      </border>
    </dxf>
    <dxf>
      <font>
        <b val="0"/>
        <i val="0"/>
        <strike val="0"/>
        <condense val="0"/>
        <extend val="0"/>
        <outline val="0"/>
        <shadow val="0"/>
        <u val="none"/>
        <vertAlign val="baseline"/>
        <sz val="12"/>
        <color theme="1"/>
        <name val="Aptos"/>
        <family val="2"/>
        <scheme val="none"/>
      </font>
      <fill>
        <patternFill patternType="solid">
          <fgColor indexed="64"/>
          <bgColor theme="4" tint="0.79998168889431442"/>
        </patternFill>
      </fill>
    </dxf>
    <dxf>
      <border outline="0">
        <bottom style="thin">
          <color auto="1"/>
        </bottom>
      </border>
    </dxf>
    <dxf>
      <font>
        <b/>
        <i val="0"/>
        <strike val="0"/>
        <condense val="0"/>
        <extend val="0"/>
        <outline val="0"/>
        <shadow val="0"/>
        <u val="none"/>
        <vertAlign val="baseline"/>
        <sz val="12"/>
        <color auto="1"/>
        <name val="Aptos"/>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0" tint="-0.34998626667073579"/>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0" tint="-0.34998626667073579"/>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border outline="0">
        <top style="thin">
          <color auto="1"/>
        </top>
      </border>
    </dxf>
    <dxf>
      <font>
        <b val="0"/>
        <i val="0"/>
        <strike val="0"/>
        <condense val="0"/>
        <extend val="0"/>
        <outline val="0"/>
        <shadow val="0"/>
        <u val="none"/>
        <vertAlign val="baseline"/>
        <sz val="12"/>
        <color theme="1"/>
        <name val="Aptos"/>
        <family val="2"/>
        <scheme val="none"/>
      </font>
      <fill>
        <patternFill patternType="solid">
          <fgColor indexed="64"/>
          <bgColor theme="4" tint="0.79998168889431442"/>
        </patternFill>
      </fill>
    </dxf>
    <dxf>
      <border outline="0">
        <bottom style="thin">
          <color auto="1"/>
        </bottom>
      </border>
    </dxf>
    <dxf>
      <font>
        <b/>
        <i val="0"/>
        <strike val="0"/>
        <condense val="0"/>
        <extend val="0"/>
        <outline val="0"/>
        <shadow val="0"/>
        <u val="none"/>
        <vertAlign val="baseline"/>
        <sz val="12"/>
        <color auto="1"/>
        <name val="Aptos"/>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2" tint="-9.9978637043366805E-2"/>
        </patternFill>
      </fill>
      <border diagonalUp="0" diagonalDown="0">
        <left style="thin">
          <color indexed="64"/>
        </left>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4" tint="0.7999816888943144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2" tint="-9.9978637043366805E-2"/>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solid">
          <fgColor indexed="64"/>
          <bgColor theme="0" tint="-0.34998626667073579"/>
        </patternFill>
      </fill>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auto="1"/>
        <name val="Aptos"/>
        <family val="2"/>
        <scheme val="none"/>
      </font>
      <numFmt numFmtId="166" formatCode="_(* #,##0_);_(* \(#,##0\);_(* &quot;-&quot;??_);_(@_)"/>
      <fill>
        <patternFill patternType="solid">
          <fgColor indexed="64"/>
          <bgColor theme="0" tint="-0.34998626667073579"/>
        </patternFill>
      </fill>
      <alignment horizontal="left" vertical="bottom"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border outline="0">
        <top style="thin">
          <color auto="1"/>
        </top>
      </border>
    </dxf>
    <dxf>
      <font>
        <b val="0"/>
        <i val="0"/>
        <strike val="0"/>
        <condense val="0"/>
        <extend val="0"/>
        <outline val="0"/>
        <shadow val="0"/>
        <u val="none"/>
        <vertAlign val="baseline"/>
        <sz val="12"/>
        <color theme="1"/>
        <name val="Aptos"/>
        <family val="2"/>
        <scheme val="none"/>
      </font>
      <fill>
        <patternFill patternType="solid">
          <fgColor indexed="64"/>
          <bgColor theme="4" tint="0.79998168889431442"/>
        </patternFill>
      </fill>
    </dxf>
    <dxf>
      <border outline="0">
        <bottom style="thin">
          <color auto="1"/>
        </bottom>
      </border>
    </dxf>
    <dxf>
      <font>
        <b/>
        <i val="0"/>
        <strike val="0"/>
        <condense val="0"/>
        <extend val="0"/>
        <outline val="0"/>
        <shadow val="0"/>
        <u val="none"/>
        <vertAlign val="baseline"/>
        <sz val="12"/>
        <color auto="1"/>
        <name val="Aptos"/>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2"/>
        <name val="Aptos"/>
        <family val="2"/>
        <scheme val="none"/>
      </font>
    </dxf>
    <dxf>
      <font>
        <b val="0"/>
        <i val="0"/>
        <strike val="0"/>
        <condense val="0"/>
        <extend val="0"/>
        <outline val="0"/>
        <shadow val="0"/>
        <u val="none"/>
        <vertAlign val="baseline"/>
        <sz val="12"/>
        <color auto="1"/>
        <name val="Aptos"/>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auto="1"/>
        <name val="Aptos"/>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2"/>
        <name val="Aptos"/>
        <family val="2"/>
        <scheme val="none"/>
      </font>
    </dxf>
    <dxf>
      <font>
        <b val="0"/>
        <i val="0"/>
        <strike val="0"/>
        <condense val="0"/>
        <extend val="0"/>
        <outline val="0"/>
        <shadow val="0"/>
        <u val="none"/>
        <vertAlign val="baseline"/>
        <sz val="12"/>
        <color auto="1"/>
        <name val="Aptos"/>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auto="1"/>
        <name val="Aptos"/>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2"/>
        <name val="Aptos"/>
        <family val="2"/>
        <scheme val="none"/>
      </font>
    </dxf>
    <dxf>
      <font>
        <b val="0"/>
        <i val="0"/>
        <strike val="0"/>
        <condense val="0"/>
        <extend val="0"/>
        <outline val="0"/>
        <shadow val="0"/>
        <u val="none"/>
        <vertAlign val="baseline"/>
        <sz val="12"/>
        <color auto="1"/>
        <name val="Aptos"/>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auto="1"/>
        <name val="Aptos"/>
        <family val="2"/>
        <scheme val="none"/>
      </font>
      <numFmt numFmtId="166" formatCode="_(* #,##0_);_(* \(#,##0\);_(* &quot;-&quot;??_);_(@_)"/>
      <protection locked="0" hidden="0"/>
    </dxf>
    <dxf>
      <font>
        <strike val="0"/>
        <outline val="0"/>
        <shadow val="0"/>
        <u val="none"/>
        <vertAlign val="baseline"/>
        <sz val="12"/>
        <name val="Aptos"/>
        <family val="2"/>
        <scheme val="none"/>
      </font>
      <numFmt numFmtId="170" formatCode="0.000"/>
    </dxf>
    <dxf>
      <font>
        <b val="0"/>
        <i val="0"/>
        <strike val="0"/>
        <condense val="0"/>
        <extend val="0"/>
        <outline val="0"/>
        <shadow val="0"/>
        <u val="none"/>
        <vertAlign val="baseline"/>
        <sz val="12"/>
        <color auto="1"/>
        <name val="Aptos"/>
        <family val="2"/>
        <scheme val="none"/>
      </font>
      <numFmt numFmtId="166" formatCode="_(* #,##0_);_(* \(#,##0\);_(* &quot;-&quot;??_);_(@_)"/>
      <protection locked="0" hidden="0"/>
    </dxf>
    <dxf>
      <font>
        <b val="0"/>
        <i val="0"/>
        <strike val="0"/>
        <condense val="0"/>
        <extend val="0"/>
        <outline val="0"/>
        <shadow val="0"/>
        <u val="none"/>
        <vertAlign val="baseline"/>
        <sz val="12"/>
        <color auto="1"/>
        <name val="Aptos"/>
        <family val="2"/>
        <scheme val="none"/>
      </font>
      <numFmt numFmtId="166" formatCode="_(* #,##0_);_(* \(#,##0\);_(* &quot;-&quot;??_);_(@_)"/>
      <protection locked="0" hidden="0"/>
    </dxf>
    <dxf>
      <font>
        <b val="0"/>
        <i val="0"/>
        <strike val="0"/>
        <condense val="0"/>
        <extend val="0"/>
        <outline val="0"/>
        <shadow val="0"/>
        <u val="none"/>
        <vertAlign val="baseline"/>
        <sz val="12"/>
        <color auto="1"/>
        <name val="Aptos"/>
        <family val="2"/>
        <scheme val="none"/>
      </font>
      <numFmt numFmtId="166" formatCode="_(* #,##0_);_(* \(#,##0\);_(* &quot;-&quot;??_);_(@_)"/>
      <protection locked="0" hidden="0"/>
    </dxf>
    <dxf>
      <font>
        <b val="0"/>
        <i val="0"/>
        <strike val="0"/>
        <condense val="0"/>
        <extend val="0"/>
        <outline val="0"/>
        <shadow val="0"/>
        <u val="none"/>
        <vertAlign val="baseline"/>
        <sz val="12"/>
        <color auto="1"/>
        <name val="Aptos"/>
        <family val="2"/>
        <scheme val="none"/>
      </font>
      <numFmt numFmtId="166" formatCode="_(* #,##0_);_(* \(#,##0\);_(* &quot;-&quot;??_);_(@_)"/>
      <protection locked="0" hidden="0"/>
    </dxf>
    <dxf>
      <font>
        <b val="0"/>
        <i val="0"/>
        <strike val="0"/>
        <condense val="0"/>
        <extend val="0"/>
        <outline val="0"/>
        <shadow val="0"/>
        <u val="none"/>
        <vertAlign val="baseline"/>
        <sz val="12"/>
        <color auto="1"/>
        <name val="Aptos"/>
        <family val="2"/>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2"/>
        <name val="Aptos"/>
        <family val="2"/>
        <scheme val="none"/>
      </font>
    </dxf>
    <dxf>
      <font>
        <b val="0"/>
        <i val="0"/>
        <strike val="0"/>
        <condense val="0"/>
        <extend val="0"/>
        <outline val="0"/>
        <shadow val="0"/>
        <u val="none"/>
        <vertAlign val="baseline"/>
        <sz val="12"/>
        <color auto="1"/>
        <name val="Aptos"/>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auto="1"/>
        <name val="Aptos"/>
        <family val="2"/>
        <scheme val="none"/>
      </font>
      <numFmt numFmtId="166" formatCode="_(* #,##0_);_(* \(#,##0\);_(* &quot;-&quot;??_);_(@_)"/>
      <protection locked="0" hidden="0"/>
    </dxf>
    <dxf>
      <font>
        <strike val="0"/>
        <outline val="0"/>
        <shadow val="0"/>
        <u val="none"/>
        <vertAlign val="baseline"/>
        <sz val="12"/>
        <name val="Aptos"/>
        <family val="2"/>
        <scheme val="none"/>
      </font>
      <numFmt numFmtId="170" formatCode="0.000"/>
    </dxf>
    <dxf>
      <font>
        <b val="0"/>
        <i val="0"/>
        <strike val="0"/>
        <condense val="0"/>
        <extend val="0"/>
        <outline val="0"/>
        <shadow val="0"/>
        <u val="none"/>
        <vertAlign val="baseline"/>
        <sz val="12"/>
        <color auto="1"/>
        <name val="Aptos"/>
        <family val="2"/>
        <scheme val="none"/>
      </font>
      <numFmt numFmtId="166" formatCode="_(* #,##0_);_(* \(#,##0\);_(* &quot;-&quot;??_);_(@_)"/>
      <protection locked="0" hidden="0"/>
    </dxf>
    <dxf>
      <font>
        <b val="0"/>
        <i val="0"/>
        <strike val="0"/>
        <condense val="0"/>
        <extend val="0"/>
        <outline val="0"/>
        <shadow val="0"/>
        <u val="none"/>
        <vertAlign val="baseline"/>
        <sz val="12"/>
        <color auto="1"/>
        <name val="Aptos"/>
        <family val="2"/>
        <scheme val="none"/>
      </font>
      <numFmt numFmtId="166" formatCode="_(* #,##0_);_(* \(#,##0\);_(* &quot;-&quot;??_);_(@_)"/>
      <protection locked="0" hidden="0"/>
    </dxf>
    <dxf>
      <font>
        <b val="0"/>
        <i val="0"/>
        <strike val="0"/>
        <condense val="0"/>
        <extend val="0"/>
        <outline val="0"/>
        <shadow val="0"/>
        <u val="none"/>
        <vertAlign val="baseline"/>
        <sz val="12"/>
        <color auto="1"/>
        <name val="Aptos"/>
        <family val="2"/>
        <scheme val="none"/>
      </font>
      <numFmt numFmtId="166" formatCode="_(* #,##0_);_(* \(#,##0\);_(* &quot;-&quot;??_);_(@_)"/>
      <protection locked="0" hidden="0"/>
    </dxf>
    <dxf>
      <font>
        <b val="0"/>
        <i val="0"/>
        <strike val="0"/>
        <condense val="0"/>
        <extend val="0"/>
        <outline val="0"/>
        <shadow val="0"/>
        <u val="none"/>
        <vertAlign val="baseline"/>
        <sz val="12"/>
        <color auto="1"/>
        <name val="Aptos"/>
        <family val="2"/>
        <scheme val="none"/>
      </font>
      <numFmt numFmtId="166" formatCode="_(* #,##0_);_(* \(#,##0\);_(* &quot;-&quot;??_);_(@_)"/>
      <protection locked="0" hidden="0"/>
    </dxf>
    <dxf>
      <font>
        <b val="0"/>
        <i val="0"/>
        <strike val="0"/>
        <condense val="0"/>
        <extend val="0"/>
        <outline val="0"/>
        <shadow val="0"/>
        <u val="none"/>
        <vertAlign val="baseline"/>
        <sz val="12"/>
        <color auto="1"/>
        <name val="Aptos"/>
        <family val="2"/>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2"/>
        <name val="Aptos"/>
        <family val="2"/>
        <scheme val="none"/>
      </font>
    </dxf>
    <dxf>
      <font>
        <b val="0"/>
        <i val="0"/>
        <strike val="0"/>
        <condense val="0"/>
        <extend val="0"/>
        <outline val="0"/>
        <shadow val="0"/>
        <u val="none"/>
        <vertAlign val="baseline"/>
        <sz val="12"/>
        <color auto="1"/>
        <name val="Aptos"/>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auto="1"/>
        <name val="Aptos"/>
        <family val="2"/>
        <scheme val="none"/>
      </font>
      <numFmt numFmtId="166" formatCode="_(* #,##0_);_(* \(#,##0\);_(* &quot;-&quot;??_);_(@_)"/>
      <protection locked="0" hidden="0"/>
    </dxf>
    <dxf>
      <font>
        <strike val="0"/>
        <outline val="0"/>
        <shadow val="0"/>
        <u val="none"/>
        <vertAlign val="baseline"/>
        <sz val="12"/>
        <name val="Aptos"/>
        <family val="2"/>
        <scheme val="none"/>
      </font>
      <numFmt numFmtId="170" formatCode="0.000"/>
    </dxf>
    <dxf>
      <font>
        <b val="0"/>
        <i val="0"/>
        <strike val="0"/>
        <condense val="0"/>
        <extend val="0"/>
        <outline val="0"/>
        <shadow val="0"/>
        <u val="none"/>
        <vertAlign val="baseline"/>
        <sz val="12"/>
        <color auto="1"/>
        <name val="Aptos"/>
        <family val="2"/>
        <scheme val="none"/>
      </font>
      <numFmt numFmtId="166" formatCode="_(* #,##0_);_(* \(#,##0\);_(* &quot;-&quot;??_);_(@_)"/>
      <protection locked="0" hidden="0"/>
    </dxf>
    <dxf>
      <font>
        <b val="0"/>
        <i val="0"/>
        <strike val="0"/>
        <condense val="0"/>
        <extend val="0"/>
        <outline val="0"/>
        <shadow val="0"/>
        <u val="none"/>
        <vertAlign val="baseline"/>
        <sz val="12"/>
        <color auto="1"/>
        <name val="Aptos"/>
        <family val="2"/>
        <scheme val="none"/>
      </font>
      <numFmt numFmtId="166" formatCode="_(* #,##0_);_(* \(#,##0\);_(* &quot;-&quot;??_);_(@_)"/>
      <protection locked="0" hidden="0"/>
    </dxf>
    <dxf>
      <font>
        <b val="0"/>
        <i val="0"/>
        <strike val="0"/>
        <condense val="0"/>
        <extend val="0"/>
        <outline val="0"/>
        <shadow val="0"/>
        <u val="none"/>
        <vertAlign val="baseline"/>
        <sz val="12"/>
        <color auto="1"/>
        <name val="Aptos"/>
        <family val="2"/>
        <scheme val="none"/>
      </font>
      <numFmt numFmtId="166" formatCode="_(* #,##0_);_(* \(#,##0\);_(* &quot;-&quot;??_);_(@_)"/>
      <protection locked="0" hidden="0"/>
    </dxf>
    <dxf>
      <font>
        <b val="0"/>
        <i val="0"/>
        <strike val="0"/>
        <condense val="0"/>
        <extend val="0"/>
        <outline val="0"/>
        <shadow val="0"/>
        <u val="none"/>
        <vertAlign val="baseline"/>
        <sz val="12"/>
        <color auto="1"/>
        <name val="Aptos"/>
        <family val="2"/>
        <scheme val="none"/>
      </font>
      <numFmt numFmtId="166" formatCode="_(* #,##0_);_(* \(#,##0\);_(* &quot;-&quot;??_);_(@_)"/>
      <protection locked="0" hidden="0"/>
    </dxf>
    <dxf>
      <font>
        <b val="0"/>
        <i val="0"/>
        <strike val="0"/>
        <condense val="0"/>
        <extend val="0"/>
        <outline val="0"/>
        <shadow val="0"/>
        <u val="none"/>
        <vertAlign val="baseline"/>
        <sz val="12"/>
        <color auto="1"/>
        <name val="Aptos"/>
        <family val="2"/>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2"/>
        <name val="Aptos"/>
        <family val="2"/>
        <scheme val="none"/>
      </font>
    </dxf>
    <dxf>
      <font>
        <b val="0"/>
        <i val="0"/>
        <strike val="0"/>
        <condense val="0"/>
        <extend val="0"/>
        <outline val="0"/>
        <shadow val="0"/>
        <u val="none"/>
        <vertAlign val="baseline"/>
        <sz val="12"/>
        <color auto="1"/>
        <name val="Aptos"/>
        <family val="2"/>
        <scheme val="none"/>
      </font>
      <alignment horizontal="general" vertical="bottom" textRotation="0" wrapText="1" indent="0" justifyLastLine="0" shrinkToFit="0" readingOrder="0"/>
      <protection locked="0" hidden="0"/>
    </dxf>
    <dxf>
      <font>
        <strike val="0"/>
        <outline val="0"/>
        <shadow val="0"/>
        <u val="none"/>
        <vertAlign val="baseline"/>
        <sz val="12"/>
        <name val="Aptos"/>
        <family val="2"/>
        <scheme val="none"/>
      </font>
      <numFmt numFmtId="166" formatCode="_(* #,##0_);_(* \(#,##0\);_(* &quot;-&quot;??_);_(@_)"/>
    </dxf>
    <dxf>
      <font>
        <strike val="0"/>
        <outline val="0"/>
        <shadow val="0"/>
        <u val="none"/>
        <vertAlign val="baseline"/>
        <sz val="12"/>
        <name val="Aptos"/>
        <family val="2"/>
        <scheme val="none"/>
      </font>
      <numFmt numFmtId="170" formatCode="0.000"/>
    </dxf>
    <dxf>
      <font>
        <strike val="0"/>
        <outline val="0"/>
        <shadow val="0"/>
        <u val="none"/>
        <vertAlign val="baseline"/>
        <sz val="12"/>
        <name val="Aptos"/>
        <family val="2"/>
        <scheme val="none"/>
      </font>
    </dxf>
    <dxf>
      <font>
        <strike val="0"/>
        <outline val="0"/>
        <shadow val="0"/>
        <u val="none"/>
        <vertAlign val="baseline"/>
        <sz val="12"/>
        <name val="Aptos"/>
        <family val="2"/>
        <scheme val="none"/>
      </font>
      <numFmt numFmtId="166" formatCode="_(* #,##0_);_(* \(#,##0\);_(* &quot;-&quot;??_);_(@_)"/>
    </dxf>
    <dxf>
      <font>
        <strike val="0"/>
        <outline val="0"/>
        <shadow val="0"/>
        <u val="none"/>
        <vertAlign val="baseline"/>
        <sz val="12"/>
        <name val="Aptos"/>
        <family val="2"/>
        <scheme val="none"/>
      </font>
    </dxf>
    <dxf>
      <font>
        <strike val="0"/>
        <outline val="0"/>
        <shadow val="0"/>
        <u val="none"/>
        <vertAlign val="baseline"/>
        <sz val="12"/>
        <name val="Aptos"/>
        <family val="2"/>
        <scheme val="none"/>
      </font>
    </dxf>
    <dxf>
      <font>
        <b val="0"/>
        <i val="0"/>
        <strike val="0"/>
        <condense val="0"/>
        <extend val="0"/>
        <outline val="0"/>
        <shadow val="0"/>
        <u val="none"/>
        <vertAlign val="baseline"/>
        <sz val="12"/>
        <color auto="1"/>
        <name val="Aptos"/>
        <family val="2"/>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2"/>
        <name val="Aptos"/>
        <family val="2"/>
        <scheme val="none"/>
      </font>
    </dxf>
    <dxf>
      <font>
        <b val="0"/>
        <i val="0"/>
        <strike val="0"/>
        <condense val="0"/>
        <extend val="0"/>
        <outline val="0"/>
        <shadow val="0"/>
        <u val="none"/>
        <vertAlign val="baseline"/>
        <sz val="12"/>
        <color auto="1"/>
        <name val="Aptos"/>
        <family val="2"/>
        <scheme val="none"/>
      </font>
      <alignment horizontal="general" vertical="bottom" textRotation="0" wrapText="1" indent="0" justifyLastLine="0" shrinkToFit="0" readingOrder="0"/>
      <protection locked="0" hidden="0"/>
    </dxf>
    <dxf>
      <font>
        <strike val="0"/>
        <outline val="0"/>
        <shadow val="0"/>
        <u val="none"/>
        <vertAlign val="baseline"/>
        <sz val="12"/>
        <name val="Aptos"/>
        <family val="2"/>
        <scheme val="none"/>
      </font>
      <numFmt numFmtId="166" formatCode="_(* #,##0_);_(* \(#,##0\);_(* &quot;-&quot;??_);_(@_)"/>
    </dxf>
    <dxf>
      <font>
        <strike val="0"/>
        <outline val="0"/>
        <shadow val="0"/>
        <u val="none"/>
        <vertAlign val="baseline"/>
        <sz val="12"/>
        <name val="Aptos"/>
        <family val="2"/>
        <scheme val="none"/>
      </font>
    </dxf>
    <dxf>
      <font>
        <strike val="0"/>
        <outline val="0"/>
        <shadow val="0"/>
        <u val="none"/>
        <vertAlign val="baseline"/>
        <sz val="12"/>
        <name val="Aptos"/>
        <family val="2"/>
        <scheme val="none"/>
      </font>
    </dxf>
    <dxf>
      <font>
        <strike val="0"/>
        <outline val="0"/>
        <shadow val="0"/>
        <u val="none"/>
        <vertAlign val="baseline"/>
        <sz val="12"/>
        <name val="Aptos"/>
        <family val="2"/>
        <scheme val="none"/>
      </font>
      <numFmt numFmtId="166" formatCode="_(* #,##0_);_(* \(#,##0\);_(* &quot;-&quot;??_);_(@_)"/>
    </dxf>
    <dxf>
      <font>
        <strike val="0"/>
        <outline val="0"/>
        <shadow val="0"/>
        <u val="none"/>
        <vertAlign val="baseline"/>
        <sz val="12"/>
        <name val="Aptos"/>
        <family val="2"/>
        <scheme val="none"/>
      </font>
    </dxf>
    <dxf>
      <font>
        <strike val="0"/>
        <outline val="0"/>
        <shadow val="0"/>
        <u val="none"/>
        <vertAlign val="baseline"/>
        <sz val="12"/>
        <name val="Aptos"/>
        <family val="2"/>
        <scheme val="none"/>
      </font>
    </dxf>
    <dxf>
      <font>
        <b val="0"/>
        <i val="0"/>
        <strike val="0"/>
        <condense val="0"/>
        <extend val="0"/>
        <outline val="0"/>
        <shadow val="0"/>
        <u val="none"/>
        <vertAlign val="baseline"/>
        <sz val="12"/>
        <color auto="1"/>
        <name val="Aptos"/>
        <family val="2"/>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2"/>
        <name val="Aptos"/>
        <family val="2"/>
        <scheme val="none"/>
      </font>
    </dxf>
    <dxf>
      <font>
        <b val="0"/>
        <i val="0"/>
        <strike val="0"/>
        <condense val="0"/>
        <extend val="0"/>
        <outline val="0"/>
        <shadow val="0"/>
        <u val="none"/>
        <vertAlign val="baseline"/>
        <sz val="12"/>
        <color auto="1"/>
        <name val="Aptos"/>
        <family val="2"/>
        <scheme val="none"/>
      </font>
      <alignment horizontal="general" vertical="bottom" textRotation="0" wrapText="1" indent="0" justifyLastLine="0" shrinkToFit="0" readingOrder="0"/>
      <protection locked="0" hidden="0"/>
    </dxf>
    <dxf>
      <font>
        <strike val="0"/>
        <outline val="0"/>
        <shadow val="0"/>
        <u val="none"/>
        <vertAlign val="baseline"/>
        <sz val="12"/>
        <name val="Aptos"/>
        <family val="2"/>
        <scheme val="none"/>
      </font>
      <numFmt numFmtId="166" formatCode="_(* #,##0_);_(* \(#,##0\);_(* &quot;-&quot;??_);_(@_)"/>
      <protection locked="0" hidden="0"/>
    </dxf>
    <dxf>
      <font>
        <strike val="0"/>
        <outline val="0"/>
        <shadow val="0"/>
        <u val="none"/>
        <vertAlign val="baseline"/>
        <sz val="12"/>
        <name val="Aptos"/>
        <family val="2"/>
        <scheme val="none"/>
      </font>
      <numFmt numFmtId="170" formatCode="0.000"/>
      <protection locked="0" hidden="0"/>
    </dxf>
    <dxf>
      <font>
        <strike val="0"/>
        <outline val="0"/>
        <shadow val="0"/>
        <u val="none"/>
        <vertAlign val="baseline"/>
        <sz val="12"/>
        <name val="Aptos"/>
        <family val="2"/>
        <scheme val="none"/>
      </font>
      <numFmt numFmtId="166" formatCode="_(* #,##0_);_(* \(#,##0\);_(* &quot;-&quot;??_);_(@_)"/>
      <protection locked="0" hidden="0"/>
    </dxf>
    <dxf>
      <font>
        <strike val="0"/>
        <outline val="0"/>
        <shadow val="0"/>
        <u val="none"/>
        <vertAlign val="baseline"/>
        <sz val="12"/>
        <name val="Aptos"/>
        <family val="2"/>
        <scheme val="none"/>
      </font>
      <numFmt numFmtId="166" formatCode="_(* #,##0_);_(* \(#,##0\);_(* &quot;-&quot;??_);_(@_)"/>
      <protection locked="0" hidden="0"/>
    </dxf>
    <dxf>
      <font>
        <strike val="0"/>
        <outline val="0"/>
        <shadow val="0"/>
        <u val="none"/>
        <vertAlign val="baseline"/>
        <sz val="12"/>
        <name val="Aptos"/>
        <family val="2"/>
        <scheme val="none"/>
      </font>
      <numFmt numFmtId="166" formatCode="_(* #,##0_);_(* \(#,##0\);_(* &quot;-&quot;??_);_(@_)"/>
      <protection locked="0" hidden="0"/>
    </dxf>
    <dxf>
      <font>
        <strike val="0"/>
        <outline val="0"/>
        <shadow val="0"/>
        <u val="none"/>
        <vertAlign val="baseline"/>
        <sz val="12"/>
        <name val="Aptos"/>
        <family val="2"/>
        <scheme val="none"/>
      </font>
      <protection locked="0" hidden="0"/>
    </dxf>
    <dxf>
      <font>
        <b val="0"/>
        <i val="0"/>
        <strike val="0"/>
        <condense val="0"/>
        <extend val="0"/>
        <outline val="0"/>
        <shadow val="0"/>
        <u val="none"/>
        <vertAlign val="baseline"/>
        <sz val="12"/>
        <color auto="1"/>
        <name val="Aptos"/>
        <family val="2"/>
        <scheme val="none"/>
      </font>
      <fill>
        <patternFill patternType="none">
          <fgColor indexed="64"/>
          <bgColor indexed="65"/>
        </patternFill>
      </fill>
      <alignment horizontal="left" vertical="bottom" textRotation="0" wrapText="0" indent="0" justifyLastLine="0" shrinkToFit="0" readingOrder="0"/>
      <protection locked="0" hidden="0"/>
    </dxf>
    <dxf>
      <font>
        <strike val="0"/>
        <outline val="0"/>
        <shadow val="0"/>
        <u val="none"/>
        <vertAlign val="baseline"/>
        <sz val="12"/>
        <name val="Aptos"/>
        <family val="2"/>
        <scheme val="none"/>
      </font>
      <protection locked="0" hidden="0"/>
    </dxf>
    <dxf>
      <font>
        <b val="0"/>
        <i val="0"/>
        <strike val="0"/>
        <condense val="0"/>
        <extend val="0"/>
        <outline val="0"/>
        <shadow val="0"/>
        <u val="none"/>
        <vertAlign val="baseline"/>
        <sz val="12"/>
        <color auto="1"/>
        <name val="Aptos"/>
        <family val="2"/>
        <scheme val="none"/>
      </font>
      <protection locked="0" hidden="0"/>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left style="thin">
          <color indexed="64"/>
        </left>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left style="thin">
          <color indexed="64"/>
        </left>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left style="thin">
          <color indexed="64"/>
        </left>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left style="thin">
          <color indexed="64"/>
        </left>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left style="thin">
          <color indexed="64"/>
        </left>
        <right/>
        <top/>
        <bottom style="thin">
          <color indexed="64"/>
        </bottom>
        <vertical/>
        <horizontal/>
      </border>
    </dxf>
    <dxf>
      <font>
        <b val="0"/>
        <i val="0"/>
        <strike val="0"/>
        <condense val="0"/>
        <extend val="0"/>
        <outline val="0"/>
        <shadow val="0"/>
        <u val="none"/>
        <vertAlign val="baseline"/>
        <sz val="12"/>
        <color theme="1"/>
        <name val="Aptos"/>
        <family val="2"/>
        <scheme val="none"/>
      </font>
      <numFmt numFmtId="166" formatCode="_(* #,##0_);_(* \(#,##0\);_(* &quot;-&quot;??_);_(@_)"/>
      <fill>
        <patternFill patternType="none">
          <fgColor indexed="64"/>
          <bgColor indexed="65"/>
        </patternFill>
      </fill>
      <border diagonalUp="0" diagonalDown="0">
        <left style="thin">
          <color indexed="64"/>
        </left>
        <right/>
        <top/>
        <bottom style="thin">
          <color indexed="64"/>
        </bottom>
        <vertical/>
        <horizontal/>
      </border>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border outline="0">
        <top style="thin">
          <color indexed="64"/>
        </top>
      </border>
    </dxf>
    <dxf>
      <font>
        <b val="0"/>
        <i val="0"/>
        <strike val="0"/>
        <condense val="0"/>
        <extend val="0"/>
        <outline val="0"/>
        <shadow val="0"/>
        <u val="none"/>
        <vertAlign val="baseline"/>
        <sz val="12"/>
        <color theme="1"/>
        <name val="Aptos"/>
        <family val="2"/>
        <scheme val="none"/>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dxf>
    <dxf>
      <font>
        <b val="0"/>
        <i val="0"/>
        <strike val="0"/>
        <condense val="0"/>
        <extend val="0"/>
        <outline val="0"/>
        <shadow val="0"/>
        <u val="none"/>
        <vertAlign val="baseline"/>
        <sz val="12"/>
        <color auto="1"/>
        <name val="Aptos"/>
        <family val="2"/>
        <scheme val="none"/>
      </font>
    </dxf>
    <dxf>
      <font>
        <b val="0"/>
        <i val="0"/>
        <strike val="0"/>
        <condense val="0"/>
        <extend val="0"/>
        <outline val="0"/>
        <shadow val="0"/>
        <u val="none"/>
        <vertAlign val="baseline"/>
        <sz val="12"/>
        <color auto="1"/>
        <name val="Aptos"/>
        <family val="2"/>
        <scheme val="none"/>
      </font>
    </dxf>
    <dxf>
      <font>
        <b val="0"/>
        <i val="0"/>
        <strike val="0"/>
        <condense val="0"/>
        <extend val="0"/>
        <outline val="0"/>
        <shadow val="0"/>
        <u val="none"/>
        <vertAlign val="baseline"/>
        <sz val="12"/>
        <color auto="1"/>
        <name val="Aptos"/>
        <family val="2"/>
        <scheme val="none"/>
      </font>
    </dxf>
    <dxf>
      <font>
        <b val="0"/>
        <i val="0"/>
        <strike val="0"/>
        <condense val="0"/>
        <extend val="0"/>
        <outline val="0"/>
        <shadow val="0"/>
        <u val="none"/>
        <vertAlign val="baseline"/>
        <sz val="12"/>
        <color auto="1"/>
        <name val="Aptos"/>
        <family val="2"/>
        <scheme val="none"/>
      </font>
    </dxf>
    <dxf>
      <font>
        <b val="0"/>
        <i val="0"/>
        <strike val="0"/>
        <condense val="0"/>
        <extend val="0"/>
        <outline val="0"/>
        <shadow val="0"/>
        <u val="none"/>
        <vertAlign val="baseline"/>
        <sz val="12"/>
        <color auto="1"/>
        <name val="Aptos"/>
        <family val="2"/>
        <scheme val="none"/>
      </font>
    </dxf>
    <dxf>
      <border outline="0">
        <bottom style="thin">
          <color indexed="64"/>
        </bottom>
      </border>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dxf>
    <dxf>
      <font>
        <b val="0"/>
        <i val="0"/>
        <strike val="0"/>
        <condense val="0"/>
        <extend val="0"/>
        <outline val="0"/>
        <shadow val="0"/>
        <u val="none"/>
        <vertAlign val="baseline"/>
        <sz val="12"/>
        <color auto="1"/>
        <name val="Aptos"/>
        <family val="2"/>
        <scheme val="none"/>
      </font>
    </dxf>
    <dxf>
      <font>
        <b val="0"/>
        <i val="0"/>
        <strike val="0"/>
        <condense val="0"/>
        <extend val="0"/>
        <outline val="0"/>
        <shadow val="0"/>
        <u val="none"/>
        <vertAlign val="baseline"/>
        <sz val="12"/>
        <color auto="1"/>
        <name val="Aptos"/>
        <family val="2"/>
        <scheme val="none"/>
      </font>
    </dxf>
    <dxf>
      <font>
        <b val="0"/>
        <i val="0"/>
        <strike val="0"/>
        <condense val="0"/>
        <extend val="0"/>
        <outline val="0"/>
        <shadow val="0"/>
        <u val="none"/>
        <vertAlign val="baseline"/>
        <sz val="12"/>
        <color auto="1"/>
        <name val="Aptos"/>
        <family val="2"/>
        <scheme val="none"/>
      </font>
    </dxf>
    <dxf>
      <font>
        <b val="0"/>
        <i val="0"/>
        <strike val="0"/>
        <condense val="0"/>
        <extend val="0"/>
        <outline val="0"/>
        <shadow val="0"/>
        <u val="none"/>
        <vertAlign val="baseline"/>
        <sz val="12"/>
        <color auto="1"/>
        <name val="Aptos"/>
        <family val="2"/>
        <scheme val="none"/>
      </font>
    </dxf>
    <dxf>
      <font>
        <b val="0"/>
        <i val="0"/>
        <strike val="0"/>
        <condense val="0"/>
        <extend val="0"/>
        <outline val="0"/>
        <shadow val="0"/>
        <u val="none"/>
        <vertAlign val="baseline"/>
        <sz val="12"/>
        <color auto="1"/>
        <name val="Aptos"/>
        <family val="2"/>
        <scheme val="none"/>
      </font>
    </dxf>
    <dxf>
      <border outline="0">
        <bottom style="thin">
          <color indexed="64"/>
        </bottom>
      </border>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dxf>
    <dxf>
      <font>
        <b val="0"/>
        <i val="0"/>
        <strike val="0"/>
        <condense val="0"/>
        <extend val="0"/>
        <outline val="0"/>
        <shadow val="0"/>
        <u val="none"/>
        <vertAlign val="baseline"/>
        <sz val="12"/>
        <color auto="1"/>
        <name val="Aptos"/>
        <family val="2"/>
        <scheme val="none"/>
      </font>
    </dxf>
    <dxf>
      <border outline="0">
        <bottom style="thin">
          <color indexed="64"/>
        </bottom>
      </border>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dxf>
    <dxf>
      <border outline="0">
        <bottom style="thin">
          <color indexed="64"/>
        </bottom>
      </border>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border outline="0">
        <top style="thin">
          <color auto="1"/>
        </top>
      </border>
    </dxf>
    <dxf>
      <font>
        <b val="0"/>
        <i val="0"/>
        <strike val="0"/>
        <condense val="0"/>
        <extend val="0"/>
        <outline val="0"/>
        <shadow val="0"/>
        <u val="none"/>
        <vertAlign val="baseline"/>
        <sz val="12"/>
        <color auto="1"/>
        <name val="Aptos"/>
        <family val="2"/>
        <scheme val="none"/>
      </font>
    </dxf>
    <dxf>
      <border outline="0">
        <bottom style="thin">
          <color auto="1"/>
        </bottom>
      </border>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center" vertical="bottom" textRotation="0" wrapText="0" indent="0" justifyLastLine="0" shrinkToFit="0" readingOrder="0"/>
    </dxf>
    <dxf>
      <border outline="0">
        <top style="thin">
          <color auto="1"/>
        </top>
      </border>
    </dxf>
    <dxf>
      <border outline="0">
        <bottom style="thin">
          <color auto="1"/>
        </bottom>
      </border>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border outline="0">
        <top style="thin">
          <color auto="1"/>
        </top>
      </border>
    </dxf>
    <dxf>
      <font>
        <b val="0"/>
        <i val="0"/>
        <strike val="0"/>
        <condense val="0"/>
        <extend val="0"/>
        <outline val="0"/>
        <shadow val="0"/>
        <u val="none"/>
        <vertAlign val="baseline"/>
        <sz val="12"/>
        <color auto="1"/>
        <name val="Aptos"/>
        <family val="2"/>
        <scheme val="none"/>
      </font>
    </dxf>
    <dxf>
      <border outline="0">
        <bottom style="thin">
          <color auto="1"/>
        </bottom>
      </border>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fill>
        <patternFill patternType="solid">
          <fgColor indexed="64"/>
          <bgColor theme="2" tint="-9.9978637043366805E-2"/>
        </patternFill>
      </fill>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border outline="0">
        <top style="thin">
          <color auto="1"/>
        </top>
      </border>
    </dxf>
    <dxf>
      <font>
        <b val="0"/>
        <i val="0"/>
        <strike val="0"/>
        <condense val="0"/>
        <extend val="0"/>
        <outline val="0"/>
        <shadow val="0"/>
        <u val="none"/>
        <vertAlign val="baseline"/>
        <sz val="12"/>
        <color auto="1"/>
        <name val="Aptos"/>
        <family val="2"/>
        <scheme val="none"/>
      </font>
    </dxf>
    <dxf>
      <border outline="0">
        <bottom style="thin">
          <color auto="1"/>
        </bottom>
      </border>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fill>
        <patternFill patternType="solid">
          <fgColor indexed="64"/>
          <bgColor theme="2" tint="-9.9978637043366805E-2"/>
        </patternFill>
      </fill>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border outline="0">
        <top style="thin">
          <color auto="1"/>
        </top>
      </border>
    </dxf>
    <dxf>
      <font>
        <b val="0"/>
        <i val="0"/>
        <strike val="0"/>
        <condense val="0"/>
        <extend val="0"/>
        <outline val="0"/>
        <shadow val="0"/>
        <u val="none"/>
        <vertAlign val="baseline"/>
        <sz val="12"/>
        <color auto="1"/>
        <name val="Aptos"/>
        <family val="2"/>
        <scheme val="none"/>
      </font>
    </dxf>
    <dxf>
      <border outline="0">
        <bottom style="thin">
          <color auto="1"/>
        </bottom>
      </border>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fill>
        <patternFill patternType="solid">
          <fgColor indexed="64"/>
          <bgColor theme="2" tint="-9.9978637043366805E-2"/>
        </patternFill>
      </fill>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border outline="0">
        <top style="thin">
          <color auto="1"/>
        </top>
      </border>
    </dxf>
    <dxf>
      <font>
        <b val="0"/>
        <i val="0"/>
        <strike val="0"/>
        <condense val="0"/>
        <extend val="0"/>
        <outline val="0"/>
        <shadow val="0"/>
        <u val="none"/>
        <vertAlign val="baseline"/>
        <sz val="12"/>
        <color auto="1"/>
        <name val="Aptos"/>
        <family val="2"/>
        <scheme val="none"/>
      </font>
    </dxf>
    <dxf>
      <border outline="0">
        <bottom style="thin">
          <color auto="1"/>
        </bottom>
      </border>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fill>
        <patternFill patternType="solid">
          <fgColor indexed="64"/>
          <bgColor theme="2" tint="-9.9978637043366805E-2"/>
        </patternFill>
      </fill>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border outline="0">
        <top style="thin">
          <color auto="1"/>
        </top>
      </border>
    </dxf>
    <dxf>
      <font>
        <b val="0"/>
        <i val="0"/>
        <strike val="0"/>
        <condense val="0"/>
        <extend val="0"/>
        <outline val="0"/>
        <shadow val="0"/>
        <u val="none"/>
        <vertAlign val="baseline"/>
        <sz val="12"/>
        <color auto="1"/>
        <name val="Aptos"/>
        <family val="2"/>
        <scheme val="none"/>
      </font>
    </dxf>
    <dxf>
      <border outline="0">
        <bottom style="thin">
          <color auto="1"/>
        </bottom>
      </border>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fill>
        <patternFill patternType="solid">
          <fgColor indexed="64"/>
          <bgColor theme="2" tint="-9.9978637043366805E-2"/>
        </patternFill>
      </fill>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border outline="0">
        <top style="thin">
          <color auto="1"/>
        </top>
      </border>
    </dxf>
    <dxf>
      <font>
        <b val="0"/>
        <i val="0"/>
        <strike val="0"/>
        <condense val="0"/>
        <extend val="0"/>
        <outline val="0"/>
        <shadow val="0"/>
        <u val="none"/>
        <vertAlign val="baseline"/>
        <sz val="12"/>
        <color auto="1"/>
        <name val="Aptos"/>
        <family val="2"/>
        <scheme val="none"/>
      </font>
    </dxf>
    <dxf>
      <border outline="0">
        <bottom style="thin">
          <color auto="1"/>
        </bottom>
      </border>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fill>
        <patternFill patternType="solid">
          <fgColor indexed="64"/>
          <bgColor theme="2" tint="-9.9978637043366805E-2"/>
        </patternFill>
      </fill>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border outline="0">
        <top style="thin">
          <color auto="1"/>
        </top>
      </border>
    </dxf>
    <dxf>
      <font>
        <b val="0"/>
        <i val="0"/>
        <strike val="0"/>
        <condense val="0"/>
        <extend val="0"/>
        <outline val="0"/>
        <shadow val="0"/>
        <u val="none"/>
        <vertAlign val="baseline"/>
        <sz val="12"/>
        <color auto="1"/>
        <name val="Aptos"/>
        <family val="2"/>
        <scheme val="none"/>
      </font>
    </dxf>
    <dxf>
      <border outline="0">
        <bottom style="thin">
          <color auto="1"/>
        </bottom>
      </border>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fill>
        <patternFill patternType="solid">
          <fgColor indexed="64"/>
          <bgColor theme="2" tint="-9.9978637043366805E-2"/>
        </patternFill>
      </fill>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border outline="0">
        <top style="thin">
          <color auto="1"/>
        </top>
      </border>
    </dxf>
    <dxf>
      <font>
        <b val="0"/>
        <i val="0"/>
        <strike val="0"/>
        <condense val="0"/>
        <extend val="0"/>
        <outline val="0"/>
        <shadow val="0"/>
        <u val="none"/>
        <vertAlign val="baseline"/>
        <sz val="12"/>
        <color auto="1"/>
        <name val="Aptos"/>
        <family val="2"/>
        <scheme val="none"/>
      </font>
    </dxf>
    <dxf>
      <border outline="0">
        <bottom style="thin">
          <color auto="1"/>
        </bottom>
      </border>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fill>
        <patternFill patternType="solid">
          <fgColor indexed="64"/>
          <bgColor theme="2" tint="-9.9978637043366805E-2"/>
        </patternFill>
      </fill>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border outline="0">
        <top style="thin">
          <color auto="1"/>
        </top>
      </border>
    </dxf>
    <dxf>
      <font>
        <b val="0"/>
        <i val="0"/>
        <strike val="0"/>
        <condense val="0"/>
        <extend val="0"/>
        <outline val="0"/>
        <shadow val="0"/>
        <u val="none"/>
        <vertAlign val="baseline"/>
        <sz val="12"/>
        <color auto="1"/>
        <name val="Aptos"/>
        <family val="2"/>
        <scheme val="none"/>
      </font>
    </dxf>
    <dxf>
      <border outline="0">
        <bottom style="thin">
          <color auto="1"/>
        </bottom>
      </border>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center" vertical="bottom" textRotation="0" wrapText="0" indent="0" justifyLastLine="0" shrinkToFit="0" readingOrder="0"/>
    </dxf>
    <dxf>
      <border outline="0">
        <top style="thin">
          <color auto="1"/>
        </top>
      </border>
    </dxf>
    <dxf>
      <border outline="0">
        <bottom style="thin">
          <color auto="1"/>
        </bottom>
      </border>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fill>
        <patternFill patternType="solid">
          <fgColor indexed="64"/>
          <bgColor theme="2" tint="-9.9978637043366805E-2"/>
        </patternFill>
      </fill>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fill>
        <patternFill patternType="solid">
          <fgColor indexed="64"/>
          <bgColor theme="2" tint="-9.9978637043366805E-2"/>
        </patternFill>
      </fill>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fill>
        <patternFill patternType="solid">
          <fgColor indexed="64"/>
          <bgColor theme="2" tint="-9.9978637043366805E-2"/>
        </patternFill>
      </fill>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fill>
        <patternFill patternType="solid">
          <fgColor indexed="64"/>
          <bgColor theme="2" tint="-9.9978637043366805E-2"/>
        </patternFill>
      </fill>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fill>
        <patternFill patternType="solid">
          <fgColor indexed="64"/>
          <bgColor theme="2" tint="-9.9978637043366805E-2"/>
        </patternFill>
      </fill>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fill>
        <patternFill patternType="solid">
          <fgColor indexed="64"/>
          <bgColor theme="2" tint="-9.9978637043366805E-2"/>
        </patternFill>
      </fill>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fill>
        <patternFill patternType="solid">
          <fgColor indexed="64"/>
          <bgColor theme="2" tint="-9.9978637043366805E-2"/>
        </patternFill>
      </fill>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fill>
        <patternFill patternType="solid">
          <fgColor indexed="64"/>
          <bgColor theme="2" tint="-9.9978637043366805E-2"/>
        </patternFill>
      </fill>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fill>
        <patternFill patternType="solid">
          <fgColor indexed="64"/>
          <bgColor theme="2" tint="-9.9978637043366805E-2"/>
        </patternFill>
      </fill>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ptos"/>
        <family val="2"/>
        <scheme val="none"/>
      </font>
      <numFmt numFmtId="3" formatCode="#,##0"/>
      <alignment horizontal="right"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ptos"/>
        <family val="2"/>
        <scheme val="none"/>
      </font>
      <numFmt numFmtId="3" formatCode="#,##0"/>
      <alignment horizontal="right"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ptos"/>
        <family val="2"/>
        <scheme val="none"/>
      </font>
      <numFmt numFmtId="3" formatCode="#,##0"/>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ptos"/>
        <family val="2"/>
        <scheme val="none"/>
      </font>
      <numFmt numFmtId="3" formatCode="#,##0"/>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ptos"/>
        <family val="2"/>
        <scheme val="none"/>
      </font>
      <numFmt numFmtId="3" formatCode="#,##0"/>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ptos"/>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theme="1"/>
        <name val="Aptos"/>
        <family val="2"/>
        <scheme val="none"/>
      </font>
    </dxf>
    <dxf>
      <font>
        <b val="0"/>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dxf>
    <dxf>
      <font>
        <b/>
        <i val="0"/>
        <strike val="0"/>
        <condense val="0"/>
        <extend val="0"/>
        <outline val="0"/>
        <shadow val="0"/>
        <u val="none"/>
        <vertAlign val="baseline"/>
        <sz val="12"/>
        <color theme="1"/>
        <name val="Aptos"/>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fill>
        <patternFill patternType="solid">
          <fgColor indexed="64"/>
          <bgColor theme="2" tint="-9.9978637043366805E-2"/>
        </patternFill>
      </fill>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border outline="0">
        <top style="thin">
          <color auto="1"/>
        </top>
      </border>
    </dxf>
    <dxf>
      <font>
        <b val="0"/>
        <i val="0"/>
        <strike val="0"/>
        <condense val="0"/>
        <extend val="0"/>
        <outline val="0"/>
        <shadow val="0"/>
        <u val="none"/>
        <vertAlign val="baseline"/>
        <sz val="12"/>
        <color auto="1"/>
        <name val="Aptos"/>
        <family val="2"/>
        <scheme val="none"/>
      </font>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fill>
        <patternFill patternType="solid">
          <fgColor indexed="64"/>
          <bgColor theme="2" tint="-9.9978637043366805E-2"/>
        </patternFill>
      </fill>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fill>
        <patternFill patternType="none">
          <bgColor auto="1"/>
        </patternFill>
      </fill>
      <alignment horizontal="right" vertical="bottom" textRotation="0" wrapText="0" indent="0" justifyLastLine="0" shrinkToFit="0" readingOrder="0"/>
    </dxf>
    <dxf>
      <border outline="0">
        <top style="thin">
          <color auto="1"/>
        </top>
      </border>
    </dxf>
    <dxf>
      <font>
        <b val="0"/>
        <i val="0"/>
        <strike val="0"/>
        <condense val="0"/>
        <extend val="0"/>
        <outline val="0"/>
        <shadow val="0"/>
        <u val="none"/>
        <vertAlign val="baseline"/>
        <sz val="12"/>
        <color auto="1"/>
        <name val="Aptos"/>
        <family val="2"/>
        <scheme val="none"/>
      </font>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ptos"/>
        <family val="2"/>
        <scheme val="none"/>
      </font>
      <numFmt numFmtId="3" formatCode="#,##0"/>
      <alignment horizontal="right" vertical="bottom"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ptos"/>
        <family val="2"/>
        <scheme val="none"/>
      </font>
      <numFmt numFmtId="3" formatCode="#,##0"/>
      <alignment horizontal="right"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ptos"/>
        <family val="2"/>
        <scheme val="none"/>
      </font>
      <numFmt numFmtId="3" formatCode="#,##0"/>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ptos"/>
        <family val="2"/>
        <scheme val="none"/>
      </font>
      <numFmt numFmtId="3" formatCode="#,##0"/>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ptos"/>
        <family val="2"/>
        <scheme val="none"/>
      </font>
      <numFmt numFmtId="3" formatCode="#,##0"/>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ptos"/>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theme="1"/>
        <name val="Aptos"/>
        <family val="2"/>
        <scheme val="none"/>
      </font>
    </dxf>
    <dxf>
      <font>
        <b val="0"/>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dxf>
    <dxf>
      <font>
        <b/>
        <i val="0"/>
        <strike val="0"/>
        <condense val="0"/>
        <extend val="0"/>
        <outline val="0"/>
        <shadow val="0"/>
        <u val="none"/>
        <vertAlign val="baseline"/>
        <sz val="12"/>
        <color theme="1"/>
        <name val="Aptos"/>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dxf>
    <dxf>
      <border outline="0">
        <bottom style="thin">
          <color indexed="64"/>
        </bottom>
      </border>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border outline="0">
        <bottom style="thin">
          <color indexed="64"/>
        </bottom>
      </border>
    </dxf>
    <dxf>
      <font>
        <b/>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alignment horizontal="general"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alignment horizontal="general"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alignment horizontal="general"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alignment horizontal="general"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alignment horizontal="general"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fill>
        <patternFill patternType="solid">
          <fgColor indexed="64"/>
          <bgColor theme="2" tint="-9.9978637043366805E-2"/>
        </patternFill>
      </fill>
      <alignment horizontal="general" vertical="bottom" textRotation="0" indent="0" justifyLastLine="0" shrinkToFit="0" readingOrder="0"/>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dxf>
    <dxf>
      <border outline="0">
        <bottom style="thin">
          <color indexed="64"/>
        </bottom>
      </border>
    </dxf>
    <dxf>
      <font>
        <b/>
        <i val="0"/>
        <strike val="0"/>
        <condense val="0"/>
        <extend val="0"/>
        <outline val="0"/>
        <shadow val="0"/>
        <u val="none"/>
        <vertAlign val="baseline"/>
        <sz val="12"/>
        <color theme="1"/>
        <name val="Aptos"/>
        <family val="2"/>
        <scheme val="none"/>
      </font>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alignment horizontal="general"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alignment horizontal="general"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alignment horizontal="general"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alignment horizontal="general"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alignment horizontal="general"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fill>
        <patternFill patternType="solid">
          <fgColor indexed="64"/>
          <bgColor theme="2" tint="-9.9978637043366805E-2"/>
        </patternFill>
      </fill>
      <alignment horizontal="general" vertical="bottom" textRotation="0" indent="0" justifyLastLine="0" shrinkToFit="0" readingOrder="0"/>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dxf>
    <dxf>
      <border outline="0">
        <bottom style="thin">
          <color indexed="64"/>
        </bottom>
      </border>
    </dxf>
    <dxf>
      <font>
        <b/>
        <i val="0"/>
        <strike val="0"/>
        <condense val="0"/>
        <extend val="0"/>
        <outline val="0"/>
        <shadow val="0"/>
        <u val="none"/>
        <vertAlign val="baseline"/>
        <sz val="12"/>
        <color theme="1"/>
        <name val="Aptos"/>
        <family val="2"/>
        <scheme val="none"/>
      </font>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alignment horizontal="general"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alignment horizontal="general"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alignment horizontal="general"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alignment horizontal="general"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alignment horizontal="general" vertical="bottom" textRotation="0" indent="0" justifyLastLine="0" shrinkToFit="0" readingOrder="0"/>
    </dxf>
    <dxf>
      <alignment horizontal="general" vertical="bottom" textRotation="0" indent="0" justifyLastLine="0" shrinkToFit="0" readingOrder="0"/>
    </dxf>
    <dxf>
      <alignment horizontal="right" vertical="bottom" textRotation="0" indent="0" justifyLastLine="0" shrinkToFit="0" readingOrder="0"/>
    </dxf>
    <dxf>
      <alignment horizontal="general" textRotation="0" indent="0" justifyLastLine="0" shrinkToFit="0" readingOrder="0"/>
    </dxf>
    <dxf>
      <font>
        <b val="0"/>
        <i val="0"/>
        <strike val="0"/>
        <condense val="0"/>
        <extend val="0"/>
        <outline val="0"/>
        <shadow val="0"/>
        <u val="none"/>
        <vertAlign val="baseline"/>
        <sz val="12"/>
        <color auto="1"/>
        <name val="Aptos"/>
        <family val="2"/>
        <scheme val="none"/>
      </font>
    </dxf>
    <dxf>
      <border outline="0">
        <bottom style="thin">
          <color indexed="64"/>
        </bottom>
      </border>
    </dxf>
    <dxf>
      <font>
        <b/>
        <i val="0"/>
        <strike val="0"/>
        <condense val="0"/>
        <extend val="0"/>
        <outline val="0"/>
        <shadow val="0"/>
        <u val="none"/>
        <vertAlign val="baseline"/>
        <sz val="12"/>
        <color theme="1"/>
        <name val="Aptos"/>
        <family val="2"/>
        <scheme val="none"/>
      </font>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alignment horizontal="general"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alignment horizontal="general"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alignment horizontal="general"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alignment horizontal="general"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alignment horizontal="general" vertical="bottom" textRotation="0" indent="0" justifyLastLine="0" shrinkToFit="0" readingOrder="0"/>
    </dxf>
    <dxf>
      <alignment horizontal="general" vertical="bottom" textRotation="0" indent="0" justifyLastLine="0" shrinkToFit="0" readingOrder="0"/>
    </dxf>
    <dxf>
      <alignment horizontal="right" vertical="bottom" textRotation="0" indent="0" justifyLastLine="0" shrinkToFit="0" readingOrder="0"/>
    </dxf>
    <dxf>
      <alignment horizontal="general" textRotation="0" indent="0" justifyLastLine="0" shrinkToFit="0" readingOrder="0"/>
    </dxf>
    <dxf>
      <font>
        <b val="0"/>
        <i val="0"/>
        <strike val="0"/>
        <condense val="0"/>
        <extend val="0"/>
        <outline val="0"/>
        <shadow val="0"/>
        <u val="none"/>
        <vertAlign val="baseline"/>
        <sz val="12"/>
        <color auto="1"/>
        <name val="Aptos"/>
        <family val="2"/>
        <scheme val="none"/>
      </font>
    </dxf>
    <dxf>
      <border outline="0">
        <bottom style="thin">
          <color indexed="64"/>
        </bottom>
      </border>
    </dxf>
    <dxf>
      <font>
        <b/>
        <i val="0"/>
        <strike val="0"/>
        <condense val="0"/>
        <extend val="0"/>
        <outline val="0"/>
        <shadow val="0"/>
        <u val="none"/>
        <vertAlign val="baseline"/>
        <sz val="12"/>
        <color theme="1"/>
        <name val="Aptos"/>
        <family val="2"/>
        <scheme val="none"/>
      </font>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fill>
        <patternFill patternType="solid">
          <fgColor indexed="64"/>
          <bgColor theme="2" tint="-9.9978637043366805E-2"/>
        </patternFill>
      </fill>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dxf>
    <dxf>
      <border outline="0">
        <bottom style="thin">
          <color indexed="64"/>
        </bottom>
      </border>
    </dxf>
    <dxf>
      <font>
        <b/>
        <i val="0"/>
        <strike val="0"/>
        <condense val="0"/>
        <extend val="0"/>
        <outline val="0"/>
        <shadow val="0"/>
        <u val="none"/>
        <vertAlign val="baseline"/>
        <sz val="12"/>
        <color theme="1"/>
        <name val="Aptos"/>
        <family val="2"/>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fill>
        <patternFill patternType="solid">
          <fgColor indexed="64"/>
          <bgColor theme="2" tint="-9.9978637043366805E-2"/>
        </patternFill>
      </fill>
      <alignment horizontal="right" vertical="bottom" textRotation="0" indent="0" justifyLastLine="0" shrinkToFit="0" readingOrder="0"/>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dxf>
    <dxf>
      <border outline="0">
        <bottom style="thin">
          <color indexed="64"/>
        </bottom>
      </border>
    </dxf>
    <dxf>
      <font>
        <b/>
        <i val="0"/>
        <strike val="0"/>
        <condense val="0"/>
        <extend val="0"/>
        <outline val="0"/>
        <shadow val="0"/>
        <u val="none"/>
        <vertAlign val="baseline"/>
        <sz val="12"/>
        <color theme="1"/>
        <name val="Aptos"/>
        <family val="2"/>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alignment horizontal="left" vertical="bottom" textRotation="0" indent="0" justifyLastLine="0" shrinkToFit="0" readingOrder="0"/>
    </dxf>
    <dxf>
      <border outline="0">
        <top style="thin">
          <color auto="1"/>
        </top>
      </border>
    </dxf>
    <dxf>
      <font>
        <b val="0"/>
        <i val="0"/>
        <strike val="0"/>
        <condense val="0"/>
        <extend val="0"/>
        <outline val="0"/>
        <shadow val="0"/>
        <u val="none"/>
        <vertAlign val="baseline"/>
        <sz val="12"/>
        <color auto="1"/>
        <name val="Aptos"/>
        <family val="2"/>
        <scheme val="none"/>
      </font>
    </dxf>
    <dxf>
      <border outline="0">
        <bottom style="thin">
          <color indexed="64"/>
        </bottom>
      </border>
    </dxf>
    <dxf>
      <font>
        <b/>
        <i val="0"/>
        <strike val="0"/>
        <condense val="0"/>
        <extend val="0"/>
        <outline val="0"/>
        <shadow val="0"/>
        <u val="none"/>
        <vertAlign val="baseline"/>
        <sz val="12"/>
        <color theme="1"/>
        <name val="Aptos"/>
        <family val="2"/>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alignment horizontal="left" vertical="bottom" textRotation="0" indent="0" justifyLastLine="0" shrinkToFit="0" readingOrder="0"/>
    </dxf>
    <dxf>
      <border outline="0">
        <top style="thin">
          <color auto="1"/>
        </top>
      </border>
    </dxf>
    <dxf>
      <border outline="0">
        <bottom style="thin">
          <color indexed="64"/>
        </bottom>
      </border>
    </dxf>
    <dxf>
      <font>
        <b/>
        <i val="0"/>
        <strike val="0"/>
        <condense val="0"/>
        <extend val="0"/>
        <outline val="0"/>
        <shadow val="0"/>
        <u val="none"/>
        <vertAlign val="baseline"/>
        <sz val="12"/>
        <color theme="1"/>
        <name val="Aptos"/>
        <family val="2"/>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alignment horizontal="left" vertical="bottom" textRotation="0" indent="0" justifyLastLine="0" shrinkToFit="0" readingOrder="0"/>
    </dxf>
    <dxf>
      <border outline="0">
        <top style="thin">
          <color auto="1"/>
        </top>
      </border>
    </dxf>
    <dxf>
      <border outline="0">
        <bottom style="thin">
          <color indexed="64"/>
        </bottom>
      </border>
    </dxf>
    <dxf>
      <font>
        <b/>
        <i val="0"/>
        <strike val="0"/>
        <condense val="0"/>
        <extend val="0"/>
        <outline val="0"/>
        <shadow val="0"/>
        <u val="none"/>
        <vertAlign val="baseline"/>
        <sz val="12"/>
        <color theme="1"/>
        <name val="Aptos"/>
        <family val="2"/>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fill>
        <patternFill patternType="solid">
          <fgColor indexed="64"/>
          <bgColor theme="2" tint="-9.9978637043366805E-2"/>
        </patternFill>
      </fill>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dxf>
    <dxf>
      <border outline="0">
        <top style="thin">
          <color auto="1"/>
        </top>
      </border>
    </dxf>
    <dxf>
      <font>
        <b val="0"/>
        <i val="0"/>
        <strike val="0"/>
        <condense val="0"/>
        <extend val="0"/>
        <outline val="0"/>
        <shadow val="0"/>
        <u val="none"/>
        <vertAlign val="baseline"/>
        <sz val="12"/>
        <color auto="1"/>
        <name val="Aptos"/>
        <family val="2"/>
        <scheme val="none"/>
      </font>
    </dxf>
    <dxf>
      <border outline="0">
        <bottom style="thin">
          <color indexed="64"/>
        </bottom>
      </border>
    </dxf>
    <dxf>
      <font>
        <b/>
        <i val="0"/>
        <strike val="0"/>
        <condense val="0"/>
        <extend val="0"/>
        <outline val="0"/>
        <shadow val="0"/>
        <u val="none"/>
        <vertAlign val="baseline"/>
        <sz val="12"/>
        <color theme="1"/>
        <name val="Aptos"/>
        <family val="2"/>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fill>
        <patternFill patternType="solid">
          <fgColor indexed="64"/>
          <bgColor theme="2" tint="-9.9978637043366805E-2"/>
        </patternFill>
      </fill>
      <alignment horizontal="right" vertical="bottom" textRotation="0" indent="0" justifyLastLine="0" shrinkToFit="0" readingOrder="0"/>
    </dxf>
    <dxf>
      <font>
        <b val="0"/>
        <i val="0"/>
        <strike val="0"/>
        <condense val="0"/>
        <extend val="0"/>
        <outline val="0"/>
        <shadow val="0"/>
        <u val="none"/>
        <vertAlign val="baseline"/>
        <sz val="12"/>
        <color auto="1"/>
        <name val="Aptos"/>
        <family val="2"/>
        <scheme val="none"/>
      </font>
      <fill>
        <patternFill patternType="solid">
          <fgColor indexed="64"/>
          <bgColor theme="2" tint="-9.9978637043366805E-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dxf>
    <dxf>
      <border outline="0">
        <top style="thin">
          <color auto="1"/>
        </top>
      </border>
    </dxf>
    <dxf>
      <font>
        <b val="0"/>
        <i val="0"/>
        <strike val="0"/>
        <condense val="0"/>
        <extend val="0"/>
        <outline val="0"/>
        <shadow val="0"/>
        <u val="none"/>
        <vertAlign val="baseline"/>
        <sz val="12"/>
        <color auto="1"/>
        <name val="Aptos"/>
        <family val="2"/>
        <scheme val="none"/>
      </font>
    </dxf>
    <dxf>
      <border outline="0">
        <bottom style="thin">
          <color indexed="64"/>
        </bottom>
      </border>
    </dxf>
    <dxf>
      <font>
        <b/>
        <i val="0"/>
        <strike val="0"/>
        <condense val="0"/>
        <extend val="0"/>
        <outline val="0"/>
        <shadow val="0"/>
        <u val="none"/>
        <vertAlign val="baseline"/>
        <sz val="12"/>
        <color theme="1"/>
        <name val="Aptos"/>
        <family val="2"/>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alignment horizontal="general" vertical="bottom" textRotation="0" indent="0" justifyLastLine="0" shrinkToFit="0" readingOrder="0"/>
    </dxf>
    <dxf>
      <border outline="0">
        <top style="thin">
          <color auto="1"/>
        </top>
      </border>
    </dxf>
    <dxf>
      <border outline="0">
        <bottom style="thin">
          <color indexed="64"/>
        </bottom>
      </border>
    </dxf>
    <dxf>
      <font>
        <b/>
        <i val="0"/>
        <strike val="0"/>
        <condense val="0"/>
        <extend val="0"/>
        <outline val="0"/>
        <shadow val="0"/>
        <u val="none"/>
        <vertAlign val="baseline"/>
        <sz val="12"/>
        <color theme="1"/>
        <name val="Aptos"/>
        <family val="2"/>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ptos"/>
        <family val="2"/>
        <scheme val="none"/>
      </font>
      <numFmt numFmtId="3" formatCode="#,##0"/>
    </dxf>
    <dxf>
      <font>
        <b val="0"/>
        <i val="0"/>
        <strike val="0"/>
        <condense val="0"/>
        <extend val="0"/>
        <outline val="0"/>
        <shadow val="0"/>
        <u val="none"/>
        <vertAlign val="baseline"/>
        <sz val="12"/>
        <color theme="1"/>
        <name val="Aptos"/>
        <family val="2"/>
        <scheme val="none"/>
      </font>
    </dxf>
    <dxf>
      <font>
        <b val="0"/>
        <i val="0"/>
        <strike val="0"/>
        <condense val="0"/>
        <extend val="0"/>
        <outline val="0"/>
        <shadow val="0"/>
        <u val="none"/>
        <vertAlign val="baseline"/>
        <sz val="12"/>
        <color theme="1"/>
        <name val="Aptos"/>
        <family val="2"/>
        <scheme val="none"/>
      </font>
      <numFmt numFmtId="3" formatCode="#,##0"/>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ptos"/>
        <family val="2"/>
        <scheme val="none"/>
      </font>
      <numFmt numFmtId="3" formatCode="#,##0"/>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ptos"/>
        <family val="2"/>
        <scheme val="none"/>
      </font>
      <numFmt numFmtId="3" formatCode="#,##0"/>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ptos"/>
        <family val="2"/>
        <scheme val="none"/>
      </font>
      <numFmt numFmtId="3" formatCode="#,##0"/>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ptos"/>
        <family val="2"/>
        <scheme val="none"/>
      </font>
      <numFmt numFmtId="3" formatCode="#,##0"/>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ptos"/>
        <family val="2"/>
        <scheme val="none"/>
      </font>
      <numFmt numFmtId="3" formatCode="#,##0"/>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ptos"/>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theme="1"/>
        <name val="Aptos"/>
        <family val="2"/>
        <scheme val="none"/>
      </font>
    </dxf>
    <dxf>
      <font>
        <b val="0"/>
        <i val="0"/>
        <strike val="0"/>
        <condense val="0"/>
        <extend val="0"/>
        <outline val="0"/>
        <shadow val="0"/>
        <u val="none"/>
        <vertAlign val="baseline"/>
        <sz val="12"/>
        <color theme="1"/>
        <name val="Aptos"/>
        <family val="2"/>
        <scheme val="none"/>
      </font>
      <alignment horizontal="general" vertical="bottom" textRotation="0" wrapText="1" indent="0" justifyLastLine="0" shrinkToFit="0" readingOrder="0"/>
    </dxf>
    <dxf>
      <font>
        <b/>
        <i val="0"/>
        <strike val="0"/>
        <condense val="0"/>
        <extend val="0"/>
        <outline val="0"/>
        <shadow val="0"/>
        <u val="none"/>
        <vertAlign val="baseline"/>
        <sz val="12"/>
        <color theme="1"/>
        <name val="Aptos"/>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numFmt numFmtId="171" formatCode="0.0"/>
    </dxf>
    <dxf>
      <font>
        <b/>
        <i val="0"/>
        <strike val="0"/>
        <condense val="0"/>
        <extend val="0"/>
        <outline val="0"/>
        <shadow val="0"/>
        <u val="none"/>
        <vertAlign val="baseline"/>
        <sz val="12"/>
        <color auto="1"/>
        <name val="Aptos"/>
        <family val="2"/>
        <scheme val="none"/>
      </font>
    </dxf>
    <dxf>
      <border outline="0">
        <top style="thin">
          <color theme="1"/>
        </top>
      </border>
    </dxf>
    <dxf>
      <border outline="0">
        <bottom style="thin">
          <color theme="1"/>
        </bottom>
      </border>
    </dxf>
    <dxf>
      <font>
        <b/>
        <i val="0"/>
        <strike val="0"/>
        <condense val="0"/>
        <extend val="0"/>
        <outline val="0"/>
        <shadow val="0"/>
        <u val="none"/>
        <vertAlign val="baseline"/>
        <sz val="12"/>
        <color theme="1"/>
        <name val="Aptos"/>
        <family val="2"/>
        <scheme val="none"/>
      </font>
    </dxf>
    <dxf>
      <font>
        <b val="0"/>
        <i val="0"/>
        <strike val="0"/>
        <condense val="0"/>
        <extend val="0"/>
        <outline val="0"/>
        <shadow val="0"/>
        <u val="none"/>
        <vertAlign val="baseline"/>
        <sz val="12"/>
        <color rgb="FFFF0000"/>
        <name val="Aptos"/>
        <family val="2"/>
        <scheme val="none"/>
      </font>
    </dxf>
    <dxf>
      <font>
        <strike val="0"/>
        <outline val="0"/>
        <shadow val="0"/>
        <vertAlign val="baseline"/>
        <sz val="12"/>
        <name val="Aptos"/>
        <family val="2"/>
        <scheme val="none"/>
      </font>
      <numFmt numFmtId="171" formatCode="0.0"/>
    </dxf>
    <dxf>
      <font>
        <strike val="0"/>
        <outline val="0"/>
        <shadow val="0"/>
        <vertAlign val="baseline"/>
        <sz val="12"/>
        <name val="Aptos"/>
        <family val="2"/>
        <scheme val="none"/>
      </font>
    </dxf>
    <dxf>
      <font>
        <strike val="0"/>
        <outline val="0"/>
        <shadow val="0"/>
        <vertAlign val="baseline"/>
        <sz val="12"/>
        <name val="Aptos"/>
        <family val="2"/>
        <scheme val="none"/>
      </font>
      <numFmt numFmtId="167" formatCode="#,##0.0"/>
    </dxf>
    <dxf>
      <font>
        <strike val="0"/>
        <outline val="0"/>
        <shadow val="0"/>
        <vertAlign val="baseline"/>
        <sz val="12"/>
        <name val="Aptos"/>
        <family val="2"/>
        <scheme val="none"/>
      </font>
      <numFmt numFmtId="167" formatCode="#,##0.0"/>
      <fill>
        <patternFill patternType="solid">
          <fgColor indexed="64"/>
          <bgColor rgb="FFFFFFCC"/>
        </patternFill>
      </fill>
    </dxf>
    <dxf>
      <font>
        <b val="0"/>
        <i val="0"/>
        <strike val="0"/>
        <condense val="0"/>
        <extend val="0"/>
        <outline val="0"/>
        <shadow val="0"/>
        <u val="none"/>
        <vertAlign val="baseline"/>
        <sz val="12"/>
        <color auto="1"/>
        <name val="Aptos"/>
        <family val="2"/>
        <scheme val="none"/>
      </font>
      <fill>
        <patternFill patternType="none">
          <fgColor indexed="64"/>
          <bgColor indexed="65"/>
        </patternFill>
      </fill>
    </dxf>
    <dxf>
      <font>
        <strike val="0"/>
        <outline val="0"/>
        <shadow val="0"/>
        <vertAlign val="baseline"/>
        <sz val="12"/>
        <name val="Aptos"/>
        <family val="2"/>
        <scheme val="none"/>
      </font>
      <alignment horizontal="right" vertical="bottom" textRotation="0" wrapText="0" indent="0" justifyLastLine="0" shrinkToFit="0" readingOrder="0"/>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vertAlign val="baseline"/>
        <sz val="12"/>
        <name val="Aptos"/>
        <family val="2"/>
        <scheme val="none"/>
      </font>
    </dxf>
    <dxf>
      <font>
        <b val="0"/>
        <i val="0"/>
        <strike val="0"/>
        <condense val="0"/>
        <extend val="0"/>
        <outline val="0"/>
        <shadow val="0"/>
        <u val="none"/>
        <vertAlign val="baseline"/>
        <sz val="12"/>
        <color auto="1"/>
        <name val="Aptos"/>
        <family val="2"/>
        <scheme val="none"/>
      </font>
      <fill>
        <patternFill patternType="solid">
          <fgColor indexed="64"/>
          <bgColor theme="4" tint="0.79998168889431442"/>
        </patternFill>
      </fill>
      <alignment horizontal="left" vertical="bottom"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2"/>
        <color auto="1"/>
        <name val="Aptos"/>
        <family val="2"/>
        <scheme val="none"/>
      </font>
    </dxf>
    <dxf>
      <border outline="0">
        <top style="thin">
          <color auto="1"/>
        </top>
      </border>
    </dxf>
    <dxf>
      <border outline="0">
        <bottom style="thin">
          <color auto="1"/>
        </bottom>
      </border>
    </dxf>
    <dxf>
      <font>
        <b val="0"/>
        <i val="0"/>
        <strike val="0"/>
        <condense val="0"/>
        <extend val="0"/>
        <outline val="0"/>
        <shadow val="0"/>
        <u val="none"/>
        <vertAlign val="baseline"/>
        <sz val="12"/>
        <color auto="1"/>
        <name val="Aptos"/>
        <family val="2"/>
        <scheme val="none"/>
      </font>
      <numFmt numFmtId="3" formatCode="#,##0"/>
      <fill>
        <patternFill patternType="solid">
          <fgColor indexed="64"/>
          <bgColor rgb="FFFFFF00"/>
        </patternFill>
      </fill>
      <alignment horizontal="general"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numFmt numFmtId="173" formatCode="#,##0.0_);[Red]\(#,##0.0\)"/>
      <border diagonalUp="0" diagonalDown="0">
        <left/>
        <right style="thin">
          <color indexed="64"/>
        </right>
        <top/>
        <bottom/>
        <vertical/>
        <horizontal/>
      </border>
    </dxf>
    <dxf>
      <numFmt numFmtId="3" formatCode="#,##0"/>
    </dxf>
    <dxf>
      <numFmt numFmtId="3" formatCode="#,##0"/>
    </dxf>
    <dxf>
      <numFmt numFmtId="3" formatCode="#,##0"/>
      <fill>
        <patternFill patternType="solid">
          <fgColor indexed="64"/>
          <bgColor rgb="FFFFFFCC"/>
        </patternFill>
      </fill>
    </dxf>
    <dxf>
      <numFmt numFmtId="3" formatCode="#,##0"/>
      <fill>
        <patternFill patternType="solid">
          <fgColor indexed="64"/>
          <bgColor theme="5" tint="0.59999389629810485"/>
        </patternFill>
      </fill>
    </dxf>
    <dxf>
      <numFmt numFmtId="3" formatCode="#,##0"/>
      <fill>
        <patternFill patternType="solid">
          <fgColor indexed="64"/>
          <bgColor theme="5" tint="0.59999389629810485"/>
        </patternFill>
      </fill>
    </dxf>
    <dxf>
      <numFmt numFmtId="3" formatCode="#,##0"/>
      <fill>
        <patternFill patternType="solid">
          <fgColor indexed="64"/>
          <bgColor theme="5" tint="0.59999389629810485"/>
        </patternFill>
      </fill>
    </dxf>
    <dxf>
      <numFmt numFmtId="3" formatCode="#,##0"/>
      <fill>
        <patternFill patternType="solid">
          <fgColor indexed="64"/>
          <bgColor theme="5" tint="0.59999389629810485"/>
        </patternFill>
      </fill>
    </dxf>
    <dxf>
      <numFmt numFmtId="3" formatCode="#,##0"/>
      <fill>
        <patternFill patternType="solid">
          <fgColor indexed="64"/>
          <bgColor theme="5" tint="0.59999389629810485"/>
        </patternFill>
      </fill>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2"/>
        <color indexed="8"/>
        <name val="Aptos"/>
        <family val="2"/>
        <scheme val="none"/>
      </font>
      <numFmt numFmtId="3" formatCode="#,##0"/>
      <alignment horizontal="center"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numFmt numFmtId="173" formatCode="#,##0.0_);[Red]\(#,##0.0\)"/>
      <border diagonalUp="0" diagonalDown="0">
        <left/>
        <right style="thin">
          <color indexed="64"/>
        </right>
        <top/>
        <bottom/>
        <vertical/>
        <horizontal/>
      </border>
    </dxf>
    <dxf>
      <numFmt numFmtId="3" formatCode="#,##0"/>
    </dxf>
    <dxf>
      <numFmt numFmtId="3" formatCode="#,##0"/>
    </dxf>
    <dxf>
      <numFmt numFmtId="3" formatCode="#,##0"/>
      <fill>
        <patternFill patternType="solid">
          <fgColor indexed="64"/>
          <bgColor rgb="FFFFFFCC"/>
        </patternFill>
      </fill>
    </dxf>
    <dxf>
      <numFmt numFmtId="3" formatCode="#,##0"/>
      <fill>
        <patternFill patternType="solid">
          <fgColor indexed="64"/>
          <bgColor theme="5" tint="0.59999389629810485"/>
        </patternFill>
      </fill>
    </dxf>
    <dxf>
      <numFmt numFmtId="3" formatCode="#,##0"/>
      <fill>
        <patternFill patternType="solid">
          <fgColor indexed="64"/>
          <bgColor theme="5" tint="0.59999389629810485"/>
        </patternFill>
      </fill>
    </dxf>
    <dxf>
      <numFmt numFmtId="3" formatCode="#,##0"/>
      <fill>
        <patternFill patternType="solid">
          <fgColor indexed="64"/>
          <bgColor theme="5" tint="0.59999389629810485"/>
        </patternFill>
      </fill>
    </dxf>
    <dxf>
      <numFmt numFmtId="3" formatCode="#,##0"/>
      <fill>
        <patternFill patternType="solid">
          <fgColor indexed="64"/>
          <bgColor theme="5" tint="0.59999389629810485"/>
        </patternFill>
      </fill>
    </dxf>
    <dxf>
      <numFmt numFmtId="3" formatCode="#,##0"/>
      <fill>
        <patternFill patternType="solid">
          <fgColor indexed="64"/>
          <bgColor theme="5" tint="0.59999389629810485"/>
        </patternFill>
      </fill>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2"/>
        <color indexed="8"/>
        <name val="Aptos"/>
        <family val="2"/>
        <scheme val="none"/>
      </font>
      <numFmt numFmtId="3" formatCode="#,##0"/>
      <alignment horizontal="center"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numFmt numFmtId="173" formatCode="#,##0.0_);[Red]\(#,##0.0\)"/>
      <border diagonalUp="0" diagonalDown="0">
        <left/>
        <right style="thin">
          <color indexed="64"/>
        </right>
        <top/>
        <bottom/>
        <vertical/>
        <horizontal/>
      </border>
    </dxf>
    <dxf>
      <numFmt numFmtId="3" formatCode="#,##0"/>
    </dxf>
    <dxf>
      <numFmt numFmtId="3" formatCode="#,##0"/>
    </dxf>
    <dxf>
      <numFmt numFmtId="3" formatCode="#,##0"/>
      <fill>
        <patternFill patternType="solid">
          <fgColor indexed="64"/>
          <bgColor rgb="FFFFFFCC"/>
        </patternFill>
      </fill>
    </dxf>
    <dxf>
      <numFmt numFmtId="3" formatCode="#,##0"/>
      <fill>
        <patternFill patternType="solid">
          <fgColor indexed="64"/>
          <bgColor theme="5" tint="0.59999389629810485"/>
        </patternFill>
      </fill>
    </dxf>
    <dxf>
      <numFmt numFmtId="3" formatCode="#,##0"/>
      <fill>
        <patternFill patternType="solid">
          <fgColor indexed="64"/>
          <bgColor theme="5" tint="0.59999389629810485"/>
        </patternFill>
      </fill>
    </dxf>
    <dxf>
      <numFmt numFmtId="3" formatCode="#,##0"/>
      <fill>
        <patternFill patternType="solid">
          <fgColor indexed="64"/>
          <bgColor theme="5" tint="0.59999389629810485"/>
        </patternFill>
      </fill>
    </dxf>
    <dxf>
      <numFmt numFmtId="3" formatCode="#,##0"/>
      <fill>
        <patternFill patternType="solid">
          <fgColor indexed="64"/>
          <bgColor theme="5" tint="0.59999389629810485"/>
        </patternFill>
      </fill>
    </dxf>
    <dxf>
      <numFmt numFmtId="3" formatCode="#,##0"/>
      <fill>
        <patternFill patternType="solid">
          <fgColor indexed="64"/>
          <bgColor theme="5" tint="0.59999389629810485"/>
        </patternFill>
      </fill>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2"/>
        <color indexed="8"/>
        <name val="Aptos"/>
        <family val="2"/>
        <scheme val="none"/>
      </font>
      <numFmt numFmtId="3" formatCode="#,##0"/>
      <alignment horizontal="center"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numFmt numFmtId="173" formatCode="#,##0.0_);[Red]\(#,##0.0\)"/>
      <border diagonalUp="0" diagonalDown="0">
        <left/>
        <right style="thin">
          <color indexed="64"/>
        </right>
        <top/>
        <bottom/>
        <vertical/>
        <horizontal/>
      </border>
    </dxf>
    <dxf>
      <numFmt numFmtId="3" formatCode="#,##0"/>
    </dxf>
    <dxf>
      <numFmt numFmtId="3" formatCode="#,##0"/>
    </dxf>
    <dxf>
      <numFmt numFmtId="3" formatCode="#,##0"/>
      <fill>
        <patternFill patternType="solid">
          <fgColor indexed="64"/>
          <bgColor rgb="FFFFFFCC"/>
        </patternFill>
      </fill>
    </dxf>
    <dxf>
      <numFmt numFmtId="3" formatCode="#,##0"/>
      <fill>
        <patternFill patternType="solid">
          <fgColor indexed="64"/>
          <bgColor theme="5" tint="0.59999389629810485"/>
        </patternFill>
      </fill>
    </dxf>
    <dxf>
      <numFmt numFmtId="3" formatCode="#,##0"/>
      <fill>
        <patternFill patternType="solid">
          <fgColor indexed="64"/>
          <bgColor theme="5" tint="0.59999389629810485"/>
        </patternFill>
      </fill>
    </dxf>
    <dxf>
      <numFmt numFmtId="3" formatCode="#,##0"/>
      <fill>
        <patternFill patternType="solid">
          <fgColor indexed="64"/>
          <bgColor theme="5" tint="0.59999389629810485"/>
        </patternFill>
      </fill>
    </dxf>
    <dxf>
      <numFmt numFmtId="3" formatCode="#,##0"/>
      <fill>
        <patternFill patternType="solid">
          <fgColor indexed="64"/>
          <bgColor theme="5" tint="0.59999389629810485"/>
        </patternFill>
      </fill>
    </dxf>
    <dxf>
      <numFmt numFmtId="3" formatCode="#,##0"/>
      <fill>
        <patternFill patternType="solid">
          <fgColor indexed="64"/>
          <bgColor theme="5" tint="0.59999389629810485"/>
        </patternFill>
      </fill>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border outline="0">
        <top style="thin">
          <color theme="1"/>
        </top>
      </border>
    </dxf>
    <dxf>
      <border outline="0">
        <bottom style="thin">
          <color auto="1"/>
        </bottom>
      </border>
    </dxf>
    <dxf>
      <font>
        <b/>
        <i val="0"/>
        <strike val="0"/>
        <condense val="0"/>
        <extend val="0"/>
        <outline val="0"/>
        <shadow val="0"/>
        <u val="none"/>
        <vertAlign val="baseline"/>
        <sz val="12"/>
        <color indexed="8"/>
        <name val="Aptos"/>
        <family val="2"/>
        <scheme val="none"/>
      </font>
      <numFmt numFmtId="3" formatCode="#,##0"/>
      <alignment horizontal="center"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numFmt numFmtId="173" formatCode="#,##0.0_);[Red]\(#,##0.0\)"/>
      <border diagonalUp="0" diagonalDown="0">
        <left/>
        <right style="thin">
          <color indexed="64"/>
        </right>
        <top/>
        <bottom/>
        <vertical/>
        <horizontal/>
      </border>
    </dxf>
    <dxf>
      <numFmt numFmtId="3" formatCode="#,##0"/>
    </dxf>
    <dxf>
      <numFmt numFmtId="3" formatCode="#,##0"/>
    </dxf>
    <dxf>
      <numFmt numFmtId="3" formatCode="#,##0"/>
      <fill>
        <patternFill patternType="solid">
          <fgColor indexed="64"/>
          <bgColor rgb="FFFFFFCC"/>
        </patternFill>
      </fill>
    </dxf>
    <dxf>
      <numFmt numFmtId="3" formatCode="#,##0"/>
      <fill>
        <patternFill patternType="solid">
          <fgColor indexed="64"/>
          <bgColor theme="5" tint="0.59999389629810485"/>
        </patternFill>
      </fill>
    </dxf>
    <dxf>
      <numFmt numFmtId="3" formatCode="#,##0"/>
      <fill>
        <patternFill patternType="solid">
          <fgColor indexed="64"/>
          <bgColor theme="5" tint="0.59999389629810485"/>
        </patternFill>
      </fill>
    </dxf>
    <dxf>
      <numFmt numFmtId="3" formatCode="#,##0"/>
      <fill>
        <patternFill patternType="solid">
          <fgColor indexed="64"/>
          <bgColor theme="5" tint="0.59999389629810485"/>
        </patternFill>
      </fill>
    </dxf>
    <dxf>
      <numFmt numFmtId="3" formatCode="#,##0"/>
      <fill>
        <patternFill patternType="solid">
          <fgColor indexed="64"/>
          <bgColor theme="5" tint="0.59999389629810485"/>
        </patternFill>
      </fill>
    </dxf>
    <dxf>
      <numFmt numFmtId="3" formatCode="#,##0"/>
      <fill>
        <patternFill patternType="solid">
          <fgColor indexed="64"/>
          <bgColor theme="5" tint="0.59999389629810485"/>
        </patternFill>
      </fill>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2"/>
        <color indexed="8"/>
        <name val="Aptos"/>
        <family val="2"/>
        <scheme val="none"/>
      </font>
      <numFmt numFmtId="3" formatCode="#,##0"/>
      <alignment horizontal="center"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numFmt numFmtId="173" formatCode="#,##0.0_);[Red]\(#,##0.0\)"/>
      <border diagonalUp="0" diagonalDown="0">
        <left/>
        <right style="thin">
          <color indexed="64"/>
        </right>
        <top/>
        <bottom/>
        <vertical/>
        <horizontal/>
      </border>
    </dxf>
    <dxf>
      <numFmt numFmtId="3" formatCode="#,##0"/>
    </dxf>
    <dxf>
      <numFmt numFmtId="3" formatCode="#,##0"/>
    </dxf>
    <dxf>
      <numFmt numFmtId="3" formatCode="#,##0"/>
      <fill>
        <patternFill patternType="solid">
          <fgColor indexed="64"/>
          <bgColor rgb="FFFFFFCC"/>
        </patternFill>
      </fill>
    </dxf>
    <dxf>
      <numFmt numFmtId="3" formatCode="#,##0"/>
      <fill>
        <patternFill patternType="solid">
          <fgColor indexed="64"/>
          <bgColor theme="5" tint="0.59999389629810485"/>
        </patternFill>
      </fill>
    </dxf>
    <dxf>
      <numFmt numFmtId="3" formatCode="#,##0"/>
      <fill>
        <patternFill patternType="solid">
          <fgColor indexed="64"/>
          <bgColor theme="5" tint="0.59999389629810485"/>
        </patternFill>
      </fill>
    </dxf>
    <dxf>
      <numFmt numFmtId="3" formatCode="#,##0"/>
      <fill>
        <patternFill patternType="solid">
          <fgColor indexed="64"/>
          <bgColor theme="5" tint="0.59999389629810485"/>
        </patternFill>
      </fill>
    </dxf>
    <dxf>
      <numFmt numFmtId="3" formatCode="#,##0"/>
      <fill>
        <patternFill patternType="solid">
          <fgColor indexed="64"/>
          <bgColor theme="5" tint="0.59999389629810485"/>
        </patternFill>
      </fill>
    </dxf>
    <dxf>
      <numFmt numFmtId="3" formatCode="#,##0"/>
      <fill>
        <patternFill patternType="solid">
          <fgColor indexed="64"/>
          <bgColor theme="5" tint="0.59999389629810485"/>
        </patternFill>
      </fill>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2"/>
        <color indexed="8"/>
        <name val="Aptos"/>
        <family val="2"/>
        <scheme val="none"/>
      </font>
      <numFmt numFmtId="3" formatCode="#,##0"/>
      <alignment horizontal="center"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numFmt numFmtId="173" formatCode="#,##0.0_);[Red]\(#,##0.0\)"/>
      <border diagonalUp="0" diagonalDown="0">
        <left/>
        <right style="thin">
          <color indexed="64"/>
        </right>
        <top/>
        <bottom/>
        <vertical/>
        <horizontal/>
      </border>
    </dxf>
    <dxf>
      <numFmt numFmtId="3" formatCode="#,##0"/>
    </dxf>
    <dxf>
      <numFmt numFmtId="3" formatCode="#,##0"/>
    </dxf>
    <dxf>
      <numFmt numFmtId="3" formatCode="#,##0"/>
      <fill>
        <patternFill patternType="solid">
          <fgColor indexed="64"/>
          <bgColor rgb="FFFFFFCC"/>
        </patternFill>
      </fill>
    </dxf>
    <dxf>
      <numFmt numFmtId="3" formatCode="#,##0"/>
    </dxf>
    <dxf>
      <numFmt numFmtId="3" formatCode="#,##0"/>
    </dxf>
    <dxf>
      <numFmt numFmtId="3" formatCode="#,##0"/>
    </dxf>
    <dxf>
      <numFmt numFmtId="3" formatCode="#,##0"/>
    </dxf>
    <dxf>
      <numFmt numFmtId="3" formatCode="#,##0"/>
    </dxf>
    <dxf>
      <font>
        <b val="0"/>
        <i val="0"/>
        <strike val="0"/>
        <condense val="0"/>
        <extend val="0"/>
        <outline val="0"/>
        <shadow val="0"/>
        <u val="none"/>
        <vertAlign val="baseline"/>
        <sz val="12"/>
        <color auto="1"/>
        <name val="Aptos"/>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border diagonalUp="0" diagonalDown="0">
        <left/>
        <right/>
        <top/>
        <bottom style="thin">
          <color indexed="64"/>
        </bottom>
        <vertical/>
        <horizontal/>
      </border>
    </dxf>
    <dxf>
      <border outline="0">
        <top style="thin">
          <color indexed="64"/>
        </top>
      </border>
    </dxf>
    <dxf>
      <border outline="0">
        <bottom style="thin">
          <color auto="1"/>
        </bottom>
      </border>
    </dxf>
    <dxf>
      <font>
        <b/>
        <i val="0"/>
        <strike val="0"/>
        <condense val="0"/>
        <extend val="0"/>
        <outline val="0"/>
        <shadow val="0"/>
        <u val="none"/>
        <vertAlign val="baseline"/>
        <sz val="12"/>
        <color indexed="8"/>
        <name val="Aptos"/>
        <family val="2"/>
        <scheme val="none"/>
      </font>
      <numFmt numFmtId="3" formatCode="#,##0"/>
      <alignment horizontal="center"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fill>
        <patternFill patternType="solid">
          <fgColor indexed="64"/>
          <bgColor theme="4" tint="0.79998168889431442"/>
        </patternFill>
      </fill>
    </dxf>
    <dxf>
      <font>
        <b val="0"/>
        <i val="0"/>
        <strike val="0"/>
        <condense val="0"/>
        <extend val="0"/>
        <outline val="0"/>
        <shadow val="0"/>
        <u val="none"/>
        <vertAlign val="baseline"/>
        <sz val="12"/>
        <color auto="1"/>
        <name val="Aptos"/>
        <family val="2"/>
        <scheme val="none"/>
      </font>
      <fill>
        <patternFill patternType="solid">
          <fgColor indexed="64"/>
          <bgColor theme="4" tint="0.79998168889431442"/>
        </patternFill>
      </fill>
    </dxf>
    <dxf>
      <font>
        <b val="0"/>
        <i val="0"/>
        <strike val="0"/>
        <condense val="0"/>
        <extend val="0"/>
        <outline val="0"/>
        <shadow val="0"/>
        <u val="none"/>
        <vertAlign val="baseline"/>
        <sz val="12"/>
        <color auto="1"/>
        <name val="Aptos"/>
        <family val="2"/>
        <scheme val="none"/>
      </font>
      <numFmt numFmtId="168" formatCode="#,##0.0000"/>
      <fill>
        <patternFill patternType="solid">
          <fgColor indexed="64"/>
          <bgColor theme="9" tint="0.39997558519241921"/>
        </patternFill>
      </fill>
    </dxf>
    <dxf>
      <font>
        <b val="0"/>
        <i val="0"/>
        <strike val="0"/>
        <condense val="0"/>
        <extend val="0"/>
        <outline val="0"/>
        <shadow val="0"/>
        <u val="none"/>
        <vertAlign val="baseline"/>
        <sz val="12"/>
        <color indexed="8"/>
        <name val="Aptos"/>
        <family val="2"/>
        <scheme val="none"/>
      </font>
      <numFmt numFmtId="168" formatCode="#,##0.0000"/>
      <fill>
        <patternFill patternType="solid">
          <fgColor indexed="64"/>
          <bgColor rgb="FFFFFFCC"/>
        </patternFill>
      </fill>
      <alignment horizontal="right" vertical="bottom" textRotation="0" wrapText="1" indent="0" justifyLastLine="0" shrinkToFit="0" readingOrder="0"/>
    </dxf>
    <dxf>
      <font>
        <b val="0"/>
        <i val="0"/>
        <strike val="0"/>
        <condense val="0"/>
        <extend val="0"/>
        <outline val="0"/>
        <shadow val="0"/>
        <u val="none"/>
        <vertAlign val="baseline"/>
        <sz val="12"/>
        <color indexed="8"/>
        <name val="Aptos"/>
        <family val="2"/>
        <scheme val="none"/>
      </font>
      <fill>
        <patternFill patternType="solid">
          <fgColor indexed="64"/>
          <bgColor rgb="FFFFFFCC"/>
        </patternFill>
      </fill>
      <alignment horizontal="right"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Aptos"/>
        <family val="2"/>
        <scheme val="none"/>
      </font>
      <numFmt numFmtId="3" formatCode="#,##0"/>
      <alignment horizontal="right"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Aptos"/>
        <family val="2"/>
        <scheme val="none"/>
      </font>
      <numFmt numFmtId="3" formatCode="#,##0"/>
      <alignment horizontal="right"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Aptos"/>
        <family val="2"/>
        <scheme val="none"/>
      </font>
      <numFmt numFmtId="3" formatCode="#,##0"/>
      <alignment horizontal="right"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Aptos"/>
        <family val="2"/>
        <scheme val="none"/>
      </font>
      <numFmt numFmtId="3" formatCode="#,##0"/>
      <alignment horizontal="right"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Aptos"/>
        <family val="2"/>
        <scheme val="none"/>
      </font>
      <numFmt numFmtId="3" formatCode="#,##0"/>
      <alignment horizontal="right"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Aptos"/>
        <family val="2"/>
        <scheme val="none"/>
      </font>
      <numFmt numFmtId="3" formatCode="#,##0"/>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Aptos"/>
        <family val="2"/>
        <scheme val="none"/>
      </font>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Aptos"/>
        <family val="2"/>
        <scheme val="none"/>
      </font>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Aptos"/>
        <family val="2"/>
        <scheme val="none"/>
      </font>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Aptos"/>
        <family val="2"/>
        <scheme val="none"/>
      </font>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Aptos"/>
        <family val="2"/>
        <scheme val="none"/>
      </font>
      <alignment horizontal="right"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Aptos"/>
        <family val="2"/>
        <scheme val="none"/>
      </font>
      <alignment horizontal="right"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Aptos"/>
        <family val="2"/>
        <scheme val="none"/>
      </font>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Aptos"/>
        <family val="2"/>
        <scheme val="none"/>
      </font>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Aptos"/>
        <family val="2"/>
        <scheme val="none"/>
      </font>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Aptos"/>
        <family val="2"/>
        <scheme val="none"/>
      </font>
      <alignment horizontal="right"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Aptos"/>
        <family val="2"/>
        <scheme val="none"/>
      </font>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Aptos"/>
        <family val="2"/>
        <scheme val="none"/>
      </font>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Aptos"/>
        <family val="2"/>
        <scheme val="none"/>
      </font>
      <alignment horizontal="right"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Aptos"/>
        <family val="2"/>
        <scheme val="none"/>
      </font>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Aptos"/>
        <family val="2"/>
        <scheme val="none"/>
      </font>
      <alignment horizontal="right" vertical="bottom" textRotation="0" wrapText="1" indent="0" justifyLastLine="0" shrinkToFit="0" readingOrder="0"/>
      <border diagonalUp="0" diagonalDown="0">
        <left/>
        <right style="thin">
          <color auto="1"/>
        </right>
        <top style="thin">
          <color auto="1"/>
        </top>
        <bottom style="thin">
          <color auto="1"/>
        </bottom>
        <vertical/>
        <horizontal/>
      </border>
    </dxf>
    <dxf>
      <border outline="0">
        <left style="thin">
          <color auto="1"/>
        </left>
        <top style="thin">
          <color indexed="64"/>
        </top>
      </border>
    </dxf>
    <dxf>
      <fill>
        <patternFill patternType="none">
          <fgColor indexed="64"/>
          <bgColor auto="1"/>
        </patternFill>
      </fill>
    </dxf>
    <dxf>
      <border outline="0">
        <left style="thin">
          <color indexed="64"/>
        </left>
        <right style="thin">
          <color indexed="64"/>
        </right>
        <top style="thin">
          <color auto="1"/>
        </top>
      </border>
    </dxf>
    <dxf>
      <border outline="0">
        <bottom style="thin">
          <color indexed="64"/>
        </bottom>
      </border>
    </dxf>
    <dxf>
      <font>
        <b/>
        <i val="0"/>
        <strike val="0"/>
        <condense val="0"/>
        <extend val="0"/>
        <outline val="0"/>
        <shadow val="0"/>
        <u val="none"/>
        <vertAlign val="baseline"/>
        <sz val="12"/>
        <color auto="1"/>
        <name val="Aptos"/>
        <family val="2"/>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fill>
        <patternFill patternType="solid">
          <fgColor indexed="64"/>
          <bgColor rgb="FFFFFFCC"/>
        </patternFill>
      </fill>
      <alignment horizontal="center" vertical="bottom" textRotation="0" wrapText="0" indent="0" justifyLastLine="0" shrinkToFit="0" readingOrder="0"/>
    </dxf>
    <dxf>
      <border outline="0">
        <left style="thin">
          <color indexed="64"/>
        </left>
        <top style="thin">
          <color auto="1"/>
        </top>
      </border>
    </dxf>
    <dxf>
      <border outline="0">
        <bottom style="thin">
          <color indexed="64"/>
        </bottom>
      </border>
    </dxf>
    <dxf>
      <font>
        <b/>
        <i val="0"/>
        <strike val="0"/>
        <condense val="0"/>
        <extend val="0"/>
        <outline val="0"/>
        <shadow val="0"/>
        <u val="none"/>
        <vertAlign val="baseline"/>
        <sz val="12"/>
        <color auto="1"/>
        <name val="Aptos"/>
        <family val="2"/>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top/>
        <bottom style="thin">
          <color indexed="64"/>
        </bottom>
        <vertical/>
        <horizontal/>
      </border>
    </dxf>
    <dxf>
      <font>
        <b val="0"/>
        <i val="0"/>
        <strike val="0"/>
        <condense val="0"/>
        <extend val="0"/>
        <outline val="0"/>
        <shadow val="0"/>
        <u val="none"/>
        <vertAlign val="baseline"/>
        <sz val="12"/>
        <color auto="1"/>
        <name val="Aptos"/>
        <family val="2"/>
        <scheme val="none"/>
      </font>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border diagonalUp="0" diagonalDown="0" outline="0">
        <left style="thin">
          <color indexed="64"/>
        </left>
        <right/>
        <top/>
        <bottom/>
      </border>
    </dxf>
    <dxf>
      <border outline="0">
        <top style="thin">
          <color auto="1"/>
        </top>
      </border>
    </dxf>
    <dxf>
      <border outline="0">
        <bottom style="thin">
          <color indexed="64"/>
        </bottom>
      </border>
    </dxf>
    <dxf>
      <font>
        <b/>
        <i val="0"/>
        <strike val="0"/>
        <condense val="0"/>
        <extend val="0"/>
        <outline val="0"/>
        <shadow val="0"/>
        <u val="none"/>
        <vertAlign val="baseline"/>
        <sz val="12"/>
        <color theme="1"/>
        <name val="Aptos"/>
        <family val="2"/>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
      <alignment horizontal="center"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alignment horizontal="center" vertical="bottom" textRotation="0" indent="0" justifyLastLine="0" shrinkToFit="0" readingOrder="0"/>
      <border diagonalUp="0" diagonalDown="0" outline="0">
        <left style="thin">
          <color indexed="64"/>
        </left>
        <right/>
        <top/>
        <bottom/>
      </border>
    </dxf>
    <dxf>
      <alignment horizontal="center"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alignment horizontal="center" vertical="bottom" textRotation="0" indent="0" justifyLastLine="0" shrinkToFit="0" readingOrder="0"/>
      <border diagonalUp="0" diagonalDown="0" outline="0">
        <left style="thin">
          <color indexed="64"/>
        </left>
        <right/>
        <top/>
        <bottom/>
      </border>
    </dxf>
    <dxf>
      <alignment horizontal="center"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3" formatCode="#,##0"/>
      <alignment horizontal="center" vertical="bottom" textRotation="0" indent="0" justifyLastLine="0" shrinkToFit="0" readingOrder="0"/>
      <border diagonalUp="0" diagonalDown="0" outline="0">
        <left/>
        <right style="thin">
          <color indexed="64"/>
        </right>
        <top/>
        <bottom/>
      </border>
    </dxf>
    <dxf>
      <alignment horizontal="center" vertical="bottom" textRotation="0" indent="0" justifyLastLine="0" shrinkToFit="0" readingOrder="0"/>
    </dxf>
    <dxf>
      <font>
        <b val="0"/>
        <i val="0"/>
        <strike val="0"/>
        <condense val="0"/>
        <extend val="0"/>
        <outline val="0"/>
        <shadow val="0"/>
        <u val="none"/>
        <vertAlign val="baseline"/>
        <sz val="12"/>
        <color auto="1"/>
        <name val="Aptos"/>
        <family val="2"/>
        <scheme val="none"/>
      </font>
      <alignment horizontal="center" vertical="bottom" textRotation="0" wrapText="0" indent="0" justifyLastLine="0" shrinkToFit="0" readingOrder="0"/>
      <border diagonalUp="0" diagonalDown="0" outline="0">
        <left style="thin">
          <color indexed="64"/>
        </left>
        <right/>
        <top/>
        <bottom/>
      </border>
    </dxf>
    <dxf>
      <alignment horizontal="left" vertical="bottom" textRotation="0" indent="0" justifyLastLine="0" shrinkToFit="0" readingOrder="0"/>
    </dxf>
    <dxf>
      <border outline="0">
        <top style="thin">
          <color auto="1"/>
        </top>
      </border>
    </dxf>
    <dxf>
      <border outline="0">
        <bottom style="thin">
          <color indexed="64"/>
        </bottom>
      </border>
    </dxf>
    <dxf>
      <font>
        <b/>
        <i val="0"/>
        <strike val="0"/>
        <condense val="0"/>
        <extend val="0"/>
        <outline val="0"/>
        <shadow val="0"/>
        <u val="none"/>
        <vertAlign val="baseline"/>
        <sz val="12"/>
        <color theme="1"/>
        <name val="Aptos"/>
        <family val="2"/>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general" vertical="bottom" textRotation="0" wrapText="0" indent="0" justifyLastLine="0" shrinkToFit="0" readingOrder="0"/>
      <border diagonalUp="0" diagonalDown="0" outline="0">
        <left style="thin">
          <color indexed="64"/>
        </left>
        <right/>
        <top/>
        <bottom/>
      </border>
    </dxf>
    <dxf>
      <border outline="0">
        <top style="thin">
          <color auto="1"/>
        </top>
      </border>
    </dxf>
    <dxf>
      <border outline="0">
        <bottom style="thin">
          <color indexed="64"/>
        </bottom>
      </border>
    </dxf>
    <dxf>
      <font>
        <b/>
        <i val="0"/>
        <strike val="0"/>
        <condense val="0"/>
        <extend val="0"/>
        <outline val="0"/>
        <shadow val="0"/>
        <u val="none"/>
        <vertAlign val="baseline"/>
        <sz val="12"/>
        <color theme="1"/>
        <name val="Aptos"/>
        <family val="2"/>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general" vertical="bottom" textRotation="0" wrapText="0" indent="0" justifyLastLine="0" shrinkToFit="0" readingOrder="0"/>
    </dxf>
    <dxf>
      <border outline="0">
        <left style="thin">
          <color indexed="64"/>
        </left>
        <top style="thin">
          <color auto="1"/>
        </top>
      </border>
    </dxf>
    <dxf>
      <border outline="0">
        <bottom style="thin">
          <color indexed="64"/>
        </bottom>
      </border>
    </dxf>
    <dxf>
      <font>
        <b/>
        <i val="0"/>
        <strike val="0"/>
        <condense val="0"/>
        <extend val="0"/>
        <outline val="0"/>
        <shadow val="0"/>
        <u val="none"/>
        <vertAlign val="baseline"/>
        <sz val="12"/>
        <color theme="1"/>
        <name val="Aptos"/>
        <family val="2"/>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2"/>
        <color auto="1"/>
        <name val="Aptos"/>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general" vertical="bottom" textRotation="0" wrapText="0" indent="0" justifyLastLine="0" shrinkToFit="0" readingOrder="0"/>
    </dxf>
    <dxf>
      <border outline="0">
        <left style="thin">
          <color indexed="64"/>
        </left>
        <right style="thin">
          <color indexed="64"/>
        </right>
        <top style="thin">
          <color auto="1"/>
        </top>
      </border>
    </dxf>
    <dxf>
      <border outline="0">
        <bottom style="thin">
          <color indexed="64"/>
        </bottom>
      </border>
    </dxf>
    <dxf>
      <font>
        <b/>
        <i val="0"/>
        <strike val="0"/>
        <condense val="0"/>
        <extend val="0"/>
        <outline val="0"/>
        <shadow val="0"/>
        <u val="none"/>
        <vertAlign val="baseline"/>
        <sz val="12"/>
        <color theme="1"/>
        <name val="Aptos"/>
        <family val="2"/>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general" vertical="bottom" textRotation="0" wrapText="0" indent="0" justifyLastLine="0" shrinkToFit="0" readingOrder="0"/>
    </dxf>
    <dxf>
      <border outline="0">
        <left style="thin">
          <color indexed="64"/>
        </left>
        <top style="thin">
          <color auto="1"/>
        </top>
      </border>
    </dxf>
    <dxf>
      <border outline="0">
        <bottom style="thin">
          <color indexed="64"/>
        </bottom>
      </border>
    </dxf>
    <dxf>
      <font>
        <b/>
        <i val="0"/>
        <strike val="0"/>
        <condense val="0"/>
        <extend val="0"/>
        <outline val="0"/>
        <shadow val="0"/>
        <u val="none"/>
        <vertAlign val="baseline"/>
        <sz val="12"/>
        <color theme="1"/>
        <name val="Aptos"/>
        <family val="2"/>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general" vertical="bottom" textRotation="0" wrapText="0" indent="0" justifyLastLine="0" shrinkToFit="0" readingOrder="0"/>
    </dxf>
    <dxf>
      <border outline="0">
        <left style="thin">
          <color indexed="64"/>
        </left>
        <right style="thin">
          <color auto="1"/>
        </right>
        <top style="thin">
          <color auto="1"/>
        </top>
      </border>
    </dxf>
    <dxf>
      <border outline="0">
        <bottom style="thin">
          <color indexed="64"/>
        </bottom>
      </border>
    </dxf>
    <dxf>
      <font>
        <b/>
        <i val="0"/>
        <strike val="0"/>
        <condense val="0"/>
        <extend val="0"/>
        <outline val="0"/>
        <shadow val="0"/>
        <u val="none"/>
        <vertAlign val="baseline"/>
        <sz val="12"/>
        <color theme="1"/>
        <name val="Aptos"/>
        <family val="2"/>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vertical/>
      </border>
    </dxf>
    <dxf>
      <font>
        <b val="0"/>
        <i val="0"/>
        <strike val="0"/>
        <condense val="0"/>
        <extend val="0"/>
        <outline val="0"/>
        <shadow val="0"/>
        <u val="none"/>
        <vertAlign val="baseline"/>
        <sz val="12"/>
        <color auto="1"/>
        <name val="Aptos"/>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general" vertical="bottom" textRotation="0" wrapText="0" indent="0" justifyLastLine="0" shrinkToFit="0" readingOrder="0"/>
    </dxf>
    <dxf>
      <border outline="0">
        <left style="thin">
          <color indexed="64"/>
        </left>
        <top style="thin">
          <color auto="1"/>
        </top>
      </border>
    </dxf>
    <dxf>
      <border outline="0">
        <bottom style="thin">
          <color indexed="64"/>
        </bottom>
      </border>
    </dxf>
    <dxf>
      <font>
        <b/>
        <i val="0"/>
        <strike val="0"/>
        <condense val="0"/>
        <extend val="0"/>
        <outline val="0"/>
        <shadow val="0"/>
        <u val="none"/>
        <vertAlign val="baseline"/>
        <sz val="12"/>
        <color theme="1"/>
        <name val="Aptos"/>
        <family val="2"/>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border diagonalUp="0" diagonalDown="0" outline="0">
        <left style="thin">
          <color indexed="64"/>
        </left>
        <right/>
        <top/>
        <bottom/>
      </border>
    </dxf>
    <dxf>
      <border>
        <bottom style="thin">
          <color indexed="64"/>
        </bottom>
      </border>
    </dxf>
    <dxf>
      <font>
        <b/>
        <i val="0"/>
        <strike val="0"/>
        <condense val="0"/>
        <extend val="0"/>
        <outline val="0"/>
        <shadow val="0"/>
        <u val="none"/>
        <vertAlign val="baseline"/>
        <sz val="12"/>
        <color theme="1"/>
        <name val="Aptos"/>
        <family val="2"/>
        <scheme val="none"/>
      </font>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general" vertical="bottom" textRotation="0" wrapText="0" indent="0" justifyLastLine="0" shrinkToFit="0" readingOrder="0"/>
      <border diagonalUp="0" diagonalDown="0" outline="0">
        <left style="thin">
          <color indexed="64"/>
        </left>
        <right/>
        <top/>
        <bottom/>
      </border>
    </dxf>
    <dxf>
      <border outline="0">
        <top style="thin">
          <color theme="1"/>
        </top>
      </border>
    </dxf>
    <dxf>
      <border outline="0">
        <bottom style="thin">
          <color auto="1"/>
        </bottom>
      </border>
    </dxf>
    <dxf>
      <font>
        <b/>
        <i val="0"/>
        <strike val="0"/>
        <condense val="0"/>
        <extend val="0"/>
        <outline val="0"/>
        <shadow val="0"/>
        <u val="none"/>
        <vertAlign val="baseline"/>
        <sz val="12"/>
        <color theme="1"/>
        <name val="Aptos"/>
        <family val="2"/>
        <scheme val="none"/>
      </font>
      <alignment horizontal="center"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border diagonalUp="0" diagonalDown="0" outline="0">
        <left style="thin">
          <color indexed="64"/>
        </left>
        <right/>
        <top/>
        <bottom/>
      </border>
    </dxf>
    <dxf>
      <border outline="0">
        <right style="thin">
          <color auto="1"/>
        </right>
      </border>
    </dxf>
    <dxf>
      <border outline="0">
        <bottom style="thin">
          <color auto="1"/>
        </bottom>
      </border>
    </dxf>
    <dxf>
      <font>
        <b/>
        <i val="0"/>
        <strike val="0"/>
        <condense val="0"/>
        <extend val="0"/>
        <outline val="0"/>
        <shadow val="0"/>
        <u val="none"/>
        <vertAlign val="baseline"/>
        <sz val="12"/>
        <color theme="1"/>
        <name val="Aptos"/>
        <family val="2"/>
        <scheme val="none"/>
      </font>
      <alignment horizontal="center"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border diagonalUp="0" diagonalDown="0" outline="0">
        <left style="thin">
          <color indexed="64"/>
        </left>
        <right/>
        <top/>
        <bottom/>
      </border>
    </dxf>
    <dxf>
      <border outline="0">
        <bottom style="thin">
          <color auto="1"/>
        </bottom>
      </border>
    </dxf>
    <dxf>
      <font>
        <b/>
        <i val="0"/>
        <strike val="0"/>
        <condense val="0"/>
        <extend val="0"/>
        <outline val="0"/>
        <shadow val="0"/>
        <u val="none"/>
        <vertAlign val="baseline"/>
        <sz val="12"/>
        <color theme="1"/>
        <name val="Aptos"/>
        <family val="2"/>
        <scheme val="none"/>
      </font>
      <alignment horizontal="center"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dxf>
    <dxf>
      <font>
        <b val="0"/>
        <i val="0"/>
        <strike val="0"/>
        <condense val="0"/>
        <extend val="0"/>
        <outline val="0"/>
        <shadow val="0"/>
        <u val="none"/>
        <vertAlign val="baseline"/>
        <sz val="12"/>
        <color auto="1"/>
        <name val="Aptos"/>
        <family val="2"/>
        <scheme val="none"/>
      </font>
    </dxf>
    <dxf>
      <font>
        <b val="0"/>
        <i val="0"/>
        <strike val="0"/>
        <condense val="0"/>
        <extend val="0"/>
        <outline val="0"/>
        <shadow val="0"/>
        <u val="none"/>
        <vertAlign val="baseline"/>
        <sz val="12"/>
        <color auto="1"/>
        <name val="Aptos"/>
        <family val="2"/>
        <scheme val="none"/>
      </font>
      <numFmt numFmtId="3" formatCode="#,##0"/>
      <alignment horizontal="general" vertical="bottom"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alignment horizontal="general" vertical="bottom"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alignment horizontal="general" vertical="bottom"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alignment horizontal="general" vertical="bottom"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alignment horizontal="general" vertical="bottom"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alignment horizontal="general" vertical="bottom"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auto="1"/>
        <name val="Aptos"/>
        <family val="2"/>
        <scheme val="none"/>
      </font>
    </dxf>
    <dxf>
      <font>
        <b val="0"/>
        <i val="0"/>
        <strike val="0"/>
        <condense val="0"/>
        <extend val="0"/>
        <outline val="0"/>
        <shadow val="0"/>
        <u val="none"/>
        <vertAlign val="baseline"/>
        <sz val="12"/>
        <color auto="1"/>
        <name val="Aptos"/>
        <family val="2"/>
        <scheme val="none"/>
      </font>
      <alignment horizontal="general" vertical="bottom" textRotation="0" wrapText="1" indent="0" justifyLastLine="0" shrinkToFit="0" readingOrder="0"/>
    </dxf>
    <dxf>
      <font>
        <b/>
        <i val="0"/>
        <strike val="0"/>
        <condense val="0"/>
        <extend val="0"/>
        <outline val="0"/>
        <shadow val="0"/>
        <u val="none"/>
        <vertAlign val="baseline"/>
        <sz val="12"/>
        <color auto="1"/>
        <name val="Aptos"/>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border diagonalUp="0" diagonalDown="0">
        <left style="thin">
          <color indexed="64"/>
        </left>
        <right/>
        <top/>
        <bottom/>
        <vertical/>
        <horizontal/>
      </border>
    </dxf>
    <dxf>
      <border outline="0">
        <bottom style="thin">
          <color auto="1"/>
        </bottom>
      </border>
    </dxf>
    <dxf>
      <font>
        <b/>
        <i val="0"/>
        <strike val="0"/>
        <condense val="0"/>
        <extend val="0"/>
        <outline val="0"/>
        <shadow val="0"/>
        <u val="none"/>
        <vertAlign val="baseline"/>
        <sz val="12"/>
        <color theme="1"/>
        <name val="Aptos"/>
        <family val="2"/>
        <scheme val="none"/>
      </font>
      <alignment horizontal="center"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numFmt numFmtId="3" formatCode="#,##0"/>
      <alignment horizontal="center" vertical="bottom" textRotation="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alignment horizontal="center" vertical="bottom" textRotation="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auto="1"/>
        <name val="Aptos"/>
        <family val="2"/>
        <scheme val="none"/>
      </font>
      <numFmt numFmtId="3" formatCode="#,##0"/>
      <alignment horizontal="center" vertical="bottom" textRotation="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alignment horizontal="center" vertical="bottom" textRotation="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auto="1"/>
        <name val="Aptos"/>
        <family val="2"/>
        <scheme val="none"/>
      </font>
      <numFmt numFmtId="3" formatCode="#,##0"/>
      <alignment horizontal="center" vertical="bottom"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alignment horizontal="center" vertical="bottom" textRotation="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Aptos"/>
        <family val="2"/>
        <scheme val="none"/>
      </font>
      <numFmt numFmtId="3" formatCode="#,##0"/>
      <alignment horizontal="center" vertical="bottom" textRotation="0" indent="0" justifyLastLine="0" shrinkToFit="0" readingOrder="0"/>
    </dxf>
    <dxf>
      <font>
        <b val="0"/>
        <i val="0"/>
        <strike val="0"/>
        <condense val="0"/>
        <extend val="0"/>
        <outline val="0"/>
        <shadow val="0"/>
        <u val="none"/>
        <vertAlign val="baseline"/>
        <sz val="12"/>
        <color auto="1"/>
        <name val="Aptos"/>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border diagonalUp="0" diagonalDown="0">
        <left style="thin">
          <color indexed="64"/>
        </left>
        <right/>
        <top/>
        <bottom/>
        <vertical/>
        <horizontal/>
      </border>
    </dxf>
    <dxf>
      <border outline="0">
        <bottom style="thin">
          <color auto="1"/>
        </bottom>
      </border>
    </dxf>
    <dxf>
      <font>
        <b/>
        <i val="0"/>
        <strike val="0"/>
        <condense val="0"/>
        <extend val="0"/>
        <outline val="0"/>
        <shadow val="0"/>
        <u val="none"/>
        <vertAlign val="baseline"/>
        <sz val="12"/>
        <color theme="1"/>
        <name val="Aptos"/>
        <family val="2"/>
        <scheme val="none"/>
      </font>
      <alignment horizontal="center"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ertAlign val="baseline"/>
        <sz val="12"/>
        <color indexed="12"/>
        <name val="Aptos"/>
        <family val="2"/>
        <scheme val="none"/>
      </font>
      <alignment horizontal="general" vertical="bottom" textRotation="0" wrapText="0" indent="0" justifyLastLine="0" shrinkToFit="0" readingOrder="0"/>
      <protection locked="1" hidden="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indexed="8"/>
        <name val="Aptos"/>
        <family val="2"/>
        <scheme val="none"/>
      </font>
    </dxf>
    <dxf>
      <font>
        <b val="0"/>
        <i val="0"/>
        <strike val="0"/>
        <condense val="0"/>
        <extend val="0"/>
        <outline val="0"/>
        <shadow val="0"/>
        <u val="none"/>
        <vertAlign val="baseline"/>
        <sz val="12"/>
        <color indexed="8"/>
        <name val="Aptos"/>
        <family val="2"/>
        <scheme val="none"/>
      </font>
    </dxf>
    <dxf>
      <border outline="0">
        <bottom style="thin">
          <color theme="1"/>
        </bottom>
      </border>
    </dxf>
    <dxf>
      <font>
        <b/>
        <i val="0"/>
        <strike val="0"/>
        <condense val="0"/>
        <extend val="0"/>
        <outline val="0"/>
        <shadow val="0"/>
        <u val="none"/>
        <vertAlign val="baseline"/>
        <sz val="12"/>
        <color indexed="8"/>
        <name val="Aptos"/>
        <family val="2"/>
        <scheme val="none"/>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2"/>
        <color indexed="8"/>
        <name val="Aptos"/>
        <family val="2"/>
        <scheme val="none"/>
      </font>
    </dxf>
    <dxf>
      <font>
        <b val="0"/>
        <i val="0"/>
        <strike val="0"/>
        <condense val="0"/>
        <extend val="0"/>
        <outline val="0"/>
        <shadow val="0"/>
        <u val="none"/>
        <vertAlign val="baseline"/>
        <sz val="12"/>
        <color indexed="8"/>
        <name val="Aptos"/>
        <family val="2"/>
        <scheme val="none"/>
      </font>
    </dxf>
    <dxf>
      <font>
        <b val="0"/>
        <i val="0"/>
        <strike val="0"/>
        <condense val="0"/>
        <extend val="0"/>
        <outline val="0"/>
        <shadow val="0"/>
        <u val="none"/>
        <vertAlign val="baseline"/>
        <sz val="12"/>
        <color auto="1"/>
        <name val="Aptos"/>
        <family val="2"/>
        <scheme val="none"/>
      </font>
      <numFmt numFmtId="3" formatCode="#,##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2"/>
        <color indexed="8"/>
        <name val="Aptos"/>
        <family val="2"/>
        <scheme val="none"/>
      </font>
    </dxf>
    <dxf>
      <font>
        <b val="0"/>
        <i val="0"/>
        <strike val="0"/>
        <condense val="0"/>
        <extend val="0"/>
        <outline val="0"/>
        <shadow val="0"/>
        <u val="none"/>
        <vertAlign val="baseline"/>
        <sz val="12"/>
        <color indexed="8"/>
        <name val="Aptos"/>
        <family val="2"/>
        <scheme val="none"/>
      </font>
    </dxf>
    <dxf>
      <font>
        <b val="0"/>
        <i val="0"/>
        <strike val="0"/>
        <condense val="0"/>
        <extend val="0"/>
        <outline val="0"/>
        <shadow val="0"/>
        <u val="none"/>
        <vertAlign val="baseline"/>
        <sz val="12"/>
        <color indexed="8"/>
        <name val="Aptos"/>
        <family val="2"/>
        <scheme val="none"/>
      </font>
    </dxf>
    <dxf>
      <font>
        <b val="0"/>
        <i val="0"/>
        <strike val="0"/>
        <condense val="0"/>
        <extend val="0"/>
        <outline val="0"/>
        <shadow val="0"/>
        <u val="none"/>
        <vertAlign val="baseline"/>
        <sz val="12"/>
        <color indexed="8"/>
        <name val="Aptos"/>
        <family val="2"/>
        <scheme val="none"/>
      </font>
    </dxf>
    <dxf>
      <font>
        <b val="0"/>
        <i val="0"/>
        <strike val="0"/>
        <condense val="0"/>
        <extend val="0"/>
        <outline val="0"/>
        <shadow val="0"/>
        <u val="none"/>
        <vertAlign val="baseline"/>
        <sz val="12"/>
        <color auto="1"/>
        <name val="Aptos"/>
        <family val="2"/>
        <scheme val="none"/>
      </font>
      <numFmt numFmtId="3" formatCode="#,##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Aptos"/>
        <family val="2"/>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Aptos"/>
        <family val="2"/>
        <scheme val="none"/>
      </font>
      <numFmt numFmtId="3" formatCode="#,##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indexed="8"/>
        <name val="Aptos"/>
        <family val="2"/>
        <scheme val="none"/>
      </font>
    </dxf>
    <dxf>
      <font>
        <b val="0"/>
        <i val="0"/>
        <strike val="0"/>
        <condense val="0"/>
        <extend val="0"/>
        <outline val="0"/>
        <shadow val="0"/>
        <u val="none"/>
        <vertAlign val="baseline"/>
        <sz val="12"/>
        <color indexed="8"/>
        <name val="Aptos"/>
        <family val="2"/>
        <scheme val="none"/>
      </font>
    </dxf>
    <dxf>
      <font>
        <b val="0"/>
        <i val="0"/>
        <strike val="0"/>
        <condense val="0"/>
        <extend val="0"/>
        <outline val="0"/>
        <shadow val="0"/>
        <u val="none"/>
        <vertAlign val="baseline"/>
        <sz val="12"/>
        <color indexed="8"/>
        <name val="Aptos"/>
        <family val="2"/>
        <scheme val="none"/>
      </font>
    </dxf>
    <dxf>
      <font>
        <b val="0"/>
        <i val="0"/>
        <strike val="0"/>
        <condense val="0"/>
        <extend val="0"/>
        <outline val="0"/>
        <shadow val="0"/>
        <u val="none"/>
        <vertAlign val="baseline"/>
        <sz val="12"/>
        <color indexed="8"/>
        <name val="Aptos"/>
        <family val="2"/>
        <scheme val="none"/>
      </font>
    </dxf>
    <dxf>
      <font>
        <b/>
        <i val="0"/>
        <strike val="0"/>
        <condense val="0"/>
        <extend val="0"/>
        <outline val="0"/>
        <shadow val="0"/>
        <u val="none"/>
        <vertAlign val="baseline"/>
        <sz val="12"/>
        <color auto="1"/>
        <name val="Aptos"/>
        <family val="2"/>
        <scheme val="none"/>
      </font>
      <numFmt numFmtId="173" formatCode="#,##0.0_);[Red]\(#,##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Aptos"/>
        <family val="2"/>
        <scheme val="none"/>
      </font>
      <numFmt numFmtId="173" formatCode="#,##0.0_);[Red]\(#,##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ptos"/>
        <family val="2"/>
        <scheme val="none"/>
      </font>
      <numFmt numFmtId="6" formatCode="#,##0_);[Red]\(#,##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ptos"/>
        <family val="2"/>
        <scheme val="none"/>
      </font>
      <numFmt numFmtId="6" formatCode="#,##0_);[Red]\(#,##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ptos"/>
        <family val="2"/>
        <scheme val="none"/>
      </font>
      <numFmt numFmtId="6" formatCode="#,##0_);[Red]\(#,##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ptos"/>
        <family val="2"/>
        <scheme val="none"/>
      </font>
      <numFmt numFmtId="6" formatCode="#,##0_);[Red]\(#,##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font>
        <b val="0"/>
        <i val="0"/>
        <strike val="0"/>
        <condense val="0"/>
        <extend val="0"/>
        <outline val="0"/>
        <shadow val="0"/>
        <u val="none"/>
        <vertAlign val="baseline"/>
        <sz val="12"/>
        <color auto="1"/>
        <name val="Aptos"/>
        <family val="2"/>
        <scheme val="none"/>
      </font>
      <fill>
        <patternFill patternType="none">
          <fgColor indexed="64"/>
          <bgColor indexed="65"/>
        </patternFill>
      </fill>
      <alignment horizontal="right"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2"/>
        <color auto="1"/>
        <name val="Aptos"/>
        <family val="2"/>
        <scheme val="none"/>
      </font>
      <alignment horizontal="center" vertical="bottom" textRotation="0" wrapText="1"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auto="1"/>
        <name val="Aptos"/>
        <family val="2"/>
        <scheme val="none"/>
      </font>
      <alignment horizontal="general" vertical="bottom" textRotation="0" wrapText="1" indent="0" justifyLastLine="0" shrinkToFit="0" readingOrder="0"/>
      <border diagonalUp="0" diagonalDown="0">
        <left style="medium">
          <color indexed="64"/>
        </left>
        <right/>
        <top/>
        <bottom style="medium">
          <color indexed="64"/>
        </bottom>
        <vertical/>
        <horizontal/>
      </border>
    </dxf>
    <dxf>
      <font>
        <b/>
        <i val="0"/>
        <strike val="0"/>
        <condense val="0"/>
        <extend val="0"/>
        <outline val="0"/>
        <shadow val="0"/>
        <u val="none"/>
        <vertAlign val="baseline"/>
        <sz val="12"/>
        <color auto="1"/>
        <name val="Aptos"/>
        <family val="2"/>
        <scheme val="none"/>
      </font>
      <alignment horizontal="general" vertical="bottom" textRotation="0" wrapText="1" indent="0" justifyLastLine="0" shrinkToFit="0" readingOrder="0"/>
      <border diagonalUp="0" diagonalDown="0">
        <left style="medium">
          <color indexed="64"/>
        </left>
        <right/>
        <top/>
        <bottom style="medium">
          <color indexed="64"/>
        </bottom>
        <vertical/>
        <horizontal/>
      </border>
    </dxf>
    <dxf>
      <font>
        <b/>
        <i val="0"/>
        <strike val="0"/>
        <condense val="0"/>
        <extend val="0"/>
        <outline val="0"/>
        <shadow val="0"/>
        <u val="none"/>
        <vertAlign val="baseline"/>
        <sz val="12"/>
        <color auto="1"/>
        <name val="Aptos"/>
        <family val="2"/>
        <scheme val="none"/>
      </font>
      <alignment horizontal="general" vertical="bottom" textRotation="0" wrapText="1" indent="0" justifyLastLine="0" shrinkToFit="0" readingOrder="0"/>
      <border diagonalUp="0" diagonalDown="0">
        <left style="medium">
          <color indexed="64"/>
        </left>
        <right/>
        <top/>
        <bottom style="medium">
          <color indexed="64"/>
        </bottom>
        <vertical/>
        <horizontal/>
      </border>
    </dxf>
    <dxf>
      <font>
        <b/>
        <i val="0"/>
        <strike val="0"/>
        <condense val="0"/>
        <extend val="0"/>
        <outline val="0"/>
        <shadow val="0"/>
        <u val="none"/>
        <vertAlign val="baseline"/>
        <sz val="12"/>
        <color auto="1"/>
        <name val="Aptos"/>
        <family val="2"/>
        <scheme val="none"/>
      </font>
      <alignment horizontal="general" vertical="bottom" textRotation="0" wrapText="1" indent="0" justifyLastLine="0" shrinkToFit="0" readingOrder="0"/>
      <border diagonalUp="0" diagonalDown="0">
        <left style="medium">
          <color indexed="64"/>
        </left>
        <right/>
        <top/>
        <bottom style="medium">
          <color indexed="64"/>
        </bottom>
        <vertical/>
        <horizontal/>
      </border>
    </dxf>
    <dxf>
      <font>
        <b/>
        <i val="0"/>
        <strike val="0"/>
        <condense val="0"/>
        <extend val="0"/>
        <outline val="0"/>
        <shadow val="0"/>
        <u val="none"/>
        <vertAlign val="baseline"/>
        <sz val="12"/>
        <color auto="1"/>
        <name val="Aptos"/>
        <family val="2"/>
        <scheme val="none"/>
      </font>
      <alignment horizontal="general" vertical="bottom" textRotation="0" wrapText="1" indent="0" justifyLastLine="0" shrinkToFit="0" readingOrder="0"/>
      <border diagonalUp="0" diagonalDown="0">
        <left style="medium">
          <color indexed="64"/>
        </left>
        <right/>
        <top/>
        <bottom style="medium">
          <color indexed="64"/>
        </bottom>
        <vertical/>
        <horizontal/>
      </border>
    </dxf>
    <dxf>
      <border outline="0">
        <top style="thin">
          <color auto="1"/>
        </top>
      </border>
    </dxf>
    <dxf>
      <font>
        <b/>
        <i val="0"/>
        <strike val="0"/>
        <condense val="0"/>
        <extend val="0"/>
        <outline val="0"/>
        <shadow val="0"/>
        <u val="none"/>
        <vertAlign val="baseline"/>
        <sz val="12"/>
        <color auto="1"/>
        <name val="Aptos"/>
        <family val="2"/>
        <scheme val="none"/>
      </font>
      <alignment horizontal="center" vertical="bottom" textRotation="0" wrapText="1" indent="0" justifyLastLine="0" shrinkToFit="0" readingOrder="0"/>
    </dxf>
    <dxf>
      <font>
        <b/>
        <i val="0"/>
        <strike val="0"/>
        <condense val="0"/>
        <extend val="0"/>
        <outline val="0"/>
        <shadow val="0"/>
        <u val="none"/>
        <vertAlign val="baseline"/>
        <sz val="12"/>
        <color auto="1"/>
        <name val="Aptos"/>
        <family val="2"/>
        <scheme val="none"/>
      </font>
      <alignment horizontal="right" vertical="bottom" textRotation="0" wrapText="1" indent="0" justifyLastLine="0" shrinkToFit="0" readingOrder="0"/>
      <border diagonalUp="0" diagonalDown="0">
        <left style="thin">
          <color indexed="64"/>
        </left>
        <right style="thin">
          <color indexed="64"/>
        </right>
        <top/>
        <bottom style="thin">
          <color indexed="64"/>
        </bottom>
        <vertical/>
        <horizontal/>
      </border>
    </dxf>
    <dxf>
      <border outline="0">
        <top style="thin">
          <color indexed="64"/>
        </top>
      </border>
    </dxf>
    <dxf>
      <border outline="0">
        <bottom style="thin">
          <color auto="1"/>
        </bottom>
      </border>
    </dxf>
    <dxf>
      <font>
        <b/>
        <i val="0"/>
        <strike val="0"/>
        <condense val="0"/>
        <extend val="0"/>
        <outline val="0"/>
        <shadow val="0"/>
        <u val="none"/>
        <vertAlign val="baseline"/>
        <sz val="12"/>
        <color auto="1"/>
        <name val="Aptos"/>
        <family val="2"/>
        <scheme val="none"/>
      </font>
      <alignment horizontal="center" vertical="bottom" textRotation="0" wrapText="1" indent="0" justifyLastLine="0" shrinkToFit="0" readingOrder="0"/>
    </dxf>
    <dxf>
      <border outline="0">
        <top style="thin">
          <color indexed="64"/>
        </top>
      </border>
    </dxf>
    <dxf>
      <border outline="0">
        <bottom style="thin">
          <color auto="1"/>
        </bottom>
      </border>
    </dxf>
    <dxf>
      <font>
        <b/>
        <i val="0"/>
        <strike val="0"/>
        <condense val="0"/>
        <extend val="0"/>
        <outline val="0"/>
        <shadow val="0"/>
        <u val="none"/>
        <vertAlign val="baseline"/>
        <sz val="12"/>
        <color auto="1"/>
        <name val="Aptos"/>
        <family val="2"/>
        <scheme val="none"/>
      </font>
      <alignment horizontal="center" vertical="bottom" textRotation="0" wrapText="1" indent="0" justifyLastLine="0" shrinkToFit="0" readingOrder="0"/>
    </dxf>
    <dxf>
      <font>
        <b/>
        <i val="0"/>
        <strike val="0"/>
        <condense val="0"/>
        <extend val="0"/>
        <outline val="0"/>
        <shadow val="0"/>
        <u val="none"/>
        <vertAlign val="baseline"/>
        <sz val="12"/>
        <color auto="1"/>
        <name val="Aptos"/>
        <family val="2"/>
        <scheme val="none"/>
      </font>
      <numFmt numFmtId="173" formatCode="#,##0.0_);[Red]\(#,##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0" tint="-0.34998626667073579"/>
        <name val="Aptos"/>
        <family val="2"/>
        <scheme val="none"/>
      </font>
      <numFmt numFmtId="173" formatCode="#,##0.0_);[Red]\(#,##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ptos"/>
        <family val="2"/>
        <scheme val="none"/>
      </font>
      <numFmt numFmtId="6" formatCode="#,##0_);[Red]\(#,##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ptos"/>
        <family val="2"/>
        <scheme val="none"/>
      </font>
      <numFmt numFmtId="6" formatCode="#,##0_);[Red]\(#,##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ptos"/>
        <family val="2"/>
        <scheme val="none"/>
      </font>
      <numFmt numFmtId="6" formatCode="#,##0_);[Red]\(#,##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ptos"/>
        <family val="2"/>
        <scheme val="none"/>
      </font>
      <numFmt numFmtId="6" formatCode="#,##0_);[Red]\(#,##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outline="0">
        <right style="thin">
          <color auto="1"/>
        </right>
        <top style="thin">
          <color auto="1"/>
        </top>
      </border>
    </dxf>
    <dxf>
      <font>
        <b val="0"/>
        <i val="0"/>
        <strike val="0"/>
        <condense val="0"/>
        <extend val="0"/>
        <outline val="0"/>
        <shadow val="0"/>
        <u val="none"/>
        <vertAlign val="baseline"/>
        <sz val="12"/>
        <color auto="1"/>
        <name val="Aptos"/>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ptos"/>
        <family val="2"/>
        <scheme val="none"/>
      </font>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ptos"/>
        <family val="2"/>
        <scheme val="none"/>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Aptos"/>
        <family val="2"/>
        <scheme val="none"/>
      </font>
      <border diagonalUp="0" diagonalDown="0">
        <left style="thin">
          <color auto="1"/>
        </left>
        <right style="thin">
          <color auto="1"/>
        </right>
        <top style="thin">
          <color auto="1"/>
        </top>
        <bottom/>
        <vertical/>
        <horizontal/>
      </border>
    </dxf>
    <dxf>
      <border outline="0">
        <top style="thin">
          <color indexed="64"/>
        </top>
      </border>
    </dxf>
    <dxf>
      <border outline="0">
        <bottom style="thin">
          <color auto="1"/>
        </bottom>
      </border>
    </dxf>
    <dxf>
      <font>
        <b val="0"/>
        <i val="0"/>
        <strike val="0"/>
        <condense val="0"/>
        <extend val="0"/>
        <outline val="0"/>
        <shadow val="0"/>
        <u val="none"/>
        <vertAlign val="baseline"/>
        <sz val="12"/>
        <color auto="1"/>
        <name val="Aptos"/>
        <family val="2"/>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ptos"/>
        <family val="2"/>
        <scheme val="none"/>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Aptos"/>
        <family val="2"/>
        <scheme val="none"/>
      </font>
      <border diagonalUp="0" diagonalDown="0">
        <left style="thin">
          <color auto="1"/>
        </left>
        <right style="thin">
          <color auto="1"/>
        </right>
        <top style="thin">
          <color auto="1"/>
        </top>
        <bottom/>
        <vertical/>
        <horizontal/>
      </border>
    </dxf>
    <dxf>
      <border outline="0">
        <top style="thin">
          <color indexed="64"/>
        </top>
      </border>
    </dxf>
    <dxf>
      <border outline="0">
        <bottom style="thin">
          <color auto="1"/>
        </bottom>
      </border>
    </dxf>
    <dxf>
      <border outline="0">
        <top style="thin">
          <color indexed="64"/>
        </top>
      </border>
    </dxf>
    <dxf>
      <border outline="0">
        <bottom style="thin">
          <color auto="1"/>
        </bottom>
      </border>
    </dxf>
    <dxf>
      <border outline="0">
        <top style="thin">
          <color indexed="64"/>
        </top>
      </border>
    </dxf>
    <dxf>
      <border outline="0">
        <bottom style="thin">
          <color auto="1"/>
        </bottom>
      </border>
    </dxf>
    <dxf>
      <font>
        <b val="0"/>
        <i val="0"/>
        <strike val="0"/>
        <condense val="0"/>
        <extend val="0"/>
        <outline val="0"/>
        <shadow val="0"/>
        <u val="none"/>
        <vertAlign val="baseline"/>
        <sz val="12"/>
        <color auto="1"/>
        <name val="Aptos"/>
        <family val="2"/>
        <scheme val="none"/>
      </font>
      <alignment horizontal="center"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ptos"/>
        <family val="2"/>
        <scheme val="none"/>
      </font>
      <numFmt numFmtId="3" formatCode="#,##0"/>
      <fill>
        <patternFill patternType="solid">
          <fgColor indexed="64"/>
          <bgColor indexed="4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ptos"/>
        <family val="2"/>
        <scheme val="none"/>
      </font>
      <numFmt numFmtId="3" formatCode="#,##0"/>
      <fill>
        <patternFill patternType="solid">
          <fgColor indexed="64"/>
          <bgColor indexed="41"/>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indexed="8"/>
        <name val="Aptos"/>
        <family val="2"/>
        <scheme val="none"/>
      </font>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auto="1"/>
        </bottom>
      </border>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ptos"/>
        <family val="2"/>
        <scheme val="none"/>
      </font>
      <numFmt numFmtId="3" formatCode="#,##0"/>
      <fill>
        <patternFill patternType="solid">
          <fgColor indexed="64"/>
          <bgColor indexed="4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ptos"/>
        <family val="2"/>
        <scheme val="none"/>
      </font>
      <numFmt numFmtId="3" formatCode="#,##0"/>
      <fill>
        <patternFill patternType="solid">
          <fgColor indexed="64"/>
          <bgColor indexed="4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ptos"/>
        <family val="2"/>
        <scheme val="none"/>
      </font>
      <numFmt numFmtId="3" formatCode="#,##0"/>
      <fill>
        <patternFill patternType="solid">
          <fgColor indexed="64"/>
          <bgColor indexed="4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ptos"/>
        <family val="2"/>
        <scheme val="none"/>
      </font>
      <numFmt numFmtId="3" formatCode="#,##0"/>
      <fill>
        <patternFill patternType="solid">
          <fgColor indexed="64"/>
          <bgColor indexed="4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ptos"/>
        <family val="2"/>
        <scheme val="none"/>
      </font>
      <numFmt numFmtId="3" formatCode="#,##0"/>
      <fill>
        <patternFill patternType="solid">
          <fgColor indexed="64"/>
          <bgColor indexed="4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ptos"/>
        <family val="2"/>
        <scheme val="none"/>
      </font>
      <numFmt numFmtId="3" formatCode="#,##0"/>
      <fill>
        <patternFill patternType="solid">
          <fgColor indexed="64"/>
          <bgColor indexed="41"/>
        </patternFill>
      </fill>
      <alignment horizontal="right" vertical="bottom" textRotation="0" wrapText="0" indent="0" justifyLastLine="0" shrinkToFit="0" readingOrder="0"/>
      <border diagonalUp="0" diagonalDown="0">
        <left/>
        <right style="thin">
          <color auto="1"/>
        </right>
        <top style="thin">
          <color auto="1"/>
        </top>
        <bottom style="thin">
          <color auto="1"/>
        </bottom>
        <vertical/>
        <horizontal/>
      </border>
    </dxf>
    <dxf>
      <font>
        <b/>
        <i val="0"/>
        <strike val="0"/>
        <condense val="0"/>
        <extend val="0"/>
        <outline val="0"/>
        <shadow val="0"/>
        <u val="none"/>
        <vertAlign val="baseline"/>
        <sz val="12"/>
        <color indexed="8"/>
        <name val="Aptos"/>
        <family val="2"/>
        <scheme val="none"/>
      </font>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font>
        <b val="0"/>
        <i val="0"/>
        <strike val="0"/>
        <condense val="0"/>
        <extend val="0"/>
        <outline val="0"/>
        <shadow val="0"/>
        <u val="none"/>
        <vertAlign val="baseline"/>
        <sz val="12"/>
        <color auto="1"/>
        <name val="Aptos"/>
        <family val="2"/>
        <scheme val="none"/>
      </font>
      <fill>
        <patternFill patternType="solid">
          <fgColor indexed="64"/>
          <bgColor indexed="41"/>
        </patternFill>
      </fill>
    </dxf>
    <dxf>
      <border outline="0">
        <bottom style="thin">
          <color auto="1"/>
        </bottom>
      </border>
    </dxf>
    <dxf>
      <font>
        <b val="0"/>
        <i val="0"/>
        <strike val="0"/>
        <condense val="0"/>
        <extend val="0"/>
        <outline val="0"/>
        <shadow val="0"/>
        <u val="none"/>
        <vertAlign val="baseline"/>
        <sz val="12"/>
        <color auto="1"/>
        <name val="Aptos"/>
        <family val="2"/>
        <scheme val="none"/>
      </font>
      <alignment horizontal="general" vertical="bottom" textRotation="0" wrapText="1" indent="0" justifyLastLine="0" shrinkToFit="0" readingOrder="0"/>
      <border diagonalUp="0" diagonalDown="0" outline="0">
        <left style="thin">
          <color auto="1"/>
        </left>
        <right style="thin">
          <color auto="1"/>
        </right>
        <top/>
        <bottom/>
      </border>
    </dxf>
    <dxf>
      <border outline="0">
        <top style="thin">
          <color indexed="64"/>
        </top>
      </border>
    </dxf>
    <dxf>
      <border outline="0">
        <bottom style="thin">
          <color auto="1"/>
        </bottom>
      </border>
    </dxf>
    <dxf>
      <font>
        <b val="0"/>
        <i val="0"/>
        <strike val="0"/>
        <condense val="0"/>
        <extend val="0"/>
        <outline val="0"/>
        <shadow val="0"/>
        <u val="none"/>
        <vertAlign val="baseline"/>
        <sz val="12"/>
        <color auto="1"/>
        <name val="Aptos"/>
        <family val="2"/>
        <scheme val="none"/>
      </font>
      <alignment horizontal="general" vertical="bottom" textRotation="0" wrapText="1" indent="0" justifyLastLine="0" shrinkToFit="0" readingOrder="0"/>
      <border diagonalUp="0" diagonalDown="0" outline="0">
        <left style="thin">
          <color auto="1"/>
        </left>
        <right style="thin">
          <color auto="1"/>
        </right>
        <top/>
        <bottom/>
      </border>
    </dxf>
    <dxf>
      <border outline="0">
        <bottom style="thin">
          <color indexed="64"/>
        </bottom>
      </border>
    </dxf>
    <dxf>
      <border outline="0">
        <top style="medium">
          <color indexed="64"/>
        </top>
      </border>
    </dxf>
    <dxf>
      <border outline="0">
        <bottom style="thin">
          <color indexed="64"/>
        </bottom>
      </border>
    </dxf>
    <dxf>
      <font>
        <b val="0"/>
        <i val="0"/>
        <strike val="0"/>
        <condense val="0"/>
        <extend val="0"/>
        <outline val="0"/>
        <shadow val="0"/>
        <u val="none"/>
        <vertAlign val="baseline"/>
        <sz val="14"/>
        <color auto="1"/>
        <name val="Aptos"/>
        <family val="2"/>
        <scheme val="none"/>
      </font>
    </dxf>
    <dxf>
      <font>
        <b val="0"/>
        <i val="0"/>
        <strike val="0"/>
        <condense val="0"/>
        <extend val="0"/>
        <outline val="0"/>
        <shadow val="0"/>
        <u val="none"/>
        <vertAlign val="baseline"/>
        <sz val="12"/>
        <color indexed="8"/>
        <name val="Aptos"/>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ptos"/>
        <family val="2"/>
        <scheme val="none"/>
      </font>
      <numFmt numFmtId="2" formatCode="0.00"/>
      <fill>
        <patternFill patternType="solid">
          <fgColor indexed="64"/>
          <bgColor theme="5" tint="0.79998168889431442"/>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Aptos"/>
        <family val="2"/>
        <scheme val="none"/>
      </font>
      <numFmt numFmtId="4" formatCode="#,##0.00"/>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Aptos"/>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Aptos"/>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auto="1"/>
        </top>
      </border>
    </dxf>
    <dxf>
      <alignment horizontal="left" vertical="bottom" textRotation="0" indent="0" justifyLastLine="0" shrinkToFit="0" readingOrder="0"/>
    </dxf>
    <dxf>
      <border outline="0">
        <bottom style="thin">
          <color indexed="64"/>
        </bottom>
      </border>
    </dxf>
    <dxf>
      <alignment horizontal="left" vertical="bottom" textRotation="0" indent="0" justifyLastLine="0" shrinkToFit="0" readingOrder="0"/>
    </dxf>
    <dxf>
      <font>
        <b val="0"/>
        <i val="0"/>
        <strike val="0"/>
        <condense val="0"/>
        <extend val="0"/>
        <outline val="0"/>
        <shadow val="0"/>
        <u val="none"/>
        <vertAlign val="baseline"/>
        <sz val="12"/>
        <color auto="1"/>
        <name val="Aptos"/>
        <family val="2"/>
        <scheme val="none"/>
      </font>
      <numFmt numFmtId="174" formatCode="0.00000"/>
    </dxf>
    <dxf>
      <font>
        <b val="0"/>
        <i val="0"/>
        <strike val="0"/>
        <condense val="0"/>
        <extend val="0"/>
        <outline val="0"/>
        <shadow val="0"/>
        <u val="none"/>
        <vertAlign val="baseline"/>
        <sz val="12"/>
        <color auto="1"/>
        <name val="Aptos"/>
        <family val="2"/>
        <scheme val="none"/>
      </font>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numFmt numFmtId="174" formatCode="0.00000"/>
    </dxf>
    <dxf>
      <font>
        <b val="0"/>
        <i val="0"/>
        <strike val="0"/>
        <condense val="0"/>
        <extend val="0"/>
        <outline val="0"/>
        <shadow val="0"/>
        <u val="none"/>
        <vertAlign val="baseline"/>
        <sz val="12"/>
        <color auto="1"/>
        <name val="Aptos"/>
        <family val="2"/>
        <scheme val="none"/>
      </font>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numFmt numFmtId="2" formatCode="0.00"/>
    </dxf>
    <dxf>
      <font>
        <b val="0"/>
        <i val="0"/>
        <strike val="0"/>
        <condense val="0"/>
        <extend val="0"/>
        <outline val="0"/>
        <shadow val="0"/>
        <u val="none"/>
        <vertAlign val="baseline"/>
        <sz val="12"/>
        <color auto="1"/>
        <name val="Aptos"/>
        <family val="2"/>
        <scheme val="none"/>
      </font>
      <numFmt numFmtId="3" formatCode="#,##0"/>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fill>
        <patternFill patternType="solid">
          <fgColor indexed="64"/>
          <bgColor theme="2"/>
        </patternFill>
      </fill>
      <alignment horizontal="left" vertical="bottom" textRotation="0" indent="0" justifyLastLine="0" shrinkToFit="0" readingOrder="0"/>
    </dxf>
    <dxf>
      <font>
        <b val="0"/>
        <i val="0"/>
        <strike val="0"/>
        <condense val="0"/>
        <extend val="0"/>
        <outline val="0"/>
        <shadow val="0"/>
        <u val="none"/>
        <vertAlign val="baseline"/>
        <sz val="12"/>
        <color auto="1"/>
        <name val="Aptos"/>
        <family val="2"/>
        <scheme val="none"/>
      </font>
      <fill>
        <patternFill patternType="solid">
          <fgColor indexed="64"/>
          <bgColor theme="2"/>
        </patternFill>
      </fill>
      <alignment horizontal="left" vertical="bottom" textRotation="0" indent="0" justifyLastLine="0" shrinkToFit="0" readingOrder="0"/>
    </dxf>
    <dxf>
      <font>
        <b val="0"/>
        <i val="0"/>
        <strike val="0"/>
        <condense val="0"/>
        <extend val="0"/>
        <outline val="0"/>
        <shadow val="0"/>
        <u val="none"/>
        <vertAlign val="baseline"/>
        <sz val="12"/>
        <color auto="1"/>
        <name val="Aptos"/>
        <family val="2"/>
        <scheme val="none"/>
      </font>
      <fill>
        <patternFill patternType="solid">
          <fgColor indexed="64"/>
          <bgColor theme="2"/>
        </patternFill>
      </fill>
      <alignment horizontal="left" vertical="bottom" textRotation="0" indent="0" justifyLastLine="0" shrinkToFit="0" readingOrder="0"/>
    </dxf>
    <dxf>
      <alignment horizontal="left" vertical="bottom" textRotation="0" indent="0" justifyLastLine="0" shrinkToFit="0" readingOrder="0"/>
    </dxf>
    <dxf>
      <font>
        <b val="0"/>
        <i val="0"/>
        <strike val="0"/>
        <condense val="0"/>
        <extend val="0"/>
        <outline val="0"/>
        <shadow val="0"/>
        <u val="none"/>
        <vertAlign val="baseline"/>
        <sz val="12"/>
        <color auto="1"/>
        <name val="Aptos"/>
        <family val="2"/>
        <scheme val="none"/>
      </font>
      <fill>
        <patternFill patternType="none">
          <fgColor indexed="64"/>
          <bgColor auto="1"/>
        </patternFill>
      </fill>
    </dxf>
    <dxf>
      <font>
        <b val="0"/>
        <i val="0"/>
        <strike val="0"/>
        <condense val="0"/>
        <extend val="0"/>
        <outline val="0"/>
        <shadow val="0"/>
        <u val="none"/>
        <vertAlign val="baseline"/>
        <sz val="12"/>
        <color auto="1"/>
        <name val="Aptos"/>
        <family val="2"/>
        <scheme val="none"/>
      </font>
      <fill>
        <patternFill patternType="none">
          <fgColor indexed="64"/>
          <bgColor auto="1"/>
        </patternFill>
      </fill>
    </dxf>
    <dxf>
      <font>
        <b val="0"/>
        <i val="0"/>
        <strike val="0"/>
        <condense val="0"/>
        <extend val="0"/>
        <outline val="0"/>
        <shadow val="0"/>
        <u val="none"/>
        <vertAlign val="baseline"/>
        <sz val="12"/>
        <color auto="1"/>
        <name val="Aptos"/>
        <family val="2"/>
        <scheme val="none"/>
      </font>
      <fill>
        <patternFill patternType="none">
          <fgColor indexed="64"/>
          <bgColor auto="1"/>
        </patternFill>
      </fill>
    </dxf>
    <dxf>
      <font>
        <b val="0"/>
        <i val="0"/>
        <strike val="0"/>
        <condense val="0"/>
        <extend val="0"/>
        <outline val="0"/>
        <shadow val="0"/>
        <u val="none"/>
        <vertAlign val="baseline"/>
        <sz val="12"/>
        <color auto="1"/>
        <name val="Aptos"/>
        <family val="2"/>
        <scheme val="none"/>
      </font>
      <fill>
        <patternFill patternType="none">
          <fgColor indexed="64"/>
          <bgColor auto="1"/>
        </patternFill>
      </fill>
    </dxf>
    <dxf>
      <font>
        <b/>
        <i val="0"/>
        <strike val="0"/>
        <condense val="0"/>
        <extend val="0"/>
        <outline val="0"/>
        <shadow val="0"/>
        <u val="none"/>
        <vertAlign val="baseline"/>
        <sz val="12"/>
        <color theme="1"/>
        <name val="Aptos"/>
        <family val="2"/>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dxf>
    <dxf>
      <alignment horizontal="left" vertical="bottom" textRotation="0" wrapText="0" indent="0" justifyLastLine="0" shrinkToFit="0" readingOrder="0"/>
    </dxf>
    <dxf>
      <border outline="0">
        <top style="thin">
          <color theme="1"/>
        </top>
      </border>
    </dxf>
    <dxf>
      <alignment horizontal="left" vertical="bottom" textRotation="0" wrapText="0" indent="0" justifyLastLine="0" shrinkToFit="0" readingOrder="0"/>
    </dxf>
    <dxf>
      <alignment horizontal="left" vertical="bottom" textRotation="0" wrapText="0" indent="0" justifyLastLine="0" shrinkToFit="0" readingOrder="0"/>
    </dxf>
    <dxf>
      <alignment horizontal="general" vertical="bottom" textRotation="0" indent="0" justifyLastLine="0" shrinkToFit="0" readingOrder="0"/>
    </dxf>
    <dxf>
      <alignment horizontal="general" vertical="bottom" textRotation="0" indent="0" justifyLastLine="0" shrinkToFit="0" readingOrder="0"/>
    </dxf>
    <dxf>
      <font>
        <b val="0"/>
        <i val="0"/>
        <strike val="0"/>
        <condense val="0"/>
        <extend val="0"/>
        <outline val="0"/>
        <shadow val="0"/>
        <u val="none"/>
        <vertAlign val="baseline"/>
        <sz val="12"/>
        <color auto="1"/>
        <name val="Aptos"/>
        <family val="2"/>
        <scheme val="none"/>
      </font>
      <fill>
        <patternFill patternType="none">
          <fgColor indexed="64"/>
          <bgColor indexed="65"/>
        </patternFill>
      </fill>
      <alignment horizontal="general" vertical="bottom" textRotation="0" wrapText="0" indent="0" justifyLastLine="0" shrinkToFit="0" readingOrder="0"/>
    </dxf>
    <dxf>
      <border outline="0">
        <top style="medium">
          <color indexed="64"/>
        </top>
      </border>
    </dxf>
    <dxf>
      <alignment horizontal="general" vertical="bottom" textRotation="0" indent="0" justifyLastLine="0" shrinkToFit="0" readingOrder="0"/>
    </dxf>
    <dxf>
      <alignment horizontal="general" vertical="bottom" textRotation="0" indent="0" justifyLastLine="0" shrinkToFit="0" readingOrder="0"/>
    </dxf>
    <dxf>
      <font>
        <b val="0"/>
        <i val="0"/>
        <strike val="0"/>
        <condense val="0"/>
        <extend val="0"/>
        <outline val="0"/>
        <shadow val="0"/>
        <u val="none"/>
        <vertAlign val="baseline"/>
        <sz val="12"/>
        <color rgb="FF000000"/>
        <name val="Aptos"/>
        <family val="2"/>
        <scheme val="none"/>
      </font>
      <fill>
        <patternFill patternType="solid">
          <fgColor indexed="64"/>
          <bgColor theme="0" tint="-0.14999847407452621"/>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ptos"/>
        <family val="2"/>
        <scheme val="none"/>
      </font>
      <fill>
        <patternFill patternType="solid">
          <fgColor indexed="64"/>
          <bgColor theme="0" tint="-0.14999847407452621"/>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ptos"/>
        <family val="2"/>
        <scheme val="none"/>
      </font>
      <fill>
        <patternFill patternType="solid">
          <fgColor indexed="64"/>
          <bgColor theme="0" tint="-0.14999847407452621"/>
        </patternFill>
      </fill>
    </dxf>
    <dxf>
      <font>
        <b val="0"/>
        <i val="0"/>
        <strike val="0"/>
        <condense val="0"/>
        <extend val="0"/>
        <outline val="0"/>
        <shadow val="0"/>
        <u val="none"/>
        <vertAlign val="baseline"/>
        <sz val="12"/>
        <color auto="1"/>
        <name val="Aptos"/>
        <family val="2"/>
        <scheme val="none"/>
      </font>
      <numFmt numFmtId="169" formatCode="0.0000"/>
      <fill>
        <patternFill patternType="none">
          <fgColor indexed="64"/>
          <bgColor auto="1"/>
        </patternFill>
      </fill>
      <alignment horizontal="right" vertical="bottom"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auto="1"/>
        <name val="Aptos"/>
        <family val="2"/>
        <scheme val="none"/>
      </font>
      <numFmt numFmtId="169" formatCode="0.0000"/>
      <fill>
        <patternFill patternType="none">
          <fgColor indexed="64"/>
          <bgColor auto="1"/>
        </patternFill>
      </fill>
      <border diagonalUp="0" diagonalDown="0" outline="0">
        <left/>
        <right/>
        <top/>
        <bottom style="medium">
          <color indexed="64"/>
        </bottom>
      </border>
    </dxf>
    <dxf>
      <font>
        <b val="0"/>
        <i val="0"/>
        <strike val="0"/>
        <condense val="0"/>
        <extend val="0"/>
        <outline val="0"/>
        <shadow val="0"/>
        <u val="none"/>
        <vertAlign val="baseline"/>
        <sz val="12"/>
        <color auto="1"/>
        <name val="Aptos"/>
        <family val="2"/>
        <scheme val="none"/>
      </font>
      <numFmt numFmtId="169" formatCode="0.0000"/>
      <border diagonalUp="0" diagonalDown="0" outline="0">
        <left/>
        <right/>
        <top/>
        <bottom style="medium">
          <color indexed="64"/>
        </bottom>
      </border>
    </dxf>
    <dxf>
      <font>
        <b val="0"/>
        <i val="0"/>
        <strike val="0"/>
        <condense val="0"/>
        <extend val="0"/>
        <outline val="0"/>
        <shadow val="0"/>
        <u val="none"/>
        <vertAlign val="baseline"/>
        <sz val="12"/>
        <color auto="1"/>
        <name val="Aptos"/>
        <family val="2"/>
        <scheme val="none"/>
      </font>
      <numFmt numFmtId="169" formatCode="0.0000"/>
      <fill>
        <patternFill patternType="solid">
          <fgColor indexed="64"/>
          <bgColor theme="4" tint="0.79998168889431442"/>
        </patternFill>
      </fill>
      <alignment horizontal="right" vertical="bottom" textRotation="0" wrapText="0"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12"/>
        <color auto="1"/>
        <name val="Aptos"/>
        <family val="2"/>
        <scheme val="none"/>
      </font>
      <numFmt numFmtId="169" formatCode="0.0000"/>
      <fill>
        <patternFill patternType="solid">
          <fgColor indexed="64"/>
          <bgColor theme="4" tint="0.79998168889431442"/>
        </patternFill>
      </fill>
      <border diagonalUp="0" diagonalDown="0">
        <left style="medium">
          <color indexed="64"/>
        </left>
        <right/>
        <top/>
        <bottom style="medium">
          <color indexed="64"/>
        </bottom>
        <vertical/>
        <horizontal/>
      </border>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border diagonalUp="0" diagonalDown="0">
        <left style="medium">
          <color indexed="64"/>
        </left>
        <right/>
        <top/>
        <bottom style="medium">
          <color indexed="64"/>
        </bottom>
        <vertical/>
        <horizontal/>
      </border>
    </dxf>
    <dxf>
      <border outline="0">
        <top style="medium">
          <color indexed="64"/>
        </top>
      </border>
    </dxf>
    <dxf>
      <font>
        <b val="0"/>
        <i val="0"/>
        <strike val="0"/>
        <condense val="0"/>
        <extend val="0"/>
        <outline val="0"/>
        <shadow val="0"/>
        <u val="none"/>
        <vertAlign val="baseline"/>
        <sz val="12"/>
        <color auto="1"/>
        <name val="Aptos"/>
        <family val="2"/>
        <scheme val="none"/>
      </font>
    </dxf>
    <dxf>
      <font>
        <b/>
        <i val="0"/>
        <strike val="0"/>
        <condense val="0"/>
        <extend val="0"/>
        <outline val="0"/>
        <shadow val="0"/>
        <u val="none"/>
        <vertAlign val="baseline"/>
        <sz val="12"/>
        <color auto="1"/>
        <name val="Aptos"/>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Aptos"/>
        <family val="2"/>
        <scheme val="none"/>
      </font>
      <numFmt numFmtId="169" formatCode="0.0000"/>
      <fill>
        <patternFill patternType="solid">
          <fgColor indexed="64"/>
          <bgColor theme="4" tint="0.79998168889431442"/>
        </patternFill>
      </fill>
      <alignment horizontal="left" vertical="bottom"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auto="1"/>
        <name val="Aptos"/>
        <family val="2"/>
        <scheme val="none"/>
      </font>
      <numFmt numFmtId="169" formatCode="0.0000"/>
      <fill>
        <patternFill patternType="solid">
          <fgColor indexed="64"/>
          <bgColor theme="4" tint="0.79998168889431442"/>
        </patternFill>
      </fill>
      <alignment horizontal="left" vertical="bottom" textRotation="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auto="1"/>
        <name val="Aptos"/>
        <family val="2"/>
        <scheme val="none"/>
      </font>
      <numFmt numFmtId="169" formatCode="0.0000"/>
      <alignment horizontal="left" vertical="bottom" textRotation="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auto="1"/>
        <name val="Aptos"/>
        <family val="2"/>
        <scheme val="none"/>
      </font>
      <numFmt numFmtId="169" formatCode="0.0000"/>
      <fill>
        <patternFill patternType="solid">
          <fgColor indexed="64"/>
          <bgColor theme="4" tint="0.79998168889431442"/>
        </patternFill>
      </fill>
      <alignment horizontal="left" vertical="bottom" textRotation="0" wrapText="0" indent="0" justifyLastLine="0" shrinkToFit="0" readingOrder="0"/>
      <border diagonalUp="0" diagonalDown="0" outline="0">
        <left/>
        <right style="medium">
          <color indexed="64"/>
        </right>
        <top/>
        <bottom style="medium">
          <color indexed="64"/>
        </bottom>
      </border>
    </dxf>
    <dxf>
      <font>
        <b val="0"/>
        <i val="0"/>
        <strike val="0"/>
        <condense val="0"/>
        <extend val="0"/>
        <outline val="0"/>
        <shadow val="0"/>
        <u val="none"/>
        <vertAlign val="baseline"/>
        <sz val="12"/>
        <color auto="1"/>
        <name val="Aptos"/>
        <family val="2"/>
        <scheme val="none"/>
      </font>
      <numFmt numFmtId="169" formatCode="0.0000"/>
      <fill>
        <patternFill patternType="solid">
          <fgColor indexed="64"/>
          <bgColor theme="4" tint="0.79998168889431442"/>
        </patternFill>
      </fill>
      <alignment horizontal="left" vertical="bottom" textRotation="0" indent="0" justifyLastLine="0" shrinkToFit="0" readingOrder="0"/>
      <border diagonalUp="0" diagonalDown="0" outline="0">
        <left style="medium">
          <color indexed="64"/>
        </left>
        <right/>
        <top/>
        <bottom style="medium">
          <color indexed="64"/>
        </bottom>
      </border>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border diagonalUp="0" diagonalDown="0" outline="0">
        <left style="medium">
          <color indexed="64"/>
        </left>
        <right/>
        <top/>
        <bottom style="medium">
          <color indexed="64"/>
        </bottom>
      </border>
    </dxf>
    <dxf>
      <border outline="0">
        <top style="medium">
          <color indexed="64"/>
        </top>
      </border>
    </dxf>
    <dxf>
      <font>
        <b val="0"/>
        <i val="0"/>
        <strike val="0"/>
        <condense val="0"/>
        <extend val="0"/>
        <outline val="0"/>
        <shadow val="0"/>
        <u val="none"/>
        <vertAlign val="baseline"/>
        <sz val="12"/>
        <color auto="1"/>
        <name val="Aptos"/>
        <family val="2"/>
        <scheme val="none"/>
      </font>
      <alignment horizontal="left" vertical="bottom" textRotation="0" indent="0" justifyLastLine="0" shrinkToFit="0" readingOrder="0"/>
    </dxf>
    <dxf>
      <font>
        <b/>
        <i val="0"/>
        <strike val="0"/>
        <condense val="0"/>
        <extend val="0"/>
        <outline val="0"/>
        <shadow val="0"/>
        <u val="none"/>
        <vertAlign val="baseline"/>
        <sz val="12"/>
        <color auto="1"/>
        <name val="Aptos"/>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ptos"/>
        <family val="2"/>
        <scheme val="none"/>
      </font>
    </dxf>
    <dxf>
      <font>
        <b val="0"/>
        <i val="0"/>
        <strike val="0"/>
        <condense val="0"/>
        <extend val="0"/>
        <outline val="0"/>
        <shadow val="0"/>
        <u val="none"/>
        <vertAlign val="baseline"/>
        <sz val="12"/>
        <color auto="1"/>
        <name val="Aptos"/>
        <family val="2"/>
        <scheme val="none"/>
      </font>
    </dxf>
    <dxf>
      <font>
        <b val="0"/>
        <i val="0"/>
        <strike val="0"/>
        <condense val="0"/>
        <extend val="0"/>
        <outline val="0"/>
        <shadow val="0"/>
        <u val="none"/>
        <vertAlign val="baseline"/>
        <sz val="12"/>
        <color auto="1"/>
        <name val="Aptos"/>
        <family val="2"/>
        <scheme val="none"/>
      </font>
      <numFmt numFmtId="2" formatCode="0.00"/>
    </dxf>
    <dxf>
      <font>
        <b val="0"/>
        <i val="0"/>
        <strike val="0"/>
        <condense val="0"/>
        <extend val="0"/>
        <outline val="0"/>
        <shadow val="0"/>
        <u val="none"/>
        <vertAlign val="baseline"/>
        <sz val="12"/>
        <color auto="1"/>
        <name val="Aptos"/>
        <family val="2"/>
        <scheme val="none"/>
      </font>
      <numFmt numFmtId="2" formatCode="0.00"/>
    </dxf>
    <dxf>
      <font>
        <b val="0"/>
        <i val="0"/>
        <strike val="0"/>
        <condense val="0"/>
        <extend val="0"/>
        <outline val="0"/>
        <shadow val="0"/>
        <u val="none"/>
        <vertAlign val="baseline"/>
        <sz val="12"/>
        <color auto="1"/>
        <name val="Aptos"/>
        <family val="2"/>
        <scheme val="none"/>
      </font>
      <numFmt numFmtId="2"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numFmt numFmtId="2" formatCode="0.00"/>
      <fill>
        <patternFill patternType="solid">
          <fgColor indexed="64"/>
          <bgColor theme="4" tint="0.79998168889431442"/>
        </patternFill>
      </fill>
    </dxf>
    <dxf>
      <font>
        <b val="0"/>
        <i val="0"/>
        <strike val="0"/>
        <condense val="0"/>
        <extend val="0"/>
        <outline val="0"/>
        <shadow val="0"/>
        <u val="none"/>
        <vertAlign val="baseline"/>
        <sz val="12"/>
        <color auto="1"/>
        <name val="Aptos"/>
        <family val="2"/>
        <scheme val="none"/>
      </font>
      <alignment horizontal="right" vertical="bottom" textRotation="0" wrapText="0" indent="0" justifyLastLine="0" shrinkToFit="0" readingOrder="0"/>
    </dxf>
    <dxf>
      <border outline="0">
        <top style="medium">
          <color indexed="64"/>
        </top>
      </border>
    </dxf>
    <dxf>
      <font>
        <b val="0"/>
        <i val="0"/>
        <strike val="0"/>
        <condense val="0"/>
        <extend val="0"/>
        <outline val="0"/>
        <shadow val="0"/>
        <u val="none"/>
        <vertAlign val="baseline"/>
        <sz val="12"/>
        <color auto="1"/>
        <name val="Aptos"/>
        <family val="2"/>
        <scheme val="none"/>
      </font>
    </dxf>
    <dxf>
      <font>
        <b/>
        <i val="0"/>
        <strike val="0"/>
        <condense val="0"/>
        <extend val="0"/>
        <outline val="0"/>
        <shadow val="0"/>
        <u val="none"/>
        <vertAlign val="baseline"/>
        <sz val="12"/>
        <color auto="1"/>
        <name val="Aptos"/>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Aptos"/>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ptos"/>
        <family val="2"/>
        <scheme val="none"/>
      </font>
      <numFmt numFmtId="2" formatCode="0.00"/>
      <fill>
        <patternFill patternType="none">
          <fgColor indexed="64"/>
          <bgColor auto="1"/>
        </patternFill>
      </fill>
    </dxf>
    <dxf>
      <font>
        <b val="0"/>
        <i val="0"/>
        <strike val="0"/>
        <condense val="0"/>
        <extend val="0"/>
        <outline val="0"/>
        <shadow val="0"/>
        <u val="none"/>
        <vertAlign val="baseline"/>
        <sz val="12"/>
        <color auto="1"/>
        <name val="Aptos"/>
        <family val="2"/>
        <scheme val="none"/>
      </font>
      <numFmt numFmtId="2" formatCode="0.00"/>
    </dxf>
    <dxf>
      <font>
        <b val="0"/>
        <i val="0"/>
        <strike val="0"/>
        <condense val="0"/>
        <extend val="0"/>
        <outline val="0"/>
        <shadow val="0"/>
        <u val="none"/>
        <vertAlign val="baseline"/>
        <sz val="12"/>
        <color auto="1"/>
        <name val="Aptos"/>
        <family val="2"/>
        <scheme val="none"/>
      </font>
      <numFmt numFmtId="2" formatCode="0.00"/>
    </dxf>
    <dxf>
      <font>
        <b val="0"/>
        <i val="0"/>
        <strike val="0"/>
        <condense val="0"/>
        <extend val="0"/>
        <outline val="0"/>
        <shadow val="0"/>
        <u val="none"/>
        <vertAlign val="baseline"/>
        <sz val="12"/>
        <color auto="1"/>
        <name val="Aptos"/>
        <family val="2"/>
        <scheme val="none"/>
      </font>
      <numFmt numFmtId="2" formatCode="0.00"/>
      <fill>
        <patternFill patternType="solid">
          <fgColor indexed="64"/>
          <bgColor theme="4" tint="0.79998168889431442"/>
        </patternFill>
      </fill>
      <alignment horizontal="right" vertical="bottom"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2"/>
        <color auto="1"/>
        <name val="Aptos"/>
        <family val="2"/>
        <scheme val="none"/>
      </font>
      <numFmt numFmtId="2" formatCode="0.00"/>
      <fill>
        <patternFill patternType="solid">
          <fgColor indexed="64"/>
          <bgColor theme="4" tint="0.79998168889431442"/>
        </patternFill>
      </fill>
    </dxf>
    <dxf>
      <font>
        <b val="0"/>
        <i val="0"/>
        <strike val="0"/>
        <condense val="0"/>
        <extend val="0"/>
        <outline val="0"/>
        <shadow val="0"/>
        <u val="none"/>
        <vertAlign val="baseline"/>
        <sz val="12"/>
        <color auto="1"/>
        <name val="Aptos"/>
        <family val="2"/>
        <scheme val="none"/>
      </font>
      <alignment horizontal="left" vertical="bottom" textRotation="0" wrapText="0" indent="0" justifyLastLine="0" shrinkToFit="0" readingOrder="0"/>
    </dxf>
    <dxf>
      <border outline="0">
        <left style="medium">
          <color indexed="64"/>
        </left>
        <top style="medium">
          <color indexed="64"/>
        </top>
      </border>
    </dxf>
    <dxf>
      <font>
        <b val="0"/>
        <i val="0"/>
        <strike val="0"/>
        <condense val="0"/>
        <extend val="0"/>
        <outline val="0"/>
        <shadow val="0"/>
        <u val="none"/>
        <vertAlign val="baseline"/>
        <sz val="12"/>
        <color auto="1"/>
        <name val="Aptos"/>
        <family val="2"/>
        <scheme val="none"/>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388"/>
      <tableStyleElement type="headerRow" dxfId="1387"/>
    </tableStyle>
  </tableStyles>
  <colors>
    <mruColors>
      <color rgb="FFFFFFCC"/>
      <color rgb="FF99FF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eetMetadata" Target="metadata.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324</xdr:row>
      <xdr:rowOff>0</xdr:rowOff>
    </xdr:from>
    <xdr:to>
      <xdr:col>3</xdr:col>
      <xdr:colOff>836980</xdr:colOff>
      <xdr:row>369</xdr:row>
      <xdr:rowOff>117352</xdr:rowOff>
    </xdr:to>
    <xdr:pic>
      <xdr:nvPicPr>
        <xdr:cNvPr id="2" name="Picture 2" descr="Picture of IPCC Table 2.2: Default Emission Factors for Stationary Combustion in the Energy Industries">
          <a:extLst>
            <a:ext uri="{FF2B5EF4-FFF2-40B4-BE49-F238E27FC236}">
              <a16:creationId xmlns:a16="http://schemas.microsoft.com/office/drawing/2014/main" id="{947B61BB-4BF6-43B9-8D66-1CA2880C80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125024"/>
          <a:ext cx="7794748" cy="9184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370</xdr:row>
      <xdr:rowOff>0</xdr:rowOff>
    </xdr:from>
    <xdr:to>
      <xdr:col>3</xdr:col>
      <xdr:colOff>916355</xdr:colOff>
      <xdr:row>400</xdr:row>
      <xdr:rowOff>102453</xdr:rowOff>
    </xdr:to>
    <xdr:pic>
      <xdr:nvPicPr>
        <xdr:cNvPr id="3" name="Picture 1" descr="Picture of IPCC Table 2.2 continued: Default Emission Factors for Stationary Combustion in the Energy Industries">
          <a:extLst>
            <a:ext uri="{FF2B5EF4-FFF2-40B4-BE49-F238E27FC236}">
              <a16:creationId xmlns:a16="http://schemas.microsoft.com/office/drawing/2014/main" id="{83585018-BCB2-4653-B1F8-639DF91DF8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6595072"/>
          <a:ext cx="7848723" cy="61503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sueannrichardson/Downloads/2008%20GHGINVIMP%20as%20APP.xls" TargetMode="External"/><Relationship Id="rId1" Type="http://schemas.openxmlformats.org/officeDocument/2006/relationships/externalLinkPath" Target="/Users/sueannrichardson/Downloads/2008%20GHGINVIMP%20as%20AP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orm 923 Generation and Fuel Da"/>
      <sheetName val="EPA Part 75 data"/>
      <sheetName val="Electric Power Annual Table A3"/>
      <sheetName val="IPCC Guidelines Table 2.2"/>
      <sheetName val="Calculating CO2e"/>
      <sheetName val="rps transfers"/>
      <sheetName val="rps - Calculating CO2e"/>
      <sheetName val="ISO load-generation-imports"/>
      <sheetName val="Imported Emissions"/>
      <sheetName val="GWPs"/>
    </sheetNames>
    <sheetDataSet>
      <sheetData sheetId="0"/>
      <sheetData sheetId="1"/>
      <sheetData sheetId="2"/>
      <sheetData sheetId="3"/>
      <sheetData sheetId="4"/>
      <sheetData sheetId="5"/>
      <sheetData sheetId="6"/>
      <sheetData sheetId="7"/>
      <sheetData sheetId="8"/>
      <sheetData sheetId="9">
        <row r="11">
          <cell r="B11" t="str">
            <v>SAR</v>
          </cell>
        </row>
        <row r="12">
          <cell r="B12" t="str">
            <v>AR4</v>
          </cell>
        </row>
        <row r="13">
          <cell r="B13" t="str">
            <v>AR5</v>
          </cell>
        </row>
      </sheetData>
    </sheetDataSet>
  </externalBook>
</externalLink>
</file>

<file path=xl/persons/person.xml><?xml version="1.0" encoding="utf-8"?>
<personList xmlns="http://schemas.microsoft.com/office/spreadsheetml/2018/threadedcomments" xmlns:x="http://schemas.openxmlformats.org/spreadsheetml/2006/main">
  <person displayName="Christopher, Katherine (DEP)" id="{3428AB41-9801-4D47-BF13-D07DFD7645B5}" userId="S::Katherine.Christopher@mass.gov::e3327e04-f7a8-4a92-be2a-fd3bdda157bf"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8F9D135F-339C-45E2-813C-68666446D111}" name="ContentsLinksToWorksheets" displayName="ContentsLinksToWorksheets" ref="A2:A13" totalsRowShown="0" headerRowDxfId="1308" dataDxfId="0" dataCellStyle="Hyperlink">
  <autoFilter ref="A2:A13" xr:uid="{8F9D135F-339C-45E2-813C-68666446D111}">
    <filterColumn colId="0" hiddenButton="1"/>
  </autoFilter>
  <tableColumns count="1">
    <tableColumn id="1" xr3:uid="{B64FCDC9-CEFC-47D3-8C97-EBA9B75F4C63}" name="Links to Worksheets" dataDxfId="1" dataCellStyle="Hyperlink"/>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B5C1BBAA-79E6-4394-B295-11C48D40A972}" name="ISONEStateNonBiogenicEmissions" displayName="ISONEStateNonBiogenicEmissions" ref="A77:C85" totalsRowShown="0" headerRowBorderDxfId="1274" tableBorderDxfId="1273">
  <autoFilter ref="A77:C85" xr:uid="{B5C1BBAA-79E6-4394-B295-11C48D40A972}">
    <filterColumn colId="0" hiddenButton="1"/>
    <filterColumn colId="1" hiddenButton="1"/>
    <filterColumn colId="2" hiddenButton="1"/>
  </autoFilter>
  <tableColumns count="3">
    <tableColumn id="1" xr3:uid="{78F65F7A-21D3-4FB6-99E2-3574D9621CA2}" name="State" dataDxfId="1272"/>
    <tableColumn id="2" xr3:uid="{619FFB9C-AF7E-4842-849F-9C1D2E5C0FEF}" name="State GHG Emissions from Electricity Generation (including net GIS certificate emissions)" dataDxfId="1271"/>
    <tableColumn id="3" xr3:uid="{E99E61AA-00DF-4CE6-ACE7-24CC198BAFA4}" name="State Exported GHG Generation Emissions (excluding GIS certificates)" dataDxfId="1270"/>
  </tableColumns>
  <tableStyleInfo name="TableStyleLight1"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onsolidatedHeatInputTableForVT" displayName="ConsolidatedHeatInputTableForVT" ref="A324:G332" totalsRowShown="0" headerRowDxfId="393" dataDxfId="392">
  <autoFilter ref="A324:G332" xr:uid="{00000000-0009-0000-0100-000006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500-000001000000}" name="Fuel Types " dataDxfId="391"/>
    <tableColumn id="2" xr3:uid="{00000000-0010-0000-0500-000002000000}" name="Into State - MSS Meter (MMBtu)" dataDxfId="390" dataCellStyle="Comma"/>
    <tableColumn id="3" xr3:uid="{00000000-0010-0000-0500-000003000000}" name="Into State - IMP Meter (MMBtu)2" dataDxfId="389" dataCellStyle="Comma"/>
    <tableColumn id="4" xr3:uid="{00000000-0010-0000-0500-000004000000}" name="Into State - NON Meter (MMBtu)" dataDxfId="388" dataCellStyle="Comma"/>
    <tableColumn id="5" xr3:uid="{00000000-0010-0000-0500-000005000000}" name="Out of State -_x000a_MSS Meter _x000a_(MMBtu)" dataDxfId="387" dataCellStyle="Comma"/>
    <tableColumn id="6" xr3:uid="{00000000-0010-0000-0500-000006000000}" name="*Form 923 trash split" dataDxfId="386"/>
    <tableColumn id="7" xr3:uid="{00000000-0010-0000-0500-000007000000}" name="Net Heat Input from all GIS certificates (MMBtu)" dataDxfId="385" dataCellStyle="Comma">
      <calculatedColumnFormula>B325+C325+D325-E325</calculatedColumnFormula>
    </tableColumn>
  </tableColumns>
  <tableStyleInfo name="TableStyleMedium1"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ConsolidatedHeatInputTableForNY" displayName="ConsolidatedHeatInputTableForNY" ref="A335:D343" totalsRowShown="0" headerRowDxfId="384" dataDxfId="383">
  <autoFilter ref="A335:D343" xr:uid="{00000000-0009-0000-0100-000007000000}">
    <filterColumn colId="0" hiddenButton="1"/>
    <filterColumn colId="1" hiddenButton="1"/>
    <filterColumn colId="2" hiddenButton="1"/>
    <filterColumn colId="3" hiddenButton="1"/>
  </autoFilter>
  <tableColumns count="4">
    <tableColumn id="1" xr3:uid="{00000000-0010-0000-0600-000001000000}" name="Fuel Types " dataDxfId="382"/>
    <tableColumn id="2" xr3:uid="{815ED168-989C-4D67-AB8D-82BC79E6A9C4}" name="Out of State -_x000a_IMP Meter _x000a_(MMBtu)" dataDxfId="381"/>
    <tableColumn id="3" xr3:uid="{86ACCF4E-8685-425D-8E3C-C057C8A14E36}" name="*Form 923 trash split" dataDxfId="380"/>
    <tableColumn id="4" xr3:uid="{ADFF0EE0-A31C-46E9-B850-01A1D61C6BF3}" name="Net Heat Input from all GIS certificates (MMBtu)" dataDxfId="379"/>
  </tableColumns>
  <tableStyleInfo name="TableStyleMedium1"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ConsolidatedHeatInputTableForCMP" displayName="ConsolidatedHeatInputTableForCMP" ref="A346:D354" totalsRowShown="0" headerRowDxfId="378" dataDxfId="377">
  <autoFilter ref="A346:D354" xr:uid="{00000000-0009-0000-0100-000008000000}">
    <filterColumn colId="0" hiddenButton="1"/>
    <filterColumn colId="1" hiddenButton="1"/>
    <filterColumn colId="2" hiddenButton="1"/>
    <filterColumn colId="3" hiddenButton="1"/>
  </autoFilter>
  <tableColumns count="4">
    <tableColumn id="1" xr3:uid="{00000000-0010-0000-0700-000001000000}" name="Fuel Types " dataDxfId="376"/>
    <tableColumn id="2" xr3:uid="{92BC2043-FADC-46BE-93E0-F25801C7AA5D}" name="Out of Province_x000a_IMP Meter _x000a_(MMBtu)" dataDxfId="375"/>
    <tableColumn id="3" xr3:uid="{7B56EADC-874C-4062-9F30-ED0A3DB1C9B1}" name="*Form 923 trash split" dataDxfId="374"/>
    <tableColumn id="4" xr3:uid="{C7519530-13C5-4E86-9DAA-58D1E7654B26}" name="Net Heat Input from all GIS certificates (MMBtu)" dataDxfId="373"/>
  </tableColumns>
  <tableStyleInfo name="TableStyleMedium1"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ConsolidatedHeatInputTableForQNL" displayName="ConsolidatedHeatInputTableForQNL" ref="A357:D365" totalsRowShown="0" headerRowDxfId="372" dataDxfId="371">
  <autoFilter ref="A357:D365" xr:uid="{00000000-0009-0000-0100-000009000000}">
    <filterColumn colId="0" hiddenButton="1"/>
    <filterColumn colId="1" hiddenButton="1"/>
    <filterColumn colId="2" hiddenButton="1"/>
    <filterColumn colId="3" hiddenButton="1"/>
  </autoFilter>
  <tableColumns count="4">
    <tableColumn id="1" xr3:uid="{00000000-0010-0000-0800-000001000000}" name="Fuel Types " dataDxfId="370"/>
    <tableColumn id="2" xr3:uid="{B66B636A-D73B-412A-B2AD-290B283C0EA3}" name="Out of Province_x000a_IMP Meter _x000a_(MMBtu)" dataDxfId="369"/>
    <tableColumn id="3" xr3:uid="{8E4FDA39-54BD-452F-BCD0-3A46A7B6D866}" name="*Form 923 trash split" dataDxfId="368"/>
    <tableColumn id="4" xr3:uid="{149E55A1-06FD-4F10-9A16-D26E67681CA5}" name="Net Heat Input from all GIS certificates (MMBtu)" dataDxfId="367"/>
  </tableColumns>
  <tableStyleInfo name="TableStyleMedium1"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380169BA-9574-4685-BCF7-C71825956B31}" name="FuelSpecificMMBTUsFromCT" displayName="FuelSpecificMMBTUsFromCT" ref="A61:M80" totalsRowShown="0" headerRowDxfId="366" dataDxfId="364" headerRowBorderDxfId="365" tableBorderDxfId="363" dataCellStyle="Comma">
  <autoFilter ref="A61:M80" xr:uid="{380169BA-9574-4685-BCF7-C71825956B3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4BDDD1BA-1B34-43C8-BF96-C3698323C0E5}" name="FUELS" dataDxfId="362"/>
    <tableColumn id="2" xr3:uid="{F4388BFB-7E92-4D29-81C9-6128A846B40B}" name="MSS  to CT" dataDxfId="361">
      <calculatedColumnFormula>GIS!B44*'GIS Heat Input'!$C28</calculatedColumnFormula>
    </tableColumn>
    <tableColumn id="3" xr3:uid="{97CE2359-8212-4D43-BF53-408C3D641A97}" name="NON to CT" dataDxfId="360" dataCellStyle="Comma"/>
    <tableColumn id="4" xr3:uid="{7C6A3F35-92D7-4E1D-8EE8-47540DA72441}" name="MSS  to MA" dataDxfId="359" dataCellStyle="Comma"/>
    <tableColumn id="5" xr3:uid="{0CAB3807-0B5A-4189-8CAE-569F0F955114}" name="NON to MA" dataDxfId="358" dataCellStyle="Comma"/>
    <tableColumn id="6" xr3:uid="{9A97BF9F-2928-4451-9AB9-FB5778D5A5DB}" name="MSS to ME" dataDxfId="357" dataCellStyle="Comma"/>
    <tableColumn id="7" xr3:uid="{4AF827A4-3122-4E1D-B20A-20C996173B25}" name="NON to ME" dataDxfId="356" dataCellStyle="Comma"/>
    <tableColumn id="8" xr3:uid="{354AD98B-577C-49BA-A25F-BCCF9518B633}" name="MSS to NH" dataDxfId="355" dataCellStyle="Comma"/>
    <tableColumn id="9" xr3:uid="{EE3BFD88-C66D-4BE4-ADD1-013250273870}" name="NON to NH" dataDxfId="354" dataCellStyle="Comma"/>
    <tableColumn id="10" xr3:uid="{C7F1E47A-3FE5-4D63-AAAE-3FDBB97FC2F8}" name="MSS to RI" dataDxfId="353" dataCellStyle="Comma"/>
    <tableColumn id="11" xr3:uid="{26A57E3A-0C3B-4222-B292-C38858C78D4E}" name="NON to RI" dataDxfId="352" dataCellStyle="Comma"/>
    <tableColumn id="12" xr3:uid="{E12E013B-6558-4AA7-A5CA-6D61348436C5}" name="MSS to VT" dataDxfId="351" dataCellStyle="Comma"/>
    <tableColumn id="13" xr3:uid="{2032A5E9-324C-4291-822D-E5BAE2350F42}" name="NON to VT" dataDxfId="350" dataCellStyle="Comma"/>
  </tableColumns>
  <tableStyleInfo name="TableStyleLight1"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D638F5AF-1E7D-490B-A91C-D5C2A38D6FA2}" name="FuelSpecificMMBTUsFromMA" displayName="FuelSpecificMMBTUsFromMA" ref="A83:M102" totalsRowShown="0" headerRowDxfId="349" dataDxfId="347" headerRowBorderDxfId="348" tableBorderDxfId="346" dataCellStyle="Comma">
  <autoFilter ref="A83:M102" xr:uid="{D638F5AF-1E7D-490B-A91C-D5C2A38D6FA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704C3A09-0EE3-465E-B0A4-F28FB85F8B1E}" name="FUELS" dataDxfId="345"/>
    <tableColumn id="2" xr3:uid="{81D0E867-172F-4ABB-A011-B77BBA81024A}" name="MSS  to CT" dataDxfId="344" dataCellStyle="Comma"/>
    <tableColumn id="3" xr3:uid="{312B59C5-F276-4023-924E-C8E23D3356C3}" name="NON to CT" dataDxfId="343" dataCellStyle="Comma"/>
    <tableColumn id="4" xr3:uid="{0C7037D5-BC0C-47BB-968C-13738D05D946}" name="MSS  to MA" dataDxfId="342" dataCellStyle="Comma">
      <calculatedColumnFormula>GIS!E67*'GIS Heat Input'!$B28</calculatedColumnFormula>
    </tableColumn>
    <tableColumn id="5" xr3:uid="{94B417DC-3A41-4A53-B873-B4DC969A0350}" name="NON to MA" dataDxfId="341" dataCellStyle="Comma"/>
    <tableColumn id="6" xr3:uid="{2BAA5DD0-A7B5-4E79-BE23-F520F604AF02}" name="MSS to ME" dataDxfId="340" dataCellStyle="Comma"/>
    <tableColumn id="7" xr3:uid="{5F8892AC-0F66-460F-AEB1-B40697D7D321}" name="NON to ME" dataDxfId="339" dataCellStyle="Comma"/>
    <tableColumn id="8" xr3:uid="{4E288960-5EB0-44BF-B461-59D24DBD29BD}" name="MSS to NH" dataDxfId="338" dataCellStyle="Comma"/>
    <tableColumn id="9" xr3:uid="{51A52E9E-DA89-4B39-BE1E-A4AA248AFEA0}" name="NON to NH" dataDxfId="337" dataCellStyle="Comma"/>
    <tableColumn id="10" xr3:uid="{5D906328-DBA1-446B-BB39-5B0F135C7C04}" name="MSS to RI" dataDxfId="336" dataCellStyle="Comma"/>
    <tableColumn id="11" xr3:uid="{381507B0-4AB1-457C-AE75-975BEAF3F6BB}" name="NON to RI" dataDxfId="335" dataCellStyle="Comma"/>
    <tableColumn id="12" xr3:uid="{236FCFD2-B1C1-4C34-925A-66B748873C8E}" name="MSS to VT" dataDxfId="334" dataCellStyle="Comma"/>
    <tableColumn id="13" xr3:uid="{E91542AF-C24D-4F14-9ACE-C2F8533D4AED}" name="NON to VT" dataDxfId="333" dataCellStyle="Comma"/>
  </tableColumns>
  <tableStyleInfo name="TableStyleLight1"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91F3E69B-D2EE-4188-9D40-14A4B6CBAEBA}" name="FuelSpecificMMBTUsFromME" displayName="FuelSpecificMMBTUsFromME" ref="A105:M124" totalsRowShown="0" headerRowDxfId="332" dataDxfId="330" headerRowBorderDxfId="331" tableBorderDxfId="329" dataCellStyle="Comma">
  <autoFilter ref="A105:M124" xr:uid="{91F3E69B-D2EE-4188-9D40-14A4B6CBAEB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C1667336-0FA1-4B00-8F09-49A4177FB1E2}" name="FUELS"/>
    <tableColumn id="2" xr3:uid="{17BDF71A-BCA6-4464-BA9A-4A2950987812}" name="MSS  to CT" dataDxfId="328" dataCellStyle="Comma"/>
    <tableColumn id="3" xr3:uid="{544FBA99-4F41-4B9C-865D-9C27F58C60E4}" name="NON to CT" dataDxfId="327" dataCellStyle="Comma"/>
    <tableColumn id="4" xr3:uid="{D334EAC8-95F0-4C2E-8586-B0A837352DDA}" name="MSS  to MA" dataDxfId="326" dataCellStyle="Comma"/>
    <tableColumn id="5" xr3:uid="{071E5FDA-1B41-4E2D-BD33-3C0F9814F751}" name="NON to MA" dataDxfId="325" dataCellStyle="Comma"/>
    <tableColumn id="6" xr3:uid="{A066F94B-09D7-4334-9693-15D4046231E7}" name="MSS to ME" dataDxfId="324" dataCellStyle="Comma">
      <calculatedColumnFormula>GIS!J90*'GIS Heat Input'!$D28</calculatedColumnFormula>
    </tableColumn>
    <tableColumn id="7" xr3:uid="{FC0A60CE-B7EC-4DFD-BF6F-324AF46D6E1D}" name="NON to ME" dataDxfId="323" dataCellStyle="Comma"/>
    <tableColumn id="8" xr3:uid="{D1D47015-ACB0-46B1-93AB-A54CA1EB27D7}" name="MSS to NH" dataDxfId="322" dataCellStyle="Comma"/>
    <tableColumn id="9" xr3:uid="{A8A972BC-31D3-4DAF-8B42-1116F9E6BA5A}" name="NON to NH" dataDxfId="321" dataCellStyle="Comma"/>
    <tableColumn id="10" xr3:uid="{CD86E9B7-111F-4F2F-B8A3-2866BEF672E2}" name="MSS to RI" dataDxfId="320" dataCellStyle="Comma"/>
    <tableColumn id="11" xr3:uid="{630A6EA6-DDC6-4C64-89C5-A274CBAD4770}" name="NON to RI" dataDxfId="319" dataCellStyle="Comma"/>
    <tableColumn id="12" xr3:uid="{F2028C21-228E-4766-AC17-E0E54B615884}" name="MSS to VT" dataDxfId="318" dataCellStyle="Comma"/>
    <tableColumn id="13" xr3:uid="{98E5ADE4-288D-4C6D-90A2-0CB3FC200CCD}" name="NON to VT" dataDxfId="317" dataCellStyle="Comma"/>
  </tableColumns>
  <tableStyleInfo name="TableStyleLight1"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3481DCA5-7415-4CD0-8C74-F22AA53FC757}" name="FuelSpecificMMBTUsFromNH" displayName="FuelSpecificMMBTUsFromNH" ref="A127:M146" totalsRowShown="0" headerRowDxfId="316" headerRowBorderDxfId="315" tableBorderDxfId="314">
  <autoFilter ref="A127:M146" xr:uid="{3481DCA5-7415-4CD0-8C74-F22AA53FC75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CC6B51A4-0AB6-4A2E-BE4F-EF68B93786B1}" name="FUELS"/>
    <tableColumn id="2" xr3:uid="{7C61EC59-B7E3-4E9A-A971-3FD3E050B283}" name="MSS  to CT" dataDxfId="313" dataCellStyle="Comma"/>
    <tableColumn id="3" xr3:uid="{1743DEC2-1685-4D7F-B35C-FB223B680856}" name="NON to CT" dataDxfId="312" dataCellStyle="Comma"/>
    <tableColumn id="4" xr3:uid="{A0B5FB81-8FDD-480E-AA0A-37B6C583FB37}" name="MSS  to MA" dataDxfId="311" dataCellStyle="Comma"/>
    <tableColumn id="5" xr3:uid="{65D23210-4F69-4ACB-9FA2-C1F23E832D72}" name="NON to MA" dataDxfId="310" dataCellStyle="Comma"/>
    <tableColumn id="6" xr3:uid="{CCCD9C30-1B90-479B-9395-BCD335B787BF}" name="MSS to ME" dataDxfId="309" dataCellStyle="Comma"/>
    <tableColumn id="7" xr3:uid="{471A9B4D-1C30-4E90-B9F0-3947A1C282E0}" name="NON to ME" dataDxfId="308" dataCellStyle="Comma"/>
    <tableColumn id="8" xr3:uid="{C6426229-36BC-42DD-A93A-E5A26ADA9B7B}" name="MSS to NH" dataDxfId="307" dataCellStyle="Comma">
      <calculatedColumnFormula>GIS!K113*'GIS Heat Input'!$E28</calculatedColumnFormula>
    </tableColumn>
    <tableColumn id="9" xr3:uid="{BF34828B-954C-4153-A441-DE75B6164D35}" name="NON to NH" dataDxfId="306" dataCellStyle="Comma"/>
    <tableColumn id="10" xr3:uid="{E3F732CB-0165-4D40-9359-E027C4E04102}" name="MSS to RI" dataDxfId="305" dataCellStyle="Comma"/>
    <tableColumn id="11" xr3:uid="{40C43234-C939-4A98-98BF-1AD45AAD39F4}" name="NON to RI" dataDxfId="304" dataCellStyle="Comma"/>
    <tableColumn id="12" xr3:uid="{E3C632DF-675E-47CB-AF8D-B1AF45B12155}" name="MSS to VT" dataDxfId="303" dataCellStyle="Comma"/>
    <tableColumn id="13" xr3:uid="{3CC19689-497C-4176-9AEA-B493DB9E679B}" name="NON to VT" dataDxfId="302" dataCellStyle="Comma"/>
  </tableColumns>
  <tableStyleInfo name="TableStyleLight1"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6961D0D0-DFB2-4013-AF90-EA1AFB968A11}" name="FuelSpecificMMBTUsFromRI" displayName="FuelSpecificMMBTUsFromRI" ref="A149:M168" totalsRowShown="0" headerRowDxfId="301" headerRowBorderDxfId="300" tableBorderDxfId="299">
  <autoFilter ref="A149:M168" xr:uid="{6961D0D0-DFB2-4013-AF90-EA1AFB968A1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FDA3365-A58F-44C4-A165-F649F1F05ED7}" name="FUELS"/>
    <tableColumn id="2" xr3:uid="{12F4E534-857F-4868-A999-7FC8CED8D2D8}" name="MSS  to CT" dataDxfId="298" dataCellStyle="Comma"/>
    <tableColumn id="3" xr3:uid="{4D8BE201-486D-4856-A4FD-465757503390}" name="NON to CT" dataDxfId="297" dataCellStyle="Comma"/>
    <tableColumn id="4" xr3:uid="{539FE7ED-93DC-4C38-8D25-B6DEF4815315}" name="MSS  to MA" dataDxfId="296" dataCellStyle="Comma"/>
    <tableColumn id="5" xr3:uid="{EDEF88A7-1432-4CA8-84E4-D52E4AF8C73C}" name="NON to MA" dataDxfId="295" dataCellStyle="Comma"/>
    <tableColumn id="6" xr3:uid="{F2FAD1AA-B492-4E62-8378-BA73FB327980}" name="MSS to ME" dataDxfId="294" dataCellStyle="Comma"/>
    <tableColumn id="7" xr3:uid="{83B02CC8-5D81-4EAF-926E-D3BB33FEDAA8}" name="NON to ME" dataDxfId="293" dataCellStyle="Comma"/>
    <tableColumn id="8" xr3:uid="{7E341DB9-26EE-4A3C-9409-3DEB75741A9C}" name="MSS to NH" dataDxfId="292" dataCellStyle="Comma"/>
    <tableColumn id="9" xr3:uid="{7EF4FDC2-E21A-47B7-8459-8EE503BD62D4}" name="NON to NH" dataDxfId="291" dataCellStyle="Comma"/>
    <tableColumn id="10" xr3:uid="{81C8F0E5-0091-4B66-BF84-651B3468E681}" name="MSS to RI" dataDxfId="290" dataCellStyle="Comma">
      <calculatedColumnFormula>GIS!N136*'GIS Heat Input'!$F28</calculatedColumnFormula>
    </tableColumn>
    <tableColumn id="11" xr3:uid="{4D602744-6939-4431-B6EB-2811288811A7}" name="NON to RI" dataDxfId="289" dataCellStyle="Comma"/>
    <tableColumn id="12" xr3:uid="{A92313D3-CCAB-4AA7-A54E-BD9A0061FC52}" name="MSS to VT" dataDxfId="288" dataCellStyle="Comma"/>
    <tableColumn id="13" xr3:uid="{0FEBB4A8-9B43-44A8-B540-D98AB9BAC9BF}" name="NON to VT" dataDxfId="287" dataCellStyle="Comma"/>
  </tableColumns>
  <tableStyleInfo name="TableStyleLight1"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33AA210A-971A-41C4-B4FE-9ACB1CB5BE6D}" name="FuelSpecificMMBTUsFromVT" displayName="FuelSpecificMMBTUsFromVT" ref="A171:M190" totalsRowShown="0" headerRowDxfId="286" headerRowBorderDxfId="285" tableBorderDxfId="284">
  <autoFilter ref="A171:M190" xr:uid="{33AA210A-971A-41C4-B4FE-9ACB1CB5BE6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D9D6772B-BE9A-4813-90F3-FACF56643D4A}" name="FUELS"/>
    <tableColumn id="2" xr3:uid="{113BF79A-487A-483C-801A-5FE29079EE02}" name="MSS  to CT" dataDxfId="283" dataCellStyle="Comma"/>
    <tableColumn id="3" xr3:uid="{72185213-EDE0-4E53-BBEE-E4E056136DC4}" name="NON to CT" dataDxfId="282" dataCellStyle="Comma"/>
    <tableColumn id="4" xr3:uid="{7F248FA8-8FBE-43AB-8084-E8BC97EF2363}" name="MSS  to MA" dataDxfId="281" dataCellStyle="Comma"/>
    <tableColumn id="5" xr3:uid="{67BCFC56-5AEB-49DC-8B9F-EC4C66A1762C}" name="NON to MA" dataDxfId="280" dataCellStyle="Comma"/>
    <tableColumn id="6" xr3:uid="{51FC9805-EB97-42C8-8BB7-4F96F442A653}" name="MSS to ME" dataDxfId="279" dataCellStyle="Comma"/>
    <tableColumn id="7" xr3:uid="{F767D317-7AEC-418A-927F-788BCA149C63}" name="NON to ME" dataDxfId="278" dataCellStyle="Comma"/>
    <tableColumn id="8" xr3:uid="{BFB62844-8BBE-4AD4-BE32-0502A5324D09}" name="MSS to NH" dataDxfId="277" dataCellStyle="Comma"/>
    <tableColumn id="9" xr3:uid="{F7BA9CC8-843D-4282-9158-0ECA360BEA32}" name="NON to NH" dataDxfId="276" dataCellStyle="Comma"/>
    <tableColumn id="10" xr3:uid="{F4F1E792-0F2D-49B2-9EFC-745E53D5324C}" name="MSS to RI" dataDxfId="275" dataCellStyle="Comma"/>
    <tableColumn id="11" xr3:uid="{2F1BF400-BBDB-4450-9002-819A7A344AF2}" name="NON to RI" dataDxfId="274" dataCellStyle="Comma"/>
    <tableColumn id="12" xr3:uid="{548A0666-9D43-409C-BAC1-92D3D00DA9DF}" name="MSS to VT" dataDxfId="273" dataCellStyle="Comma">
      <calculatedColumnFormula>GIS!Q159*'GIS Heat Input'!$G28</calculatedColumnFormula>
    </tableColumn>
    <tableColumn id="13" xr3:uid="{CA58C970-A143-4845-9056-46C087C7B6A6}" name="NON to VT" dataDxfId="272" dataCellStyle="Comma"/>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38F9E6EE-259B-4126-A4D4-6BD88183C565}" name="StateProvinceNonBiogenicEmissionsAndRates" displayName="StateProvinceNonBiogenicEmissionsAndRates" ref="A25:G35" totalsRowShown="0" headerRowDxfId="1269" dataDxfId="1268" tableBorderDxfId="1267" dataCellStyle="Comma">
  <autoFilter ref="A25:G35" xr:uid="{38F9E6EE-259B-4126-A4D4-6BD88183C56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02A8D4B-2170-417F-A717-5B6C2DBE8C07}" name="State/Province" dataDxfId="1266"/>
    <tableColumn id="2" xr3:uid="{07EEFB06-6AA0-4B78-A723-DB73F5F237D2}" name="from State &amp; Province Generation" dataDxfId="1265" dataCellStyle="Comma"/>
    <tableColumn id="3" xr3:uid="{CF350EAA-09DD-4591-8D7A-5D561A904222}" name="from GIS Transfers (Net) to and from State" dataDxfId="1264" dataCellStyle="Comma"/>
    <tableColumn id="4" xr3:uid="{EA5DBDE1-50BD-4196-AB6B-330EE491F988}" name="from GIS Stay-In-State" dataDxfId="1263" dataCellStyle="Comma"/>
    <tableColumn id="5" xr3:uid="{85F85672-DF05-4614-BBF2-9AB66D4C2661}" name="from GIS Removed-From-State" dataDxfId="1262" dataCellStyle="Comma"/>
    <tableColumn id="6" xr3:uid="{F79BF58D-C0C7-4B00-8518-BFEBE18BEB7E}" name="System Mix Emission Rates (lbs CO2e/MWh)" dataDxfId="1261" dataCellStyle="Comma"/>
    <tableColumn id="7" xr3:uid="{7F48C5D6-BEED-4F57-979B-DC6AC89B4268}" name="State Emission Rates (lbs CO2e/MWh) for Exported Emissions (set to zero if MSS emissions exceed generation emissions)" dataDxfId="1260" dataCellStyle="Comma">
      <calculatedColumnFormula>IF(D26+E26&gt;B26,0,(B26-D26-E26)/(B62-D63-E64))</calculatedColumnFormula>
    </tableColumn>
  </tableColumns>
  <tableStyleInfo name="TableStyleLight1"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A063E2F3-3D0D-42AA-9CC0-A606F086AF23}" name="FuelSpecificMMBTUsFromQNL" displayName="FuelSpecificMMBTUsFromQNL" ref="A237:G256" totalsRowShown="0" headerRowDxfId="271" dataDxfId="269" headerRowBorderDxfId="270" tableBorderDxfId="268" dataCellStyle="Comma">
  <autoFilter ref="A237:G256" xr:uid="{A063E2F3-3D0D-42AA-9CC0-A606F086AF2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E0DBECA-8050-49F8-9106-2BDEC93E30F5}" name="FUELS"/>
    <tableColumn id="2" xr3:uid="{1EFF1E85-AA8D-487F-884E-9C34F1FB4D86}" name="IMP to CT" dataDxfId="267" dataCellStyle="Comma"/>
    <tableColumn id="3" xr3:uid="{003D47B3-FF6C-4DC9-91A0-AEE73D9FE852}" name="IMP to MA" dataDxfId="266" dataCellStyle="Comma">
      <calculatedColumnFormula>GIS!$I230*'GIS Heat Input'!$J28</calculatedColumnFormula>
    </tableColumn>
    <tableColumn id="4" xr3:uid="{4D5E294F-418F-4FBE-8F83-3E3ACADB00FE}" name="IMP to ME" dataDxfId="265" dataCellStyle="Comma"/>
    <tableColumn id="5" xr3:uid="{61AB5E82-2A7E-4F9F-8963-466B0AB25EE6}" name="IMP to NH" dataDxfId="264" dataCellStyle="Comma">
      <calculatedColumnFormula>GIS!Q230*'GIS Heat Input'!$J28</calculatedColumnFormula>
    </tableColumn>
    <tableColumn id="6" xr3:uid="{66D278E8-9479-43F3-AA8C-1833DCD09B9B}" name="IMP to RI" dataDxfId="263" dataCellStyle="Comma">
      <calculatedColumnFormula>GIS!U230*'GIS Heat Input'!$J28</calculatedColumnFormula>
    </tableColumn>
    <tableColumn id="7" xr3:uid="{2C47D60E-D08E-4850-B090-FABA50FDAA2D}" name="IMP to VT" dataDxfId="262" dataCellStyle="Comma">
      <calculatedColumnFormula>GIS!Y230*'GIS Heat Input'!$J28</calculatedColumnFormula>
    </tableColumn>
  </tableColumns>
  <tableStyleInfo name="TableStyleLight1"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8252358E-E515-4804-89CF-24B072C6C005}" name="FuelSpecificMMBTUsFromCMP" displayName="FuelSpecificMMBTUsFromCMP" ref="A215:G234" totalsRowShown="0" headerRowDxfId="261" dataDxfId="259" headerRowBorderDxfId="260" tableBorderDxfId="258" dataCellStyle="Comma">
  <autoFilter ref="A215:G234" xr:uid="{8252358E-E515-4804-89CF-24B072C6C00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A918E0E-7270-4522-97CD-693FB2428F6D}" name="FUELS" dataDxfId="257"/>
    <tableColumn id="2" xr3:uid="{7F79A4ED-2805-4DDD-91A1-E5F3135B5B13}" name="IMP to CT" dataDxfId="256" dataCellStyle="Comma"/>
    <tableColumn id="3" xr3:uid="{250226CC-3F87-4EE0-9692-77E8BE467BE5}" name="IMP to MA" dataDxfId="255" dataCellStyle="Comma"/>
    <tableColumn id="4" xr3:uid="{F08A45E2-B4B2-4A14-98E0-0662927C3766}" name="IMP to ME" dataDxfId="254" dataCellStyle="Comma"/>
    <tableColumn id="5" xr3:uid="{6D06B5A7-FDDB-4B35-8483-3A1FC88D1D5B}" name="IMP to NH" dataDxfId="253" dataCellStyle="Comma"/>
    <tableColumn id="6" xr3:uid="{6A0FCFCE-8B65-4C37-AC4F-46AE477E2E0D}" name="IMP to RI" dataDxfId="252" dataCellStyle="Comma"/>
    <tableColumn id="7" xr3:uid="{1DFBBA8F-B1A0-40D1-A7C9-1183C68956AD}" name="IMP to VT" dataDxfId="251" dataCellStyle="Comma"/>
  </tableColumns>
  <tableStyleInfo name="TableStyleLight1"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B26A9973-3D69-45D3-B033-0CBFBBC12949}" name="FuelSpecificMMBTUsFromNY" displayName="FuelSpecificMMBTUsFromNY" ref="A193:G212" totalsRowShown="0" headerRowDxfId="250" dataDxfId="248" headerRowBorderDxfId="249" tableBorderDxfId="247" dataCellStyle="Comma">
  <autoFilter ref="A193:G212" xr:uid="{B26A9973-3D69-45D3-B033-0CBFBBC1294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CD6552F-6732-4C1E-AEC2-787010623E8B}" name="FUELS"/>
    <tableColumn id="2" xr3:uid="{D1C49A79-7888-4856-81FA-D7C7E0DDED10}" name="IMP to CT" dataDxfId="246" dataCellStyle="Comma"/>
    <tableColumn id="3" xr3:uid="{923B923E-DE08-43AB-B51B-DB18CD76856F}" name="IMP to MA" dataDxfId="245" dataCellStyle="Comma"/>
    <tableColumn id="4" xr3:uid="{959DB00A-920D-4BBF-BAF5-D735F3AE6D2E}" name="IMP to ME" dataDxfId="244" dataCellStyle="Comma">
      <calculatedColumnFormula>GIS!D182*'GIS Heat Input'!$H28</calculatedColumnFormula>
    </tableColumn>
    <tableColumn id="5" xr3:uid="{DB9421B1-6E55-48C0-A01B-6B49533FDDE2}" name="IMP to NH" dataDxfId="243" dataCellStyle="Comma">
      <calculatedColumnFormula>GIS!E182*'GIS Heat Input'!$H28</calculatedColumnFormula>
    </tableColumn>
    <tableColumn id="6" xr3:uid="{51388179-503E-4620-9876-34CA0F96CA69}" name="IMP to RI" dataDxfId="242" dataCellStyle="Comma">
      <calculatedColumnFormula>GIS!F182*'GIS Heat Input'!$H28</calculatedColumnFormula>
    </tableColumn>
    <tableColumn id="7" xr3:uid="{6AA7571E-136B-4778-BE15-4B40CE0D4A44}" name="IMP to VT" dataDxfId="241" dataCellStyle="Comma"/>
  </tableColumns>
  <tableStyleInfo name="TableStyleLight1"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8A5E6F02-780E-4EFC-ACA9-63D9C05F119B}" name="HeatRateTable" displayName="HeatRateTable" ref="A27:K46" totalsRowShown="0" headerRowDxfId="240" headerRowBorderDxfId="239" tableBorderDxfId="238">
  <autoFilter ref="A27:K46" xr:uid="{8A5E6F02-780E-4EFC-ACA9-63D9C05F119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D6D8A3E6-F453-479F-B9DB-30E8976A633F}" name="Fuel Types"/>
    <tableColumn id="2" xr3:uid="{3950E659-5473-4B88-9041-8ACABE50CE79}" name="MA"/>
    <tableColumn id="3" xr3:uid="{EC8B1102-54DC-4A86-B710-B4790FF094DA}" name="CT"/>
    <tableColumn id="4" xr3:uid="{84DB5AC0-F3BA-4132-AAC0-356A9ABDB6C8}" name="ME"/>
    <tableColumn id="5" xr3:uid="{E9C0C26A-DB5F-45D8-85FE-84C71183C390}" name="NH"/>
    <tableColumn id="6" xr3:uid="{9A7C9297-C0C5-41C8-AE60-E8A479124CE7}" name="RI"/>
    <tableColumn id="7" xr3:uid="{4E178391-BBB0-4613-BC65-31C42F786B83}" name="VT"/>
    <tableColumn id="8" xr3:uid="{6436D449-B201-469F-A19F-913DA28282D8}" name="NY"/>
    <tableColumn id="9" xr3:uid="{54904846-CBC6-43B3-9BDC-A59F3388B8A8}" name="CMP"/>
    <tableColumn id="10" xr3:uid="{E2E15F56-48C0-46C1-A3F5-3A33FACB184D}" name="Q, N, L"/>
    <tableColumn id="11" xr3:uid="{A5C83DE6-866B-4CD2-95A6-3502EA1C0BDA}" name="Corresponding EIA Fuel Codes for emitting fuels"/>
  </tableColumns>
  <tableStyleInfo name="TableStyleLight1"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E09C794A-196D-4E97-9EF0-EBB05012AC18}" name="GISCertificatesFromCT" displayName="GISCertificatesFromCT" ref="A43:T63" totalsRowShown="0" headerRowDxfId="237" dataDxfId="235" headerRowBorderDxfId="236" tableBorderDxfId="234" dataCellStyle="Comma 2 2">
  <autoFilter ref="A43:T63" xr:uid="{E09C794A-196D-4E97-9EF0-EBB05012AC1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02D17A72-DEBE-432D-82D9-1D4C0E4A45CB}" name="Fuel Type" dataDxfId="233"/>
    <tableColumn id="2" xr3:uid="{A6E1F248-743A-4C07-8E6E-008E644AF6C2}" name="MSS to CT" dataDxfId="232" dataCellStyle="Comma 2 2"/>
    <tableColumn id="3" xr3:uid="{F6EF16E9-CBDF-4CC0-B436-1A04C5EE644A}" name="NON to CT" dataDxfId="231" dataCellStyle="Comma 2 2"/>
    <tableColumn id="4" xr3:uid="{0244AE7D-89AE-4549-AC1C-B57CC1778919}" name="TOTAL to CT" dataDxfId="230" dataCellStyle="Comma 2 2"/>
    <tableColumn id="5" xr3:uid="{0439C4FC-E0A7-4CC2-83B5-534EBCA0BE9C}" name="MSS to MA" dataDxfId="229"/>
    <tableColumn id="6" xr3:uid="{14E99F79-50FC-4202-9672-FCABEF2C1CD9}" name="NON to MA" dataDxfId="228"/>
    <tableColumn id="7" xr3:uid="{50814298-C075-41FC-80A6-5AFB5EE78B6E}" name="TOTAL to MA" dataDxfId="227"/>
    <tableColumn id="8" xr3:uid="{90F26B37-65A7-498B-B52D-FA60A019C565}" name="MSS to ME" dataDxfId="226" dataCellStyle="Comma 2 2"/>
    <tableColumn id="9" xr3:uid="{5E6C69F8-21AA-49E3-B095-A5EE3D406A6D}" name="NON to ME" dataDxfId="225" dataCellStyle="Comma 2 2"/>
    <tableColumn id="10" xr3:uid="{FDE13C40-B10C-4B38-8E5B-512826840DB3}" name="TOTAL to ME" dataDxfId="224" dataCellStyle="Comma 2 2"/>
    <tableColumn id="11" xr3:uid="{14E824C3-8B67-4EE5-9855-FCE651FBBB6D}" name="MSS to NH" dataDxfId="223" dataCellStyle="Comma 2 2"/>
    <tableColumn id="12" xr3:uid="{9E2D68AA-1F63-450D-B83F-974B14DB80B9}" name="NON to NH" dataDxfId="222" dataCellStyle="Comma 2 2"/>
    <tableColumn id="13" xr3:uid="{CEAC94A1-08CC-4DF3-9974-BD5612F490A4}" name="TOTAL to NH" dataDxfId="221" dataCellStyle="Comma 2 2"/>
    <tableColumn id="14" xr3:uid="{31F3AC11-7BC4-43B6-9095-0E8B850760E1}" name="MSS to RI" dataDxfId="220" dataCellStyle="Comma 2 2"/>
    <tableColumn id="15" xr3:uid="{AB302ED5-C84E-48A0-9E3D-136CE4EB10FB}" name="NON to RI" dataDxfId="219" dataCellStyle="Comma 2 2"/>
    <tableColumn id="16" xr3:uid="{B06A6188-36D6-4F2E-BFE3-9495EA0F6C83}" name="TOTAL to RI" dataDxfId="218" dataCellStyle="Comma 2 2"/>
    <tableColumn id="17" xr3:uid="{57515058-B243-4C58-9DAE-58E10CE9C3F5}" name="MSS to VT" dataDxfId="217" dataCellStyle="Comma 2 2"/>
    <tableColumn id="18" xr3:uid="{220EF8A5-8B13-4637-B122-A14C235351C7}" name="NON to VT" dataDxfId="216" dataCellStyle="Comma 2 2"/>
    <tableColumn id="19" xr3:uid="{805AE405-5E0B-490C-9828-BE4B765EEAC0}" name="TOTAL to VT" dataDxfId="215" dataCellStyle="Comma 2 2"/>
    <tableColumn id="20" xr3:uid="{ED32CB77-8AE1-4354-8072-D5D354F87735}" name="TOTAL" dataDxfId="214"/>
  </tableColumns>
  <tableStyleInfo name="TableStyleLight1"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46AF1D84-802A-4AD0-B8D4-5A10077470A5}" name="GISCertificatesFromQNL" displayName="GISCertificatesFromQNL" ref="A229:Z250" totalsRowShown="0" headerRowDxfId="213" dataDxfId="211" headerRowBorderDxfId="212" tableBorderDxfId="210" dataCellStyle="Comma 2 2">
  <autoFilter ref="A229:Z250" xr:uid="{46AF1D84-802A-4AD0-B8D4-5A10077470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92CD1128-3B01-41E1-B52E-CCFB5B727C53}" name="Fuel Type" dataDxfId="209"/>
    <tableColumn id="2" xr3:uid="{9857AA75-6D64-45BF-A240-D887CDD347E5}" name="IMP (Q) to CT" dataDxfId="208" dataCellStyle="Comma 2 2"/>
    <tableColumn id="3" xr3:uid="{06EB5689-1DDC-40EA-BFCD-A29C72D6D09C}" name="IMP (N) to CT" dataDxfId="207" dataCellStyle="Comma 2 2"/>
    <tableColumn id="4" xr3:uid="{87231721-25C5-49C2-B6B9-BFC7636C8287}" name="IMP (L) to CT" dataDxfId="206" dataCellStyle="Comma 2 2"/>
    <tableColumn id="5" xr3:uid="{9CA5A225-49C8-494B-9C57-93AF565A6987}" name="TOTAL to CT" dataDxfId="205" dataCellStyle="Comma 2 2"/>
    <tableColumn id="6" xr3:uid="{74C9488B-BF3B-4D9B-9117-BBB33ADDCB46}" name="IMP (Q) to MA" dataDxfId="204" dataCellStyle="Comma 2 2"/>
    <tableColumn id="7" xr3:uid="{F6E949D8-EFC4-441F-8CE8-B9AF5020D47E}" name="IMP (N) to MA" dataDxfId="203" dataCellStyle="Comma 2 2"/>
    <tableColumn id="8" xr3:uid="{F44C6987-794E-48C0-B8DA-51F93A5FDFB6}" name="IMP (L) to MA" dataDxfId="202" dataCellStyle="Comma 2 2"/>
    <tableColumn id="9" xr3:uid="{A3E1DA53-F37C-4D24-B651-9CEB0C1B2B1E}" name="TOTAL to MA" dataDxfId="201" dataCellStyle="Comma 2 2"/>
    <tableColumn id="10" xr3:uid="{3AE8B6A8-239E-4B24-A37C-DCCB0E1F31FD}" name="IMP (Q) to ME" dataDxfId="200" dataCellStyle="Comma 2 2"/>
    <tableColumn id="11" xr3:uid="{BFE4C30D-8881-4497-912A-AE363BF40746}" name="IMP (N) to ME" dataDxfId="199" dataCellStyle="Comma 2 2"/>
    <tableColumn id="12" xr3:uid="{1D59A062-08DC-433B-BE58-AF267FDC5F78}" name="IMP (L) to ME" dataDxfId="198" dataCellStyle="Comma 2 2"/>
    <tableColumn id="13" xr3:uid="{91D9550E-0C23-4536-9D1E-9F19BEE666E1}" name="TOTAL to ME" dataDxfId="197" dataCellStyle="Comma 2 2"/>
    <tableColumn id="14" xr3:uid="{6E8A74F9-248C-4321-B371-E92BF4D3E25E}" name="IMP (Q) to NH" dataDxfId="196" dataCellStyle="Comma 2 2"/>
    <tableColumn id="15" xr3:uid="{FB10CBF4-6EDF-4C19-8FB1-162138F627A9}" name="IMP (N) to NH" dataDxfId="195" dataCellStyle="Comma 2 2"/>
    <tableColumn id="16" xr3:uid="{0E0E86AF-3B60-4C8E-B034-CF1DDF31022A}" name="IMP (L) to NH" dataDxfId="194" dataCellStyle="Comma 2 2"/>
    <tableColumn id="17" xr3:uid="{3999E758-0B1E-4567-8D45-6CCC8B06E4A5}" name="TOTAL to NH" dataDxfId="193" dataCellStyle="Comma 2 2"/>
    <tableColumn id="18" xr3:uid="{F5C4028D-1814-4712-885F-4FDAEA355DD4}" name="IMP (Q) to RI" dataDxfId="192" dataCellStyle="Comma 2 2"/>
    <tableColumn id="19" xr3:uid="{EEB22BFD-9E42-470B-B786-B17C3E3AED25}" name="IMP (N) to RI" dataDxfId="191" dataCellStyle="Comma 2 2"/>
    <tableColumn id="20" xr3:uid="{64CFAC43-A198-4219-8E70-BBCBEE5F19CD}" name="IMP (L) to RI" dataDxfId="190" dataCellStyle="Comma 2 2"/>
    <tableColumn id="21" xr3:uid="{9180AD81-0213-42DE-98A5-F4FA19E8D004}" name="TOTAL to RI" dataDxfId="189" dataCellStyle="Comma 2 2"/>
    <tableColumn id="22" xr3:uid="{D3E9C3B0-6D18-4471-B374-3E2F3C4836A9}" name="IMP (Q) to VT" dataDxfId="188" dataCellStyle="Comma 2 2"/>
    <tableColumn id="23" xr3:uid="{2EE2B636-ADFD-47BA-ADB5-34AF821E9617}" name="IMP (N) to VT" dataDxfId="187" dataCellStyle="Comma 2 2"/>
    <tableColumn id="24" xr3:uid="{207CE360-DBE1-4CE8-B4E8-30F0AF5B6166}" name="IMP (L) to VT" dataDxfId="186" dataCellStyle="Comma 2 2"/>
    <tableColumn id="25" xr3:uid="{B2B3BD8E-09AB-4B43-806D-1BBDCC7D7FD2}" name="TOTAL to VT" dataDxfId="185" dataCellStyle="Comma"/>
    <tableColumn id="26" xr3:uid="{82381677-1C17-4AEB-AD1B-1286773D92B7}" name="TOTAL" dataDxfId="184"/>
  </tableColumns>
  <tableStyleInfo name="TableStyleLight1"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DA938838-2A9D-4A9E-B4DD-6F2E286208B4}" name="GISCertificatesFromCMP" displayName="GISCertificatesFromCMP" ref="A205:Z226" totalsRowShown="0" headerRowDxfId="183" dataDxfId="181" headerRowBorderDxfId="182" tableBorderDxfId="180">
  <autoFilter ref="A205:Z226" xr:uid="{DA938838-2A9D-4A9E-B4DD-6F2E286208B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DA2ACDF6-C660-4087-A4E0-55AE267BF341}" name="Fuel Type" dataDxfId="179"/>
    <tableColumn id="2" xr3:uid="{B61F6548-4290-4333-A585-46D10A3A9027}" name="IMP (NB) to CT" dataDxfId="178" dataCellStyle="Comma 2 2"/>
    <tableColumn id="3" xr3:uid="{30D5FF1C-5E82-43FD-9CCC-290D5523350E}" name="IMP (NS) to CT" dataDxfId="177"/>
    <tableColumn id="4" xr3:uid="{B0C55BD5-00D2-40DB-B5F2-FE5EA6B5323C}" name="IMP (PEI) to CT" dataDxfId="176"/>
    <tableColumn id="5" xr3:uid="{A5248BF9-DBE8-4FDE-BEAB-47659F032073}" name="TOTAL to CT" dataDxfId="175"/>
    <tableColumn id="6" xr3:uid="{2A42C7D1-8643-4A9D-A018-08654940A3A7}" name="IMP (NB)  to MA" dataDxfId="174"/>
    <tableColumn id="7" xr3:uid="{39BB35ED-611E-4F9D-A4D2-406C0BBD519C}" name="IMP (NS) to MA" dataDxfId="173"/>
    <tableColumn id="8" xr3:uid="{2DCE6362-F71E-464E-AD7F-28AAD18A0A1B}" name="IMP (PEI) to MA" dataDxfId="172"/>
    <tableColumn id="9" xr3:uid="{8EA0331F-DA2B-48C7-BD9F-3B4CB7B43B24}" name="TOTAL  to MA" dataDxfId="171"/>
    <tableColumn id="10" xr3:uid="{27A20213-1F30-4354-AC4D-38DFA423C436}" name="IMP (NB) to ME" dataDxfId="170"/>
    <tableColumn id="11" xr3:uid="{C2D21227-65CD-4212-9152-EA26830E60D3}" name="IMP (NS) to ME" dataDxfId="169"/>
    <tableColumn id="12" xr3:uid="{57DA44EB-E72A-4F62-9B85-A5CE6C9EF2A7}" name="IMP (PEI) to ME" dataDxfId="168"/>
    <tableColumn id="13" xr3:uid="{1B6917E5-1D12-4112-AF28-170CAE1CF115}" name="TOTAL to ME" dataDxfId="167"/>
    <tableColumn id="14" xr3:uid="{8FE2A95D-10FA-4CEF-95EA-033625A8EEC4}" name="IMP (NB) to NH" dataDxfId="166"/>
    <tableColumn id="15" xr3:uid="{D1E7C2CF-9682-4BCF-82FF-27218364AF11}" name="IMP (NS) to NH" dataDxfId="165"/>
    <tableColumn id="16" xr3:uid="{657379AB-DB58-4D56-AE9A-B210F322AEBA}" name="IMP (PEI) to NH" dataDxfId="164"/>
    <tableColumn id="17" xr3:uid="{3A814363-06E0-40AB-B1CE-2A1D43292FD8}" name="TOTAL to NH" dataDxfId="163"/>
    <tableColumn id="18" xr3:uid="{BFE540A2-5A9E-4BD6-8D5A-BBE5C7BD48CE}" name="IMP (NB) to RI" dataDxfId="162"/>
    <tableColumn id="19" xr3:uid="{C3AC7969-B3B0-45C3-A0CB-A13827C38451}" name="IMP (NS) to RI" dataDxfId="161"/>
    <tableColumn id="20" xr3:uid="{CEAEA2BD-BB77-4B86-9EF2-5778F130B19C}" name="IMP (PEI) to RI" dataDxfId="160"/>
    <tableColumn id="21" xr3:uid="{8E72136D-110D-4F1E-A94A-7591258BF8F0}" name="TOTAL to RI" dataDxfId="159"/>
    <tableColumn id="22" xr3:uid="{00132E55-D79E-4153-BF04-F2D19A03F7B8}" name="IMP (NB) to VT" dataDxfId="158"/>
    <tableColumn id="23" xr3:uid="{D68A730D-0212-4101-8B59-197A3904E2B4}" name="IMP (NS) to VT" dataDxfId="157"/>
    <tableColumn id="24" xr3:uid="{10D1224D-055B-496D-8567-3C05546D2C5F}" name="IMP (PEI) to VT" dataDxfId="156"/>
    <tableColumn id="25" xr3:uid="{EA35FD40-41EA-4816-AA6B-398A55561C8D}" name="TOTAL to VT" dataDxfId="155"/>
    <tableColumn id="26" xr3:uid="{2057E3B9-2F28-46C2-867F-4C13F0FD9806}" name="TOTAL" dataDxfId="154"/>
  </tableColumns>
  <tableStyleInfo name="TableStyleLight1"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4E052603-93E0-4B14-B02A-41F8CD30C8E2}" name="GISCertificatesFromNY" displayName="GISCertificatesFromNY" ref="A181:H202" totalsRowShown="0" headerRowDxfId="153" dataDxfId="151" headerRowBorderDxfId="152" tableBorderDxfId="150" dataCellStyle="Comma 2 2">
  <autoFilter ref="A181:H202" xr:uid="{4E052603-93E0-4B14-B02A-41F8CD30C8E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A7C4995-C1FF-4CDC-92DA-EAEFD497E4EA}" name="Fuel Type" dataDxfId="149"/>
    <tableColumn id="2" xr3:uid="{A12EC782-2957-4727-826C-CBFE691576DA}" name="IMP to CT" dataDxfId="148" dataCellStyle="Comma 2 2"/>
    <tableColumn id="3" xr3:uid="{E2B4EF4D-0CC5-4CB4-B7CF-63DC39DF74FE}" name="IMP to MA" dataDxfId="147" dataCellStyle="Comma 2 2"/>
    <tableColumn id="4" xr3:uid="{CE823CFA-F2A7-412D-BC29-DF41069F1128}" name="IMP to ME" dataDxfId="146" dataCellStyle="Comma 2 2"/>
    <tableColumn id="5" xr3:uid="{FD63FF4F-0F6B-4C83-A393-52877D38069E}" name="IMP to NH" dataDxfId="145" dataCellStyle="Comma 2 2"/>
    <tableColumn id="6" xr3:uid="{95858B2F-0671-4B00-9D51-B5B8725A8C60}" name="IMP to RI" dataDxfId="144" dataCellStyle="Comma 2 2"/>
    <tableColumn id="7" xr3:uid="{EAD90BEF-193D-43A7-8C6D-91ACC708609D}" name="IMP to VT" dataDxfId="143" dataCellStyle="Comma 2 2"/>
    <tableColumn id="8" xr3:uid="{408AA769-2486-492B-9526-BA4098701881}" name="TOTAL" dataDxfId="142"/>
  </tableColumns>
  <tableStyleInfo name="TableStyleLight1"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262FCF21-E8B6-4CC0-B70E-2B3009ED4999}" name="GISCertificatesFromVT" displayName="GISCertificatesFromVT" ref="A158:T178" totalsRowShown="0" headerRowDxfId="141" dataDxfId="139" headerRowBorderDxfId="140" tableBorderDxfId="138" dataCellStyle="Comma 2 2">
  <autoFilter ref="A158:T178" xr:uid="{262FCF21-E8B6-4CC0-B70E-2B3009ED499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88175D06-A65A-4FC6-87DE-02EFE8287465}" name="Fuel Type" dataDxfId="137"/>
    <tableColumn id="2" xr3:uid="{327F8F7E-8EA5-4494-BFAC-7559F870192C}" name="MSS to CT" dataDxfId="136" dataCellStyle="Comma 2 2"/>
    <tableColumn id="3" xr3:uid="{2F789F69-1099-499B-97F5-B47A5DF85B40}" name="NON to CT" dataDxfId="135" dataCellStyle="Comma 2 2"/>
    <tableColumn id="4" xr3:uid="{86F48E69-246D-49E8-817E-F69C34E36E30}" name="TOTAL to CT" dataDxfId="134" dataCellStyle="Comma 2 2"/>
    <tableColumn id="5" xr3:uid="{F342B6AA-579B-457B-9457-185579332F33}" name="MSS to MA" dataDxfId="133" dataCellStyle="Comma 2 2"/>
    <tableColumn id="6" xr3:uid="{3EBAE98F-CFB8-4A1C-82F5-A907BC3F413D}" name="NON to MA" dataDxfId="132" dataCellStyle="Comma 2 2"/>
    <tableColumn id="7" xr3:uid="{F3E23842-E59D-45EB-A73D-E31F05168C36}" name="TOTAL to MA" dataDxfId="131" dataCellStyle="Comma 2 2"/>
    <tableColumn id="8" xr3:uid="{F8FAF2EE-A32B-44B0-A78C-BA2DE9968F52}" name="MSS to ME" dataDxfId="130" dataCellStyle="Comma 2 2"/>
    <tableColumn id="9" xr3:uid="{68C75ED2-324D-4CEF-894D-2A154617537E}" name="NON to ME" dataDxfId="129" dataCellStyle="Comma 2 2"/>
    <tableColumn id="10" xr3:uid="{2139242E-9B8E-4023-A165-301857E928B2}" name="TOTAL to ME" dataDxfId="128" dataCellStyle="Comma 2 2"/>
    <tableColumn id="11" xr3:uid="{34D13DB6-F536-4897-B11A-DBEE89CCF24C}" name="MSS to NH" dataDxfId="127" dataCellStyle="Comma 2 2"/>
    <tableColumn id="12" xr3:uid="{290B40D0-4BCA-433E-AE4D-97BBC6DE1C17}" name="NON to NH" dataDxfId="126" dataCellStyle="Comma 2 2"/>
    <tableColumn id="13" xr3:uid="{89F04750-1115-4EEB-8A1B-CC75EBA65CAE}" name="TOTAL to NH" dataDxfId="125" dataCellStyle="Comma 2 2"/>
    <tableColumn id="14" xr3:uid="{878A291C-3D65-4669-81D3-798FCFF746C9}" name="MSS to RI" dataDxfId="124" dataCellStyle="Comma 2 2"/>
    <tableColumn id="15" xr3:uid="{0731A6FC-1365-4556-8251-87B8C56633F2}" name="NON to RI" dataDxfId="123" dataCellStyle="Comma 2 2"/>
    <tableColumn id="16" xr3:uid="{85A3925E-ACBC-4EFE-8A9D-34091A169ACC}" name="TOTAL to RI" dataDxfId="122" dataCellStyle="Comma 2 2"/>
    <tableColumn id="17" xr3:uid="{9C2556F4-F9D5-4B80-9A27-4327A9E10FAD}" name="MSS to VT" dataDxfId="121" dataCellStyle="Comma 2 2"/>
    <tableColumn id="18" xr3:uid="{48F2E10F-45D3-4208-96EE-38E4B5F6D8E0}" name="NON to VT" dataDxfId="120" dataCellStyle="Comma 2 2"/>
    <tableColumn id="19" xr3:uid="{9F4B4C65-C30E-459C-8D1E-BF9BF966082E}" name="TOTAL to VT" dataDxfId="119" dataCellStyle="Comma 2 2"/>
    <tableColumn id="20" xr3:uid="{5CA54F1A-1FB4-496A-A354-F8FB29264BA4}" name="TOTAL" dataDxfId="118"/>
  </tableColumns>
  <tableStyleInfo name="TableStyleLight1"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F34B0B1E-BA32-4908-AE24-EEFAE15D3089}" name="GISCertificatesFromRI" displayName="GISCertificatesFromRI" ref="A135:T155" totalsRowShown="0" headerRowDxfId="117" dataDxfId="115" headerRowBorderDxfId="116" tableBorderDxfId="114">
  <autoFilter ref="A135:T155" xr:uid="{F34B0B1E-BA32-4908-AE24-EEFAE15D308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1E75A6EC-BDC3-4850-8378-FDC00FD5F44C}" name="Fuel Type" dataDxfId="113"/>
    <tableColumn id="2" xr3:uid="{DB1ADC7A-F055-4ABE-88BF-31336634ED18}" name="MSS to CT" dataDxfId="112"/>
    <tableColumn id="3" xr3:uid="{6A1C4241-7B6C-4F1D-91BC-DF275055BB0B}" name="NON to CT" dataDxfId="111"/>
    <tableColumn id="4" xr3:uid="{5690B90D-C07A-4C27-A511-3C6F4063B488}" name="TOTAL to CT" dataDxfId="110"/>
    <tableColumn id="5" xr3:uid="{A20A16E2-85FE-4B72-8865-7F9F6DE5457E}" name="MSS to MA" dataDxfId="109"/>
    <tableColumn id="6" xr3:uid="{B29F4AD7-C821-4CA3-B844-01F75874953E}" name="NON to MA" dataDxfId="108"/>
    <tableColumn id="7" xr3:uid="{F21DC99F-F259-409B-A310-CC2E3AF017B6}" name="TOTAL to MA" dataDxfId="107"/>
    <tableColumn id="8" xr3:uid="{98BF1591-7A43-4DC1-BB78-5FFA9FFDFCA3}" name="MSS to ME" dataDxfId="106"/>
    <tableColumn id="9" xr3:uid="{D33ABA85-DBBE-4584-853C-EAE78835FB47}" name="NON to ME" dataDxfId="105"/>
    <tableColumn id="10" xr3:uid="{17B4F62E-F8F1-4E21-A8D5-7226AB769973}" name="TOTAL to ME" dataDxfId="104"/>
    <tableColumn id="11" xr3:uid="{0AF72708-8B0B-4471-A358-30A37925A1B4}" name="MSS to NH" dataDxfId="103"/>
    <tableColumn id="12" xr3:uid="{42B33A43-E662-491D-A740-9823370B46D8}" name="NON to NH" dataDxfId="102"/>
    <tableColumn id="13" xr3:uid="{3E7AC29C-96BD-4416-BE44-F6D7DAAA508B}" name="TOTAL to NH" dataDxfId="101"/>
    <tableColumn id="14" xr3:uid="{19C1E351-3C10-492A-965E-A646DB90CEDB}" name="MSS to RI" dataDxfId="100"/>
    <tableColumn id="15" xr3:uid="{824ADC10-9E39-4AD7-9162-0083604C7C84}" name="NON to RI" dataDxfId="99"/>
    <tableColumn id="16" xr3:uid="{AAB55695-8447-484D-81C1-49D654355813}" name="TOTAL to RI" dataDxfId="98"/>
    <tableColumn id="17" xr3:uid="{60665647-C800-4BD3-BCF4-F8383917A1E6}" name="MSS to VT" dataDxfId="97"/>
    <tableColumn id="18" xr3:uid="{9BFA7426-5D22-4672-B291-8B8C96E1E17B}" name="NON to VT" dataDxfId="96"/>
    <tableColumn id="19" xr3:uid="{E7BFA886-3A66-4367-97B6-94927400CA00}" name="TOTAL to VT" dataDxfId="95"/>
    <tableColumn id="20" xr3:uid="{22015D71-B5F4-4722-ABA2-F8366C85B092}" name="TOTAL" dataDxfId="94"/>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238A0545-4CDE-44E2-A9C7-C11F3053105F}" name="GuideToStateProvinceEmissionsTables" displayName="GuideToStateProvinceEmissionsTables" ref="A15:G22" totalsRowShown="0" headerRowDxfId="1259" headerRowBorderDxfId="1258" tableBorderDxfId="1257">
  <autoFilter ref="A15:G22" xr:uid="{238A0545-4CDE-44E2-A9C7-C11F3053105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6BBB259-0443-472A-B3E2-16CBD866E75C}" name="Explanation"/>
    <tableColumn id="2" xr3:uid="{16E051CD-7F7D-4B0F-9970-DF9103D8168C}" name="State &amp; Province Generation"/>
    <tableColumn id="3" xr3:uid="{47F7898B-BD79-48E1-8199-61D3122CF258}" name="GIS Transfers (Net) to and from State"/>
    <tableColumn id="4" xr3:uid="{DCB8FD66-B8BF-4E1B-965B-946993D495EC}" name="GIS Stay-In-State"/>
    <tableColumn id="5" xr3:uid="{2489314D-8773-492A-A5F4-904F1F5FD35C}" name="GIS Removed-From-State"/>
    <tableColumn id="6" xr3:uid="{A5416155-DE34-41F6-9618-88FD6CD4765F}" name="System Mix Emission Rates (values provided as information only for ISO states)"/>
    <tableColumn id="7" xr3:uid="{5DF98152-87BC-4D3A-8BE1-1C82B8EAA9A8}" name="State Emission Rates for Exported Emissions (set to zero if MSS emissions exceed generation emissions)"/>
  </tableColumns>
  <tableStyleInfo name="TableStyleLight1"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9828041A-D3A5-48B1-B1E4-73882B8221B3}" name="GISCertificatesFromNH" displayName="GISCertificatesFromNH" ref="A112:T132" totalsRowShown="0" headerRowDxfId="93" dataDxfId="91" headerRowBorderDxfId="92" tableBorderDxfId="90" dataCellStyle="Comma 2 2">
  <autoFilter ref="A112:T132" xr:uid="{9828041A-D3A5-48B1-B1E4-73882B8221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4F365054-B22B-43EA-8790-187AEC3D4A68}" name="Fuel Type" dataDxfId="89"/>
    <tableColumn id="2" xr3:uid="{A1C6DFED-DA44-4E28-992D-4A5F3B819E17}" name="MSS to CT" dataDxfId="88" dataCellStyle="Comma 2 2"/>
    <tableColumn id="3" xr3:uid="{89C30AE0-668F-40C4-BA9B-89370EBDA129}" name="NON to CT" dataDxfId="87" dataCellStyle="Comma 2 2"/>
    <tableColumn id="4" xr3:uid="{6B4F7D8D-CD59-4863-A65F-A1B85816E9FB}" name="TOTAL to CT" dataDxfId="86" dataCellStyle="Comma 2 2"/>
    <tableColumn id="5" xr3:uid="{C50C284D-3A1F-4D03-980D-ED2E45EFFE9B}" name="MSS to MA" dataDxfId="85" dataCellStyle="Comma 2 2"/>
    <tableColumn id="6" xr3:uid="{447E62F3-AF26-4932-B005-ADF29711D843}" name="NON to MA" dataDxfId="84" dataCellStyle="Comma 2 2"/>
    <tableColumn id="7" xr3:uid="{45CF00A3-4898-4476-9692-30C1F0C86D49}" name="TOTAL to MA" dataDxfId="83" dataCellStyle="Comma 2 2"/>
    <tableColumn id="8" xr3:uid="{357C83EE-09F4-40DD-AC76-628E8AC466C4}" name="MSS to ME" dataDxfId="82" dataCellStyle="Comma 2 2"/>
    <tableColumn id="9" xr3:uid="{71A74E10-12E0-43E9-BF87-46CEA1B4BF0A}" name="NON to ME" dataDxfId="81" dataCellStyle="Comma 2 2"/>
    <tableColumn id="10" xr3:uid="{E41EDE71-83C8-494F-B23F-7B4E589476B9}" name="TOTAL to ME" dataDxfId="80" dataCellStyle="Comma 2 2"/>
    <tableColumn id="11" xr3:uid="{471229C5-79C9-48D9-BABA-10507D17DBE2}" name="MSS to NH" dataDxfId="79" dataCellStyle="Comma 2 2"/>
    <tableColumn id="12" xr3:uid="{D8A62854-979A-40E8-B756-7691C48204A3}" name="NON to NH" dataDxfId="78" dataCellStyle="Comma 2 2"/>
    <tableColumn id="13" xr3:uid="{E9A6F383-20D6-4FB7-B436-F50BB0ABA4A2}" name="TOTAL to NH" dataDxfId="77" dataCellStyle="Comma 2 2"/>
    <tableColumn id="14" xr3:uid="{B8E7BA50-6651-4138-B1BD-F50728A17C5F}" name="MSS to RI" dataDxfId="76" dataCellStyle="Comma 2 2"/>
    <tableColumn id="15" xr3:uid="{2E229833-6BC5-4374-A7F9-B1AA42F5F7F5}" name="NON to RI" dataDxfId="75" dataCellStyle="Comma 2 2"/>
    <tableColumn id="16" xr3:uid="{5790FC14-0570-4956-B00A-38D03B5A842F}" name="TOTAL to RI" dataDxfId="74" dataCellStyle="Comma 2 2"/>
    <tableColumn id="17" xr3:uid="{F53F1310-97BF-4B54-9A46-3D08CBCA5974}" name="MSS to VT" dataDxfId="73" dataCellStyle="Comma 2 2"/>
    <tableColumn id="18" xr3:uid="{8B6900F6-40A1-4E96-A5C1-4035AEC4FD14}" name="NON to VT" dataDxfId="72" dataCellStyle="Comma 2 2"/>
    <tableColumn id="19" xr3:uid="{D2EA3937-BA9F-4D18-8369-F8555363DB59}" name="TOTAL to VT" dataDxfId="71" dataCellStyle="Comma 2 2"/>
    <tableColumn id="20" xr3:uid="{2BD3DFF0-8FE1-4CBD-9331-7581100E2FC8}" name="TOTAL" dataDxfId="70"/>
  </tableColumns>
  <tableStyleInfo name="TableStyleLight1"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B38D707E-6C06-4585-93D6-1E25EE9399B3}" name="GISCertificatesFromME" displayName="GISCertificatesFromME" ref="A89:Z109" totalsRowShown="0" headerRowDxfId="69" dataDxfId="67" headerRowBorderDxfId="68" tableBorderDxfId="66" dataCellStyle="Comma 2 2">
  <autoFilter ref="A89:Z109" xr:uid="{B38D707E-6C06-4585-93D6-1E25EE9399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03D9BCE2-D8F1-4791-A0FD-29552CA58F30}" name="Fuel Type" dataDxfId="65"/>
    <tableColumn id="2" xr3:uid="{2CA37D3A-C4E5-4270-9D3F-C8417D8D6939}" name="MSS to CT" dataDxfId="64" dataCellStyle="Comma 2 2"/>
    <tableColumn id="3" xr3:uid="{B25CAD18-6B32-48E4-884A-DE0B9B6A4BC5}" name="NON to CT" dataDxfId="63" dataCellStyle="Comma 2 2"/>
    <tableColumn id="4" xr3:uid="{D867245C-E12A-4046-9B77-79D4E16D8758}" name="IMP to CT" dataDxfId="62" dataCellStyle="Comma 2 2"/>
    <tableColumn id="5" xr3:uid="{81792DDD-BEB5-4A12-8F55-E618E50F1B1C}" name="TOTAL to CT" dataDxfId="61" dataCellStyle="Comma 2 2"/>
    <tableColumn id="6" xr3:uid="{B62D1194-B3EC-4C5A-BD28-3D28D85C77A0}" name="MSS to MA" dataDxfId="60" dataCellStyle="Comma 2 2"/>
    <tableColumn id="7" xr3:uid="{F979448A-113D-4A59-B515-F2DA17DD5B2F}" name="NON to MA" dataDxfId="59" dataCellStyle="Comma 2 2"/>
    <tableColumn id="8" xr3:uid="{C57BB52E-767B-429D-8D4A-99CA03203EAC}" name="IMP to MA" dataDxfId="58" dataCellStyle="Comma 2 2"/>
    <tableColumn id="9" xr3:uid="{4CADC243-FF0E-4B40-A580-D98C83BDA727}" name="TOTAL to MA" dataDxfId="57" dataCellStyle="Comma 2 2"/>
    <tableColumn id="10" xr3:uid="{6C6D436F-1208-4867-A9FD-3A942ED419B5}" name="MSS to ME" dataDxfId="56" dataCellStyle="Comma 2 2"/>
    <tableColumn id="11" xr3:uid="{B118D46E-A188-4BA7-BDFE-17FA63574C9C}" name="NON to ME" dataDxfId="55" dataCellStyle="Comma 2 2"/>
    <tableColumn id="12" xr3:uid="{C4B2048E-B36E-41B5-B41E-4A68A0DA8DC8}" name="IMP to ME" dataDxfId="54" dataCellStyle="Comma 2 2"/>
    <tableColumn id="13" xr3:uid="{7368586C-A9E5-4EAF-BE96-22007EC29348}" name="TOTAL to ME" dataDxfId="53" dataCellStyle="Comma 2 2"/>
    <tableColumn id="14" xr3:uid="{7E1C81F1-72D1-4B88-84A4-B550C276A1B8}" name="MSS to NH" dataDxfId="52" dataCellStyle="Comma 2 2"/>
    <tableColumn id="15" xr3:uid="{8F6B2FCB-503A-4622-9B7F-6AFB8B1D77BC}" name="NON to NH" dataDxfId="51" dataCellStyle="Comma 2 2"/>
    <tableColumn id="16" xr3:uid="{BC1B5AF7-DB35-4B7D-A841-1FD0509BDBBC}" name="IMP to NH" dataDxfId="50" dataCellStyle="Comma 2 2"/>
    <tableColumn id="17" xr3:uid="{78C14335-B038-4C8B-A07E-189E78B756A1}" name="TOTAL to NH" dataDxfId="49" dataCellStyle="Comma 2 2"/>
    <tableColumn id="18" xr3:uid="{9691DF20-EF6C-4B02-8E79-A1D5D4188074}" name="MSS to RI" dataDxfId="48" dataCellStyle="Comma 2 2"/>
    <tableColumn id="19" xr3:uid="{1542E085-1690-4FBD-9EA1-20F020A5CE79}" name="NON to RI" dataDxfId="47" dataCellStyle="Comma 2 2"/>
    <tableColumn id="20" xr3:uid="{FBCDA999-86A1-43E5-B3C6-9792EA95F110}" name="IMP to RI" dataDxfId="46" dataCellStyle="Comma 2 2"/>
    <tableColumn id="21" xr3:uid="{1B86AF40-1280-4A57-A30F-CE07E05DEF51}" name="TOTAL to RI" dataDxfId="45" dataCellStyle="Comma 2 2"/>
    <tableColumn id="22" xr3:uid="{180E7CA7-A9E6-49C4-99D6-CDC467B65267}" name="MSS to VT" dataDxfId="44" dataCellStyle="Comma 2 2"/>
    <tableColumn id="23" xr3:uid="{52086A77-5276-426C-96D6-0384ED22C409}" name="NON to VT" dataDxfId="43" dataCellStyle="Comma 2 2"/>
    <tableColumn id="24" xr3:uid="{E4BF8B13-7D9C-4B3D-B6C8-66B20B42AF41}" name="IMP to RVT" dataDxfId="42" dataCellStyle="Comma 2 2"/>
    <tableColumn id="25" xr3:uid="{5942DB8C-3D10-46C2-9160-6D83A433891B}" name="TOTAL to VT" dataDxfId="41" dataCellStyle="Comma 2 2"/>
    <tableColumn id="26" xr3:uid="{D96328C6-BDCA-469E-A7EA-12BACDC1BA21}" name="TOTAL" dataDxfId="40"/>
  </tableColumns>
  <tableStyleInfo name="TableStyleLight1"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1E892A0F-56E3-4FD7-8B59-3F8DBCA4FECD}" name="GISCertificatesFromMA" displayName="GISCertificatesFromMA" ref="A66:T86" totalsRowShown="0" headerRowDxfId="39" dataDxfId="37" headerRowBorderDxfId="38" tableBorderDxfId="36" dataCellStyle="Comma 2 2">
  <autoFilter ref="A66:T86" xr:uid="{1E892A0F-56E3-4FD7-8B59-3F8DBCA4FEC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65D5D365-1630-4485-984E-176DDA651114}" name="Fuel Type" dataDxfId="35"/>
    <tableColumn id="2" xr3:uid="{133BBB27-4713-4912-8DB1-4BB15FDED5F0}" name="MSS to CT" dataDxfId="34" dataCellStyle="Comma 2 2"/>
    <tableColumn id="3" xr3:uid="{003EA9D8-72E5-404D-A2B5-C7B07607613D}" name="NON to CT" dataDxfId="33" dataCellStyle="Comma 2 2"/>
    <tableColumn id="4" xr3:uid="{D6B58B83-B148-4D51-A9DA-7E8096478B18}" name="TOTAL to CT" dataDxfId="32" dataCellStyle="Comma 2 2"/>
    <tableColumn id="5" xr3:uid="{C2F272CF-41AE-4855-9004-592D15194267}" name="MSS to MA" dataDxfId="31" dataCellStyle="Comma 2 2"/>
    <tableColumn id="6" xr3:uid="{1BBBEFB9-B43C-4940-A63E-8DB349D57C2C}" name="NON to MA" dataDxfId="30" dataCellStyle="Comma 2 2"/>
    <tableColumn id="7" xr3:uid="{5BD5B163-FEBE-45C4-9F5E-2819E5C41FF8}" name="TOTAL to MA" dataDxfId="29" dataCellStyle="Comma 2 2"/>
    <tableColumn id="8" xr3:uid="{E0A8918F-9C4E-46D3-9F02-3A959E0DA8E1}" name="MSS to ME" dataDxfId="28" dataCellStyle="Comma 2 2"/>
    <tableColumn id="9" xr3:uid="{952291C6-C444-46FF-8AC0-00660262A519}" name="NON to ME" dataDxfId="27" dataCellStyle="Comma 2 2"/>
    <tableColumn id="10" xr3:uid="{E27C6C4F-19D2-4FD5-A839-A9DEB6AC6089}" name="TOTAL to ME" dataDxfId="26" dataCellStyle="Comma 2 2"/>
    <tableColumn id="11" xr3:uid="{2597A550-4642-41E8-9F9A-9AB95C9A3AF3}" name="MSS to NH" dataDxfId="25" dataCellStyle="Comma 2 2"/>
    <tableColumn id="12" xr3:uid="{FE9BD8A5-4D42-4817-9793-0ED1BE80BC89}" name="NON to NH" dataDxfId="24" dataCellStyle="Comma 2 2"/>
    <tableColumn id="13" xr3:uid="{EF5F0A39-DA19-49FE-9509-B6963AF7B308}" name="TOTAL to NH" dataDxfId="23" dataCellStyle="Comma 2 2"/>
    <tableColumn id="14" xr3:uid="{74E8D899-A966-4103-B0F5-1290EADB1461}" name="MSS to RI" dataDxfId="22" dataCellStyle="Comma 2 2"/>
    <tableColumn id="15" xr3:uid="{EE7511FD-B34C-439C-850B-EA8CE6F61C8C}" name="NON to RI" dataDxfId="21" dataCellStyle="Comma 2 2"/>
    <tableColumn id="16" xr3:uid="{5C8E8026-4579-42D8-955C-E54C0ADEE130}" name="TOTAL to RI" dataDxfId="20" dataCellStyle="Comma 2 2"/>
    <tableColumn id="17" xr3:uid="{0B2C56A3-28F3-46EE-9B58-DD4FEE5D8CDA}" name="MSS to VT" dataDxfId="19" dataCellStyle="Comma 2 2"/>
    <tableColumn id="18" xr3:uid="{29E2E0DD-22EC-4CB6-BF75-B577F9581674}" name="NON to VT" dataDxfId="18" dataCellStyle="Comma 2 2"/>
    <tableColumn id="19" xr3:uid="{EBE55F61-3017-45E5-9529-77A7B2283014}" name="TOTAL to VT" dataDxfId="17" dataCellStyle="Comma 2 2"/>
    <tableColumn id="20" xr3:uid="{983D9FAE-B043-4D4E-865D-18BB3AA56340}" name="TOTAL" dataDxfId="16"/>
  </tableColumns>
  <tableStyleInfo name="TableStyleLight1"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ACFAFE1C-18E6-4DEB-9933-E71D9AE3A279}" name="GISSummaryTable" displayName="GISSummaryTable" ref="A20:J26" totalsRowShown="0" headerRowDxfId="15" dataDxfId="13" headerRowBorderDxfId="14" tableBorderDxfId="12">
  <autoFilter ref="A20:J26" xr:uid="{ACFAFE1C-18E6-4DEB-9933-E71D9AE3A27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EDAB810-36D0-43B5-A906-3D4F4A3594A2}" name="Certificate Type" dataDxfId="11"/>
    <tableColumn id="2" xr3:uid="{DFBE475C-9EAF-4BC5-A1AA-B52E1DF4DE7C}" name="Connecticut" dataDxfId="10"/>
    <tableColumn id="3" xr3:uid="{8F5EA9E9-C93C-4036-A67A-B81A7CC9BF6D}" name="Massachusetts" dataDxfId="9"/>
    <tableColumn id="4" xr3:uid="{A11A56C4-D48A-403A-AA39-44713E33DD18}" name="Maine" dataDxfId="8"/>
    <tableColumn id="5" xr3:uid="{7CA8C000-99A0-4E54-9FF4-769DF45D4756}" name="New Hampshire" dataDxfId="7"/>
    <tableColumn id="6" xr3:uid="{4443EA90-E48A-492B-90E5-449F8EF8FAD2}" name="Rhode Island" dataDxfId="6"/>
    <tableColumn id="7" xr3:uid="{018A10FC-CF8D-4428-8F1E-9D1FAB1A88C8}" name="Vermont" dataDxfId="5"/>
    <tableColumn id="8" xr3:uid="{948B6EA6-0DDB-48D0-A5A1-7E8BB168D540}" name="New York" dataDxfId="4"/>
    <tableColumn id="9" xr3:uid="{85D93CE1-BF60-4C97-8982-537D69A7B6C6}" name="Canadian Maritime Provinces" dataDxfId="3"/>
    <tableColumn id="10" xr3:uid="{68E59891-B3AB-4C66-AABD-178652E0FBDA}" name="Quebec" dataDxfId="2"/>
  </tableColumns>
  <tableStyleInfo name="TableStyleLight1"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77D021C-E985-41C9-AF02-26532C300B65}" name="EFsCO2FromNonBiogenicFuelTypes" displayName="EFsCO2FromNonBiogenicFuelTypes" ref="A22:G36" totalsRowShown="0" dataDxfId="1386" tableBorderDxfId="1385">
  <autoFilter ref="A22:G36" xr:uid="{E77D021C-E985-41C9-AF02-26532C300B6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87C0775-63A0-4143-A285-7A43163B5EC1}" name="Fuel Type" dataDxfId="1384"/>
    <tableColumn id="2" xr3:uid="{65A04685-BCEA-47FC-BE73-83D8B5E2FA9A}" name="Selected Emission Factor (CO2 lb/MMBtu) HHV" dataDxfId="1383"/>
    <tableColumn id="3" xr3:uid="{1D4100D0-B5CE-45EA-9231-E3C693343CFC}" name="Selected Source" dataDxfId="1382"/>
    <tableColumn id="4" xr3:uid="{C41B8ECD-510C-44B1-A8D4-8E1B462BF57A}" name="IPCC Emission Factors (CO2 lb/MMBtu) HHV" dataDxfId="1381"/>
    <tableColumn id="5" xr3:uid="{63E2E07A-2EF7-488C-A8E7-42F5306CB859}" name="EIA Emission Factors (CO2 lb/MMBtu) HHV" dataDxfId="1380"/>
    <tableColumn id="6" xr3:uid="{50980426-4CA4-40C7-8E16-7B171A57677A}" name="EPA Emission Factors (CO2 lb/MMBtu) HHV" dataDxfId="1379"/>
    <tableColumn id="7" xr3:uid="{26B404F3-F1CA-4863-8232-59EF730EEEF9}" name="average of other emission factors (CO2 lb/MMBtu) HHV" dataDxfId="1378"/>
  </tableColumns>
  <tableStyleInfo name="TableStyleLight1"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578500E-13B2-48E4-BDBB-948718FCF7DD}" name="EFsCO2FromBiogenicFuelTypes" displayName="EFsCO2FromBiogenicFuelTypes" ref="A43:G52" totalsRowShown="0" headerRowDxfId="1377" dataDxfId="1376" tableBorderDxfId="1375">
  <autoFilter ref="A43:G52" xr:uid="{C578500E-13B2-48E4-BDBB-948718FCF7D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DBAE040-5BF4-478B-8E29-9F77715E7A5C}" name="Fuel Type" dataDxfId="1374"/>
    <tableColumn id="2" xr3:uid="{2DEFBF99-2985-4A4F-8C56-B62C79BE93E2}" name="Selected Emission Factor (CO2 lb/MMBtu) HHV" dataDxfId="1373"/>
    <tableColumn id="3" xr3:uid="{41F9D9D8-BAC6-462C-A7AA-41091B69876B}" name="Selected Source" dataDxfId="1372"/>
    <tableColumn id="4" xr3:uid="{961EC285-8FBB-4FE5-A11B-159E0A898C02}" name="IPCC Emission Factors (CO2 lb/MMBtu) HHV" dataDxfId="1371"/>
    <tableColumn id="5" xr3:uid="{9376CDEF-41E0-45EC-94A1-27F68A39419A}" name="EIA Emission Factors (CO2 lb/MMBtu) HHV" dataDxfId="1370"/>
    <tableColumn id="10" xr3:uid="{EDE351DF-57C7-4FCF-9454-FA5824389FC8}" name="EPA Emission Factors (CO2 lb/MMBtu) HHV" dataDxfId="1369"/>
    <tableColumn id="11" xr3:uid="{82B5B634-0765-4C40-AB21-786665A424F7}" name="average of other emission factors (CO2 lb/MMBtu) HHV" dataDxfId="1368"/>
  </tableColumns>
  <tableStyleInfo name="TableStyleLight1"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52AF8B6-9D66-4DCC-A19A-BD18D0437557}" name="EFsCH4" displayName="EFsCH4" ref="A65:F87" totalsRowShown="0" headerRowDxfId="1367" dataDxfId="1366" tableBorderDxfId="1365">
  <autoFilter ref="A65:F87" xr:uid="{D52AF8B6-9D66-4DCC-A19A-BD18D0437557}">
    <filterColumn colId="0" hiddenButton="1"/>
    <filterColumn colId="1" hiddenButton="1"/>
    <filterColumn colId="2" hiddenButton="1"/>
    <filterColumn colId="3" hiddenButton="1"/>
    <filterColumn colId="4" hiddenButton="1"/>
    <filterColumn colId="5" hiddenButton="1"/>
  </autoFilter>
  <tableColumns count="6">
    <tableColumn id="1" xr3:uid="{09C183B9-C709-436F-8271-351A4F0DC4E1}" name="Fuel Type" dataDxfId="1364"/>
    <tableColumn id="2" xr3:uid="{FAF5FC73-AD0A-443B-A51B-F22D5A3CF035}" name="Selected Emission Factor (CH4 lb/MMBtu) HHV" dataDxfId="1363"/>
    <tableColumn id="3" xr3:uid="{FAEC16CD-A7E2-435F-8198-FAE3DE785E16}" name="Selected Source" dataDxfId="1362"/>
    <tableColumn id="4" xr3:uid="{CDD9AFF0-7A46-49E1-8814-FE9CEB4AAF40}" name="IPCC Emission Factors (CH4 lb/MMBtu) HHV" dataDxfId="1361"/>
    <tableColumn id="5" xr3:uid="{5DA22C05-B2DD-48AF-B379-26C7E2821A89}" name="EPA Emission Factors (CH4 lb/MMBtu) HHV" dataDxfId="1360"/>
    <tableColumn id="6" xr3:uid="{7170725F-E68F-44B1-BD30-39D00441B86E}" name="average of other emission factors (CH4 lb/MMBtu) HHV" dataDxfId="1359"/>
  </tableColumns>
  <tableStyleInfo name="TableStyleLight1"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FDC1C68-A1F0-4705-8BDF-AD3CC9FA9D01}" name="EFsN2O" displayName="EFsN2O" ref="A90:F112" totalsRowShown="0" headerRowDxfId="1358" dataDxfId="1357" tableBorderDxfId="1356">
  <autoFilter ref="A90:F112" xr:uid="{5FDC1C68-A1F0-4705-8BDF-AD3CC9FA9D01}">
    <filterColumn colId="0" hiddenButton="1"/>
    <filterColumn colId="1" hiddenButton="1"/>
    <filterColumn colId="2" hiddenButton="1"/>
    <filterColumn colId="3" hiddenButton="1"/>
    <filterColumn colId="4" hiddenButton="1"/>
    <filterColumn colId="5" hiddenButton="1"/>
  </autoFilter>
  <tableColumns count="6">
    <tableColumn id="1" xr3:uid="{92E2FDEB-41DC-4605-AAD3-CC0865407C0C}" name="Fuel Type" dataDxfId="1355"/>
    <tableColumn id="2" xr3:uid="{A4BA0F86-4500-4B86-ACC6-C6D782FB097C}" name="Selected Emission Factor (N2O lb/MMBtu) HHV" dataDxfId="1354"/>
    <tableColumn id="3" xr3:uid="{FECB63D2-9F0E-4F1C-8960-516C414CCCA4}" name="Selected Source" dataDxfId="1353"/>
    <tableColumn id="4" xr3:uid="{658BE13A-9668-4F6F-9A8F-6E7350D463EF}" name="IPCC Emission Factors (N2O lb/MMBtu) HHV" dataDxfId="1352"/>
    <tableColumn id="5" xr3:uid="{647EFC90-0DF2-4A54-896E-3EA71365A1AB}" name="EPA Emission Factors (N2O lb/MMBtu) HHV" dataDxfId="1351"/>
    <tableColumn id="6" xr3:uid="{50377DC9-C806-4517-B91F-6421608DBD5A}" name="average of other emission factors (N2O lb/MMBtu) HHV" dataDxfId="1350"/>
  </tableColumns>
  <tableStyleInfo name="TableStyleLight1"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6F14AC4-0587-49BD-AA20-FA29DB0AED18}" name="AdjustableGWPTable" displayName="AdjustableGWPTable" ref="A6:C14" totalsRowShown="0">
  <autoFilter ref="A6:C14" xr:uid="{06F14AC4-0587-49BD-AA20-FA29DB0AED18}">
    <filterColumn colId="0" hiddenButton="1"/>
    <filterColumn colId="1" hiddenButton="1"/>
    <filterColumn colId="2" hiddenButton="1"/>
  </autoFilter>
  <tableColumns count="3">
    <tableColumn id="1" xr3:uid="{A6DF08EF-F7CA-4665-9BB8-46E97263A0AB}" name="IPCC Report and Timeframe" dataDxfId="1349"/>
    <tableColumn id="2" xr3:uid="{C5E43458-FFE9-4AD0-94A9-22C5FE67171C}" name="CH4 GWP" dataDxfId="1348"/>
    <tableColumn id="3" xr3:uid="{95D686C1-CBC8-4825-A045-B3727FB4F72A}" name="N2O GWP" dataDxfId="1347"/>
  </tableColumns>
  <tableStyleInfo name="TableStyleLight1"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A5A2D5C-EBBE-412E-941C-60909000550A}" name="NonCombustionEFForFuelCells" displayName="NonCombustionEFForFuelCells" ref="A55:C57" totalsRowShown="0" headerRowDxfId="1346" dataDxfId="1345" tableBorderDxfId="1344">
  <autoFilter ref="A55:C57" xr:uid="{EA5A2D5C-EBBE-412E-941C-60909000550A}">
    <filterColumn colId="0" hiddenButton="1"/>
    <filterColumn colId="1" hiddenButton="1"/>
    <filterColumn colId="2" hiddenButton="1"/>
  </autoFilter>
  <tableColumns count="3">
    <tableColumn id="1" xr3:uid="{D192E59E-A9DA-4D39-A726-6811C1D41941}" name="Fuel Type" dataDxfId="1343"/>
    <tableColumn id="2" xr3:uid="{9F5C3635-B36D-4DB0-9E56-B275D3AC21E2}" name=" Emission Factor (CO2 lb/MWh)" dataDxfId="1342"/>
    <tableColumn id="3" xr3:uid="{4D084694-C689-4ADE-BB51-826B8BD96C5A}" name="Selected Source" dataDxfId="1341"/>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6D8942AD-AF9E-4B8A-A852-2990F714C9C0}" name="GuideToStateProvinceRegionalGenerationAndGISCertificatesTable" displayName="GuideToStateProvinceRegionalGenerationAndGISCertificatesTable" ref="A52:E59" totalsRowShown="0" headerRowDxfId="1256" headerRowBorderDxfId="1255" tableBorderDxfId="1254">
  <autoFilter ref="A52:E59" xr:uid="{6D8942AD-AF9E-4B8A-A852-2990F714C9C0}">
    <filterColumn colId="0" hiddenButton="1"/>
    <filterColumn colId="1" hiddenButton="1"/>
    <filterColumn colId="2" hiddenButton="1"/>
    <filterColumn colId="3" hiddenButton="1"/>
    <filterColumn colId="4" hiddenButton="1"/>
  </autoFilter>
  <tableColumns count="5">
    <tableColumn id="1" xr3:uid="{D096776B-5D7D-4C0F-AE2D-C611A2996AA5}" name="MWh from:" dataDxfId="1253"/>
    <tableColumn id="2" xr3:uid="{D8261293-4569-4D71-9B22-E1282B4B04B5}" name="State Generation"/>
    <tableColumn id="3" xr3:uid="{06DB495B-215E-43BB-955D-47FCD8D94CC5}" name="Net GIS Transfers to and from State"/>
    <tableColumn id="4" xr3:uid="{73D847D4-B723-45FF-908F-DF02D1E5D795}" name="GIS Stay-In-State"/>
    <tableColumn id="5" xr3:uid="{8BBF520E-E3C4-465E-9044-945F63918ADD}" name="GIS Removed-From-State"/>
  </tableColumns>
  <tableStyleInfo name="TableStyleLight1"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C304B23-86AB-410E-97AD-7258F443EFEF}" name="ConversionFactorsForEFs" displayName="ConversionFactorsForEFs" ref="A115:B118" totalsRowShown="0" headerRowDxfId="1340" dataDxfId="1339" tableBorderDxfId="1338">
  <autoFilter ref="A115:B118" xr:uid="{0C304B23-86AB-410E-97AD-7258F443EFEF}">
    <filterColumn colId="0" hiddenButton="1"/>
    <filterColumn colId="1" hiddenButton="1"/>
  </autoFilter>
  <tableColumns count="2">
    <tableColumn id="1" xr3:uid="{17FA8A51-D10B-49BF-936F-AFB6CC03A71A}" name="Item" dataDxfId="1337"/>
    <tableColumn id="2" xr3:uid="{C90BF882-DE83-489F-9D77-9839CA03B609}" name="Value" dataDxfId="1336"/>
  </tableColumns>
  <tableStyleInfo name="TableStyleLight1"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82B9BB3-76FB-4984-BECB-5C412A733FD9}" name="EPATableC2EFs" displayName="EPATableC2EFs" ref="A202:C215" totalsRowShown="0" headerRowDxfId="1335" dataDxfId="1334">
  <autoFilter ref="A202:C215" xr:uid="{F82B9BB3-76FB-4984-BECB-5C412A733FD9}">
    <filterColumn colId="0" hiddenButton="1"/>
    <filterColumn colId="1" hiddenButton="1"/>
    <filterColumn colId="2" hiddenButton="1"/>
  </autoFilter>
  <tableColumns count="3">
    <tableColumn id="1" xr3:uid="{FA47CD1B-F28B-469B-93B6-0BAB4543F2CF}" name="Fuel type" dataDxfId="1333"/>
    <tableColumn id="2" xr3:uid="{ECC16F23-0571-4740-9B05-C545DF6D4224}" name="Default CH4 emission factor (kg CH4/MMBtu)" dataDxfId="1332"/>
    <tableColumn id="3" xr3:uid="{B303FDE0-C578-45FB-9778-3A6B0B29DDB5}" name="Default N2O emission factor (kg N2O/MMBtu)" dataDxfId="1331"/>
  </tableColumns>
  <tableStyleInfo name="TableStyleLight1"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1276A6C9-C463-4DF8-BF5D-A6A735F0E883}" name="EPATableC1EFs" displayName="EPATableC1EFs" ref="A131:B199" totalsRowShown="0" headerRowDxfId="1330" dataDxfId="1329">
  <autoFilter ref="A131:B199" xr:uid="{1276A6C9-C463-4DF8-BF5D-A6A735F0E883}">
    <filterColumn colId="0" hiddenButton="1"/>
    <filterColumn colId="1" hiddenButton="1"/>
  </autoFilter>
  <tableColumns count="2">
    <tableColumn id="1" xr3:uid="{A5619357-11C5-49A6-A1DE-AEB99586FDE6}" name="Fuel type (Category/Fuel Types)" dataDxfId="1328"/>
    <tableColumn id="2" xr3:uid="{29D21401-7875-4748-9833-39C907AC6E93}" name="Default CO2 emission factor (kg/MMBtu)" dataDxfId="1327"/>
  </tableColumns>
  <tableStyleInfo name="TableStyleLight1"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79605484-06E8-4313-84F7-17A56F610DF7}" name="IPCCCO2Table2.2EFs" displayName="IPCCCO2Table2.2EFs" ref="A255:C276" totalsRowShown="0">
  <autoFilter ref="A255:C276" xr:uid="{79605484-06E8-4313-84F7-17A56F610DF7}">
    <filterColumn colId="0" hiddenButton="1"/>
    <filterColumn colId="1" hiddenButton="1"/>
    <filterColumn colId="2" hiddenButton="1"/>
  </autoFilter>
  <tableColumns count="3">
    <tableColumn id="1" xr3:uid="{9BCC9F9E-A072-4DA1-91FD-B1E857F149D4}" name="Fuel Type" dataDxfId="1326"/>
    <tableColumn id="2" xr3:uid="{275028A3-4D36-4854-B2E2-350097DD7F66}" name="IPCC Emission Factors_x000a_(CO2 kg/TJ) LHV" dataDxfId="1325"/>
    <tableColumn id="3" xr3:uid="{3C91E151-0967-42D1-9BC6-74A5DD15FDD4}" name="IPCC Emission Factors (CO2 lb/MMBtu) LHV" dataDxfId="1324"/>
  </tableColumns>
  <tableStyleInfo name="TableStyleLight1"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0F3921A-0FF7-4942-ADD0-C77BC3BCF1D4}" name="IPCCCH4Table2.2EFs" displayName="IPCCCH4Table2.2EFs" ref="A279:C299" totalsRowShown="0">
  <autoFilter ref="A279:C299" xr:uid="{20F3921A-0FF7-4942-ADD0-C77BC3BCF1D4}">
    <filterColumn colId="0" hiddenButton="1"/>
    <filterColumn colId="1" hiddenButton="1"/>
    <filterColumn colId="2" hiddenButton="1"/>
  </autoFilter>
  <tableColumns count="3">
    <tableColumn id="1" xr3:uid="{7CE53CD2-C99D-4E57-9BD7-01EC1C4C27CB}" name="Fuel Type" dataDxfId="1323"/>
    <tableColumn id="2" xr3:uid="{227A7404-8A06-4B77-956B-DE0377F87030}" name="IPCC Emission Factors (CH4 kg/TJ) LHV" dataDxfId="1322"/>
    <tableColumn id="3" xr3:uid="{5981729A-4107-48C9-85B7-8FB9C03420F3}" name="IPCC Emission Factors (CH4 lb/MMBtu) LHV" dataDxfId="1321">
      <calculatedColumnFormula>B280*$B$116*$B$117/1000000</calculatedColumnFormula>
    </tableColumn>
  </tableColumns>
  <tableStyleInfo name="TableStyleLight1"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F5A3D0C9-A725-4895-8F1F-EB7BCF980BF6}" name="IPCCN2OTable2.2EFs" displayName="IPCCN2OTable2.2EFs" ref="A302:C323" totalsRowShown="0">
  <autoFilter ref="A302:C323" xr:uid="{F5A3D0C9-A725-4895-8F1F-EB7BCF980BF6}">
    <filterColumn colId="0" hiddenButton="1"/>
    <filterColumn colId="1" hiddenButton="1"/>
    <filterColumn colId="2" hiddenButton="1"/>
  </autoFilter>
  <tableColumns count="3">
    <tableColumn id="1" xr3:uid="{C8708BFC-9C12-4209-B813-7102477AD488}" name="Fuel Type" dataDxfId="1320"/>
    <tableColumn id="2" xr3:uid="{56BF65AC-66A2-4270-8B3D-CC43790F9A3C}" name="IPCC Emission Factors (N2O kg/TJ) LHV" dataDxfId="1319"/>
    <tableColumn id="3" xr3:uid="{B1F7298B-05DF-4E39-8131-23D54C54FECD}" name="IPCC Emission Factors N2O lb/MMBtu) LHV" dataDxfId="1318"/>
  </tableColumns>
  <tableStyleInfo name="TableStyleLight1"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E64EB5AD-16B7-4DD2-964D-548BA397F84B}" name="EIAElectricPowerAnnualTableA3CarbonEFs" displayName="EIAElectricPowerAnnualTableA3CarbonEFs" ref="A223:E242" totalsRowShown="0" headerRowDxfId="1317" dataDxfId="1315" headerRowBorderDxfId="1316" tableBorderDxfId="1314">
  <autoFilter ref="A223:E242" xr:uid="{E64EB5AD-16B7-4DD2-964D-548BA397F84B}">
    <filterColumn colId="0" hiddenButton="1"/>
    <filterColumn colId="1" hiddenButton="1"/>
    <filterColumn colId="2" hiddenButton="1"/>
    <filterColumn colId="3" hiddenButton="1"/>
    <filterColumn colId="4" hiddenButton="1"/>
  </autoFilter>
  <tableColumns count="5">
    <tableColumn id="1" xr3:uid="{0121B784-52B3-4894-ABD3-FB0429CEA87A}" name="Fuel" dataDxfId="1313"/>
    <tableColumn id="2" xr3:uid="{A85BAFFA-5DBB-4D8B-91E8-17E878D3F2A5}" name="EIA Fuel Code" dataDxfId="1312"/>
    <tableColumn id="3" xr3:uid="{4D61E2DA-76E0-49D3-9C3E-EC5B5149CC50}" name="Factor (kg CO2/MMBtu)**" dataDxfId="1311"/>
    <tableColumn id="4" xr3:uid="{D4612A13-E32F-4D7F-BD4B-0DEF414DB2DE}" name="Factor (lbs CO2/MMBtu)" dataDxfId="1310"/>
    <tableColumn id="5" xr3:uid="{5D793D38-8C5C-4056-B842-5DC679D71775}" name="Notes" dataDxfId="1309"/>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D56B981C-9C3E-4A83-B42B-66AED6A2C3CE}" name="StateProvinceRegionalGenerationAndGISCertificatesTable" displayName="StateProvinceRegionalGenerationAndGISCertificatesTable" ref="A62:E107" totalsRowShown="0" headerRowDxfId="1252" tableBorderDxfId="1251">
  <autoFilter ref="A62:E107" xr:uid="{D56B981C-9C3E-4A83-B42B-66AED6A2C3CE}">
    <filterColumn colId="0" hiddenButton="1"/>
    <filterColumn colId="1" hiddenButton="1"/>
    <filterColumn colId="2" hiddenButton="1"/>
    <filterColumn colId="3" hiddenButton="1"/>
    <filterColumn colId="4" hiddenButton="1"/>
  </autoFilter>
  <tableColumns count="5">
    <tableColumn id="1" xr3:uid="{90FD71FA-B1D2-40E2-AC98-D6785EF7652E}" name="State/Province/Region  Generation Type" dataDxfId="1250"/>
    <tableColumn id="2" xr3:uid="{B8447F4B-556E-4862-A39F-59CF545F6FD7}" name="ISO State Generation" dataDxfId="1249"/>
    <tableColumn id="3" xr3:uid="{D435E384-3F3F-493C-829D-8DEC413FE28C}" name="Net GIS Transfers to and from State" dataDxfId="1248"/>
    <tableColumn id="4" xr3:uid="{0E58DB9A-663C-4021-94BD-1938BAF3710F}" name="GIS Stay-In-State" dataDxfId="1247"/>
    <tableColumn id="5" xr3:uid="{A0B94E0F-DFA4-4CC3-8136-5B8C3BD6FE7C}" name="GIS Removed-From-State" dataDxfId="1246"/>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68A34F32-E23B-4BB9-9F4E-032290E507C7}" name="StateProvinceBiogenicEmissionsAndRates" displayName="StateProvinceBiogenicEmissionsAndRates" ref="A38:G48" totalsRowShown="0" headerRowDxfId="1245" dataDxfId="1243" headerRowBorderDxfId="1244" tableBorderDxfId="1242" dataCellStyle="Comma">
  <autoFilter ref="A38:G48" xr:uid="{68A34F32-E23B-4BB9-9F4E-032290E507C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40A8C44-0602-4B25-8F4B-A79481F9898B}" name="State/Province"/>
    <tableColumn id="2" xr3:uid="{75E8489E-79E8-46F5-BEDA-65D706FBEC5D}" name="from State &amp; Province Generation" dataDxfId="1241" dataCellStyle="Comma"/>
    <tableColumn id="3" xr3:uid="{2AAD4B1D-362B-47D7-9DDE-8A9CC6A7461A}" name="from GIS Transfers (Net) to and from State" dataDxfId="1240" dataCellStyle="Comma"/>
    <tableColumn id="4" xr3:uid="{69641E7E-BED4-40F5-8BDE-9A45520EA26F}" name="from GIS Stay-In-State" dataDxfId="1239" dataCellStyle="Comma"/>
    <tableColumn id="5" xr3:uid="{BA748C36-F808-4BE4-B871-022B9E9B38C5}" name="from GIS Removed-From-State" dataDxfId="1238" dataCellStyle="Comma"/>
    <tableColumn id="6" xr3:uid="{28E64656-4B2F-4961-AB34-FA341829629B}" name="System Mix Emission Rates (lbs CO2/MWh)" dataDxfId="1237" dataCellStyle="Comma"/>
    <tableColumn id="7" xr3:uid="{BB82758C-FA5A-4552-96F3-208800D02E15}" name="State Emission Rates (lbs CO2/MWh)  for Exported Emissions (set to zero if MSS emissions exceed generation emissions)" dataDxfId="1236" dataCellStyle="Comma"/>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BC10354-9B3F-4628-8BB3-56977096DF96}" name="GenerationForVTandAreasOutsideISONE" displayName="GenerationForVTandAreasOutsideISONE" ref="A26:F32" totalsRowShown="0" headerRowDxfId="1235" headerRowCellStyle="Normal_Gen and Load Data ISO and States 2000-2009 (2)">
  <autoFilter ref="A26:F32" xr:uid="{3BC10354-9B3F-4628-8BB3-56977096DF96}">
    <filterColumn colId="0" hiddenButton="1"/>
    <filterColumn colId="1" hiddenButton="1"/>
    <filterColumn colId="2" hiddenButton="1"/>
    <filterColumn colId="3" hiddenButton="1"/>
    <filterColumn colId="4" hiddenButton="1"/>
    <filterColumn colId="5" hiddenButton="1"/>
  </autoFilter>
  <tableColumns count="6">
    <tableColumn id="1" xr3:uid="{FEE6A4C3-4C08-4619-977B-6DB0D25937D1}" name="State/Province" dataDxfId="1234" dataCellStyle="Normal_Gen and Load Data ISO and States 2000-2009 (2)"/>
    <tableColumn id="2" xr3:uid="{3F7AA972-6144-4688-9956-D06D9ECA8DFB}" name="Year" dataDxfId="1233" dataCellStyle="Normal_Gen and Load Data ISO and States 2000-2009 (2)"/>
    <tableColumn id="3" xr3:uid="{EF8EF320-6A37-466C-8FEE-1304467CB44F}" name="MWh" dataDxfId="1232" dataCellStyle="Normal_Gen and Load Data ISO and States 2000-2009 (2)"/>
    <tableColumn id="4" xr3:uid="{76998009-8232-418E-A09E-7C5FE64BB6AD}" name="Update Date" dataDxfId="1231" dataCellStyle="Normal_Gen and Load Data ISO and States 2000-2009 (2)"/>
    <tableColumn id="5" xr3:uid="{A3D38840-58F7-423E-856B-297F2BF10364}" name="Data Source" dataDxfId="1230" dataCellStyle="Normal_Gen and Load Data ISO and States 2000-2009 (2)"/>
    <tableColumn id="6" xr3:uid="{A0144ABB-6B2A-4F28-A7C7-5BBF3241A486}" name="Notes" dataDxfId="1229" dataCellStyle="Normal_Gen and Load Data ISO and States 2000-2009 (2)"/>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97449F0-F711-4356-BD43-ADD541516831}" name="ISONENetImportsAndExportsFromOutsideAreas" displayName="ISONENetImportsAndExportsFromOutsideAreas" ref="A15:F23" totalsRowShown="0" headerRowDxfId="1228" headerRowCellStyle="Normal_Gen and Load Data ISO and States 2000-2009 (2)">
  <autoFilter ref="A15:F23" xr:uid="{797449F0-F711-4356-BD43-ADD541516831}">
    <filterColumn colId="0" hiddenButton="1"/>
    <filterColumn colId="1" hiddenButton="1"/>
    <filterColumn colId="2" hiddenButton="1"/>
    <filterColumn colId="3" hiddenButton="1"/>
    <filterColumn colId="4" hiddenButton="1"/>
    <filterColumn colId="5" hiddenButton="1"/>
  </autoFilter>
  <tableColumns count="6">
    <tableColumn id="1" xr3:uid="{43ECCDFE-AFAA-4378-BCBA-88944AAEF046}" name="State/Province/Item" dataDxfId="1227" dataCellStyle="Normal_Gen and Load Data ISO and States 2000-2009 (2)"/>
    <tableColumn id="2" xr3:uid="{30986889-62F1-4602-8B7F-AFBE82DD1066}" name="Year" dataDxfId="1226" dataCellStyle="Normal_Gen and Load Data ISO and States 2000-2009 (2)"/>
    <tableColumn id="3" xr3:uid="{12623729-0C32-4487-A700-1D90AB66817F}" name="GWh" dataDxfId="1225" dataCellStyle="Normal_Gen and Load Data ISO and States 2000-2009 (2)"/>
    <tableColumn id="4" xr3:uid="{96CB2AC5-5397-4B88-9675-F0A937D660DA}" name="Update Date" dataDxfId="1224" dataCellStyle="Normal_Gen and Load Data ISO and States 2000-2009 (2)"/>
    <tableColumn id="5" xr3:uid="{23394D46-93A4-48E0-86C1-21E4A39A38D1}" name="Data Source" dataDxfId="1223" dataCellStyle="Normal_Gen and Load Data ISO and States 2000-2009 (2)"/>
    <tableColumn id="6" xr3:uid="{8073708E-A8D8-4610-B4CC-8581AB9AE699}" name="Links" dataDxfId="1222" dataCellStyle="Normal_Gen and Load Data ISO and States 2000-2009 (2)"/>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ABEEEE1-CF7D-484D-BFAB-F54D73F2998D}" name="GenerationAndLoadForISONEStates" displayName="GenerationAndLoadForISONEStates" ref="A8:M12" totalsRowShown="0" headerRowDxfId="1221" headerRowBorderDxfId="1220" headerRowCellStyle="Normal_Gen and Load Data ISO and States 2000-2009 (2)">
  <autoFilter ref="A8:M12" xr:uid="{EABEEEE1-CF7D-484D-BFAB-F54D73F2998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CB3D9E4C-7F2A-44AE-908A-035AAD6D569E}" name="Generation and Load " dataDxfId="1219" dataCellStyle="Normal_Gen and Load Data ISO and States 2000-2009 (2)"/>
    <tableColumn id="2" xr3:uid="{F9D9C200-9831-4E5C-B216-E47EE4601380}" name="Year" dataDxfId="1218" dataCellStyle="Normal_Gen and Load Data ISO and States 2000-2009 (2)"/>
    <tableColumn id="3" xr3:uid="{35ED385E-71EC-4D3A-8BAB-AAB97681EFA7}" name="ISO-NE TOTAL"/>
    <tableColumn id="4" xr3:uid="{EB133D2A-A161-4667-B5CE-B24E5F2ACF44}" name="MAINE" dataDxfId="1217" dataCellStyle="Normal_Gen and Load Data ISO and States 2000-2009 (2)"/>
    <tableColumn id="5" xr3:uid="{61051874-BD5B-4BC6-9D74-6FCF18FEC605}" name="NEW HAMPSHIRE" dataDxfId="1216" dataCellStyle="Normal_Gen and Load Data ISO and States 2000-2009 (2)"/>
    <tableColumn id="6" xr3:uid="{498EA9D8-8FF1-4BB3-A40F-91C817967216}" name="VERMONT*"/>
    <tableColumn id="7" xr3:uid="{37485847-0312-4DD5-BE86-E8DDDCDDCAB2}" name="CONNECTICUT" dataDxfId="1215" dataCellStyle="Normal_Gen and Load Data ISO and States 2000-2009 (2)"/>
    <tableColumn id="8" xr3:uid="{CC0C496B-E65C-4D5C-9609-45175DB77A10}" name="RHODE ISLAND" dataDxfId="1214" dataCellStyle="Normal_Gen and Load Data ISO and States 2000-2009 (2)"/>
    <tableColumn id="9" xr3:uid="{055B2034-6919-45EE-AED4-19F7BCD717C3}" name="MASSACHUSETTS*"/>
    <tableColumn id="10" xr3:uid="{E25442FB-1DEF-48DA-A947-BD1360E7A9DF}" name="MA Gen/Load"/>
    <tableColumn id="11" xr3:uid="{7D4C5480-394F-4108-82BE-BC2B4E4F4353}" name="Update Date"/>
    <tableColumn id="12" xr3:uid="{2D5F6FD1-875E-4410-AA70-72EEBAB9879B}" name="Data Source"/>
    <tableColumn id="13" xr3:uid="{F07FC18D-AA7B-4277-8F05-D5A2B6C33A1E}" name="Links" dataDxfId="1213" dataCellStyle="Hyperlink"/>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A9F810D-244D-4C4A-A3A0-F7AE3103A7EA}" name="MAGenerationEmissionsFromNonBiogenicFuels" displayName="MAGenerationEmissionsFromNonBiogenicFuels" ref="A21:I37" totalsRowShown="0" headerRowDxfId="1212" headerRowBorderDxfId="1211">
  <autoFilter ref="A21:I37" xr:uid="{9A9F810D-244D-4C4A-A3A0-F7AE3103A7E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2956134-CEB2-4D86-AD5C-7B033269EEF7}" name="Fuel Type" dataDxfId="1210"/>
    <tableColumn id="2" xr3:uid="{05B2DBF6-6EE9-4AEB-99E7-6A19B300DE58}" name="Fuel Codes from EIA" dataDxfId="1209"/>
    <tableColumn id="3" xr3:uid="{84CBBB12-8068-4863-B13B-ADE732399842}" name="Form 923 Heat Input Consumed for Electricity by non-Part 75 units (MMBtu) To calculate CO2" dataDxfId="1208"/>
    <tableColumn id="4" xr3:uid="{D4C8A5F4-E8B6-4828-BE89-B5AE9909FA25}" name="Form 923 All Heat Consumed for Electricity (MMBtu) To calculate CH4 and N2O" dataDxfId="1207"/>
    <tableColumn id="5" xr3:uid="{F4F7402F-FC8E-43EB-951C-FF3BA1A0FB96}" name="Calculated CO2 (lb)" dataDxfId="1206"/>
    <tableColumn id="6" xr3:uid="{D23A5E19-21A3-4FF4-908F-1A97A3C0655A}" name="CH4 (lb)" dataDxfId="1205"/>
    <tableColumn id="7" xr3:uid="{4BFF4FDE-72C2-43B5-AAAD-0141AADF3E31}" name="CO2e (lb) from CH4" dataDxfId="1204"/>
    <tableColumn id="8" xr3:uid="{32E8480C-9656-44CB-8173-1BEF766DF2E0}" name="N2O (lb)" dataDxfId="1203"/>
    <tableColumn id="9" xr3:uid="{9CA29F94-A850-4195-BF41-0CF0CD86C374}" name="CO2e (lb) from N2O" dataDxfId="120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1358E8A3-6938-46A0-9CC5-D05C292FE00A}" name="RetailSellersSpecificGeneration" displayName="RetailSellersSpecificGeneration" ref="A25:D29" totalsRowShown="0" headerRowBorderDxfId="1307" tableBorderDxfId="1306">
  <autoFilter ref="A25:D29" xr:uid="{1358E8A3-6938-46A0-9CC5-D05C292FE00A}">
    <filterColumn colId="0" hiddenButton="1"/>
    <filterColumn colId="1" hiddenButton="1"/>
    <filterColumn colId="2" hiddenButton="1"/>
    <filterColumn colId="3" hiddenButton="1"/>
  </autoFilter>
  <tableColumns count="4">
    <tableColumn id="1" xr3:uid="{4CB66B3B-FCBD-4A80-99B5-34B4229C1A27}" name="Type"/>
    <tableColumn id="2" xr3:uid="{B604AF94-1284-4CF3-9473-BADFD48B0299}" name="Total"/>
    <tableColumn id="3" xr3:uid="{C2C06EAE-3C76-48BD-8133-97058DD4DEE9}" name="Form Municipal Electric Departments &amp; Light Boards_x000a_(AQ31)"/>
    <tableColumn id="4" xr3:uid="{4A705B6D-0F91-4655-AEBA-09B4324D1F7E}" name="From Competitive Suppliers &amp; Electric Utilities_x000a_(GHG tab)"/>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9895DAA-72C7-4DB0-B9A5-ADFAB31287B1}" name="MAGenerationEmissionsFromBiogenicFuels" displayName="MAGenerationEmissionsFromBiogenicFuels" ref="A40:I50" totalsRowShown="0" headerRowDxfId="1201" headerRowBorderDxfId="1200">
  <autoFilter ref="A40:I50" xr:uid="{09895DAA-72C7-4DB0-B9A5-ADFAB31287B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AC1CE2C-3CE7-4BFD-AD99-F8C49AC32249}" name="Fuel Type" dataDxfId="1199"/>
    <tableColumn id="2" xr3:uid="{0ED628FA-C71F-4A89-B7E3-CB5CEF59B071}" name="Fuel Codes from EIA" dataDxfId="1198"/>
    <tableColumn id="3" xr3:uid="{20558BEA-AA74-4D07-B83D-3A4FA541E621}" name="Form 923 Heat Input Consumed for Electricity by non-Part 75 units (MMBtu) To calculate CO2" dataDxfId="1197"/>
    <tableColumn id="4" xr3:uid="{D05A08D1-C0F6-444B-A230-0A7DCF07B6DB}" name="Form 923 All Heat Consumed for Electricity (MMBtu) To calculate CH4 and N2O" dataDxfId="1196"/>
    <tableColumn id="5" xr3:uid="{469E1277-923D-4465-853B-7B55349722A0}" name="Calculated CO2 (lb)" dataDxfId="1195"/>
    <tableColumn id="6" xr3:uid="{DE3F2438-DB44-42E9-8520-206FC0FA37AA}" name="CH4 (lb)" dataDxfId="1194"/>
    <tableColumn id="7" xr3:uid="{42274785-323A-4DB4-8160-E3780C839CB0}" name="CO2e (lb) from CH4" dataDxfId="1193"/>
    <tableColumn id="8" xr3:uid="{F60046A2-B359-4074-A41A-AC5D6572840A}" name="N2O (lb)" dataDxfId="1192"/>
    <tableColumn id="9" xr3:uid="{3D55405A-16E5-4C43-9044-5C2650EFAD0D}" name="CO2e (lb) from N2O" dataDxfId="1191"/>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565271C6-74A9-4C83-A93E-222BDF3FD048}" name="GenerationEmissionsSummary" displayName="GenerationEmissionsSummary" ref="A8:J17" totalsRowShown="0" headerRowDxfId="1190" dataDxfId="1189">
  <autoFilter ref="A8:J17" xr:uid="{565271C6-74A9-4C83-A93E-222BDF3FD0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B0DED08-77C4-414F-BC41-DDA48265523F}" name="Emissions (lb CO2e)" dataDxfId="1188"/>
    <tableColumn id="2" xr3:uid="{9031EF2F-051A-4433-A2D1-180326F4665B}" name="MA" dataDxfId="1187"/>
    <tableColumn id="3" xr3:uid="{DBDD41E5-900E-473A-B39D-D463BDCB6C73}" name="CT" dataDxfId="1186"/>
    <tableColumn id="4" xr3:uid="{31E80A7A-E833-4A52-AC43-7B84411043A3}" name="ME" dataDxfId="1185"/>
    <tableColumn id="5" xr3:uid="{0DBB45BD-AE17-41E4-8FE9-13D0CEF017E8}" name="NH" dataDxfId="1184"/>
    <tableColumn id="6" xr3:uid="{8839D393-2154-4BAB-B5CF-B4CE852E53EF}" name="NY" dataDxfId="1183"/>
    <tableColumn id="7" xr3:uid="{F096CC37-29C3-4747-A1B4-F655615E0126}" name="RI" dataDxfId="1182"/>
    <tableColumn id="8" xr3:uid="{E4F0FA57-609F-4780-B804-0598810F8CDF}" name="VT" dataDxfId="1181"/>
    <tableColumn id="9" xr3:uid="{1D4D5948-C11F-4FC7-BB7C-866096FC51D4}" name="Q" dataDxfId="1180"/>
    <tableColumn id="10" xr3:uid="{E03034B4-3893-4812-A114-0C4DA8A24702}" name="NB" dataDxfId="1179"/>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A39EBF60-7321-4BB6-80E6-35D7A416C5BC}" name="CTGenerationEmissionsFromNonBiogenicFuels" displayName="CTGenerationEmissionsFromNonBiogenicFuels" ref="A53:I69" totalsRowShown="0" headerRowDxfId="1178" headerRowBorderDxfId="1177">
  <autoFilter ref="A53:I69" xr:uid="{A39EBF60-7321-4BB6-80E6-35D7A416C5B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78E9B6B-3C81-4224-A134-01AF47165378}" name="Fuel Type" dataDxfId="1176"/>
    <tableColumn id="2" xr3:uid="{A726F1F2-3533-44BD-9DCB-6B211E5A1397}" name="Fuel Codes from EIA" dataDxfId="1175"/>
    <tableColumn id="3" xr3:uid="{8E038E16-B8EA-4B66-8EDE-B35A3CEB3220}" name="Form 923 Heat Input Consumed for Electricity by non-Part 75 units (MMBtu) To calculate CO2"/>
    <tableColumn id="4" xr3:uid="{2411E481-6C9C-4495-B97E-23D81A798765}" name="Form 923 All Heat Consumed for Electricity (MMBtu) To calculate CH4 and N2O" dataDxfId="1174"/>
    <tableColumn id="5" xr3:uid="{380BEF41-A31C-42CB-9CE0-241BA8B0BD3B}" name="Calculated CO2 (lb)" dataDxfId="1173"/>
    <tableColumn id="6" xr3:uid="{5B1675CF-142C-4119-A894-9C0F8632A183}" name="CH4 (lb)" dataDxfId="1172"/>
    <tableColumn id="7" xr3:uid="{200B73D1-CD1C-4D2E-A060-8F49D4BBC2A1}" name="CO2e (lb) from CH4"/>
    <tableColumn id="8" xr3:uid="{BCB7D384-DE41-4AEA-B738-7CA29FBE1210}" name="N2O (lb)" dataDxfId="1171"/>
    <tableColumn id="9" xr3:uid="{88F3A2FA-3814-4D78-80C1-1C33E734EE03}" name="CO2e (lb) from N2O" dataDxfId="1170"/>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5CD98360-F3BE-4C47-B5BC-56B4C9C0BE93}" name="CTGenerationEmissionsFromBiogenicFuels" displayName="CTGenerationEmissionsFromBiogenicFuels" ref="A72:I82" totalsRowShown="0" headerRowDxfId="1169" headerRowBorderDxfId="1168" tableBorderDxfId="1167">
  <autoFilter ref="A72:I82" xr:uid="{5CD98360-F3BE-4C47-B5BC-56B4C9C0BE9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5857057-75C0-4ADA-BA56-278F0EA7B733}" name="Fuel Type" dataDxfId="1166"/>
    <tableColumn id="2" xr3:uid="{6835F19E-D92E-449D-BE2A-64B6748ADA9E}" name="Fuel Codes from EIA" dataDxfId="1165"/>
    <tableColumn id="3" xr3:uid="{85E10DEE-4BB1-493A-AD25-1740F7A1F94E}" name="Form 923 Heat Input Consumed for Electricity by non-Part 75 units (MMBtu) To calculate CO2" dataDxfId="1164"/>
    <tableColumn id="4" xr3:uid="{58B97D10-7B24-4D9B-9CF8-CD68655D7013}" name="Form 923 All Heat Consumed for Electricity (MMBtu) To calculate CH4 and N2O" dataDxfId="1163"/>
    <tableColumn id="5" xr3:uid="{AB29058C-C8F5-4A2F-A933-4F5F1F911907}" name="Calculated CO2 (lb)" dataDxfId="1162"/>
    <tableColumn id="6" xr3:uid="{B546C746-4A78-4582-9902-944DDBAC3659}" name="CH4 (lb)" dataDxfId="1161"/>
    <tableColumn id="7" xr3:uid="{168D56EF-7C41-407A-93F3-2C83A1A7540E}" name="CO2e (lb) from CH4" dataDxfId="1160"/>
    <tableColumn id="8" xr3:uid="{FABF7228-06E4-4C7E-8752-355E89B34024}" name="N2O (lb)" dataDxfId="1159"/>
    <tableColumn id="9" xr3:uid="{23BE1AEB-17A9-4865-ACBF-5A6D5E83C948}" name="CO2e (lb) from N2O" dataDxfId="1158"/>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8FF8E443-AA2E-49B9-BD52-9C4D43D0E80C}" name="MEGenerationEmissionsFromNonBiogenicFuels" displayName="MEGenerationEmissionsFromNonBiogenicFuels" ref="A85:I100" totalsRowShown="0" headerRowDxfId="1157" headerRowBorderDxfId="1156" tableBorderDxfId="1155">
  <autoFilter ref="A85:I100" xr:uid="{8FF8E443-AA2E-49B9-BD52-9C4D43D0E80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462DA9D-7277-4FF5-A5EB-9D62DC8073B1}" name="Fuel Type" dataDxfId="1154"/>
    <tableColumn id="2" xr3:uid="{D3EF7AAF-9B53-4DBE-8B5E-36CB07EE96EA}" name="Fuel Codes from EIA" dataDxfId="1153"/>
    <tableColumn id="3" xr3:uid="{3FF76EDA-BF85-495B-8B0C-DB811DA2F5F0}" name="Form 923 Heat Input Consumed for Electricity by non-Part 75 units (MMBtu) To calculate CO2" dataDxfId="1152"/>
    <tableColumn id="4" xr3:uid="{3261617E-3E35-4C99-8CDD-E5EC8ACA421D}" name="Form 923 All Heat Consumed for Electricity (MMBtu) To calculate CH4 and N2O" dataDxfId="1151"/>
    <tableColumn id="5" xr3:uid="{A9399E9B-16CF-4D1C-B783-D731BB99E4AC}" name="Calculated CO2 (lb)" dataDxfId="1150"/>
    <tableColumn id="6" xr3:uid="{9692FC6D-BD7A-4604-AC57-401789DA44DF}" name="CH4 (lb)" dataDxfId="1149"/>
    <tableColumn id="7" xr3:uid="{64C6BEEA-48FB-4F27-93E9-63BCBFEA6BB4}" name="CO2e (lb) from CH4" dataDxfId="1148"/>
    <tableColumn id="8" xr3:uid="{0C52E3D1-5483-4476-B139-75C494E98468}" name="N2O (lb)" dataDxfId="1147"/>
    <tableColumn id="9" xr3:uid="{99339B30-61AB-4032-BF94-F6EFA0E39DF1}" name="CO2e (lb) from N2O" dataDxfId="1146"/>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88A0DAC2-7BC1-410E-A21B-96B7319B4A6E}" name="MEGenerationEmissionsFromBiogenicFuels" displayName="MEGenerationEmissionsFromBiogenicFuels" ref="A103:I113" totalsRowShown="0" headerRowDxfId="1145" headerRowBorderDxfId="1144">
  <autoFilter ref="A103:I113" xr:uid="{88A0DAC2-7BC1-410E-A21B-96B7319B4A6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81322A5-3EB7-469B-A848-4DE147D68194}" name="Fuel Type" dataDxfId="1143"/>
    <tableColumn id="2" xr3:uid="{AF0E0954-AE8A-4F00-89A1-F766B785D66E}" name="Fuel Codes from EIA" dataDxfId="1142"/>
    <tableColumn id="3" xr3:uid="{4E653DA3-5CEA-4064-8E44-EBEECB2CAB45}" name="Form 923 Heat Input Consumed for Electricity by non-Part 75 units (MMBtu) To calculate CO2" dataDxfId="1141"/>
    <tableColumn id="4" xr3:uid="{3AA77F8F-B1AF-4D37-AA3C-90D14E5799E6}" name="Form 923 All Heat Consumed for Electricity (MMBtu) To calculate CH4 and N2O" dataDxfId="1140"/>
    <tableColumn id="5" xr3:uid="{6623040F-B554-4207-B9E4-54AD23EEDA3F}" name="Calculated CO2 (lb)" dataDxfId="1139"/>
    <tableColumn id="6" xr3:uid="{235DF836-09C7-40AB-8450-67291EAE626F}" name="CH4 (lb)" dataDxfId="1138"/>
    <tableColumn id="7" xr3:uid="{CB35A8AE-E2A9-45F2-967E-F6F5DDE3C502}" name="CO2e (lb) from CH4" dataDxfId="1137"/>
    <tableColumn id="8" xr3:uid="{062CD836-6046-4CCD-B737-4D5B2E338EC4}" name="N2O (lb)" dataDxfId="1136"/>
    <tableColumn id="9" xr3:uid="{27BD3060-99FF-4531-9D5A-D2E0584F791F}" name="CO2e (lb) from N2O" dataDxfId="1135"/>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D9FB51DD-7354-4364-ABDB-15FE998A2207}" name="NHGenerationEmissionsFromNonBiogenicFuels" displayName="NHGenerationEmissionsFromNonBiogenicFuels" ref="A116:I131" totalsRowShown="0" headerRowDxfId="1134" headerRowBorderDxfId="1133" tableBorderDxfId="1132">
  <autoFilter ref="A116:I131" xr:uid="{D9FB51DD-7354-4364-ABDB-15FE998A220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731248F-1453-414B-80F3-0219C1850931}" name="Fuel Type" dataDxfId="1131"/>
    <tableColumn id="2" xr3:uid="{E5E98AB1-7D73-46CB-87C3-FD72DB5B01EE}" name="Fuel Codes from EIA" dataDxfId="1130"/>
    <tableColumn id="3" xr3:uid="{37A07812-60B1-4CC1-85AC-083E2548EF91}" name="Form 923 Heat Input Consumed for Electricity by non-Part 75 units (MMBtu) To calculate CO2" dataDxfId="1129"/>
    <tableColumn id="4" xr3:uid="{4EE9DD9F-B9FA-4391-9A6F-8D1532D57B88}" name="Form 923 All Heat Consumed for Electricity (MMBtu) To calculate CH4 and N2O" dataDxfId="1128"/>
    <tableColumn id="5" xr3:uid="{BD7D74BB-8CBE-4A5E-AC55-046DF87AE90E}" name="Calculated CO2 (lb)" dataDxfId="1127"/>
    <tableColumn id="6" xr3:uid="{2638D4BA-7188-4EA6-AC09-F5A9BFCD6B72}" name="CH4 (lb)" dataDxfId="1126"/>
    <tableColumn id="7" xr3:uid="{57C28523-FA15-4119-80C3-0D10419E02C1}" name="CO2e (lb) from CH4" dataDxfId="1125"/>
    <tableColumn id="8" xr3:uid="{C8BC352F-512F-4E0A-8F65-70E1D703C7AC}" name="N2O (lb)" dataDxfId="1124"/>
    <tableColumn id="9" xr3:uid="{8B3A1C9C-1083-4EB7-BAF8-246DCB3764C7}" name="CO2e (lb) from N2O" dataDxfId="1123"/>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9FD74085-6A95-46A8-B2BF-957D6D654BBE}" name="NHGenerationEmissionsFromBiogenicFuels" displayName="NHGenerationEmissionsFromBiogenicFuels" ref="A134:I144" totalsRowShown="0" headerRowDxfId="1122" headerRowBorderDxfId="1121" tableBorderDxfId="1120">
  <autoFilter ref="A134:I144" xr:uid="{9FD74085-6A95-46A8-B2BF-957D6D654BB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CA6BF81-EEB0-40D2-A5A1-64379CDADB4A}" name="Fuel Type" dataDxfId="1119"/>
    <tableColumn id="2" xr3:uid="{5A9108B0-6CBC-46E9-B9CA-9BC28399349B}" name="Fuel Codes from EIA" dataDxfId="1118"/>
    <tableColumn id="3" xr3:uid="{33AF52FC-DFCF-4CE9-BF3E-DDD8CD9C906C}" name="Form 923 Heat Input Consumed for Electricity by non-Part 75 units (MMBtu) To calculate CO2" dataDxfId="1117"/>
    <tableColumn id="4" xr3:uid="{03E0A249-4F04-4537-A345-CF36FF171B60}" name="Form 923 All Heat Consumed for Electricity (MMBtu) To calculate CH4 and N2O" dataDxfId="1116"/>
    <tableColumn id="5" xr3:uid="{52EE69E6-9CE6-430B-A76F-23A6B297A705}" name="Calculated CO2 (lb)" dataDxfId="1115"/>
    <tableColumn id="6" xr3:uid="{B1315314-18D4-421C-B46D-7F9879AD56BB}" name="CH4 (lb)" dataDxfId="1114"/>
    <tableColumn id="7" xr3:uid="{4ED756E0-2FCB-49F8-A6CC-63A8BB73A10B}" name="CO2e (lb) from CH4" dataDxfId="1113"/>
    <tableColumn id="8" xr3:uid="{286A979F-4E62-422E-BEF0-5E8CCBC56773}" name="N2O (lb)" dataDxfId="1112"/>
    <tableColumn id="9" xr3:uid="{371088C6-C52B-4BAD-BAAF-33868D43D763}" name="CO2e (lb) from N2O" dataDxfId="1111"/>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2F576E62-5D99-4D84-98D7-B536A5F1197C}" name="NYGenerationEmissionsFromNonBiogenicFuels" displayName="NYGenerationEmissionsFromNonBiogenicFuels" ref="A147:I163" totalsRowShown="0" headerRowDxfId="1110" headerRowBorderDxfId="1109" tableBorderDxfId="1108">
  <autoFilter ref="A147:I163" xr:uid="{2F576E62-5D99-4D84-98D7-B536A5F1197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6937454-8A56-4FA4-8B9D-AC5C554D3F2F}" name="Fuel Type" dataDxfId="1107"/>
    <tableColumn id="2" xr3:uid="{775766BA-2F1D-4481-91CF-33FD31B4204D}" name="Fuel Codes from EIA" dataDxfId="1106"/>
    <tableColumn id="3" xr3:uid="{0B0858E2-4A0E-4DC6-A763-9A6452EAFEC3}" name="Form 923 Heat Input Consumed for Electricity by non-Part 75 units (MMBtu) To calculate CO2" dataDxfId="1105"/>
    <tableColumn id="4" xr3:uid="{EFF7F967-4B89-4FBA-ABF8-5536CE6326C9}" name="Form 923 All Heat Consumed for Electricity (MMBtu) To calculate CH4 and N2O" dataDxfId="1104"/>
    <tableColumn id="5" xr3:uid="{BEE8B195-61B5-4429-944B-B25797729C3B}" name="Calculated CO2 (lb)" dataDxfId="1103"/>
    <tableColumn id="6" xr3:uid="{3A31B64A-FF76-46B4-8D8F-49B70132124C}" name="CH4 (lb)" dataDxfId="1102"/>
    <tableColumn id="7" xr3:uid="{7BFD4CD3-4493-4E16-ABC2-0F215C06396F}" name="CO2e (lb) from CH4"/>
    <tableColumn id="8" xr3:uid="{155F9097-4F38-4C7C-B5E1-73030DCA7508}" name="N2O (lb)" dataDxfId="1101"/>
    <tableColumn id="9" xr3:uid="{4E9435A8-5D5A-4A41-9255-1E8864F9B873}" name="CO2e (lb) from N2O"/>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1D252091-4876-4469-A0E6-3A5DB66D8F33}" name="NYGenerationEmissionsFromBiogenicFuels" displayName="NYGenerationEmissionsFromBiogenicFuels" ref="A166:I176" totalsRowShown="0" headerRowDxfId="1100" headerRowBorderDxfId="1099" tableBorderDxfId="1098">
  <autoFilter ref="A166:I176" xr:uid="{1D252091-4876-4469-A0E6-3A5DB66D8F3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6391DCF-08AB-40E6-A6CD-716BC84D1BE6}" name="Fuel Type" dataDxfId="1097"/>
    <tableColumn id="2" xr3:uid="{A645562A-ADD5-4FDA-8AD2-94D7403B765F}" name="Fuel Codes from EIA" dataDxfId="1096"/>
    <tableColumn id="3" xr3:uid="{49606876-413D-45EF-BB66-BFE97C66BBA0}" name="Form 923 Heat Input Consumed for Electricity by non-Part 75 units (MMBtu) To calculate CO2" dataDxfId="1095"/>
    <tableColumn id="4" xr3:uid="{FC03F6BD-AD15-4BFA-B736-02C7774211F8}" name="Form 923 All Heat Consumed for Electricity (MMBtu) To calculate CH4 and N2O" dataDxfId="1094"/>
    <tableColumn id="5" xr3:uid="{D38002BF-D9A1-40CB-88A5-7A14120275F0}" name="Calculated CO2 (lb)" dataDxfId="1093"/>
    <tableColumn id="6" xr3:uid="{B2934B21-5FC4-40FD-ACE4-FA9B511C7948}" name="CH4 (lb)" dataDxfId="1092"/>
    <tableColumn id="7" xr3:uid="{3E0B0597-8EA2-407C-A3E3-AA4FA2A001E6}" name="CO2e (lb) from CH4" dataDxfId="1091"/>
    <tableColumn id="8" xr3:uid="{58AF44F4-FA99-41CE-92F1-94AA10FBF48D}" name="N2O (lb)" dataDxfId="1090"/>
    <tableColumn id="9" xr3:uid="{F5733B3E-28C4-4B53-933D-2633009E471E}" name="CO2e (lb) from N2O" dataDxfId="1089"/>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5AE88D0D-C5F4-447C-AB03-723A650C1F71}" name="RetailSellersEmissionFactors" displayName="RetailSellersEmissionFactors" ref="A34:E37" totalsRowShown="0" headerRowBorderDxfId="1305">
  <autoFilter ref="A34:E37" xr:uid="{5AE88D0D-C5F4-447C-AB03-723A650C1F71}">
    <filterColumn colId="0" hiddenButton="1"/>
    <filterColumn colId="1" hiddenButton="1"/>
    <filterColumn colId="2" hiddenButton="1"/>
    <filterColumn colId="3" hiddenButton="1"/>
    <filterColumn colId="4" hiddenButton="1"/>
  </autoFilter>
  <tableColumns count="5">
    <tableColumn id="1" xr3:uid="{8946DEFC-EC26-4924-918F-92F9FFDE8657}" name="Emissions Type"/>
    <tableColumn id="2" xr3:uid="{07493F33-F236-4440-AD53-0FC53EDCABBB}" name="Initial Massachusetts-Based"/>
    <tableColumn id="3" xr3:uid="{11D11314-F36A-4541-8240-1FE8C4F8A2A7}" name="Initial Regional"/>
    <tableColumn id="4" xr3:uid="{B065B66E-6D74-4FE6-AE59-6B7CB403C4AA}" name="Final Massachusetts-_x000a_Based"/>
    <tableColumn id="5" xr3:uid="{5F5411CC-D449-42F9-83B2-660CCFD4D6D4}" name="Final Regional"/>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321554F-F146-4B9B-BE44-F28D4ACC3AC4}" name="RIGenerationEmissionsFromNonBiogenicFuels" displayName="RIGenerationEmissionsFromNonBiogenicFuels" ref="A179:I194" totalsRowShown="0" headerRowDxfId="1088" headerRowBorderDxfId="1087" tableBorderDxfId="1086">
  <autoFilter ref="A179:I194" xr:uid="{0321554F-F146-4B9B-BE44-F28D4ACC3AC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FF44C0C-D6B3-436B-8099-5F784F66A38A}" name="Fuel Type" dataDxfId="1085"/>
    <tableColumn id="2" xr3:uid="{775B7C58-5DDE-4B20-97B4-03B37511B6D8}" name="Fuel Codes from EIA" dataDxfId="1084"/>
    <tableColumn id="3" xr3:uid="{37C9FF19-C629-42B8-B2CF-6E8CF5AD4A72}" name="Form 923 Heat Input Consumed for Electricity by non-Part 75 units (MMBtu) To calculate CO2" dataDxfId="1083"/>
    <tableColumn id="4" xr3:uid="{2D879E84-4D2D-415E-BB51-610820B58369}" name="Form 923 All Heat Consumed for Electricity (MMBtu) To calculate CH4 and N2O" dataDxfId="1082"/>
    <tableColumn id="5" xr3:uid="{36DC6C48-C1CA-4B16-9E74-882583E4CF25}" name="Calculated CO2 (lb)" dataDxfId="1081"/>
    <tableColumn id="6" xr3:uid="{F32D4173-0FE6-42B1-AFE2-DA3F27E6B558}" name="CH4 (lb)" dataDxfId="1080"/>
    <tableColumn id="7" xr3:uid="{09A8A64E-40C7-4EEA-8228-ED8541B7B284}" name="CO2e (lb) from CH4" dataDxfId="1079"/>
    <tableColumn id="8" xr3:uid="{5522E74B-D4F7-4CAC-866F-84551B113023}" name="N2O (lb)" dataDxfId="1078"/>
    <tableColumn id="9" xr3:uid="{E35979A1-8A6A-441E-A991-2B4CEBA47D2A}" name="CO2e (lb) from N2O" dataDxfId="1077"/>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B98F1E6-9D00-4829-AE92-AE71B53994E5}" name="RIGenerationEmissionsFromBiogenicFuels" displayName="RIGenerationEmissionsFromBiogenicFuels" ref="A197:I207" totalsRowShown="0" headerRowDxfId="1076" headerRowBorderDxfId="1075" tableBorderDxfId="1074">
  <autoFilter ref="A197:I207" xr:uid="{0B98F1E6-9D00-4829-AE92-AE71B53994E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4A516D2-6B08-4587-8CD6-FF937DE67086}" name="Fuel Type" dataDxfId="1073"/>
    <tableColumn id="2" xr3:uid="{2B1E78C7-B07F-49D0-ACAB-A179ADDA81D5}" name="Fuel Codes from EIA" dataDxfId="1072"/>
    <tableColumn id="3" xr3:uid="{64031D85-7286-4103-9210-21E559D35AC5}" name="Form 923 Heat Input Consumed for Electricity by non-Part 75 units (MMBtu) To calculate CO2" dataDxfId="1071"/>
    <tableColumn id="4" xr3:uid="{5F7075FE-B712-4404-96DA-DF9FD13EE539}" name="Form 923 All Heat Consumed for Electricity (MMBtu) To calculate CH4 and N2O" dataDxfId="1070"/>
    <tableColumn id="5" xr3:uid="{09D39340-A706-46D1-8F56-100BAC52F806}" name="Calculated CO2 (lb)" dataDxfId="1069"/>
    <tableColumn id="6" xr3:uid="{72197F25-0821-41AA-8F2E-CEED5EB6ECA4}" name="CH4 (lb)" dataDxfId="1068"/>
    <tableColumn id="7" xr3:uid="{3463EC65-5E7C-499F-89E9-4B7DB90ED1FB}" name="CO2e (lb) from CH4" dataDxfId="1067"/>
    <tableColumn id="8" xr3:uid="{65E06E68-972A-4CF3-8C47-E7B4A7F9B413}" name="N2O (lb)" dataDxfId="1066"/>
    <tableColumn id="9" xr3:uid="{301084ED-B812-4761-A2F3-CFC5B81C6D7B}" name="CO2e (lb) from N2O" dataDxfId="1065"/>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4BA1C9D1-219F-4A33-A834-712246D44272}" name="VTGenerationEmissionsFromNonBiogenicFuels" displayName="VTGenerationEmissionsFromNonBiogenicFuels" ref="A210:I225" totalsRowShown="0" headerRowDxfId="1064" headerRowBorderDxfId="1063" tableBorderDxfId="1062">
  <autoFilter ref="A210:I225" xr:uid="{4BA1C9D1-219F-4A33-A834-712246D442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E9D0C92-CFB6-4A74-AA52-9DDBA233646F}" name="Fuel Type" dataDxfId="1061"/>
    <tableColumn id="2" xr3:uid="{5498509E-BA09-4EB8-BFFE-0444AD1407C5}" name="Fuel Codes from EIA" dataDxfId="1060"/>
    <tableColumn id="3" xr3:uid="{79F248E6-E80D-4425-9213-3083BDE73DE1}" name="Form 923 Heat Input Consumed for Electricity by non-Part 75 units (MMBtu) To calculate CO2" dataDxfId="1059"/>
    <tableColumn id="4" xr3:uid="{0944D4E7-66D9-4790-8F58-80A970E3642A}" name="Form 923 All Heat Consumed for Electricity (MMBtu) To calculate CH4 and N2O" dataDxfId="1058"/>
    <tableColumn id="5" xr3:uid="{F3C89EBB-CDA5-4881-AC20-E98E03854820}" name="Calculated CO2 (lb)" dataDxfId="1057"/>
    <tableColumn id="6" xr3:uid="{3486E96F-9382-4124-9FDA-6251099F3A5B}" name="CH4 (lb)" dataDxfId="1056"/>
    <tableColumn id="7" xr3:uid="{BCF974D9-74CA-4CEE-99CB-A8E6BE1374FB}" name="CO2e (lb) from CH4" dataDxfId="1055"/>
    <tableColumn id="8" xr3:uid="{6A981824-745F-4A79-AA2E-4A78A7B4D0B7}" name="N2O (lb)" dataDxfId="1054"/>
    <tableColumn id="9" xr3:uid="{229889DC-B7BA-49F9-8DCA-DA7C12223C4D}" name="CO2e (lb) from N2O" dataDxfId="1053"/>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C8D0845-C5CE-413B-98DC-06CBAF119155}" name="VTGenerationEmissionsFromBiogenicFuels" displayName="VTGenerationEmissionsFromBiogenicFuels" ref="A228:I238" totalsRowShown="0" headerRowDxfId="1052" headerRowBorderDxfId="1051" tableBorderDxfId="1050">
  <autoFilter ref="A228:I238" xr:uid="{0C8D0845-C5CE-413B-98DC-06CBAF11915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C8BCC3C-D4D9-4C2C-BE66-71FE2D855EF0}" name="Fuel Type" dataDxfId="1049"/>
    <tableColumn id="2" xr3:uid="{E8B19987-7144-4518-8A3A-1B2321A8CB51}" name="Fuel Codes from EIA" dataDxfId="1048"/>
    <tableColumn id="3" xr3:uid="{AC80E11B-D7CB-4241-A6DC-1F986E29B96F}" name="Form 923 Heat Input Consumed for Electricity by non-Part 75 units (MMBtu) To calculate CO2" dataDxfId="1047"/>
    <tableColumn id="4" xr3:uid="{A5FE1C0D-B377-4423-9B9D-2FBACAF6F9C9}" name="Form 923 All Heat Consumed for Electricity (MMBtu) To calculate CH4 and N2O" dataDxfId="1046"/>
    <tableColumn id="5" xr3:uid="{AE61F928-B648-4A8C-844B-B6DDC64783FA}" name="Calculated CO2 (lb)" dataDxfId="1045"/>
    <tableColumn id="6" xr3:uid="{C44B3611-83B6-4B16-B2FB-84FDCA38FCFE}" name="CH4 (lb)" dataDxfId="1044"/>
    <tableColumn id="7" xr3:uid="{7E0D597B-3C72-452E-A212-94AB06D50443}" name="CO2e (lb) from CH4" dataDxfId="1043"/>
    <tableColumn id="8" xr3:uid="{47453C35-FFD6-4A78-95B3-2255005EC12E}" name="N2O (lb)" dataDxfId="1042"/>
    <tableColumn id="9" xr3:uid="{75E78098-C8F8-48BF-8744-49179A044D0D}" name="CO2e (lb) from N2O" dataDxfId="1041"/>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5191167-9EE6-4D04-98AB-75E6A517F6CE}" name="QuebecGenerationEmissionsFromNonBiogenicAndBiogenicFuels" displayName="QuebecGenerationEmissionsFromNonBiogenicAndBiogenicFuels" ref="A242:E247" totalsRowShown="0" headerRowDxfId="1040" headerRowBorderDxfId="1039" tableBorderDxfId="1038">
  <autoFilter ref="A242:E247" xr:uid="{05191167-9EE6-4D04-98AB-75E6A517F6CE}">
    <filterColumn colId="0" hiddenButton="1"/>
    <filterColumn colId="1" hiddenButton="1"/>
    <filterColumn colId="2" hiddenButton="1"/>
    <filterColumn colId="3" hiddenButton="1"/>
    <filterColumn colId="4" hiddenButton="1"/>
  </autoFilter>
  <tableColumns count="5">
    <tableColumn id="1" xr3:uid="{9431BCF7-CE64-4DDE-BBEE-C50BEDFC200E}" name="Emission/Fuel Types"/>
    <tableColumn id="2" xr3:uid="{8A604F6A-A604-47BC-B141-70B071819DEF}" name="Year for which Data has been entered" dataDxfId="1037"/>
    <tableColumn id="3" xr3:uid="{C0B3F7A3-8079-423E-A885-A48C6B96D250}" name="Statistics Canada &amp; NEPOOL-GIS: Electricity Generation (MWh)"/>
    <tableColumn id="4" xr3:uid="{344F8A26-8C4C-450D-9BED-E384448FD8EF}" name="Environment Canada GHG emissions (kilo metric tons CO2e)" dataDxfId="1036"/>
    <tableColumn id="5" xr3:uid="{71E6B35D-E478-4BC1-AF0C-B8166AE2EC5F}" name="Calculated CO2 (lb)"/>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BBDECA06-C054-4B2F-A04A-24AAD77488F7}" name="NewBrunswickGenerationEmissionsFromNonBiogenicAndBiogenicFuels" displayName="NewBrunswickGenerationEmissionsFromNonBiogenicAndBiogenicFuels" ref="A254:E259" totalsRowShown="0" headerRowDxfId="1035" headerRowBorderDxfId="1034" tableBorderDxfId="1033">
  <autoFilter ref="A254:E259" xr:uid="{BBDECA06-C054-4B2F-A04A-24AAD77488F7}">
    <filterColumn colId="0" hiddenButton="1"/>
    <filterColumn colId="1" hiddenButton="1"/>
    <filterColumn colId="2" hiddenButton="1"/>
    <filterColumn colId="3" hiddenButton="1"/>
    <filterColumn colId="4" hiddenButton="1"/>
  </autoFilter>
  <tableColumns count="5">
    <tableColumn id="1" xr3:uid="{EB57CE79-6655-4E7C-9E39-6168B4D03E31}" name="Emission/Fuel Types"/>
    <tableColumn id="2" xr3:uid="{59AFDD66-A966-4A5E-B163-508195563D40}" name="Year for which Data has been entered"/>
    <tableColumn id="3" xr3:uid="{7DCD6052-0543-4488-B62C-2F6D239FB221}" name="Statistics Canada &amp; NEPOOL-GIS: Electricity Generation (MWh)"/>
    <tableColumn id="4" xr3:uid="{995A6811-C18C-4245-9DD1-9E33413E39CF}" name="Environment Canada GHG emissions (kilo metric tons CO2e)"/>
    <tableColumn id="5" xr3:uid="{FFEB99D9-3387-4006-9703-1743F0474274}" name="Calculated CO2 (lb)"/>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F7A702B-B582-42A2-B5C0-9216B7A0C3DB}" name="EIA923Data" displayName="EIA923Data" ref="A7:Z3073" totalsRowShown="0" headerRowDxfId="1032" tableBorderDxfId="1031">
  <autoFilter ref="A7:Z3073" xr:uid="{9F7A702B-B582-42A2-B5C0-9216B7A0C3DB}"/>
  <tableColumns count="26">
    <tableColumn id="1" xr3:uid="{3B357D92-0819-4A18-A123-DA345498B35D}" name="Plant Id" dataDxfId="1030"/>
    <tableColumn id="2" xr3:uid="{8B9146C3-AE62-4B57-8DFE-EC050DBED18A}" name="Combined Heat And_x000a_Power Plant" dataDxfId="1029"/>
    <tableColumn id="3" xr3:uid="{780C1D0D-26C8-47C8-B5B0-ADBFD0FE56A3}" name="Nuclear Unit Id" dataDxfId="1028"/>
    <tableColumn id="5" xr3:uid="{8BE487E0-DA6E-4A40-8E1B-88493EBD2CB9}" name="Plant Name" dataDxfId="1027"/>
    <tableColumn id="6" xr3:uid="{806CDFCF-4477-47F7-806F-AA8D321F9F88}" name="Operator Name" dataDxfId="1026"/>
    <tableColumn id="7" xr3:uid="{BB7CABA2-76F4-4900-B9A1-14334053868E}" name="Operator Id" dataDxfId="1025"/>
    <tableColumn id="8" xr3:uid="{EB50E474-53EA-4568-9608-4F391CBD8F51}" name="Plant State" dataDxfId="1024"/>
    <tableColumn id="9" xr3:uid="{A5942A59-4FDE-4FCB-90EE-684D54808262}" name="Census Region" dataDxfId="1023"/>
    <tableColumn id="10" xr3:uid="{59EA5788-91E3-405A-8C7E-6A367D049008}" name="NERC Region" dataDxfId="1022"/>
    <tableColumn id="11" xr3:uid="{88F3D9C9-7FF5-47E0-AACD-B2BA45D5117A}" name="NAICS Code" dataDxfId="1021"/>
    <tableColumn id="12" xr3:uid="{0DD78B5A-DD09-4EDE-9917-243625851247}" name="EIA Sector Number" dataDxfId="1020"/>
    <tableColumn id="13" xr3:uid="{4C028C8A-6541-4B2B-947D-9D24A512EFAB}" name="Sector Name" dataDxfId="1019"/>
    <tableColumn id="14" xr3:uid="{6479A491-750E-49B2-80F9-344EE2602825}" name="Reported_x000a_Prime Mover" dataDxfId="1018"/>
    <tableColumn id="15" xr3:uid="{E798324C-7C82-4388-952C-A134D9E21AB2}" name="Reported_x000a_Fuel Type Code" dataDxfId="1017"/>
    <tableColumn id="16" xr3:uid="{D9F3B3ED-748A-4617-AA88-E529B898ED7D}" name="MER_x000a_Fuel Type Code" dataDxfId="1016"/>
    <tableColumn id="17" xr3:uid="{B31B1948-5A1A-4CD0-A32F-B11A0B82DE26}" name="Physical_x000a_Unit Label" dataDxfId="1015"/>
    <tableColumn id="18" xr3:uid="{76CF2AE6-FEB8-46DA-B14A-8688980CC94E}" name="Year-To-Date Total Fuel Consumption_x000a_Quantity" dataDxfId="1014"/>
    <tableColumn id="19" xr3:uid="{04B1E7C7-3455-4256-A965-89BEC6542896}" name="Year-To-Date Electric Fuel Consumption_x000a_Quantity" dataDxfId="1013"/>
    <tableColumn id="20" xr3:uid="{C4E5EE38-3791-488E-BC7F-C2363EAC0A55}" name="Year-To-Date Total Fuel Consumption_x000a_MMBtu" dataDxfId="1012"/>
    <tableColumn id="21" xr3:uid="{0301223D-1753-47D6-9D5E-3DBE20B9B400}" name="Year-To-Date Elec Fuel Consumption_x000a_MMBtu" dataDxfId="1011"/>
    <tableColumn id="22" xr3:uid="{D15D2CAA-056F-477F-B344-0C981482CAF0}" name="Year-To-Date Net Generation_x000a_(Megawatthours)" dataDxfId="1010"/>
    <tableColumn id="23" xr3:uid="{0FE71433-24A4-4DEB-9255-94CBEAAEECE1}" name="YEAR" dataDxfId="1009"/>
    <tableColumn id="24" xr3:uid="{06AE7E1A-0E5D-4567-800A-71A38DAB99F5}" name="MMBtu from CO2 calculations, because Part 75 CO2 used instead" dataDxfId="1008"/>
    <tableColumn id="25" xr3:uid="{1DD47817-B916-414F-BE39-EE33B8FA6B4A}" name="Unit HEAT RATES (Electric MMBTU/MWh)" dataDxfId="1007"/>
    <tableColumn id="26" xr3:uid="{39ED6D2E-9971-4640-AB4B-AE169C3B2B83}" name="CHP NG Heat Rates (Total MMBTU/MWh)" dataDxfId="1006"/>
    <tableColumn id="4" xr3:uid="{6225C1D0-70A0-4827-A182-81E6CD8D0ECD}" name="CHP DFO Heat Rates (Total MMBTU/MWh)" dataDxfId="1005"/>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E166F8A4-F2CF-4AD4-B7B1-80A9512BFF72}" name="EIA923DataSubtotalsMA" displayName="EIA923DataSubtotalsMA" ref="A3099:L3123" totalsRowShown="0" headerRowDxfId="1004" headerRowBorderDxfId="1003" tableBorderDxfId="1002">
  <autoFilter ref="A3099:L3123" xr:uid="{E166F8A4-F2CF-4AD4-B7B1-80A9512BFF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8593B9D-D14F-450E-AE86-421FD2A44F66}" name="Fuel" dataDxfId="1001"/>
    <tableColumn id="2" xr3:uid="{BA31A977-2EC7-45F3-A04B-DA6D000EABC9}" name="Reported_x000a_Fuel Type Code" dataDxfId="1000"/>
    <tableColumn id="3" xr3:uid="{F5F6F8FA-F2EC-4C6A-88C8-497F3EB14372}" name="MER_x000a_Fuel Type Code" dataDxfId="999"/>
    <tableColumn id="4" xr3:uid="{311AF95F-6C1D-43D5-BF03-8ADADE48F46B}" name="Year-To-Date Total Fuel Consumption_x000a_Quantity" dataDxfId="998"/>
    <tableColumn id="5" xr3:uid="{C46043E3-D16D-4A6E-B278-999E9082E721}" name="Year-To-Date Electric Fuel Consumption_x000a_Quantity" dataDxfId="997"/>
    <tableColumn id="6" xr3:uid="{24BBB057-ACDA-4C68-93CD-B8A23022BDBB}" name="Year-To-Date Total Fuel Consumption_x000a_MMBtu" dataDxfId="996"/>
    <tableColumn id="7" xr3:uid="{41351B34-80F1-4074-A8BD-C4C678F58F20}" name="Year-To-Date Elec Fuel Consumption_x000a_MMBtu" dataDxfId="995"/>
    <tableColumn id="8" xr3:uid="{32B75840-C37D-4A9B-9217-2AD256D5420F}" name="Year-To-Date Net Generation_x000a_(Megawatthours)" dataDxfId="994"/>
    <tableColumn id="9" xr3:uid="{C3ECFD18-F055-4942-836F-E6DF397E8D5F}" name="X's to delete from 923 value on Gen CO2e tab when calculating CO2 emissions" dataDxfId="993"/>
    <tableColumn id="10" xr3:uid="{119F2C48-616E-4B6A-893F-D09899321075}" name="Electricity Fuel Consumption MMBTU (positive gen only)" dataDxfId="992"/>
    <tableColumn id="11" xr3:uid="{D4E58F70-7D1B-4E68-B199-E7FB8D415E03}" name="POSITIVE Net Generation MWh" dataDxfId="991"/>
    <tableColumn id="12" xr3:uid="{410F907B-D216-437D-9F23-7D3372915B82}" name="WEIGHTED AVG HEAT RATE_x000a_(used in Heat Rate Table on 'GIS' tab)" dataDxfId="990"/>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2584942B-B71F-4ACB-8434-B6FE40D8FE86}" name="EIA923DataSubtotalsCT" displayName="EIA923DataSubtotalsCT" ref="A3128:L3152" totalsRowShown="0" headerRowDxfId="989" headerRowBorderDxfId="988">
  <autoFilter ref="A3128:L3152" xr:uid="{2584942B-B71F-4ACB-8434-B6FE40D8FE8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EEEA4CAC-4BB8-436E-A3BB-1378E436CDFB}" name="Fuel" dataDxfId="987"/>
    <tableColumn id="2" xr3:uid="{A4A75D56-77F4-4669-91DC-5CB6002C3505}" name="Reported_x000a_Fuel Type Code" dataDxfId="986"/>
    <tableColumn id="3" xr3:uid="{903CB523-70D3-4669-8A2B-D204381AD742}" name="MER_x000a_Fuel Type Code" dataDxfId="985"/>
    <tableColumn id="4" xr3:uid="{B77F7AA0-1D80-4ADE-A74F-0AD07F3C424F}" name="Year-To-Date Total Fuel Consumption_x000a_Quantity" dataDxfId="984"/>
    <tableColumn id="5" xr3:uid="{940D3586-3895-493F-97F4-B6805492A1EC}" name="Year-To-Date Electric Fuel Consumption_x000a_Quantity" dataDxfId="983"/>
    <tableColumn id="6" xr3:uid="{9F87FDC5-5C40-4E32-9F32-31E39FA5F2EF}" name="Year-To-Date Total Fuel Consumption_x000a_MMBtu" dataDxfId="982"/>
    <tableColumn id="7" xr3:uid="{9E50C212-B02D-452E-81A7-C254254DF999}" name="Year-To-Date Elec Fuel Consumption_x000a_MMBtu" dataDxfId="981"/>
    <tableColumn id="8" xr3:uid="{C58ED403-D06C-4A00-A9A5-2EC3C615433A}" name="Year-To-Date Net Generation_x000a_(Megawatthours)" dataDxfId="980"/>
    <tableColumn id="9" xr3:uid="{5373F04C-7C2F-4B26-9A87-6663B03A1A25}" name="X's to delete from 923 value on Gen CO2e tab when calculating CO2 emissions" dataDxfId="979"/>
    <tableColumn id="10" xr3:uid="{B0A2C404-2EB7-4447-ADEB-99C51AACFCFB}" name="Electricity Fuel Consumption MMBTU (positive gen only)" dataDxfId="978"/>
    <tableColumn id="11" xr3:uid="{45AE62E9-D9AA-4DC0-AAE2-702CD16CD9E6}" name="POSITIVE Net Generation MWh" dataDxfId="977"/>
    <tableColumn id="12" xr3:uid="{CE9B0DE2-72C5-46CE-B751-33CF2A9AACE9}" name="WEIGHTED AVG HEAT RATE_x000a_(used in Heat Rate Table on 'GIS' tab)" dataDxfId="976"/>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B98760E9-532A-4221-AA69-1D2ED0A38C12}" name="EIA923DataSubtotalsME" displayName="EIA923DataSubtotalsME" ref="A3157:L3180" totalsRowShown="0" headerRowDxfId="975" headerRowBorderDxfId="974">
  <autoFilter ref="A3157:L3180" xr:uid="{B98760E9-532A-4221-AA69-1D2ED0A38C1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2FD193B5-2E58-424D-AC06-C7B57E95F716}" name="Fuel" dataDxfId="973"/>
    <tableColumn id="2" xr3:uid="{74641264-72FC-492A-8352-5A36935736BB}" name="Reported_x000a_Fuel Type Code" dataDxfId="972"/>
    <tableColumn id="3" xr3:uid="{600402E3-2694-4B49-A7B7-7A1A6F032845}" name="MER_x000a_Fuel Type Code" dataDxfId="971"/>
    <tableColumn id="4" xr3:uid="{9E3EFA74-EB31-407B-8A96-485780D77D9D}" name="Year-To-Date Total Fuel Consumption_x000a_Quantity" dataDxfId="970"/>
    <tableColumn id="5" xr3:uid="{6938AF87-BB05-462C-9E8E-D7104AFE4A12}" name="Year-To-Date Electric Fuel Consumption_x000a_Quantity" dataDxfId="969"/>
    <tableColumn id="6" xr3:uid="{9A7C24E1-099E-44E3-B106-DA9EA346B134}" name="Year-To-Date Total Fuel Consumption_x000a_MMBtu" dataDxfId="968"/>
    <tableColumn id="7" xr3:uid="{6CAF8849-518C-48DE-AA33-50DD2E4CC3E1}" name="Year-To-Date Elec Fuel Consumption_x000a_MMBtu" dataDxfId="967"/>
    <tableColumn id="8" xr3:uid="{D5BBED48-40BD-412C-BE98-24597DABE8BC}" name="Year-To-Date Net Generation_x000a_(Megawatthours)" dataDxfId="966"/>
    <tableColumn id="9" xr3:uid="{4D5CBDB2-8C7F-4951-980D-05551D4F2E1E}" name="X's to delete from 923 value on Gen CO2e tab when calculating CO2 emissions" dataDxfId="965"/>
    <tableColumn id="10" xr3:uid="{D8A18621-50FD-429F-80A5-B432B1A3BF98}" name="Electricity Fuel Consumption MMBTU (positive gen only)" dataDxfId="964"/>
    <tableColumn id="11" xr3:uid="{5E31B009-CCC0-492F-846F-DA768DCA805E}" name="POSITIVE Net Generation MWh" dataDxfId="963"/>
    <tableColumn id="12" xr3:uid="{8E4849EF-1082-4F0B-A495-CEFE434A3D52}" name="WEIGHTED AVG HEAT RATE_x000a_(used in Heat Rate Table on 'GIS' tab)" dataDxfId="96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418BE419-27BD-4478-A0E6-A55C952E40ED}" name="MABasedEFTable" displayName="MABasedEFTable" ref="A42:F45" totalsRowShown="0" headerRowDxfId="1304" headerRowBorderDxfId="1303" tableBorderDxfId="1302">
  <autoFilter ref="A42:F45" xr:uid="{418BE419-27BD-4478-A0E6-A55C952E40ED}">
    <filterColumn colId="0" hiddenButton="1"/>
    <filterColumn colId="1" hiddenButton="1"/>
    <filterColumn colId="2" hiddenButton="1"/>
    <filterColumn colId="3" hiddenButton="1"/>
    <filterColumn colId="4" hiddenButton="1"/>
    <filterColumn colId="5" hiddenButton="1"/>
  </autoFilter>
  <tableColumns count="6">
    <tableColumn id="1" xr3:uid="{E111E5A8-B368-4F69-9DA4-641EA17481EE}" name="MA"/>
    <tableColumn id="2" xr3:uid="{997C51F0-4047-471B-B257-C93E9B99A13A}" name="MA Share of GHG Emissions from Other ISO-NE States (excluding emissions from GIS certificates) (lb)"/>
    <tableColumn id="3" xr3:uid="{331DB279-A690-4EFD-8EA1-02894AC5CACE}" name="MA Share of GHG Emissions from Outside ISO-NE (excluding emissions from GIS certificates) (lb)"/>
    <tableColumn id="4" xr3:uid="{9644CB24-9CBE-403F-AFAE-AB39B0276766}" name="MA Total Share of GHG Emissions from Outside MA (excluding emissions from GIS certificates) (lb)"/>
    <tableColumn id="5" xr3:uid="{38C91992-22F3-419D-BA69-3038430D9FD4}" name="MA Total GHG Emissions  from Electricity Consumption (accounting for emissions from GIS certificates) (lb)"/>
    <tableColumn id="6" xr3:uid="{688B0269-F9ED-4790-834B-C560509943D0}" name="MA-Based GHG Emission Rate after accounting for GIS certificates (lb/MWh)"/>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B4DE53E3-5066-4D2A-88B2-6068A141CEDA}" name="EIA923DataSubtotalsNH" displayName="EIA923DataSubtotalsNH" ref="A3184:L3207" totalsRowShown="0" headerRowDxfId="961" headerRowBorderDxfId="960" tableBorderDxfId="959">
  <autoFilter ref="A3184:L3207" xr:uid="{B4DE53E3-5066-4D2A-88B2-6068A141CED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972E4C25-C52A-45D0-8303-93AB7C2112B9}" name="Fuel" dataDxfId="958"/>
    <tableColumn id="2" xr3:uid="{01DAA221-7C60-4A8B-9B9B-71D87AB7F236}" name="Reported_x000a_Fuel Type Code" dataDxfId="957"/>
    <tableColumn id="3" xr3:uid="{410E83BD-2798-4F4B-A73A-94799BF6A73D}" name="MER_x000a_Fuel Type Code" dataDxfId="956"/>
    <tableColumn id="4" xr3:uid="{180AF85C-DDC6-48BE-BD65-B476DD53F2E6}" name="Year-To-Date Total Fuel Consumption_x000a_Quantity" dataDxfId="955"/>
    <tableColumn id="5" xr3:uid="{16EA78A1-112C-4DDB-A93F-3B2201827CE1}" name="Year-To-Date Electric Fuel Consumption_x000a_Quantity" dataDxfId="954"/>
    <tableColumn id="6" xr3:uid="{ADAE60F1-C4C5-4CDA-A93D-3A6608CA8B08}" name="Year-To-Date Total Fuel Consumption_x000a_MMBtu" dataDxfId="953"/>
    <tableColumn id="7" xr3:uid="{7481DD6E-2617-44D9-B717-563EDD7A6EE9}" name="Year-To-Date Elec Fuel Consumption_x000a_MMBtu" dataDxfId="952"/>
    <tableColumn id="8" xr3:uid="{DEC9E647-B56E-4F9B-BBBF-6E8572EA0561}" name="Year-To-Date Net Generation_x000a_(Megawatthours)" dataDxfId="951"/>
    <tableColumn id="9" xr3:uid="{8BA86B86-389A-413F-BE3A-759B5FC0D2B6}" name="X's to delete from 923 value on Gen CO2e tab when calculating CO2 emissions" dataDxfId="950"/>
    <tableColumn id="10" xr3:uid="{82E81490-84C2-4FCF-B35B-4478F612321B}" name="Electricity Fuel Consumption MMBTU (positive gen only)" dataDxfId="949"/>
    <tableColumn id="11" xr3:uid="{7E39863F-795B-432E-9CBD-A16231DE1AD4}" name="POSITIVE Net Generation MWh" dataDxfId="948"/>
    <tableColumn id="12" xr3:uid="{1A1AA3F9-05CB-4A84-AF1A-8BC205E734E7}" name="WEIGHTED AVG HEAT RATE_x000a_(used in Heat Rate Table on 'GIS' tab)" dataDxfId="947"/>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9DE9310-3C82-473C-8728-E0120ED417EA}" name="EIA923DataSubtotalsNY" displayName="EIA923DataSubtotalsNY" ref="A3211:L3235" totalsRowShown="0" headerRowDxfId="946" headerRowBorderDxfId="945">
  <autoFilter ref="A3211:L3235" xr:uid="{09DE9310-3C82-473C-8728-E0120ED417E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8CB1F98A-344E-4077-920C-B68F3E8936E5}" name="Fuel" dataDxfId="944"/>
    <tableColumn id="2" xr3:uid="{1BA40921-92B2-4A6A-9992-831EDFCE7CE0}" name="Reported_x000a_Fuel Type Code" dataDxfId="943"/>
    <tableColumn id="3" xr3:uid="{4D76E14D-0B23-489B-AFD9-734284387CEA}" name="MER_x000a_Fuel Type Code" dataDxfId="942"/>
    <tableColumn id="4" xr3:uid="{5DF6D0CD-BB1A-4C49-8688-808C6599DCA1}" name="Year-To-Date Total Fuel Consumption_x000a_Quantity" dataDxfId="941"/>
    <tableColumn id="5" xr3:uid="{316FDD5C-00AB-43AA-A687-1A2DED431DE8}" name="Year-To-Date Electric Fuel Consumption_x000a_Quantity" dataDxfId="940"/>
    <tableColumn id="6" xr3:uid="{1A0FC984-875D-42D1-A4D2-0977B98A2571}" name="Year-To-Date Total Fuel Consumption_x000a_MMBtu" dataDxfId="939"/>
    <tableColumn id="7" xr3:uid="{1848C7EF-C279-4885-818D-6CEC7BB98630}" name="Year-To-Date Elec Fuel Consumption_x000a_MMBtu" dataDxfId="938"/>
    <tableColumn id="8" xr3:uid="{F28D4F49-9219-4541-90CF-98708D0EC17C}" name="Year-To-Date Net Generation_x000a_(Megawatthours)" dataDxfId="937"/>
    <tableColumn id="9" xr3:uid="{270BAFE6-F1E3-4E43-AAA5-E605D2434032}" name="X's to delete from 923 value on Gen CO2e tab when calculating CO2 emissions" dataDxfId="936"/>
    <tableColumn id="10" xr3:uid="{8F7B9166-F9B6-45D2-B6A6-315CFF721C56}" name="Electricity Fuel Consumption MMBTU (positive gen only)" dataDxfId="935"/>
    <tableColumn id="11" xr3:uid="{54468244-F196-4865-83A0-16DEE326360C}" name="POSITIVE Net Generation MWh" dataDxfId="934"/>
    <tableColumn id="12" xr3:uid="{42C0613E-F729-484F-A37A-260DEE3585AB}" name="WEIGHTED AVG HEAT RATE_x000a_(used in Heat Rate Table on 'GIS' tab)" dataDxfId="933"/>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99C7FAE-933A-413F-868A-8AE71B30E354}" name="EIA923DataSubtotalsRI" displayName="EIA923DataSubtotalsRI" ref="A3240:L3263" totalsRowShown="0" headerRowDxfId="932" headerRowBorderDxfId="931">
  <autoFilter ref="A3240:L3263" xr:uid="{099C7FAE-933A-413F-868A-8AE71B30E35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78D5A9EE-B08E-4568-9A73-52D74C4AE382}" name="Fuel" dataDxfId="930"/>
    <tableColumn id="2" xr3:uid="{DB4D8AE4-5F95-4C8D-A33B-E862B7EA731F}" name="Reported_x000a_Fuel Type Code" dataDxfId="929"/>
    <tableColumn id="3" xr3:uid="{B87E36D9-8917-45E1-ADEF-76D0DDA56020}" name="MER_x000a_Fuel Type Code" dataDxfId="928"/>
    <tableColumn id="4" xr3:uid="{D7E4191C-948A-419D-8D3E-D18FA76FE818}" name="Year-To-Date Total Fuel Consumption_x000a_Quantity" dataDxfId="927"/>
    <tableColumn id="5" xr3:uid="{B961173B-6677-42AC-A3BC-7EE7052F04F1}" name="Year-To-Date Electric Fuel Consumption_x000a_Quantity" dataDxfId="926"/>
    <tableColumn id="6" xr3:uid="{EDCA6E15-526E-441D-88F2-9614C2323BF6}" name="Year-To-Date Total Fuel Consumption_x000a_MMBtu" dataDxfId="925"/>
    <tableColumn id="7" xr3:uid="{2EB93D2D-19A7-4FCD-B6EB-7D9435E8610B}" name="Year-To-Date Elec Fuel Consumption_x000a_MMBtu" dataDxfId="924"/>
    <tableColumn id="8" xr3:uid="{E2FCDA11-D0B4-4FF8-8624-CD6AC9490895}" name="Year-To-Date Net Generation_x000a_(Megawatthours)" dataDxfId="923"/>
    <tableColumn id="9" xr3:uid="{AA41B0BA-29C9-4EF3-8097-31EBE8AE58D4}" name="X's to delete from 923 value on Gen CO2e tab when calculating CO2 emissions" dataDxfId="922"/>
    <tableColumn id="10" xr3:uid="{301E431C-1E60-4EAB-9BD9-ED19A26E0843}" name="Electricity Fuel Consumption MMBTU (positive gen only)" dataDxfId="921"/>
    <tableColumn id="11" xr3:uid="{92B0E750-DBE9-4ED4-94A6-8B3088AFFB50}" name="POSITIVE Net Generation MWh" dataDxfId="920"/>
    <tableColumn id="12" xr3:uid="{06A91520-8D52-40A1-BDA8-3B3BECD86E79}" name="WEIGHTED AVG HEAT RATE_x000a_(used in Heat Rate Table on 'GIS' tab)" dataDxfId="919"/>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A0C9EC61-D6FA-4EB6-AD16-BCE024A0D2C6}" name="EIA923DataSubtotalsVT" displayName="EIA923DataSubtotalsVT" ref="A3267:L3290" totalsRowShown="0" headerRowDxfId="918" headerRowBorderDxfId="917">
  <autoFilter ref="A3267:L3290" xr:uid="{A0C9EC61-D6FA-4EB6-AD16-BCE024A0D2C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2392BAE0-9B13-4112-99F5-1DAE6D7F18BB}" name="Fuel" dataDxfId="916"/>
    <tableColumn id="2" xr3:uid="{1D5622DD-02E8-47E0-AC08-19CC901B905E}" name="Reported_x000a_Fuel Type Code" dataDxfId="915"/>
    <tableColumn id="3" xr3:uid="{76D67654-712C-44D0-8056-28D5030F4D8E}" name="MER_x000a_Fuel Type Code" dataDxfId="914"/>
    <tableColumn id="4" xr3:uid="{6207DC5A-8C72-4324-8E98-FF46F0FE2377}" name="Year-To-Date Total Fuel Consumption_x000a_Quantity" dataDxfId="913"/>
    <tableColumn id="5" xr3:uid="{767C998F-6575-469D-9D90-7F8268E604EB}" name="Year-To-Date Electric Fuel Consumption_x000a_Quantity" dataDxfId="912"/>
    <tableColumn id="6" xr3:uid="{21F42734-DDC5-4C79-90E8-C02B0B924AE0}" name="Year-To-Date Total Fuel Consumption_x000a_MMBtu" dataDxfId="911"/>
    <tableColumn id="7" xr3:uid="{824BD3D0-6D9D-4454-B7E2-AB01D4C25FBF}" name="Year-To-Date Elec Fuel Consumption_x000a_MMBtu" dataDxfId="910"/>
    <tableColumn id="8" xr3:uid="{22241AE8-6D8E-44AF-A126-8EAF04CF8F02}" name="Year-To-Date Net Generation_x000a_(Megawatthours)" dataDxfId="909"/>
    <tableColumn id="9" xr3:uid="{759E25FC-E753-4B83-A5C4-CF07BA57C87F}" name="X's to delete from 923 value on Gen CO2e tab when calculating CO2 emissions" dataDxfId="908"/>
    <tableColumn id="10" xr3:uid="{05578C26-87C4-47F4-A126-1BCE5F6C90F1}" name="Electricity Fuel Consumption MMBTU (positive gen only)" dataDxfId="907"/>
    <tableColumn id="11" xr3:uid="{2695DD68-8332-4539-ACC5-9F4ABA000D92}" name="POSITIVE Net Generation MWh" dataDxfId="906"/>
    <tableColumn id="12" xr3:uid="{5D2036F8-6253-40C9-A03F-E638A68DF522}" name="WEIGHTED AVG HEAT RATE_x000a_(used in Heat Rate Table on 'GIS' tab)" dataDxfId="905"/>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58B192D5-9278-4FF3-B31A-17AF40EAB497}" name="EIA923DataSubtotals" displayName="EIA923DataSubtotals" ref="A3076:F3078" totalsRowShown="0" headerRowDxfId="904" headerRowBorderDxfId="903" tableBorderDxfId="902">
  <autoFilter ref="A3076:F3078" xr:uid="{58B192D5-9278-4FF3-B31A-17AF40EAB497}">
    <filterColumn colId="0" hiddenButton="1"/>
    <filterColumn colId="1" hiddenButton="1"/>
    <filterColumn colId="2" hiddenButton="1"/>
    <filterColumn colId="3" hiddenButton="1"/>
    <filterColumn colId="4" hiddenButton="1"/>
    <filterColumn colId="5" hiddenButton="1"/>
  </autoFilter>
  <tableColumns count="6">
    <tableColumn id="1" xr3:uid="{81C6ED2F-FEB5-4A9F-89EE-62C7574D1E44}" name="Total Fuel Quantity"/>
    <tableColumn id="2" xr3:uid="{412C1849-3A9D-4347-9C80-1897D98DD395}" name="Elec Fuel Quantity"/>
    <tableColumn id="3" xr3:uid="{43294353-E244-49BE-87EB-E5E5BEC25D3B}" name="Total Fuel MMBtu"/>
    <tableColumn id="4" xr3:uid="{6086FCA9-1E46-4F78-9279-1BD0D2203E53}" name="Elec Fuel MMBtu"/>
    <tableColumn id="5" xr3:uid="{857F65D0-23FC-4242-9837-256574C6E712}" name="Net Generation (MWh)"/>
    <tableColumn id="6" xr3:uid="{D5DE008D-966B-491B-BEAC-301E9E441E86}" name="Electricity Rate Elec Fuel MMBTU/Net Gen = "/>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5DCC8B38-AC38-495F-955E-EA39DC254D57}" name="EIA923DataRegionalHeatRates" displayName="EIA923DataRegionalHeatRates" ref="A3082:B3087" totalsRowShown="0" headerRowDxfId="901">
  <autoFilter ref="A3082:B3087" xr:uid="{5DCC8B38-AC38-495F-955E-EA39DC254D57}">
    <filterColumn colId="0" hiddenButton="1"/>
    <filterColumn colId="1" hiddenButton="1"/>
  </autoFilter>
  <tableColumns count="2">
    <tableColumn id="1" xr3:uid="{C3C97C4A-2B3E-4719-B04E-BD7119D1A116}" name="Heat Rate Type" dataDxfId="900"/>
    <tableColumn id="2" xr3:uid="{40F81661-752E-4C5F-BA04-7870D31153FE}" name="MMBTU/MWh"/>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445C2A4A-EFA4-4292-A031-1B29D2634D36}" name="EIA923DataMATrashSplit" displayName="EIA923DataMATrashSplit" ref="A3091:B3094" totalsRowShown="0">
  <autoFilter ref="A3091:B3094" xr:uid="{445C2A4A-EFA4-4292-A031-1B29D2634D36}">
    <filterColumn colId="0" hiddenButton="1"/>
    <filterColumn colId="1" hiddenButton="1"/>
  </autoFilter>
  <tableColumns count="2">
    <tableColumn id="1" xr3:uid="{D93E1BF9-E0B3-4DD6-8DD0-665BD970A49D}" name="Trash Type"/>
    <tableColumn id="2" xr3:uid="{AFCA8B66-9901-4657-A1D8-9314BB8E55D1}" name="Percent"/>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4927F1D-A91D-4023-A40A-E0238F109DF5}" name="EPAPart75Data" displayName="EPAPart75Data" ref="A6:J363" totalsRowShown="0" headerRowDxfId="899" dataDxfId="898">
  <autoFilter ref="A6:J363" xr:uid="{84927F1D-A91D-4023-A40A-E0238F109DF5}"/>
  <tableColumns count="10">
    <tableColumn id="1" xr3:uid="{C29BE3CD-87E4-43A8-83E5-6B18550EC77A}" name="State" dataDxfId="897"/>
    <tableColumn id="2" xr3:uid="{B4DB0F2B-3DDE-442F-83AF-5010CF3004FB}" name=" Facility Name" dataDxfId="896"/>
    <tableColumn id="3" xr3:uid="{054F553D-8CD4-4A23-B748-D1D0054946B3}" name=" Facility ID (ORISPL)" dataDxfId="895"/>
    <tableColumn id="4" xr3:uid="{E4ADA548-D855-48DE-AFC0-6BF7F0487EAB}" name=" Unit ID" dataDxfId="894"/>
    <tableColumn id="5" xr3:uid="{3F2EB247-359E-47C6-B77F-5CD721EA8C45}" name=" Year" dataDxfId="893"/>
    <tableColumn id="6" xr3:uid="{EDF753DE-252F-4C19-B849-58118759F8CC}" name=" CO2 (short tons)" dataDxfId="892"/>
    <tableColumn id="7" xr3:uid="{04D0C54C-D505-4B5D-BE73-0456D54AE8A8}" name=" Heat Input (MMBtu)" dataDxfId="891"/>
    <tableColumn id="8" xr3:uid="{63DA1EF5-6480-46C9-9AE9-B2807FD9E170}" name=" Unit Type" dataDxfId="890"/>
    <tableColumn id="9" xr3:uid="{872CB8A3-91BE-4AF9-8F7F-1932BC657E8C}" name="CO2 (tons)" dataDxfId="889"/>
    <tableColumn id="10" xr3:uid="{9AF78721-EB7F-4B9F-BB61-B91CBAC62B28}" name="NOTES" dataDxfId="888"/>
  </tableColumns>
  <tableStyleInfo name="TableStyleLight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CB96C12-E0F8-4932-ADA9-D78C8470FC2A}" name="EPAPart75DataStateSubtotals" displayName="EPAPart75DataStateSubtotals" ref="A366:B375" totalsRowShown="0" headerRowDxfId="887" headerRowBorderDxfId="886" tableBorderDxfId="885">
  <autoFilter ref="A366:B375" xr:uid="{5CB96C12-E0F8-4932-ADA9-D78C8470FC2A}">
    <filterColumn colId="0" hiddenButton="1"/>
    <filterColumn colId="1" hiddenButton="1"/>
  </autoFilter>
  <tableColumns count="2">
    <tableColumn id="1" xr3:uid="{5D8A1A08-B1AB-46B7-8E1B-920D19685CE1}" name="State" dataDxfId="884"/>
    <tableColumn id="2" xr3:uid="{37883B13-C675-49FE-8EE8-A6A0A427650B}" name=" CO2 (short tons)" dataDxfId="883"/>
  </tableColumns>
  <tableStyleInfo name="TableStyleLight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7BBEBBA3-6082-4BF9-98E9-60E8B9C71816}" name="NetTransferGISEmissionsSummary" displayName="NetTransferGISEmissionsSummary" ref="A24:J32" totalsRowShown="0" headerRowDxfId="882" dataDxfId="881">
  <autoFilter ref="A24:J32" xr:uid="{7BBEBBA3-6082-4BF9-98E9-60E8B9C718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6D7EFC9-3BB8-440B-BBE9-3183A306D359}" name="Emissions (lb CO2e)" dataDxfId="880"/>
    <tableColumn id="2" xr3:uid="{074CEBCF-7BE4-4163-A49F-5C4C3A094C30}" name="MA" dataDxfId="879"/>
    <tableColumn id="3" xr3:uid="{0FAD7110-110D-4829-892C-501D8C45A0F5}" name="CT" dataDxfId="878"/>
    <tableColumn id="4" xr3:uid="{A3DEADA6-A8D5-456F-B30F-5028F30E40FA}" name="ME" dataDxfId="877"/>
    <tableColumn id="5" xr3:uid="{A8FA0759-7930-4120-B178-F1748E03ADA2}" name="NH" dataDxfId="876"/>
    <tableColumn id="6" xr3:uid="{AC9D78A4-DE15-4CD9-B5C3-5298BA793986}" name="NY" dataDxfId="875"/>
    <tableColumn id="7" xr3:uid="{BFC1F940-2BA2-4E6D-91C1-79CA7E24A853}" name="RI" dataDxfId="874"/>
    <tableColumn id="8" xr3:uid="{B2B9EFDA-E58D-4C59-95FC-8D591EE00220}" name="VT" dataDxfId="873"/>
    <tableColumn id="9" xr3:uid="{86FD2187-1FF7-491C-854D-419A4563637A}" name="Q" dataDxfId="872"/>
    <tableColumn id="10" xr3:uid="{D1BFAD33-C5E1-4EA0-9E36-11B39B5A652F}" name="NB" dataDxfId="871">
      <calculatedColumnFormula>D181</calculatedColumnFormula>
    </tableColumn>
  </tableColumns>
  <tableStyleInfo name="TableStyleLight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7DC092D5-146B-4241-89F9-B3D3945DFE01}" name="ISONEStateGenerationAndLoad" displayName="ISONEStateGenerationAndLoad" ref="A49:H57" totalsRowShown="0" headerRowDxfId="1301" dataDxfId="1299" headerRowBorderDxfId="1300" tableBorderDxfId="1298">
  <autoFilter ref="A49:H57" xr:uid="{7DC092D5-146B-4241-89F9-B3D3945DFE0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1D6A559-4345-4E92-BEA9-F71EF343A032}" name="State" dataDxfId="1297"/>
    <tableColumn id="2" xr3:uid="{1E82DDB0-56F1-4E82-B2CE-9A1D67BFC679}" name="Electric Generation (including net GIS certificates)" dataDxfId="1296"/>
    <tableColumn id="3" xr3:uid="{EAA16688-79BA-4A0E-AD36-2B6153BCC67F}" name="Electric Load (including behind-the-meter GIS certificates)" dataDxfId="1295"/>
    <tableColumn id="4" xr3:uid="{87205A34-02E1-4CFC-BD57-103DD13824F7}" name="State's Share of ISO-NE Total Hydro Pumping Load" dataDxfId="1294"/>
    <tableColumn id="5" xr3:uid="{574DFC32-8FF8-4D76-9CD3-1421C5FC2FF9}" name="Electric Load (including behind-the-meter GIS certificates and state's share of ISO-NE Pumping)" dataDxfId="1293"/>
    <tableColumn id="6" xr3:uid="{1ABC4583-656A-48A5-AAC3-7F881C25F020}" name="Shortfalls: States that Need MWh (after accounting for GIS certificates)" dataDxfId="1292"/>
    <tableColumn id="7" xr3:uid="{BF5AB120-3052-4B0E-A5F7-269A4107C90B}" name="Excess: States with Excess MWh (after accounting for GIS certificates)" dataDxfId="1291"/>
    <tableColumn id="8" xr3:uid="{17D7597A-124B-4F73-8DA3-DF45B2D2F679}" name="State Fraction of NE-ISO State and Region Need" dataDxfId="1290"/>
  </tableColumns>
  <tableStyleInfo name="TableStyleLight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87CD3EC4-86CC-4A45-AE98-62645F6C2616}" name="NetTransferGISEmissionsFromNonBiogenicFuelsMA" displayName="NetTransferGISEmissionsFromNonBiogenicFuelsMA" ref="A36:H42" totalsRowShown="0" headerRowDxfId="870" headerRowBorderDxfId="869" tableBorderDxfId="868">
  <autoFilter ref="A36:H42" xr:uid="{87CD3EC4-86CC-4A45-AE98-62645F6C261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CCC1393-F852-4436-9A0A-375232EE2E43}" name="Fuel Type" dataDxfId="867"/>
    <tableColumn id="2" xr3:uid="{7CAF1F14-3A99-443C-8805-73D5A5D12F91}" name="Fuel Codes from EIA"/>
    <tableColumn id="3" xr3:uid="{15461826-48D2-4F0A-8EC3-D4004EFE82C1}" name="Heat Input from GIS certificates (MMBtu)"/>
    <tableColumn id="4" xr3:uid="{C9C5208D-124B-4F5A-A88D-B946172B1D1A}" name="Calculated CO2 (lb)"/>
    <tableColumn id="5" xr3:uid="{919EB1D6-E06E-436A-ABCF-04DB5123351A}" name="CH4 (lb)" dataDxfId="866"/>
    <tableColumn id="6" xr3:uid="{FDB17B3A-124F-40DF-B54D-CC77A4D3BB59}" name="CO2e (lb) from CH4"/>
    <tableColumn id="7" xr3:uid="{739CC5F9-1002-4BC6-946C-A6D7D6C95F75}" name="N2O (lb)" dataDxfId="865"/>
    <tableColumn id="8" xr3:uid="{337597D9-CC17-407E-A341-A56B946D1FD7}" name="CO2e (lb) from N2O"/>
  </tableColumns>
  <tableStyleInfo name="TableStyleLight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8BC44988-1B21-439D-886F-67B411F79B45}" name="NetTransferGISEmissionsFromBiogenicFuelsMA" displayName="NetTransferGISEmissionsFromBiogenicFuelsMA" ref="A45:H51" totalsRowShown="0" headerRowDxfId="864" dataDxfId="862" headerRowBorderDxfId="863" tableBorderDxfId="861">
  <autoFilter ref="A45:H51" xr:uid="{8BC44988-1B21-439D-886F-67B411F79B4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19304F5-5653-48C7-BCC5-DE0925F4B2CB}" name="Fuel Type" dataDxfId="860"/>
    <tableColumn id="2" xr3:uid="{007B2F90-D25D-4CE0-85D2-D422D295F335}" name="Fuel Codes from EIA" dataDxfId="859"/>
    <tableColumn id="3" xr3:uid="{9432DF1F-1C7E-423E-8102-C17E060C1958}" name="Heat Input from GIS certificates (MMBtu)" dataDxfId="858"/>
    <tableColumn id="4" xr3:uid="{AC7F031F-8EFE-4931-9A0D-8B3F39536748}" name="Calculated CO2 (lb)" dataDxfId="857"/>
    <tableColumn id="5" xr3:uid="{0E5B1AA6-F17D-4EDF-87CD-241CBFD231D5}" name="CH4 (lb)" dataDxfId="856"/>
    <tableColumn id="6" xr3:uid="{2B5647D2-1178-4085-A1E9-847D60D0CE81}" name="CO2e (lb) from CH4" dataDxfId="855"/>
    <tableColumn id="7" xr3:uid="{43287975-48EE-4134-83C2-232B2149DB62}" name="N2O (lb)" dataDxfId="854"/>
    <tableColumn id="8" xr3:uid="{B4D2DE85-2783-4AEE-B8EB-EC30B5B73C20}" name="CO2e (lb) from N2O" dataDxfId="853"/>
  </tableColumns>
  <tableStyleInfo name="TableStyleLight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33C325D-CE27-4718-9DC8-2280409359E8}" name="NetTransferGISEmissionsFromBiogenicFuelsCT" displayName="NetTransferGISEmissionsFromBiogenicFuelsCT" ref="A63:H69" totalsRowShown="0" headerRowDxfId="852" dataDxfId="850" headerRowBorderDxfId="851" tableBorderDxfId="849">
  <autoFilter ref="A63:H69" xr:uid="{B33C325D-CE27-4718-9DC8-2280409359E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6870EBA-7BDA-419B-89A6-BFED10B5AC37}" name="Fuel Type" dataDxfId="848"/>
    <tableColumn id="2" xr3:uid="{C82BCB6E-80DE-4196-A052-F6747B6EFD78}" name="Fuel Codes from EIA" dataDxfId="847"/>
    <tableColumn id="3" xr3:uid="{E8673F47-3D56-4B47-99E0-0D765D20461E}" name="Heat Input from GIS certificates (MMBtu)" dataDxfId="846"/>
    <tableColumn id="4" xr3:uid="{C4103593-B589-46D2-88D1-20BB2C5F1A5E}" name="Calculated CO2 (lb)" dataDxfId="845"/>
    <tableColumn id="5" xr3:uid="{3637BBF3-B2DD-40F5-97C0-1C156B51EF01}" name="CH4 (lb)" dataDxfId="844"/>
    <tableColumn id="6" xr3:uid="{519F6FD4-B76F-4AA7-BA05-72EF7A30B7F4}" name="CO2e (lb) from CH4" dataDxfId="843"/>
    <tableColumn id="7" xr3:uid="{D5065C7F-82E3-4E54-9C66-631BFBC2DC9B}" name="N2O (lb)" dataDxfId="842"/>
    <tableColumn id="8" xr3:uid="{CBB7E9F5-ADB0-48E5-B597-666232C5AB8A}" name="CO2e (lb) from N2O" dataDxfId="841"/>
  </tableColumns>
  <tableStyleInfo name="TableStyleLight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EB628202-A6A1-4A5E-A6A7-4EA61CB6AE9C}" name="NetTransferGISEmissionsFromNonBiogenicFuelsCT" displayName="NetTransferGISEmissionsFromNonBiogenicFuelsCT" ref="A54:H60" totalsRowShown="0" headerRowDxfId="840" headerRowBorderDxfId="839" tableBorderDxfId="838">
  <autoFilter ref="A54:H60" xr:uid="{EB628202-A6A1-4A5E-A6A7-4EA61CB6AE9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C7B4253-1D1C-4681-A94B-440460047E82}" name="Fuel Type" dataDxfId="837"/>
    <tableColumn id="2" xr3:uid="{952B9669-586D-4F54-8C0D-B8EC23C6E7FC}" name="Fuel Codes from EIA"/>
    <tableColumn id="3" xr3:uid="{B5A7E1D6-8F0D-4AD0-8B98-68979291B65D}" name="Heat Input from GIS certificates (MMBtu)"/>
    <tableColumn id="4" xr3:uid="{8F62F163-EA29-48E0-B9CB-EA6156F60761}" name="Calculated CO2 (lb)"/>
    <tableColumn id="5" xr3:uid="{641AC42D-0517-4CD3-9103-EBA66A9519DD}" name="CH4 (lb)" dataDxfId="836"/>
    <tableColumn id="6" xr3:uid="{9E0EFFD9-62F7-45F7-A536-5F1B8E73F596}" name="CO2e (lb) from CH4"/>
    <tableColumn id="7" xr3:uid="{824011A2-4658-4DC5-9F6C-5F1EF436A7DD}" name="N2O (lb)" dataDxfId="835"/>
    <tableColumn id="8" xr3:uid="{2475E9DD-329B-46FC-AC03-2412317EDC4C}" name="CO2e (lb) from N2O"/>
  </tableColumns>
  <tableStyleInfo name="TableStyleLight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2DD19D1-BF54-4DCE-981D-53A95452B218}" name="NetTransferGISEmissionsFromNonBiogenicFuelsME" displayName="NetTransferGISEmissionsFromNonBiogenicFuelsME" ref="A72:H79" totalsRowShown="0" headerRowDxfId="834" headerRowBorderDxfId="833" tableBorderDxfId="832">
  <autoFilter ref="A72:H79" xr:uid="{02DD19D1-BF54-4DCE-981D-53A95452B21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B124C7F-5FE1-40D1-BE2C-069ACA602731}" name="Fuel Type" dataDxfId="831"/>
    <tableColumn id="2" xr3:uid="{49237957-1207-4212-A514-B8C31F733887}" name="Fuel Codes from EIA"/>
    <tableColumn id="3" xr3:uid="{8D8E05CF-06B1-4B96-A0FE-375250034412}" name="Heat Input from GIS certificates (MMBtu)"/>
    <tableColumn id="4" xr3:uid="{FB2107C3-F273-4FFA-9417-3A4ECB10BD9F}" name="Calculated CO2 (lb)"/>
    <tableColumn id="5" xr3:uid="{B871B15E-E1CB-469A-9598-2E4E7C2BCD46}" name="CH4 (lb)" dataDxfId="830"/>
    <tableColumn id="6" xr3:uid="{009EACB9-0A77-4812-A792-207F7FCF05E6}" name="CO2e (lb) from CH4"/>
    <tableColumn id="7" xr3:uid="{4E96A748-1DCB-4BED-960B-EC9D10B9E693}" name="N2O (lb)" dataDxfId="829"/>
    <tableColumn id="8" xr3:uid="{D7F3E1AD-A584-4CD1-A3AA-A1888FB22FB7}" name="CO2e (lb) from N2O"/>
  </tableColumns>
  <tableStyleInfo name="TableStyleLight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5E5A0246-AFD0-4413-94B9-D74FE682112B}" name="NetTransferGISEmissionsFromBiogenicFuelsME" displayName="NetTransferGISEmissionsFromBiogenicFuelsME" ref="A82:H89" totalsRowShown="0" headerRowDxfId="828" dataDxfId="826" headerRowBorderDxfId="827" tableBorderDxfId="825">
  <autoFilter ref="A82:H89" xr:uid="{5E5A0246-AFD0-4413-94B9-D74FE682112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E52DDC7-3F19-4C2A-B6DB-4E7E16F3C855}" name="Fuel Type" dataDxfId="824"/>
    <tableColumn id="2" xr3:uid="{31D6FDF6-03A6-427A-81DB-7CA17EF04827}" name="Fuel Codes from EIA"/>
    <tableColumn id="3" xr3:uid="{26BC0DAE-1E0D-4562-8935-55A3A65B77C2}" name="Heat Input from GIS certificates (MMBtu)"/>
    <tableColumn id="4" xr3:uid="{05025F2A-7D04-423D-8D69-4693A3C4F77E}" name="Calculated CO2 (lb)" dataDxfId="823"/>
    <tableColumn id="5" xr3:uid="{4038017A-0CDC-441D-9054-98359BF0A7D6}" name="CH4 (lb)" dataDxfId="822"/>
    <tableColumn id="6" xr3:uid="{1517E909-5A79-4D38-935B-4356AE6565B5}" name="CO2e (lb) from CH4" dataDxfId="821"/>
    <tableColumn id="7" xr3:uid="{EB1BFD9D-BB39-48F1-A2F4-E3F899E0B03B}" name="N2O (lb)" dataDxfId="820"/>
    <tableColumn id="8" xr3:uid="{2E405359-1626-43E8-B2A6-3C265B2B24BA}" name="CO2e (lb) from N2O" dataDxfId="819"/>
  </tableColumns>
  <tableStyleInfo name="TableStyleLight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1C87E8B7-F87B-4DD5-84D7-58D544B497C0}" name="NetTransferGISEmissionsFromNonBiogenicFuelsNH" displayName="NetTransferGISEmissionsFromNonBiogenicFuelsNH" ref="A92:H97" totalsRowShown="0" headerRowDxfId="818" dataDxfId="816" headerRowBorderDxfId="817">
  <autoFilter ref="A92:H97" xr:uid="{1C87E8B7-F87B-4DD5-84D7-58D544B497C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33A7EDE-CF19-4581-BAC5-B0934A72FC40}" name="Fuel Type" dataDxfId="815"/>
    <tableColumn id="2" xr3:uid="{7335ADCE-8776-4EDD-AA58-F68B44FD18EC}" name="Fuel Codes from EIA" dataDxfId="814"/>
    <tableColumn id="3" xr3:uid="{62FF2D81-5EC5-4A77-9207-2BA28A83A096}" name="Heat Input from GIS certificates (MMBtu)" dataDxfId="813"/>
    <tableColumn id="4" xr3:uid="{E016B438-0D5A-494F-9AFF-E0645B8662D5}" name="Calculated CO2 (lb)" dataDxfId="812"/>
    <tableColumn id="5" xr3:uid="{44CC6D7E-5952-462F-9D59-DDFA96BF2A19}" name="CH4 (lb)" dataDxfId="811"/>
    <tableColumn id="6" xr3:uid="{C8C2886C-B07C-4C52-ABCF-5270D25354A8}" name="CO2e (lb) from CH4" dataDxfId="810"/>
    <tableColumn id="7" xr3:uid="{349F41AA-BB13-40B6-BDD9-6BC5F5DEEE59}" name="N2O (lb)" dataDxfId="809"/>
    <tableColumn id="8" xr3:uid="{FD1159A7-31F1-4949-A77D-43A977E0C6A2}" name="CO2e (lb) from N2O" dataDxfId="808"/>
  </tableColumns>
  <tableStyleInfo name="TableStyleLight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C12F503D-DE41-4C37-B91B-E54862C88909}" name="NetTransferGISEmissionsFromBiogenicFuelsNH" displayName="NetTransferGISEmissionsFromBiogenicFuelsNH" ref="A100:H106" totalsRowShown="0" headerRowDxfId="807" dataDxfId="805" headerRowBorderDxfId="806">
  <autoFilter ref="A100:H106" xr:uid="{C12F503D-DE41-4C37-B91B-E54862C8890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3F69810-8727-44DE-89B8-1299D63008A6}" name="Fuel Type" dataDxfId="804"/>
    <tableColumn id="2" xr3:uid="{1DF4D71D-71DC-4078-9EBD-E6E7B929F892}" name="Fuel Codes from EIA" dataDxfId="803"/>
    <tableColumn id="3" xr3:uid="{4E85FAA1-8C49-4A2B-B42D-7E25B3DFFF7F}" name="Heat Input from GIS certificates (MMBtu)" dataDxfId="802"/>
    <tableColumn id="4" xr3:uid="{1225F8DB-A628-478C-9A97-345C4250E1E5}" name="Calculated CO2 (lb)" dataDxfId="801"/>
    <tableColumn id="5" xr3:uid="{89152BAC-A3E5-4223-8D4C-AC2E49323855}" name="CH4 (lb)" dataDxfId="800"/>
    <tableColumn id="6" xr3:uid="{B434E10C-39C6-4963-84FB-3B7B742608BB}" name="CO2e (lb) from CH4" dataDxfId="799"/>
    <tableColumn id="7" xr3:uid="{B4155607-F66C-489C-8884-FDE7DA699714}" name="N2O (lb)" dataDxfId="798"/>
    <tableColumn id="8" xr3:uid="{82D7691C-0037-4B24-ABC5-EA85131E0588}" name="CO2e (lb) from N2O" dataDxfId="797"/>
  </tableColumns>
  <tableStyleInfo name="TableStyleLight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1EED208D-0B5A-4722-989E-48F5D98EAA39}" name="NetTransferGISEmissionsFromNonBiogenicFuelsNY" displayName="NetTransferGISEmissionsFromNonBiogenicFuelsNY" ref="A109:H115" totalsRowShown="0" headerRowDxfId="796" dataDxfId="794" headerRowBorderDxfId="795">
  <autoFilter ref="A109:H115" xr:uid="{1EED208D-0B5A-4722-989E-48F5D98EAA3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C6E1785-4722-480A-9096-E95F8A33236C}" name="Fuel Type" dataDxfId="793"/>
    <tableColumn id="2" xr3:uid="{4311665C-4D38-4D3E-AE77-B25E87BF9712}" name="Fuel Codes from EIA" dataDxfId="792"/>
    <tableColumn id="3" xr3:uid="{7F411BAA-BB1F-4F53-A673-9C68E24D5FEC}" name="Heat Input from GIS certificates (MMBtu)" dataDxfId="791"/>
    <tableColumn id="4" xr3:uid="{51C2512E-9F90-49CE-83E3-2B4828D87E41}" name="Calculated CO2 (lb)" dataDxfId="790"/>
    <tableColumn id="5" xr3:uid="{3E2B81F6-9DBE-40BC-883C-FF7B60903C4B}" name="CH4 (lb)" dataDxfId="789"/>
    <tableColumn id="6" xr3:uid="{0CE8DC32-7793-4BEF-B660-9E70A6BE89B3}" name="CO2e (lb) from CH4" dataDxfId="788"/>
    <tableColumn id="7" xr3:uid="{BAD9BAD6-B592-4257-BCB5-36D334C480F5}" name="N2O (lb)" dataDxfId="787"/>
    <tableColumn id="8" xr3:uid="{DF894325-A45B-4F24-A10A-4BCB452099DF}" name="CO2e (lb) from N2O" dataDxfId="786"/>
  </tableColumns>
  <tableStyleInfo name="TableStyleLight1"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AEB07CD5-9182-46E5-9705-CD3B2BEC1B33}" name="NetTransferGISEmissionsFromBiogenicFuelsNY" displayName="NetTransferGISEmissionsFromBiogenicFuelsNY" ref="A118:H125" totalsRowShown="0" headerRowDxfId="785" dataDxfId="783" headerRowBorderDxfId="784">
  <autoFilter ref="A118:H125" xr:uid="{AEB07CD5-9182-46E5-9705-CD3B2BEC1B3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6863C16-8AC8-4DCF-9A30-57EBA3D2932C}" name="Fuel Type" dataDxfId="782"/>
    <tableColumn id="2" xr3:uid="{CEB89A78-B8BB-4DA4-A68C-BA07E5B5550A}" name="Fuel Codes from EIA" dataDxfId="781"/>
    <tableColumn id="3" xr3:uid="{F2BF683F-BB16-45FE-AED5-ADBA0203ADA2}" name="Heat Input from GIS certificates (MMBtu)" dataDxfId="780"/>
    <tableColumn id="4" xr3:uid="{345D3B85-F7BB-4BC0-8D4A-CCF03CB57A42}" name="Calculated CO2 (lb)" dataDxfId="779"/>
    <tableColumn id="5" xr3:uid="{FE0ED01B-B20B-49B5-88A5-C63C94806CF8}" name="CH4 (lb)" dataDxfId="778"/>
    <tableColumn id="6" xr3:uid="{45B78216-684F-4701-AFFB-671A8AC069DE}" name="CO2e (lb) from CH4" dataDxfId="777"/>
    <tableColumn id="7" xr3:uid="{3E65366C-232A-46B6-A228-794559B8A9DF}" name="N2O (lb)" dataDxfId="776"/>
    <tableColumn id="8" xr3:uid="{04AC6BC7-7894-4941-A288-D26A82D94263}" name="CO2e (lb) from N2O" dataDxfId="77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DA97C441-F421-4706-8A2B-498BF10FE1A5}" name="ISONEImports" displayName="ISONEImports" ref="A60:C65" totalsRowShown="0" headerRowBorderDxfId="1289" tableBorderDxfId="1288">
  <autoFilter ref="A60:C65" xr:uid="{DA97C441-F421-4706-8A2B-498BF10FE1A5}">
    <filterColumn colId="0" hiddenButton="1"/>
    <filterColumn colId="1" hiddenButton="1"/>
    <filterColumn colId="2" hiddenButton="1"/>
  </autoFilter>
  <tableColumns count="3">
    <tableColumn id="1" xr3:uid="{2841694F-B51A-4DDD-811A-4A6C74143541}" name="Adjacent State/Province" dataDxfId="1287"/>
    <tableColumn id="2" xr3:uid="{E9239D0D-40D4-4CAA-9B9F-5098AA1210BB}" name="Exports into ISO-NE minus imports out of ISO-NE (including GIS certificates)" dataDxfId="1286"/>
    <tableColumn id="3" xr3:uid="{A684E720-C346-4D05-8BD7-75BB37D90A82}" name="ISO-NE Region Shortfalls (after accounting for certificates)" dataDxfId="1285"/>
  </tableColumns>
  <tableStyleInfo name="TableStyleLight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45D58CB-B1C9-4964-8AB9-724F90B63F4C}" name="NetTransferGISEmissionsFromNonBiogenicFuelsRI" displayName="NetTransferGISEmissionsFromNonBiogenicFuelsRI" ref="A128:H133" totalsRowShown="0" headerRowDxfId="774" dataDxfId="772" headerRowBorderDxfId="773">
  <autoFilter ref="A128:H133" xr:uid="{045D58CB-B1C9-4964-8AB9-724F90B63F4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286249B-A4AC-4AAA-A9A9-40DF919747E5}" name="Fuel Type" dataDxfId="771"/>
    <tableColumn id="2" xr3:uid="{EE8C7F21-1579-4067-8D50-F2CB38D3A6F2}" name="Fuel Codes from EIA" dataDxfId="770"/>
    <tableColumn id="3" xr3:uid="{516FAD39-5D94-4A2C-92D9-993E5D2D65C0}" name="Heat Input from GIS certificates (MMBtu)" dataDxfId="769"/>
    <tableColumn id="4" xr3:uid="{0B2232B1-7A65-42D2-8BF7-09D9B5AA8CF2}" name="Calculated CO2 (lb)" dataDxfId="768"/>
    <tableColumn id="5" xr3:uid="{3611D84B-BBC4-46E3-B118-94CC16D8360A}" name="CH4 (lb)" dataDxfId="767"/>
    <tableColumn id="6" xr3:uid="{5CCD2299-47BE-49F2-B7DB-8828690E9867}" name="CO2e (lb) from CH4" dataDxfId="766"/>
    <tableColumn id="7" xr3:uid="{703634A7-74DA-45B6-82CE-3EA846F22892}" name="N2O (lb)" dataDxfId="765"/>
    <tableColumn id="8" xr3:uid="{EB9743B7-86CB-42AF-8100-E5947ABCED95}" name="CO2e (lb) from N2O" dataDxfId="764"/>
  </tableColumns>
  <tableStyleInfo name="TableStyleLight1"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C1F9731B-5AC7-4802-89BB-3138FB2960B7}" name="NetTransferGISEmissionsFromBiogenicFuelsRI" displayName="NetTransferGISEmissionsFromBiogenicFuelsRI" ref="A136:H142" totalsRowShown="0" headerRowDxfId="763" dataDxfId="761" headerRowBorderDxfId="762">
  <autoFilter ref="A136:H142" xr:uid="{C1F9731B-5AC7-4802-89BB-3138FB2960B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B8C3199-B456-4819-8672-D2A7FB11037C}" name="Fuel Type" dataDxfId="760"/>
    <tableColumn id="2" xr3:uid="{A503E239-1ECB-4088-862B-02E7235B6A30}" name="Fuel Codes from EIA" dataDxfId="759"/>
    <tableColumn id="3" xr3:uid="{08FDC333-8C7C-4CE0-BF68-52F2EA935BD3}" name="Heat Input from GIS certificates (MMBtu)" dataDxfId="758"/>
    <tableColumn id="4" xr3:uid="{1310E409-47DA-43AA-B352-070FC502ED24}" name="Calculated CO2 (lb)" dataDxfId="757"/>
    <tableColumn id="5" xr3:uid="{68095B6C-FD9B-43AC-A8CA-2AFB76BCD7E4}" name="CH4 (lb)" dataDxfId="756"/>
    <tableColumn id="6" xr3:uid="{2E901DA4-4C5F-466E-A688-16F59C2F5CCC}" name="CO2e (lb) from CH4" dataDxfId="755"/>
    <tableColumn id="7" xr3:uid="{204BDE79-4C42-4EFF-BCE9-B3DC72A76D9D}" name="N2O (lb)" dataDxfId="754"/>
    <tableColumn id="8" xr3:uid="{46519132-60A7-4455-BFA9-B524F17C5C60}" name="CO2e (lb) from N2O" dataDxfId="753"/>
  </tableColumns>
  <tableStyleInfo name="TableStyleLight1"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342E4F13-DCEA-42AB-8EF1-43910F9D59EA}" name="NetTransferGISEmissionsFromNonBiogenicFuelsVT" displayName="NetTransferGISEmissionsFromNonBiogenicFuelsVT" ref="A145:H152" totalsRowShown="0" headerRowDxfId="752" headerRowBorderDxfId="751">
  <autoFilter ref="A145:H152" xr:uid="{342E4F13-DCEA-42AB-8EF1-43910F9D59E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4AEF86B-4B63-4658-B4EF-74A8C14B94A1}" name="Fuel Type"/>
    <tableColumn id="2" xr3:uid="{68E21521-CC43-45AD-9006-373F4F123CCC}" name="Fuel Codes from EIA"/>
    <tableColumn id="3" xr3:uid="{E9E2963B-B3EE-49EA-BA84-0FEB7C59D508}" name="Heat Input from GIS certificates (MMBtu)"/>
    <tableColumn id="4" xr3:uid="{D674063C-D01A-4767-9457-15BDB3EC592E}" name="Calculated CO2 (lb)"/>
    <tableColumn id="5" xr3:uid="{83215C12-3BB9-4279-A50B-EA9FF8EE9DDC}" name="CH4 (lb)" dataDxfId="750"/>
    <tableColumn id="6" xr3:uid="{88A70214-1CA4-43F4-B132-2EDBB06740DE}" name="CO2e (lb) from CH4"/>
    <tableColumn id="7" xr3:uid="{5E55E746-800E-48EF-A599-1CCC3C58CC26}" name="N2O (lb)" dataDxfId="749"/>
    <tableColumn id="8" xr3:uid="{1EA0E109-0537-48FA-B49B-640E60210696}" name="CO2e (lb) from N2O"/>
  </tableColumns>
  <tableStyleInfo name="TableStyleLight1"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1029A310-6C86-45A0-A88F-64DFD1B5D58F}" name="NetTransferGISEmissionsFromBiogenicFuelsVT" displayName="NetTransferGISEmissionsFromBiogenicFuelsVT" ref="A155:H163" totalsRowShown="0" headerRowDxfId="748" dataDxfId="746" headerRowBorderDxfId="747">
  <autoFilter ref="A155:H163" xr:uid="{1029A310-6C86-45A0-A88F-64DFD1B5D58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9996510-49FD-4B9D-B59D-74F4671E04FF}" name="Fuel Type"/>
    <tableColumn id="2" xr3:uid="{4946EDF1-4068-4299-953E-366EA240EAC8}" name="Fuel Codes from EIA"/>
    <tableColumn id="3" xr3:uid="{2088396D-2D5D-4CDE-9230-EA204153E914}" name="Heat Input from GIS certificates (MMBtu)"/>
    <tableColumn id="4" xr3:uid="{6D9B1EF9-1D08-4BC1-B642-28BC2D306593}" name="Calculated CO2 (lb)" dataDxfId="745"/>
    <tableColumn id="5" xr3:uid="{01611922-FB38-4E18-B717-98D93194C213}" name="CH4 (lb)" dataDxfId="744"/>
    <tableColumn id="6" xr3:uid="{D811856C-3F99-4111-BBB9-A4EC2553F5DE}" name="CO2e (lb) from CH4" dataDxfId="743"/>
    <tableColumn id="7" xr3:uid="{E20DFD0C-A62A-4FDD-8F42-E0354FF61C1A}" name="N2O (lb)" dataDxfId="742"/>
    <tableColumn id="8" xr3:uid="{3B167AB0-DC78-40B4-871A-07610D69E1C4}" name="CO2e (lb) from N2O" dataDxfId="741"/>
  </tableColumns>
  <tableStyleInfo name="TableStyleLight1"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C3B8142B-0077-4878-9DA5-26573526CC88}" name="ISOMSSEmissionsRemovedFromStateSummary" displayName="ISOMSSEmissionsRemovedFromStateSummary" ref="A197:G205" totalsRowShown="0" headerRowDxfId="740" dataDxfId="739">
  <autoFilter ref="A197:G205" xr:uid="{C3B8142B-0077-4878-9DA5-26573526CC8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89D49EF-5CC3-44ED-84D7-434FB5347FE6}" name="Emissions (lb CO2e)" dataDxfId="738"/>
    <tableColumn id="2" xr3:uid="{72428109-6A4E-440D-A0CB-C5E300956DE2}" name="MA" dataDxfId="737"/>
    <tableColumn id="3" xr3:uid="{60BAF302-C41E-4FC8-B558-D0BFF4A3CFD9}" name="CT" dataDxfId="736"/>
    <tableColumn id="4" xr3:uid="{E470674C-1D3B-4DE7-9CD8-DBCDFB36B3F9}" name="ME" dataDxfId="735"/>
    <tableColumn id="5" xr3:uid="{A6249429-FBB0-469F-8D25-D6950A9BCB44}" name="NH" dataDxfId="734"/>
    <tableColumn id="6" xr3:uid="{21C1177B-782A-494B-8AEC-32EE34ED2296}" name="RI" dataDxfId="733"/>
    <tableColumn id="7" xr3:uid="{0622E3FC-C9A7-493C-B51B-DF40E8D14094}" name="VT" dataDxfId="732"/>
  </tableColumns>
  <tableStyleInfo name="TableStyleLight1"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3377A708-B12B-48BC-9ADB-53AE60EC4090}" name="ISOMSSEmissionsFromNonBiogenicFuelsRemovedFromStateMA" displayName="ISOMSSEmissionsFromNonBiogenicFuelsRemovedFromStateMA" ref="A210:H215" totalsRowShown="0" headerRowDxfId="731" dataDxfId="730" tableBorderDxfId="729">
  <autoFilter ref="A210:H215" xr:uid="{3377A708-B12B-48BC-9ADB-53AE60EC409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0F1FE3F-79D6-4760-9D9E-44ED07DF96EE}" name="Fuel Type" dataDxfId="728"/>
    <tableColumn id="2" xr3:uid="{FC296D53-4BDC-49BD-A504-F9FFC57611CA}" name="Fuel Codes from EIA" dataDxfId="727"/>
    <tableColumn id="3" xr3:uid="{5D8B3562-8E32-4C9E-82B4-FB575EEF6B45}" name="Heat Input from GIS certificates (MMBtu)" dataDxfId="726"/>
    <tableColumn id="4" xr3:uid="{DB50C749-5A3C-4FA5-938A-8BC9907243A5}" name="Calculated CO2 (lb)" dataDxfId="725"/>
    <tableColumn id="5" xr3:uid="{C8C9DEAB-827A-4AE0-B686-918B760524B6}" name="CH4 (lb)" dataDxfId="724"/>
    <tableColumn id="6" xr3:uid="{020DC407-9ACF-4911-8AC0-77CE4A3F249C}" name="CO2e (lb) from CH4" dataDxfId="723"/>
    <tableColumn id="7" xr3:uid="{5348ECE6-E867-4C3B-9F71-0E3018E4A8FC}" name="N2O (lb)" dataDxfId="722"/>
    <tableColumn id="8" xr3:uid="{677C51DF-87F4-444F-8053-0F741AA67D65}" name="CO2e (lb) from N2O" dataDxfId="721"/>
  </tableColumns>
  <tableStyleInfo name="TableStyleLight1"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1EF39DDD-DEAF-4FA2-B447-8EE9E0BF24BC}" name="ISOMSSEmissionsFromBiogenicFuelsRemovedFromStateMA" displayName="ISOMSSEmissionsFromBiogenicFuelsRemovedFromStateMA" ref="A218:H224" totalsRowShown="0" headerRowDxfId="720" dataDxfId="719" tableBorderDxfId="718">
  <autoFilter ref="A218:H224" xr:uid="{1EF39DDD-DEAF-4FA2-B447-8EE9E0BF24B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693B4F4-3A21-468B-81B3-8CAAC90CDE9C}" name="Fuel Type" dataDxfId="717"/>
    <tableColumn id="2" xr3:uid="{AD4300A3-4570-450F-8A6B-63FE0358F405}" name="Fuel Codes from EIA" dataDxfId="716"/>
    <tableColumn id="3" xr3:uid="{ABE5BB34-1E46-4962-A85E-60C4D04894C4}" name="Heat Input from GIS certificates (MMBtu)" dataDxfId="715"/>
    <tableColumn id="4" xr3:uid="{405264CE-6EF0-4515-AD5A-687CB694C99E}" name="Calculated CO2 (lb)" dataDxfId="714"/>
    <tableColumn id="5" xr3:uid="{76DA69E2-3C32-425C-B15E-C444EDFA99E0}" name="CH4 (lb)" dataDxfId="713"/>
    <tableColumn id="6" xr3:uid="{7826EB5C-D2CA-46EA-A26D-371774F24376}" name="CO2e (lb) from CH4" dataDxfId="712"/>
    <tableColumn id="7" xr3:uid="{87FA9168-A747-452A-8A71-381EE1E82131}" name="N2O (lb)" dataDxfId="711"/>
    <tableColumn id="8" xr3:uid="{0D1E787B-AFF0-4715-AF9A-4AD99043DC8E}" name="CO2e (lb) from N2O" dataDxfId="710"/>
  </tableColumns>
  <tableStyleInfo name="TableStyleLight1"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D6EA4059-FE99-49B7-9803-97973CBBAF4F}" name="ISOMSSEmissionsThatSettleInStateSummary" displayName="ISOMSSEmissionsThatSettleInStateSummary" ref="A319:G327" totalsRowShown="0" headerRowDxfId="709" dataDxfId="708">
  <autoFilter ref="A319:G327" xr:uid="{D6EA4059-FE99-49B7-9803-97973CBBAF4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5B55ABD-C932-41E8-83AC-C765BC43378C}" name="Emissions (lb CO2e)" dataDxfId="707"/>
    <tableColumn id="2" xr3:uid="{E4C390F8-35F6-46CD-8A11-32CFBF2BDA92}" name="MA" dataDxfId="706"/>
    <tableColumn id="3" xr3:uid="{AB5E0B72-7E24-434D-8E7F-D51BF4FDA099}" name="CT" dataDxfId="705"/>
    <tableColumn id="4" xr3:uid="{445E84C3-6DB3-41F9-BC00-497E77A21EEC}" name="ME" dataDxfId="704"/>
    <tableColumn id="5" xr3:uid="{1D926DEC-5D56-4809-A269-5266ED75E3B8}" name="NH" dataDxfId="703"/>
    <tableColumn id="6" xr3:uid="{1A58BD5F-2695-44E2-BE03-887EF83FE356}" name="RI" dataDxfId="702"/>
    <tableColumn id="7" xr3:uid="{6608DFC2-B977-4F3E-BD5D-5031A137F166}" name="VT" dataDxfId="701"/>
  </tableColumns>
  <tableStyleInfo name="TableStyleLight1"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C15AF7DF-658A-47AC-976F-F00578272880}" name="ISOMSSEmissionsFromNonBiogenicFuelsRemovedFromStateCT" displayName="ISOMSSEmissionsFromNonBiogenicFuelsRemovedFromStateCT" ref="A227:H233" totalsRowShown="0" headerRowDxfId="700" dataDxfId="699">
  <autoFilter ref="A227:H233" xr:uid="{C15AF7DF-658A-47AC-976F-F0057827288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4ABEBBF-F00E-44EC-86BC-383679AF0324}" name="Fuel Type"/>
    <tableColumn id="2" xr3:uid="{81DF602C-3723-4E57-A2B5-4FC09EB41FC8}" name="Fuel Codes from EIA"/>
    <tableColumn id="3" xr3:uid="{65593170-B6E7-40E4-9B92-9924BF2A9C65}" name="Heat Input from GIS certificates (MMBtu)"/>
    <tableColumn id="4" xr3:uid="{E54E663B-6EF2-479D-BAB6-217D76261CFD}" name="Calculated CO2 (lb)"/>
    <tableColumn id="5" xr3:uid="{7ADD93AC-D3FB-4731-B8F5-3B526D1FE289}" name="CH4 (lb)" dataDxfId="698"/>
    <tableColumn id="6" xr3:uid="{FE0D6DEA-1BDD-4FF6-9A86-ADE05296CDF4}" name="CO2e (lb) from CH4" dataDxfId="697"/>
    <tableColumn id="7" xr3:uid="{D2EA1124-F600-4621-9006-9F1FE5E541C7}" name="N2O (lb)" dataDxfId="696"/>
    <tableColumn id="8" xr3:uid="{1B2FEC2B-0367-4095-AA7F-B3F13825348F}" name="CO2e (lb) from N2O"/>
  </tableColumns>
  <tableStyleInfo name="TableStyleLight1"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A6312CEE-8B0E-4E5E-954F-A02CDDD72E78}" name="ISOMSSEmissionsFromBiogenicFuelsRemovedFromStateCT" displayName="ISOMSSEmissionsFromBiogenicFuelsRemovedFromStateCT" ref="A236:H242" totalsRowShown="0" headerRowDxfId="695" dataDxfId="694">
  <autoFilter ref="A236:H242" xr:uid="{A6312CEE-8B0E-4E5E-954F-A02CDDD72E7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88A7503-4FA9-4CCA-86A2-D8AEA63E45A1}" name="Fuel Type" dataDxfId="693"/>
    <tableColumn id="2" xr3:uid="{22F1CD03-9497-4D0B-B3A2-F0ED61CF959E}" name="Fuel Codes from EIA" dataDxfId="692"/>
    <tableColumn id="3" xr3:uid="{D456E9C5-5F02-47EA-B848-97828F4409B9}" name="Heat Input from GIS certificates (MMBtu)" dataDxfId="691"/>
    <tableColumn id="4" xr3:uid="{66EA28D2-8361-4C2C-B8AC-75E7EC49925B}" name="Calculated CO2 (lb)" dataDxfId="690"/>
    <tableColumn id="5" xr3:uid="{B5536AD2-3500-4833-82BB-B2FB2CCA8412}" name="CH4 (lb)" dataDxfId="689"/>
    <tableColumn id="6" xr3:uid="{39DADB0A-BD40-442B-9FAB-641835B6FEA5}" name="CO2e (lb) from CH4" dataDxfId="688"/>
    <tableColumn id="7" xr3:uid="{45419418-A792-424F-8154-A88EB6F0EFB3}" name="N2O (lb)" dataDxfId="687"/>
    <tableColumn id="8" xr3:uid="{DDE2F835-3D34-42C6-8E49-75153213F4C9}" name="CO2e (lb) from N2O" dataDxfId="686"/>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8B0B48D3-2F63-466F-BB1D-C39B0E7EE16C}" name="MEEmissionsAdjustment" displayName="MEEmissionsAdjustment" ref="A68:E70" totalsRowShown="0" headerRowDxfId="1284" headerRowBorderDxfId="1283" tableBorderDxfId="1282">
  <autoFilter ref="A68:E70" xr:uid="{8B0B48D3-2F63-466F-BB1D-C39B0E7EE16C}">
    <filterColumn colId="0" hiddenButton="1"/>
    <filterColumn colId="1" hiddenButton="1"/>
    <filterColumn colId="2" hiddenButton="1"/>
    <filterColumn colId="3" hiddenButton="1"/>
    <filterColumn colId="4" hiddenButton="1"/>
  </autoFilter>
  <tableColumns count="5">
    <tableColumn id="1" xr3:uid="{AD1E72BE-0B22-4CDB-9710-E409246CC490}" name="ME"/>
    <tableColumn id="2" xr3:uid="{A155D960-7842-45B6-9781-6171332E42DE}" name="NMISA Generation (MWh) "/>
    <tableColumn id="3" xr3:uid="{C153B2A9-023D-4CB4-8F37-460E078C7BA0}" name="ISO ME Generation (MWh) "/>
    <tableColumn id="4" xr3:uid="{6F63B994-E72F-4D4F-A376-885D898A4B11}" name="Total ME Generation (MWh) "/>
    <tableColumn id="5" xr3:uid="{161032F7-F588-4280-9789-DC76AC1588D1}" name="ISO Gen % of Total ME Generation"/>
  </tableColumns>
  <tableStyleInfo name="TableStyleLight1"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264D5DC2-5DF1-4AEC-B26A-E4355834D26C}" name="ISOMSSEmissionsFromBiogenicFuelsRemovedFromStateME" displayName="ISOMSSEmissionsFromBiogenicFuelsRemovedFromStateME" ref="A253:H259" totalsRowShown="0" headerRowDxfId="685" dataDxfId="684">
  <autoFilter ref="A253:H259" xr:uid="{264D5DC2-5DF1-4AEC-B26A-E4355834D26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236D6D4-9509-42BB-A650-BADB90551067}" name="Fuel Type" dataDxfId="683"/>
    <tableColumn id="2" xr3:uid="{C8C33031-50F8-44B2-B736-44394889817A}" name="Fuel Codes from EIA" dataDxfId="682"/>
    <tableColumn id="3" xr3:uid="{E97675D5-428B-45E3-8175-8EA0A09ED96E}" name="Heat Input from GIS certificates (MMBtu)" dataDxfId="681"/>
    <tableColumn id="4" xr3:uid="{3F03C8BA-5207-41A2-8F69-BB08E8C13A6C}" name="Calculated CO2 (lb)" dataDxfId="680"/>
    <tableColumn id="5" xr3:uid="{164E5811-4247-4CB5-B481-FEB5F4C20C13}" name="CH4 (lb)" dataDxfId="679"/>
    <tableColumn id="6" xr3:uid="{EC6EE11A-41F6-4CEB-B19F-A6B1CA220D4E}" name="CO2e (lb) from CH4" dataDxfId="678"/>
    <tableColumn id="7" xr3:uid="{4250FFB3-4B2E-4FC8-B6AE-A594864DD778}" name="N2O (lb)" dataDxfId="677"/>
    <tableColumn id="8" xr3:uid="{8F75A148-1FC5-495E-895A-C6B462C085CF}" name="CO2e (lb) from N2O" dataDxfId="676"/>
  </tableColumns>
  <tableStyleInfo name="TableStyleLight1"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E5B95056-784B-4B3D-B131-5F93396E8381}" name="ISOMSSEmissionsFromNonBiogenicFuelsRemovedFromStateME" displayName="ISOMSSEmissionsFromNonBiogenicFuelsRemovedFromStateME" ref="A245:H250" totalsRowShown="0" headerRowDxfId="675" dataDxfId="674">
  <autoFilter ref="A245:H250" xr:uid="{E5B95056-784B-4B3D-B131-5F93396E838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4DEB11B-1153-4C43-884C-92D32B43F633}" name="Fuel Type" dataDxfId="673"/>
    <tableColumn id="2" xr3:uid="{378EDEF6-F9EC-4379-86A1-F627EC72E8C5}" name="Fuel Codes from EIA" dataDxfId="672"/>
    <tableColumn id="3" xr3:uid="{0D5DA2DD-8A13-4493-B656-1668C5849F89}" name="Heat Input from GIS certificates (MMBtu)" dataDxfId="671"/>
    <tableColumn id="4" xr3:uid="{9D1AF3B8-F4D8-44B7-A254-CD4211BEEA03}" name="Calculated CO2 (lb)" dataDxfId="670"/>
    <tableColumn id="5" xr3:uid="{F6001792-80FA-4922-A00E-D38B4D4F45CD}" name="CH4 (lb)" dataDxfId="669"/>
    <tableColumn id="6" xr3:uid="{36AF7DD4-7F56-4851-BA9A-9B8A5D56F7D3}" name="CO2e (lb) from CH4" dataDxfId="668"/>
    <tableColumn id="7" xr3:uid="{82CCB49A-BF2F-4DA2-8F59-2C509359DF6F}" name="N2O (lb)" dataDxfId="667"/>
    <tableColumn id="8" xr3:uid="{4BA18E11-D695-4DC5-AAAE-B15FE052A576}" name="CO2e (lb) from N2O" dataDxfId="666"/>
  </tableColumns>
  <tableStyleInfo name="TableStyleLight1"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D6088F78-BD84-4610-B3CB-B2D55A92AA5C}" name="ISOMSSEmissionsFromBiogenicFuelsRemovedFromStateNH" displayName="ISOMSSEmissionsFromBiogenicFuelsRemovedFromStateNH" ref="A270:H276" totalsRowShown="0" headerRowDxfId="665" dataDxfId="664">
  <autoFilter ref="A270:H276" xr:uid="{D6088F78-BD84-4610-B3CB-B2D55A92AA5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C3CE12B-878A-4CA8-9C82-3FA23D46A095}" name="Fuel Type" dataDxfId="663"/>
    <tableColumn id="2" xr3:uid="{636EFBF0-8E11-481C-A051-2C1CCBF14F4A}" name="Fuel Codes from EIA" dataDxfId="662"/>
    <tableColumn id="3" xr3:uid="{AD51C399-475B-468F-A977-D9DFCD2364EE}" name="Heat Input from GIS certificates (MMBtu)" dataDxfId="661"/>
    <tableColumn id="4" xr3:uid="{5362CB2E-8F51-4F1D-B550-8467B111CF34}" name="Calculated CO2 (lb)" dataDxfId="660"/>
    <tableColumn id="5" xr3:uid="{EAA6AC9D-BFED-4A99-BB15-ACC2A9FCA5BE}" name="CH4 (lb)" dataDxfId="659"/>
    <tableColumn id="6" xr3:uid="{8B9B2E54-DD64-4BAB-9493-5C0494F087BA}" name="CO2e (lb) from CH4" dataDxfId="658"/>
    <tableColumn id="7" xr3:uid="{2C2EE8FA-305B-46D3-AD04-FBE528780474}" name="N2O (lb)" dataDxfId="657"/>
    <tableColumn id="8" xr3:uid="{54DCA1C8-286D-4C6A-9952-15CB9276A43C}" name="CO2e (lb) from N2O" dataDxfId="656"/>
  </tableColumns>
  <tableStyleInfo name="TableStyleLight1"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11D483A0-D304-4F9A-8815-0ED1545C8257}" name="ISOMSSEmissionsFromNonBiogenicFuelsRemovedFromStateNH" displayName="ISOMSSEmissionsFromNonBiogenicFuelsRemovedFromStateNH" ref="A262:H267" totalsRowShown="0" headerRowDxfId="655" dataDxfId="654">
  <autoFilter ref="A262:H267" xr:uid="{11D483A0-D304-4F9A-8815-0ED1545C825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0F351B1-9481-438B-9D64-3434D69986E7}" name="Fuel Type" dataDxfId="653"/>
    <tableColumn id="2" xr3:uid="{27F51923-8388-41B5-8264-46899669E3A2}" name="Fuel Codes from EIA" dataDxfId="652"/>
    <tableColumn id="3" xr3:uid="{E80DE8F5-B2B9-40AA-85CE-65E3ADADFF06}" name="Heat Input from GIS certificates (MMBtu)" dataDxfId="651"/>
    <tableColumn id="4" xr3:uid="{FB3301CF-6FBB-4B03-938B-B92D919DFEBB}" name="Calculated CO2 (lb)" dataDxfId="650"/>
    <tableColumn id="5" xr3:uid="{01743806-B33F-4E47-A530-CD0E7D4329E0}" name="CH4 (lb)" dataDxfId="649"/>
    <tableColumn id="6" xr3:uid="{80E15B78-A7F8-4C53-8261-78B94606818D}" name="CO2e (lb) from CH4" dataDxfId="648"/>
    <tableColumn id="7" xr3:uid="{63F07109-2D0F-489C-9163-B0BEC48548E2}" name="N2O (lb)" dataDxfId="647"/>
    <tableColumn id="8" xr3:uid="{11ECD45D-790E-4C34-82E2-4F9CABEC03AC}" name="CO2e (lb) from N2O" dataDxfId="646"/>
  </tableColumns>
  <tableStyleInfo name="TableStyleLight1"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74FA93D7-50DF-4911-8FB4-83BB2CDE87D8}" name="ISOMSSEmissionsFromBiogenicFuelsRemovedFromStateRI" displayName="ISOMSSEmissionsFromBiogenicFuelsRemovedFromStateRI" ref="A287:H293" totalsRowShown="0" headerRowDxfId="645" dataDxfId="644">
  <autoFilter ref="A287:H293" xr:uid="{74FA93D7-50DF-4911-8FB4-83BB2CDE87D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6A1ECAE-8AEF-4207-B9E8-EE78AF527E60}" name="Fuel Type" dataDxfId="643"/>
    <tableColumn id="2" xr3:uid="{CE88B2F5-2111-4808-8927-21FBEFB93B9F}" name="Fuel Codes from EIA" dataDxfId="642"/>
    <tableColumn id="3" xr3:uid="{FDCA07F6-688D-4F4A-8517-F991BADF38E8}" name="Heat Input from GIS certificates (MMBtu)" dataDxfId="641"/>
    <tableColumn id="4" xr3:uid="{9CB530FE-5D16-4FE1-87DE-BFC68046AB81}" name="Calculated CO2 (lb)" dataDxfId="640"/>
    <tableColumn id="5" xr3:uid="{CD1903C3-ED97-4C18-8826-D0C894CCF584}" name="CH4 (lb)" dataDxfId="639"/>
    <tableColumn id="6" xr3:uid="{1072150D-F719-4BAC-A78E-D95A6FF58A6D}" name="CO2e (lb) from CH4" dataDxfId="638"/>
    <tableColumn id="7" xr3:uid="{796F6EBA-C9BC-4E1E-AF22-201CD1A23EBB}" name="N2O (lb)" dataDxfId="637"/>
    <tableColumn id="8" xr3:uid="{886B3A0D-E5C0-4EB0-96A2-28911DBC4C18}" name="CO2e (lb) from N2O" dataDxfId="636"/>
  </tableColumns>
  <tableStyleInfo name="TableStyleLight1"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368BC971-29D5-4BFB-868F-A865DA49C43D}" name="ISOMSSEmissionsFromNonBiogenicFuelsRemovedFromStateRI" displayName="ISOMSSEmissionsFromNonBiogenicFuelsRemovedFromStateRI" ref="A279:H284" totalsRowShown="0" headerRowDxfId="635" dataDxfId="634">
  <autoFilter ref="A279:H284" xr:uid="{368BC971-29D5-4BFB-868F-A865DA49C43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6F49D3F-FC2A-4FC6-81BF-A0C3C8D921C1}" name="Fuel Type" dataDxfId="633"/>
    <tableColumn id="2" xr3:uid="{654E103B-0DC2-41BE-BE0C-C7C9D22DFD38}" name="Fuel Codes from EIA" dataDxfId="632"/>
    <tableColumn id="3" xr3:uid="{3B88369B-E86F-4FFD-9794-7B257733C544}" name="Heat Input from GIS certificates (MMBtu)" dataDxfId="631"/>
    <tableColumn id="4" xr3:uid="{6BD1A43D-FCA2-4A97-8C62-94B5FD577D9E}" name="Calculated CO2 (lb)" dataDxfId="630"/>
    <tableColumn id="5" xr3:uid="{D170338B-938C-411E-A3E5-AEA4C120520B}" name="CH4 (lb)" dataDxfId="629"/>
    <tableColumn id="6" xr3:uid="{35E3D4C1-B8B7-43AC-9F78-515B0FB8C65F}" name="CO2e (lb) from CH4" dataDxfId="628"/>
    <tableColumn id="7" xr3:uid="{0C1521FA-D99B-4ED5-9034-887275DE5EAA}" name="N2O (lb)" dataDxfId="627"/>
    <tableColumn id="8" xr3:uid="{047009D6-94B7-4782-AF09-5C6E572473E8}" name="CO2e (lb) from N2O" dataDxfId="626"/>
  </tableColumns>
  <tableStyleInfo name="TableStyleLight1"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457EDFB5-DA96-427C-80B7-858733F9A8F7}" name="ISOMSSEmissionsFromBiogenicFuelsRemovedFromStateVT" displayName="ISOMSSEmissionsFromBiogenicFuelsRemovedFromStateVT" ref="A304:H310" totalsRowShown="0" headerRowDxfId="625" dataDxfId="624">
  <autoFilter ref="A304:H310" xr:uid="{457EDFB5-DA96-427C-80B7-858733F9A8F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AA19FF2-CC68-46CB-86E6-F871718F756A}" name="Fuel Type" dataDxfId="623"/>
    <tableColumn id="2" xr3:uid="{420D5987-C4A4-4980-937B-19F6B9B73350}" name="Fuel Codes from EIA" dataDxfId="622"/>
    <tableColumn id="3" xr3:uid="{327031FD-27D2-48D5-A9D8-8F836A2B87B3}" name="Heat Input from GIS certificates (MMBtu)" dataDxfId="621"/>
    <tableColumn id="4" xr3:uid="{D1C4E54A-35BE-4081-B50F-6A6E49260AAB}" name="Calculated CO2 (lb)" dataDxfId="620"/>
    <tableColumn id="5" xr3:uid="{A9E91752-701D-4159-AD74-DB887C89640E}" name="CH4 (lb)" dataDxfId="619"/>
    <tableColumn id="6" xr3:uid="{FCE98F04-2075-4FDC-B477-A843C0FF1C84}" name="CO2e (lb) from CH4" dataDxfId="618"/>
    <tableColumn id="7" xr3:uid="{50850C5A-CFAE-4633-A6C4-660D0E821D10}" name="N2O (lb)" dataDxfId="617"/>
    <tableColumn id="8" xr3:uid="{4DD077E1-2E83-4103-9558-B914E73A3766}" name="CO2e (lb) from N2O" dataDxfId="616"/>
  </tableColumns>
  <tableStyleInfo name="TableStyleLight1"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42DECE2F-3CC8-4294-8343-F689E095918D}" name="ISOMSSEmissionsFromNonBiogenicFuelsRemovedFromStateVT" displayName="ISOMSSEmissionsFromNonBiogenicFuelsRemovedFromStateVT" ref="A296:H301" totalsRowShown="0" headerRowDxfId="615" dataDxfId="614">
  <autoFilter ref="A296:H301" xr:uid="{42DECE2F-3CC8-4294-8343-F689E095918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96D90F0-EFE6-46DB-AAE7-50041AB5FDC4}" name="Fuel Type" dataDxfId="613"/>
    <tableColumn id="2" xr3:uid="{D3877DA1-DDFA-42AD-8687-AEFC042EECA4}" name="Fuel Codes from EIA" dataDxfId="612"/>
    <tableColumn id="3" xr3:uid="{65783B4E-35F7-4E6A-9386-0E4A00EFB271}" name="Heat Input from GIS certificates (MMBtu)" dataDxfId="611"/>
    <tableColumn id="4" xr3:uid="{4BB47F0B-1BEE-40D3-BEEF-D34FF54C2F6A}" name="Calculated CO2 (lb)" dataDxfId="610"/>
    <tableColumn id="5" xr3:uid="{2972176C-E7FA-48A1-B626-C77A4A8F42FC}" name="CH4 (lb)" dataDxfId="609"/>
    <tableColumn id="6" xr3:uid="{ECBDCC6E-2E01-445E-9A3F-CB205F88E2C4}" name="CO2e (lb) from CH4" dataDxfId="608"/>
    <tableColumn id="7" xr3:uid="{5A82A15A-E77D-4730-A7CB-1EC9C6110542}" name="N2O (lb)" dataDxfId="607"/>
    <tableColumn id="8" xr3:uid="{0A23D02A-376D-4B3E-8FB6-758D11643C2D}" name="CO2e (lb) from N2O" dataDxfId="606"/>
  </tableColumns>
  <tableStyleInfo name="TableStyleLight1"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B2783B3A-F6E8-41EC-BFD9-C23BC7FED315}" name="ISOMSSEmissionsFromNonBiogenicFuelsThatSettleInStateMA" displayName="ISOMSSEmissionsFromNonBiogenicFuelsThatSettleInStateMA" ref="A330:H336" totalsRowShown="0" headerRowDxfId="605" headerRowBorderDxfId="604" tableBorderDxfId="603">
  <autoFilter ref="A330:H336" xr:uid="{B2783B3A-F6E8-41EC-BFD9-C23BC7FED31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04B1634-2C72-4CFE-8518-D9DA4F92F687}" name="Fuel Type"/>
    <tableColumn id="2" xr3:uid="{CB075E50-05A9-4882-8E72-32DA03345300}" name="Fuel Codes from EIA" dataDxfId="602"/>
    <tableColumn id="3" xr3:uid="{289368BD-02BE-431B-BB79-544B40325560}" name="Heat Input from GIS certificates (MMBtu)"/>
    <tableColumn id="4" xr3:uid="{CBA26916-193D-49B8-9615-23BF581CC043}" name="Calculated CO2 (lb)"/>
    <tableColumn id="5" xr3:uid="{82B916D8-1565-449E-9EF6-430F4198D9E0}" name="CH4 (lb)" dataDxfId="601"/>
    <tableColumn id="6" xr3:uid="{0DC2F23C-001D-496D-92C2-312DAEEE4E6F}" name="CO2e (lb) from CH4"/>
    <tableColumn id="7" xr3:uid="{204F13A3-658B-4CDE-B965-F068A6CCABAE}" name="N2O (lb)" dataDxfId="600"/>
    <tableColumn id="8" xr3:uid="{4F65E3BD-98FC-47FB-9FF8-2A215AE75DEF}" name="CO2e (lb) from N2O"/>
  </tableColumns>
  <tableStyleInfo name="TableStyleLight1"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7034F2A2-9B9A-40CE-A2A8-CB1BA016B9A9}" name="ISOMSSEmissionsFromBiogenicFuelsThatSettleInStateVT" displayName="ISOMSSEmissionsFromBiogenicFuelsThatSettleInStateVT" ref="A425:H431" totalsRowShown="0" headerRowDxfId="599" dataDxfId="597" headerRowBorderDxfId="598" tableBorderDxfId="596">
  <autoFilter ref="A425:H431" xr:uid="{7034F2A2-9B9A-40CE-A2A8-CB1BA016B9A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1C5A36D-35F1-44E6-8F9C-50B8581626C8}" name="Fuel Type" dataDxfId="595"/>
    <tableColumn id="2" xr3:uid="{52923DE2-8F3D-40A2-917F-BC4D74DF63D6}" name="Fuel Codes from EIA" dataDxfId="594"/>
    <tableColumn id="3" xr3:uid="{7EE6AFE6-B17F-4251-8DC1-5B90B4CC357F}" name="Heat Input from GIS certificates (MMBtu)" dataDxfId="593"/>
    <tableColumn id="4" xr3:uid="{22AA7A2E-5876-4735-8D99-17CC5A5ADF05}" name="Calculated CO2 (lb)" dataDxfId="592"/>
    <tableColumn id="5" xr3:uid="{C0F99FB7-333D-47DB-94C5-003BE39AB26C}" name="CH4 (lb)" dataDxfId="591"/>
    <tableColumn id="6" xr3:uid="{B497111C-44BA-487C-9FDC-C99E2ACAF59E}" name="CO2e (lb) from CH4" dataDxfId="590"/>
    <tableColumn id="7" xr3:uid="{9AAE50DE-5F35-4FF6-9115-CF6AA2F62115}" name="N2O (lb)" dataDxfId="589"/>
    <tableColumn id="8" xr3:uid="{BB870617-B5AF-4830-96BF-99E929BDA082}" name="CO2e (lb) from N2O" dataDxfId="588"/>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33D12644-DFE7-4200-8303-7CC5A4B4E0DC}" name="ISONERegionaBasedEFs" displayName="ISONERegionaBasedEFs" ref="A102:H105" totalsRowShown="0" headerRowBorderDxfId="1281" tableBorderDxfId="1280">
  <autoFilter ref="A102:H105" xr:uid="{33D12644-DFE7-4200-8303-7CC5A4B4E0D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80ACD73-C8F4-43D4-B34B-D8FC5FB0CB62}" name="Emissions Type"/>
    <tableColumn id="2" xr3:uid="{B50190BB-0549-4ED8-8C35-D5581DF3317D}" name="New York Emissions  to ISO-NE excluding GIS certificates"/>
    <tableColumn id="3" xr3:uid="{B5CC496C-7D52-4CCE-8C83-0089599B4159}" name="New Brunswick Emissions to ISO-NE excluding GIS certificates "/>
    <tableColumn id="4" xr3:uid="{FFDD3111-6147-438B-AE2D-FF8C45F8ACD3}" name="Quebec Emissions to ISO-NE excluding GIS certificates"/>
    <tableColumn id="5" xr3:uid="{FBD7C236-9D01-47D6-B34F-A19674D2CB40}" name="Total Emissions to ISO-NE from Regions Outside ISO-NE excluding GIS certificates"/>
    <tableColumn id="6" xr3:uid="{CEBCF25C-D1FA-4BFE-B162-15D7DF041656}" name="ISO-NE Emissions associated with Load including ISO-NE GIS certificate emissions (lb)"/>
    <tableColumn id="7" xr3:uid="{1E06B170-540D-42BD-AF47-6AAF6609D795}" name="Regional GHG Emission Rate after accounting for ISO-NE GIS certificates (lb/MWh)"/>
    <tableColumn id="8" xr3:uid="{884D0BCB-98DC-4AF7-8A92-90DB069818E8}" name="MA GHG Emissions associated with Load based on Regional GHG Emission Factor (lb)"/>
  </tableColumns>
  <tableStyleInfo name="TableStyleLight1"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AB78051E-FC01-403C-B3D5-9798E137E873}" name="ISOMSSEmissionsFromNonBiogenicFuelsThatSettleInStateVT" displayName="ISOMSSEmissionsFromNonBiogenicFuelsThatSettleInStateVT" ref="A417:H422" totalsRowShown="0" headerRowDxfId="587" dataDxfId="585" headerRowBorderDxfId="586" tableBorderDxfId="584">
  <autoFilter ref="A417:H422" xr:uid="{AB78051E-FC01-403C-B3D5-9798E137E87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FBB90D5-94F8-40BA-927E-DC22A713E69B}" name="Fuel Type" dataDxfId="583"/>
    <tableColumn id="2" xr3:uid="{30719D39-C2DC-4EB2-8507-734F68A8BF2D}" name="Fuel Codes from EIA" dataDxfId="582"/>
    <tableColumn id="3" xr3:uid="{29E5A34D-3CD6-45F6-8621-0147F6CF03F3}" name="Heat Input from GIS certificates (MMBtu)" dataDxfId="581"/>
    <tableColumn id="4" xr3:uid="{C4BD1CF7-E5DF-4CF2-93BF-105E10A5C5C4}" name="Calculated CO2 (lb)" dataDxfId="580"/>
    <tableColumn id="5" xr3:uid="{6F88A93F-350D-4ECD-913C-A6270C835672}" name="CH4 (lb)" dataDxfId="579"/>
    <tableColumn id="6" xr3:uid="{8B3E6F74-8A08-4667-917C-E73DCD8D24BF}" name="CO2e (lb) from CH4" dataDxfId="578"/>
    <tableColumn id="7" xr3:uid="{9DE503B1-88CF-458F-BE34-EE5B7E42A389}" name="N2O (lb)" dataDxfId="577"/>
    <tableColumn id="8" xr3:uid="{E48FEE7C-BE7A-4C6E-A32A-A647881A50E6}" name="CO2e (lb) from N2O" dataDxfId="576"/>
  </tableColumns>
  <tableStyleInfo name="TableStyleLight1"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1D2DFAC4-14DD-4BB5-BCDD-356099C95478}" name="ISOMSSEmissionsFromBiogenicFuelsThatSettleInStateRI" displayName="ISOMSSEmissionsFromBiogenicFuelsThatSettleInStateRI" ref="A408:H414" totalsRowShown="0" headerRowDxfId="575" dataDxfId="573" headerRowBorderDxfId="574" tableBorderDxfId="572">
  <autoFilter ref="A408:H414" xr:uid="{1D2DFAC4-14DD-4BB5-BCDD-356099C9547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4562854-F14C-475E-80BA-9EB14CC62D5C}" name="Fuel Type" dataDxfId="571"/>
    <tableColumn id="2" xr3:uid="{77CBCE69-29A1-416D-932A-CB22A2FD8AC1}" name="Fuel Codes from EIA" dataDxfId="570"/>
    <tableColumn id="3" xr3:uid="{EA776B02-134D-4DC5-B7B7-34011E6D3913}" name="Heat Input from GIS certificates (MMBtu)" dataDxfId="569"/>
    <tableColumn id="4" xr3:uid="{7E324056-BA7B-4D62-9A38-4FA27EE30E5B}" name="Calculated CO2 (lb)" dataDxfId="568"/>
    <tableColumn id="5" xr3:uid="{A0E7B0C4-3D86-4E43-BA89-1435D23825AC}" name="CH4 (lb)" dataDxfId="567"/>
    <tableColumn id="6" xr3:uid="{093F6904-F669-465D-8099-1E6D151FCCDB}" name="CO2e (lb) from CH4" dataDxfId="566"/>
    <tableColumn id="7" xr3:uid="{B33BA846-9D34-44CA-82BD-99B1BDED815F}" name="N2O (lb)" dataDxfId="565"/>
    <tableColumn id="8" xr3:uid="{C7DA2E1C-5B32-4F59-A639-4705E4083B64}" name="CO2e (lb) from N2O" dataDxfId="564"/>
  </tableColumns>
  <tableStyleInfo name="TableStyleLight1"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3E34465-74D7-475F-8A51-3ABB54D4941A}" name="ISOMSSEmissionsFromNonBiogenicFuelsThatSettleInStateRI" displayName="ISOMSSEmissionsFromNonBiogenicFuelsThatSettleInStateRI" ref="A400:H405" totalsRowShown="0" headerRowDxfId="563" dataDxfId="561" headerRowBorderDxfId="562" tableBorderDxfId="560">
  <autoFilter ref="A400:H405" xr:uid="{03E34465-74D7-475F-8A51-3ABB54D4941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A9984D7-B3B3-48AF-A1FB-10164416C440}" name="Fuel Type" dataDxfId="559"/>
    <tableColumn id="2" xr3:uid="{482B1686-1871-4FC5-ADDC-29C8EF6B9AAE}" name="Fuel Codes from EIA" dataDxfId="558"/>
    <tableColumn id="3" xr3:uid="{18BEE811-D74E-4C7A-8645-99F58D0BAFFC}" name="Heat Input from GIS certificates (MMBtu)" dataDxfId="557"/>
    <tableColumn id="4" xr3:uid="{6963B4FB-B416-4A94-830A-1675575C855F}" name="Calculated CO2 (lb)" dataDxfId="556"/>
    <tableColumn id="5" xr3:uid="{B62C0D63-C8E8-4008-B585-5202B37C7630}" name="CH4 (lb)" dataDxfId="555"/>
    <tableColumn id="6" xr3:uid="{16030205-6C23-4343-BDF2-0586A77531EA}" name="CO2e (lb) from CH4" dataDxfId="554"/>
    <tableColumn id="7" xr3:uid="{2DB886E1-995D-46F7-A175-A33A71FC7EFE}" name="N2O (lb)" dataDxfId="553"/>
    <tableColumn id="8" xr3:uid="{C0753984-6217-4930-9CF1-5C08F8B6F2FB}" name="CO2e (lb) from N2O" dataDxfId="552"/>
  </tableColumns>
  <tableStyleInfo name="TableStyleLight1"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AF9A06F-83E0-45C5-AE7F-31F5895778E2}" name="ISOMSSEmissionsFromBiogenicFuelsThatSettleInStateNH" displayName="ISOMSSEmissionsFromBiogenicFuelsThatSettleInStateNH" ref="A391:H397" totalsRowShown="0" headerRowDxfId="551" dataDxfId="549" headerRowBorderDxfId="550" tableBorderDxfId="548">
  <autoFilter ref="A391:H397" xr:uid="{0AF9A06F-83E0-45C5-AE7F-31F5895778E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4F1C1F7-B5E9-48EF-A830-A58FB6A2269D}" name="Fuel Type" dataDxfId="547"/>
    <tableColumn id="2" xr3:uid="{33CFAB5A-F589-416D-AFF7-20CE202280E5}" name="Fuel Codes from EIA" dataDxfId="546"/>
    <tableColumn id="3" xr3:uid="{B8D00710-08B8-4AFB-99CD-3C9740806DF6}" name="Heat Input from GIS certificates (MMBtu)" dataDxfId="545"/>
    <tableColumn id="4" xr3:uid="{75488F43-27A8-429B-9BDE-501BFE06381D}" name="Calculated CO2 (lb)" dataDxfId="544"/>
    <tableColumn id="5" xr3:uid="{EB90B277-426C-4D87-8D41-3D10A7FF8F6D}" name="CH4 (lb)" dataDxfId="543"/>
    <tableColumn id="6" xr3:uid="{468C65AE-945E-47C6-ACD9-0BBB0605EC52}" name="CO2e (lb) from CH4" dataDxfId="542"/>
    <tableColumn id="7" xr3:uid="{8C1EC86F-5CBA-48DC-A4ED-D0910EB69B03}" name="N2O (lb)" dataDxfId="541"/>
    <tableColumn id="8" xr3:uid="{E9D2B963-FF22-46C1-8A12-D992EC9934C8}" name="CO2e (lb) from N2O" dataDxfId="540"/>
  </tableColumns>
  <tableStyleInfo name="TableStyleLight1"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2781F6C3-046B-4B21-B4DB-E1541E30D912}" name="ISOMSSEmissionsFromNonBiogenicFuelsThatSettleInStateNH" displayName="ISOMSSEmissionsFromNonBiogenicFuelsThatSettleInStateNH" ref="A383:H388" totalsRowShown="0" headerRowDxfId="539" dataDxfId="537" headerRowBorderDxfId="538" tableBorderDxfId="536">
  <autoFilter ref="A383:H388" xr:uid="{2781F6C3-046B-4B21-B4DB-E1541E30D91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B69606F-8314-44C7-9655-E7DBDE78781A}" name="Fuel Type" dataDxfId="535"/>
    <tableColumn id="2" xr3:uid="{B28AF513-80BF-4FE5-913D-E13A2E590F70}" name="Fuel Codes from EIA" dataDxfId="534"/>
    <tableColumn id="3" xr3:uid="{00BEFCAD-C11B-43F7-998F-E2487E9150A3}" name="Heat Input from GIS certificates (MMBtu)" dataDxfId="533"/>
    <tableColumn id="4" xr3:uid="{B72BFEC4-BFAE-4550-808E-540BF42F01AE}" name="Calculated CO2 (lb)" dataDxfId="532"/>
    <tableColumn id="5" xr3:uid="{632D55B5-CD6A-4B6B-8486-720968328B20}" name="CH4 (lb)" dataDxfId="531"/>
    <tableColumn id="6" xr3:uid="{20D5C412-5F84-46E2-B808-90E4F0F3D2D8}" name="CO2e (lb) from CH4" dataDxfId="530"/>
    <tableColumn id="7" xr3:uid="{D5A63A04-034D-43EE-8640-947CBB3D149A}" name="N2O (lb)" dataDxfId="529"/>
    <tableColumn id="8" xr3:uid="{7C31C2C4-7AC5-4E10-BA97-17F91CA09849}" name="CO2e (lb) from N2O" dataDxfId="528"/>
  </tableColumns>
  <tableStyleInfo name="TableStyleLight1"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290C8938-2768-467C-B554-42AC817A0EE3}" name="ISOMSSEmissionsFromBiogenicFuelsThatSettleInStateME" displayName="ISOMSSEmissionsFromBiogenicFuelsThatSettleInStateME" ref="A374:H380" totalsRowShown="0" headerRowDxfId="527" dataDxfId="525" headerRowBorderDxfId="526" tableBorderDxfId="524">
  <autoFilter ref="A374:H380" xr:uid="{290C8938-2768-467C-B554-42AC817A0EE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750B6D9-4035-4B3C-8849-213573961253}" name="Fuel Type" dataDxfId="523"/>
    <tableColumn id="2" xr3:uid="{F798D59D-834E-4153-8CF5-FA22F8F3A56A}" name="Fuel Codes from EIA" dataDxfId="522"/>
    <tableColumn id="3" xr3:uid="{3425D53A-1959-446D-AA3D-BED2E3EEAAC8}" name="Heat Input from GIS certificates (MMBtu)" dataDxfId="521"/>
    <tableColumn id="4" xr3:uid="{FC11DD5E-A25D-49BD-96CD-2DB381FB14CD}" name="Calculated CO2 (lb)" dataDxfId="520"/>
    <tableColumn id="5" xr3:uid="{A5F19EBE-3D68-4DDD-8359-4801F83EE286}" name="CH4 (lb)" dataDxfId="519"/>
    <tableColumn id="6" xr3:uid="{9F1D88FD-108C-4A8C-A214-7C40FDF81D5C}" name="CO2e (lb) from CH4" dataDxfId="518"/>
    <tableColumn id="7" xr3:uid="{1B752F33-349C-42D2-887E-DA0EAF68ECDF}" name="N2O (lb)" dataDxfId="517"/>
    <tableColumn id="8" xr3:uid="{1E9E62FF-3E43-4562-BBAA-57C7E2FA92C5}" name="CO2e (lb) from N2O" dataDxfId="516"/>
  </tableColumns>
  <tableStyleInfo name="TableStyleLight1"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18E533BB-AACB-45D8-81EA-00D058240601}" name="ISOMSSEmissionsFromNonBiogenicFuelsThatSettleInStateME" displayName="ISOMSSEmissionsFromNonBiogenicFuelsThatSettleInStateME" ref="A366:H371" totalsRowShown="0" headerRowDxfId="515" dataDxfId="513" headerRowBorderDxfId="514" tableBorderDxfId="512">
  <autoFilter ref="A366:H371" xr:uid="{18E533BB-AACB-45D8-81EA-00D05824060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D1A11F7-BFD3-400B-9A29-66BA354BAB61}" name="Fuel Type" dataDxfId="511"/>
    <tableColumn id="2" xr3:uid="{AE501D81-8E9D-4557-8111-D83CE5D0B62C}" name="Fuel Codes from EIA" dataDxfId="510"/>
    <tableColumn id="3" xr3:uid="{5F76FB12-9E9F-4CC0-B961-F1BD8487E314}" name="Heat Input from GIS certificates (MMBtu)" dataDxfId="509"/>
    <tableColumn id="4" xr3:uid="{4CA2E249-D010-4ED0-AD83-F718B5D4ED56}" name="Calculated CO2 (lb)" dataDxfId="508"/>
    <tableColumn id="5" xr3:uid="{0F938356-2D69-48A1-8098-5D26AAC95CC1}" name="CH4 (lb)" dataDxfId="507"/>
    <tableColumn id="6" xr3:uid="{1EBA6265-CE50-449C-9EF5-512D79AB9833}" name="CO2e (lb) from CH4" dataDxfId="506"/>
    <tableColumn id="7" xr3:uid="{640040E2-37AC-4E31-87E1-85E2B9DFA4FA}" name="N2O (lb)" dataDxfId="505"/>
    <tableColumn id="8" xr3:uid="{C190B28E-10CF-4BD8-9B37-A6A0D893D7C2}" name="CO2e (lb) from N2O" dataDxfId="504"/>
  </tableColumns>
  <tableStyleInfo name="TableStyleLight1"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1BD5B857-D5A2-4E77-A210-ED07549359FE}" name="ISOMSSEmissionsFromBiogenicFuelsThatSettleInStateCT" displayName="ISOMSSEmissionsFromBiogenicFuelsThatSettleInStateCT" ref="A357:H363" totalsRowShown="0" headerRowDxfId="503" dataDxfId="501" headerRowBorderDxfId="502" tableBorderDxfId="500">
  <autoFilter ref="A357:H363" xr:uid="{1BD5B857-D5A2-4E77-A210-ED07549359F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E185AAE-EE9D-44D4-8C90-07F4EAC8C79E}" name="Fuel Type" dataDxfId="499"/>
    <tableColumn id="2" xr3:uid="{A0B10551-2289-4071-87AB-6CBBD8CFC384}" name="Fuel Codes from EIA" dataDxfId="498"/>
    <tableColumn id="3" xr3:uid="{2867FD95-9A5A-4342-9B2B-28CD6FAB0551}" name="Heat Input from GIS certificates (MMBtu)"/>
    <tableColumn id="4" xr3:uid="{B3E5085D-81DE-42E5-A891-D43572246A3D}" name="Calculated CO2 (lb)" dataDxfId="497"/>
    <tableColumn id="5" xr3:uid="{2B516B5A-9704-4175-956A-3E51EF3FB3A2}" name="CH4 (lb)" dataDxfId="496"/>
    <tableColumn id="6" xr3:uid="{5678260E-8F43-4423-8851-B6A9F7D7663F}" name="CO2e (lb) from CH4" dataDxfId="495"/>
    <tableColumn id="7" xr3:uid="{BDA7B43D-5169-4CEB-A16F-B8E394026F64}" name="N2O (lb)" dataDxfId="494"/>
    <tableColumn id="8" xr3:uid="{E089EEDF-BE78-4304-B1A7-4AC381E1B421}" name="CO2e (lb) from N2O" dataDxfId="493"/>
  </tableColumns>
  <tableStyleInfo name="TableStyleLight1"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CC6321BC-1F54-4440-95DB-5B0C40FB6E09}" name="ISOMSSEmissionsFromNonBiogenicFuelsThatSettleInStateCT" displayName="ISOMSSEmissionsFromNonBiogenicFuelsThatSettleInStateCT" ref="A348:H354" totalsRowShown="0" headerRowDxfId="492" headerRowBorderDxfId="491" tableBorderDxfId="490">
  <autoFilter ref="A348:H354" xr:uid="{CC6321BC-1F54-4440-95DB-5B0C40FB6E0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E35B2D6-430D-4B14-A3E1-1948DEE3D891}" name="Fuel Type"/>
    <tableColumn id="2" xr3:uid="{6FEF288B-E799-49E8-96D5-AC5DABC2CD26}" name="Fuel Codes from EIA" dataDxfId="489"/>
    <tableColumn id="3" xr3:uid="{E58A9EEE-FCB9-4A6D-9CBE-142127A1BCA6}" name="Heat Input from GIS certificates (MMBtu)"/>
    <tableColumn id="4" xr3:uid="{1C7C8A47-3ED9-476E-9C60-0118D312A34E}" name="Calculated CO2 (lb)"/>
    <tableColumn id="5" xr3:uid="{890258BE-49B5-40C3-8CC1-6F0F1676380D}" name="CH4 (lb)" dataDxfId="488"/>
    <tableColumn id="6" xr3:uid="{FBF4E28B-82C4-4D54-9853-F6CF94D15247}" name="CO2e (lb) from CH4"/>
    <tableColumn id="7" xr3:uid="{9A47F495-93D9-4657-AF02-EC03CBD92CAA}" name="N2O (lb)"/>
    <tableColumn id="8" xr3:uid="{9B70ED83-BAA5-4401-8858-346148C840DF}" name="CO2e (lb) from N2O"/>
  </tableColumns>
  <tableStyleInfo name="TableStyleLight1"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D52ECBCB-8AED-4A84-8F24-75404A8800D4}" name="ISOMSSEmissionsFromBiogenicFuelsThatSettleInStateMA" displayName="ISOMSSEmissionsFromBiogenicFuelsThatSettleInStateMA" ref="A339:H345" totalsRowShown="0" headerRowDxfId="487" dataDxfId="485" headerRowBorderDxfId="486" tableBorderDxfId="484">
  <autoFilter ref="A339:H345" xr:uid="{D52ECBCB-8AED-4A84-8F24-75404A8800D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E5BED2C-93B7-477C-92DF-CB0B337FBED2}" name="Fuel Type" dataDxfId="483"/>
    <tableColumn id="2" xr3:uid="{E2DA0FAB-E9D0-412B-8B90-F8409997B872}" name="Fuel Codes from EIA" dataDxfId="482"/>
    <tableColumn id="3" xr3:uid="{B0B10D5A-378E-40CE-AA30-F2A59A9F38A3}" name="Heat Input from GIS certificates (MMBtu)"/>
    <tableColumn id="4" xr3:uid="{69BB0212-7FF4-4FBA-B4AE-47F82739D9F7}" name="Calculated CO2 (lb)" dataDxfId="481"/>
    <tableColumn id="5" xr3:uid="{84E0B5EE-0BBC-4BC9-A93A-9D5C8F2C5367}" name="CH4 (lb)" dataDxfId="480"/>
    <tableColumn id="6" xr3:uid="{4CDA083C-2375-457D-B154-3349184F3F95}" name="CO2e (lb) from CH4" dataDxfId="479"/>
    <tableColumn id="7" xr3:uid="{0A9D11F2-B218-4217-B0BB-3A4774F104E7}" name="N2O (lb)" dataDxfId="478"/>
    <tableColumn id="8" xr3:uid="{EAB181D8-9456-415F-813B-EFBF1843343A}" name="CO2e (lb) from N2O" dataDxfId="477"/>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103B286B-5C11-4D7D-94A3-311567D405B8}" name="ISONEStateBiogenicEmissions" displayName="ISONEStateBiogenicEmissions" ref="A88:C96" totalsRowShown="0" headerRowBorderDxfId="1279" tableBorderDxfId="1278">
  <autoFilter ref="A88:C96" xr:uid="{103B286B-5C11-4D7D-94A3-311567D405B8}">
    <filterColumn colId="0" hiddenButton="1"/>
    <filterColumn colId="1" hiddenButton="1"/>
    <filterColumn colId="2" hiddenButton="1"/>
  </autoFilter>
  <tableColumns count="3">
    <tableColumn id="1" xr3:uid="{4A55618C-D375-4117-A804-EDB68ADFEFA8}" name="State" dataDxfId="1277"/>
    <tableColumn id="2" xr3:uid="{6CF3B2FE-08E7-4822-87D7-C737F71FA681}" name="State GHG Emissions from Electricity Generation  (including net GIS certificate emissions)" dataDxfId="1276"/>
    <tableColumn id="3" xr3:uid="{15B8A212-8BF0-48A9-A800-A4386EFDB13B}" name="Exported GHG Generation Emissions (excluding GIS certificates)" dataDxfId="1275"/>
  </tableColumns>
  <tableStyleInfo name="TableStyleLight1"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CD6D9F1-282A-4AFE-9202-0B0E93E63187}" name="NetTransferGISEmissionsFromNonBiogenicFuelsQNL" displayName="NetTransferGISEmissionsFromNonBiogenicFuelsQNL" ref="A166:H169" totalsRowShown="0" headerRowDxfId="476" headerRowBorderDxfId="475">
  <autoFilter ref="A166:H169" xr:uid="{0CD6D9F1-282A-4AFE-9202-0B0E93E6318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F871CA6-4438-485F-85D4-3FF6B20A5F9B}" name="Fuel Type"/>
    <tableColumn id="2" xr3:uid="{6603DEE1-98C3-4A81-9517-032A3B1E0D1F}" name="Fuel Codes from EIA"/>
    <tableColumn id="3" xr3:uid="{CE49AF11-A150-4570-B3E2-D2D8EB1CB251}" name="Heat Input from GIS certificates (MMBtu)"/>
    <tableColumn id="4" xr3:uid="{B3D594B1-47F5-427E-B6C3-1A85E5007BFB}" name="Calculated CO2 (lb)"/>
    <tableColumn id="5" xr3:uid="{C9082E77-431F-4072-BECD-2EB643BFA683}" name="CH4 (lb)"/>
    <tableColumn id="6" xr3:uid="{B91C200F-7E6E-42C5-9DD7-A312C0913A0F}" name="CO2e (lb) from CH4"/>
    <tableColumn id="7" xr3:uid="{F706D643-D0D5-4A88-B4D9-545A25CF044A}" name="N2O (lb)" dataDxfId="474"/>
    <tableColumn id="8" xr3:uid="{8BB92E96-4CD1-47D0-97B4-25DB71839371}" name="CO2e (lb) from N2O"/>
  </tableColumns>
  <tableStyleInfo name="TableStyleLight1"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A035D42C-82FC-4E6B-8A56-809BA7144D6F}" name="NetTransferGISEmissionsFromBiogenicFuelsQNL" displayName="NetTransferGISEmissionsFromBiogenicFuelsQNL" ref="A172:H177" totalsRowShown="0" headerRowDxfId="473" dataDxfId="471" headerRowBorderDxfId="472">
  <autoFilter ref="A172:H177" xr:uid="{A035D42C-82FC-4E6B-8A56-809BA7144D6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842BC92-FB91-4396-98F7-E81D27D660A0}" name="Fuel Type"/>
    <tableColumn id="2" xr3:uid="{D111D110-C6F0-4D3F-80CE-5C4F7BD6827A}" name="Fuel Codes from EIA"/>
    <tableColumn id="3" xr3:uid="{4F076C2E-698B-4979-84DC-7D88AAA4E63D}" name="Heat Input from GIS certificates (MMBtu)" dataDxfId="470"/>
    <tableColumn id="4" xr3:uid="{9C102AD4-D3D4-45F5-B0E5-E86124FAEDA3}" name="Calculated CO2 (lb)"/>
    <tableColumn id="5" xr3:uid="{2C03CBDB-E79B-4C93-A18B-DDF823414719}" name="CH4 (lb)" dataDxfId="469"/>
    <tableColumn id="6" xr3:uid="{2A737B4C-2800-4B69-A8CC-22E594B559D9}" name="CO2e (lb) from CH4" dataDxfId="468"/>
    <tableColumn id="7" xr3:uid="{0F3F423F-FE33-4E37-83C5-2EACE949BB7A}" name="N2O (lb)" dataDxfId="467"/>
    <tableColumn id="8" xr3:uid="{5A5E9E37-C73F-41BD-9077-3C43275EC460}" name="CO2e (lb) from N2O" dataDxfId="466"/>
  </tableColumns>
  <tableStyleInfo name="TableStyleLight1"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65552BF8-AE9A-4D27-A00D-BD344DE2164A}" name="NetTransferGISEmissionsFromNonBiogenicFuelsCMP" displayName="NetTransferGISEmissionsFromNonBiogenicFuelsCMP" ref="A180:H183" totalsRowShown="0" headerRowDxfId="465" dataDxfId="463" headerRowBorderDxfId="464">
  <autoFilter ref="A180:H183" xr:uid="{65552BF8-AE9A-4D27-A00D-BD344DE2164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C771319-40E1-440E-80D3-DAE7AE63C756}" name="Fuel Type"/>
    <tableColumn id="2" xr3:uid="{1BEEC73F-D4C0-4EB5-BC39-A86440605A94}" name="Fuel Codes from EIA"/>
    <tableColumn id="3" xr3:uid="{2A4A6F78-D977-40D5-81B4-129A54E6FBF0}" name="Heat Input from GIS certificates (MMBtu)" dataDxfId="462"/>
    <tableColumn id="4" xr3:uid="{346FB57D-A54D-4265-8BB0-C25348EB2915}" name="Calculated CO2 (lb)"/>
    <tableColumn id="5" xr3:uid="{40473082-9C45-4CBB-A102-E479F32DB2E3}" name="CH4 (lb)" dataDxfId="461"/>
    <tableColumn id="6" xr3:uid="{161B1F89-729F-48BB-9DFF-54E452827008}" name="CO2e (lb) from CH4" dataDxfId="460"/>
    <tableColumn id="7" xr3:uid="{73207FA0-A845-499E-B889-040B4BB445B4}" name="N2O (lb)" dataDxfId="459"/>
    <tableColumn id="8" xr3:uid="{CBB34B06-824A-4F2B-9719-03AFE5D12095}" name="CO2e (lb) from N2O" dataDxfId="458"/>
  </tableColumns>
  <tableStyleInfo name="TableStyleLight1"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28C9B426-63CB-4E5E-BBC3-D54D52620E60}" name="NetTransferGISEmissionsFromBiogenicFuelsCMP" displayName="NetTransferGISEmissionsFromBiogenicFuelsCMP" ref="A186:H189" totalsRowShown="0" headerRowDxfId="457" dataDxfId="455" headerRowBorderDxfId="456">
  <autoFilter ref="A186:H189" xr:uid="{28C9B426-63CB-4E5E-BBC3-D54D52620E6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1FD9683-D38B-48C2-970B-FB09951E2A64}" name="Fuel Type"/>
    <tableColumn id="2" xr3:uid="{890E9387-FACC-4DFF-B732-02D3F1C94ACF}" name="Fuel Codes from EIA"/>
    <tableColumn id="3" xr3:uid="{06004080-36AC-40C7-A67F-026A183798DE}" name="Heat Input from GIS certificates (MMBtu)" dataDxfId="454"/>
    <tableColumn id="4" xr3:uid="{72140EB1-CDAB-4729-8130-A3E61B702A94}" name="Calculated CO2 (lb)"/>
    <tableColumn id="5" xr3:uid="{62EFA9C4-920E-4D4D-8ABE-970997003B55}" name="CH4 (lb)" dataDxfId="453"/>
    <tableColumn id="6" xr3:uid="{317D9399-3619-498A-945B-603A6A920C1B}" name="CO2e (lb) from CH4" dataDxfId="452"/>
    <tableColumn id="7" xr3:uid="{1722BA1D-ED44-43E8-BB46-C1DF818C80AC}" name="N2O (lb)" dataDxfId="451"/>
    <tableColumn id="8" xr3:uid="{B853B0DB-9D47-4EF7-97F4-50DB5DF55A15}" name="CO2e (lb) from N2O" dataDxfId="450"/>
  </tableColumns>
  <tableStyleInfo name="TableStyleLight1"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FA2D0D51-7B76-452D-BFDD-D15E3772CA12}" name="MMBTUsFromMSSGenerationThatStayInState" displayName="MMBTUsFromMSSGenerationThatStayInState" ref="A434:G453" totalsRowShown="0" headerRowDxfId="449" dataDxfId="447" headerRowBorderDxfId="448" tableBorderDxfId="446" dataCellStyle="Comma">
  <autoFilter ref="A434:G453" xr:uid="{FA2D0D51-7B76-452D-BFDD-D15E3772CA1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B78F1B1-D762-4D27-ABFA-EE26AA61DB4D}" name="from GIS Transfers tab" dataDxfId="445"/>
    <tableColumn id="2" xr3:uid="{BC3AD13E-64D2-48E7-9735-861708ADA8E0}" name="MA fuel-specific MSS MMBTUs to MA" dataDxfId="444" dataCellStyle="Comma">
      <calculatedColumnFormula>GIS!E67*'GIS Heat Input'!$B28</calculatedColumnFormula>
    </tableColumn>
    <tableColumn id="3" xr3:uid="{C0EFE916-7517-4FC6-A474-4B34ECC17CA9}" name="CT fuel-specific MSS MMBTUs to CT" dataDxfId="443" dataCellStyle="Comma">
      <calculatedColumnFormula>GIS!B44*'GIS Heat Input'!$C28</calculatedColumnFormula>
    </tableColumn>
    <tableColumn id="4" xr3:uid="{59D5B38D-94AB-4C9C-B7ED-A7AF30F18DF2}" name="ME fuel-specific MSS &amp; IMP MMBTUs to ME" dataDxfId="442" dataCellStyle="Comma">
      <calculatedColumnFormula>GIS!J90*'GIS Heat Input'!$D28</calculatedColumnFormula>
    </tableColumn>
    <tableColumn id="5" xr3:uid="{3B9A2F73-A9D2-4444-A5E1-0B3F71DCF09C}" name="NH fuel-specific MSS MMBTUs to NH" dataDxfId="441" dataCellStyle="Comma">
      <calculatedColumnFormula>GIS!K113*'GIS Heat Input'!$E28</calculatedColumnFormula>
    </tableColumn>
    <tableColumn id="6" xr3:uid="{FAC1950E-5ABD-42EB-9604-E0008D5DDC57}" name="RI fuel-specific MSS MMBTUs to RI" dataDxfId="440" dataCellStyle="Comma">
      <calculatedColumnFormula>GIS!N136*'GIS Heat Input'!$F28</calculatedColumnFormula>
    </tableColumn>
    <tableColumn id="7" xr3:uid="{AD00BF39-23B3-4E53-9031-89F45ADFA3E7}" name="VT fuel-specific MSS MMBTUs to VT" dataDxfId="439" dataCellStyle="Comma">
      <calculatedColumnFormula>GIS!Q159*'GIS Heat Input'!$G28</calculatedColumnFormula>
    </tableColumn>
  </tableColumns>
  <tableStyleInfo name="TableStyleLight1"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solidatedHeatInputTableForMA" displayName="ConsolidatedHeatInputTableForMA" ref="A269:G277" totalsRowShown="0" headerRowDxfId="438" dataDxfId="437">
  <tableColumns count="7">
    <tableColumn id="1" xr3:uid="{00000000-0010-0000-0000-000001000000}" name="Fuel Types " dataDxfId="436"/>
    <tableColumn id="2" xr3:uid="{00000000-0010-0000-0000-000002000000}" name="Into State - MSS Meter (MMBtu)" dataDxfId="435"/>
    <tableColumn id="3" xr3:uid="{00000000-0010-0000-0000-000003000000}" name="Into State - IMP Meter (MMBtu)2" dataDxfId="434"/>
    <tableColumn id="4" xr3:uid="{00000000-0010-0000-0000-000004000000}" name="Into State - NON Meter (MMBtu)" dataDxfId="433" dataCellStyle="Comma"/>
    <tableColumn id="5" xr3:uid="{00000000-0010-0000-0000-000005000000}" name="Out of State -_x000a_MSS Meter _x000a_(MMBtu)" dataDxfId="432" dataCellStyle="Comma"/>
    <tableColumn id="6" xr3:uid="{00000000-0010-0000-0000-000006000000}" name="*Form 923 trash split" dataDxfId="431" dataCellStyle="Comma"/>
    <tableColumn id="7" xr3:uid="{00000000-0010-0000-0000-000007000000}" name="Net Heat Input from all GIS certificates (MMBtu)" dataDxfId="430" dataCellStyle="Comma">
      <calculatedColumnFormula>B270+C270+D270-E270</calculatedColumnFormula>
    </tableColumn>
  </tableColumns>
  <tableStyleInfo name="TableStyleMedium1"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onsolidatedHeatInputTableForCT" displayName="ConsolidatedHeatInputTableForCT" ref="A280:G288" totalsRowShown="0" headerRowDxfId="429" dataDxfId="428">
  <autoFilter ref="A280:G288"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100-000001000000}" name="Fuel Types " dataDxfId="427"/>
    <tableColumn id="2" xr3:uid="{00000000-0010-0000-0100-000002000000}" name="Into State - MSS Meter (MMBtu)" dataDxfId="426"/>
    <tableColumn id="3" xr3:uid="{00000000-0010-0000-0100-000003000000}" name="Into State - IMP Meter (MMBtu)2" dataDxfId="425"/>
    <tableColumn id="4" xr3:uid="{00000000-0010-0000-0100-000004000000}" name="Into State - NON Meter (MMBtu)" dataDxfId="424"/>
    <tableColumn id="5" xr3:uid="{00000000-0010-0000-0100-000005000000}" name="Out of State -_x000a_MSS Meter _x000a_(MMBtu)" dataDxfId="423"/>
    <tableColumn id="6" xr3:uid="{00000000-0010-0000-0100-000006000000}" name="*Form 923 trash split" dataDxfId="422"/>
    <tableColumn id="7" xr3:uid="{00000000-0010-0000-0100-000007000000}" name="Net Heat Input from all GIS certificates (MMBtu)" dataDxfId="421">
      <calculatedColumnFormula>B281+C281+D281-E281</calculatedColumnFormula>
    </tableColumn>
  </tableColumns>
  <tableStyleInfo name="TableStyleMedium1"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ConsolidatedHeatInputTableForME" displayName="ConsolidatedHeatInputTableForME" ref="A291:G299" totalsRowShown="0" headerRowDxfId="420" dataDxfId="419">
  <autoFilter ref="A291:G299" xr:uid="{00000000-0009-0000-0100-000003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200-000001000000}" name="Fuel Types " dataDxfId="418"/>
    <tableColumn id="2" xr3:uid="{00000000-0010-0000-0200-000002000000}" name="Into State - MSS Meter (MMBtu)" dataDxfId="417"/>
    <tableColumn id="3" xr3:uid="{00000000-0010-0000-0200-000003000000}" name="Into State - IMP Meter (MMBtu)2" dataDxfId="416"/>
    <tableColumn id="4" xr3:uid="{00000000-0010-0000-0200-000004000000}" name="Into State - NON Meter (MMBtu)" dataDxfId="415"/>
    <tableColumn id="5" xr3:uid="{00000000-0010-0000-0200-000005000000}" name="Out of State -_x000a_MSS Meter _x000a_(MMBtu)" dataDxfId="414"/>
    <tableColumn id="6" xr3:uid="{00000000-0010-0000-0200-000006000000}" name="*Form 923 trash split" dataDxfId="413"/>
    <tableColumn id="7" xr3:uid="{00000000-0010-0000-0200-000007000000}" name="Net Heat Input from all GIS certificates (MMBtu)" dataDxfId="412">
      <calculatedColumnFormula>B292+C292+D292-E292</calculatedColumnFormula>
    </tableColumn>
  </tableColumns>
  <tableStyleInfo name="TableStyleMedium1"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onsolidatedHeatInputTableForNH" displayName="ConsolidatedHeatInputTableForNH" ref="A302:G310" totalsRowShown="0" headerRowDxfId="411" dataDxfId="410">
  <autoFilter ref="A302:G310" xr:uid="{00000000-0009-0000-0100-000004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300-000001000000}" name="Fuel Types " dataDxfId="409"/>
    <tableColumn id="2" xr3:uid="{00000000-0010-0000-0300-000002000000}" name="Into State - MSS Meter (MMBtu)" dataDxfId="408" dataCellStyle="Comma"/>
    <tableColumn id="3" xr3:uid="{00000000-0010-0000-0300-000003000000}" name="Into State - IMP Meter (MMBtu)2" dataDxfId="407" dataCellStyle="Comma"/>
    <tableColumn id="4" xr3:uid="{00000000-0010-0000-0300-000004000000}" name="Into State - NON Meter (MMBtu)" dataDxfId="406" dataCellStyle="Comma"/>
    <tableColumn id="5" xr3:uid="{00000000-0010-0000-0300-000005000000}" name="Out of State -_x000a_MSS Meter _x000a_(MMBtu)" dataDxfId="405" dataCellStyle="Comma"/>
    <tableColumn id="6" xr3:uid="{00000000-0010-0000-0300-000006000000}" name="*Form 923 trash split" dataDxfId="404"/>
    <tableColumn id="7" xr3:uid="{00000000-0010-0000-0300-000007000000}" name="Net Heat Input from all GIS certificates (MMBtu)" dataDxfId="403" dataCellStyle="Comma">
      <calculatedColumnFormula>B303+C303+D303-E303</calculatedColumnFormula>
    </tableColumn>
  </tableColumns>
  <tableStyleInfo name="TableStyleMedium1"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ConsolidatedHeatInputTableForRI" displayName="ConsolidatedHeatInputTableForRI" ref="A313:G321" totalsRowShown="0" headerRowDxfId="402" dataDxfId="401">
  <autoFilter ref="A313:G321" xr:uid="{00000000-0009-0000-0100-000005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400-000001000000}" name="Fuel Types " dataDxfId="400"/>
    <tableColumn id="2" xr3:uid="{00000000-0010-0000-0400-000002000000}" name="Into State - MSS Meter (MMBtu)" dataDxfId="399" dataCellStyle="Comma"/>
    <tableColumn id="3" xr3:uid="{00000000-0010-0000-0400-000003000000}" name="Into State - IMP Meter (MMBtu)2" dataDxfId="398" dataCellStyle="Comma"/>
    <tableColumn id="4" xr3:uid="{00000000-0010-0000-0400-000004000000}" name="Into State - NON Meter (MMBtu)" dataDxfId="397" dataCellStyle="Comma"/>
    <tableColumn id="5" xr3:uid="{00000000-0010-0000-0400-000005000000}" name="Out of State -_x000a_MSS Meter _x000a_(MMBtu)" dataDxfId="396" dataCellStyle="Comma"/>
    <tableColumn id="6" xr3:uid="{00000000-0010-0000-0400-000006000000}" name="*Form 923 trash split" dataDxfId="395"/>
    <tableColumn id="7" xr3:uid="{00000000-0010-0000-0400-000007000000}" name="Net Heat Input from all GIS certificates (MMBtu)" dataDxfId="394" dataCellStyle="Comma">
      <calculatedColumnFormula>B314+C314+D314-E314</calculatedColumnFormula>
    </tableColumn>
  </tableColumns>
  <tableStyleInfo name="TableStyleMedium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40" dT="2026-06-01T19:54:46.14" personId="{3428AB41-9801-4D47-BF13-D07DFD7645B5}" id="{F3540C4C-BA00-4D8F-82F4-9312E2F52777}">
    <text>Formatting here and update possibly since above link isn’t working</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119.xml"/><Relationship Id="rId3" Type="http://schemas.openxmlformats.org/officeDocument/2006/relationships/table" Target="../tables/table114.xml"/><Relationship Id="rId7" Type="http://schemas.openxmlformats.org/officeDocument/2006/relationships/table" Target="../tables/table118.xml"/><Relationship Id="rId12" Type="http://schemas.openxmlformats.org/officeDocument/2006/relationships/table" Target="../tables/table123.xml"/><Relationship Id="rId2" Type="http://schemas.openxmlformats.org/officeDocument/2006/relationships/printerSettings" Target="../printerSettings/printerSettings9.bin"/><Relationship Id="rId1" Type="http://schemas.openxmlformats.org/officeDocument/2006/relationships/hyperlink" Target="https://www.mass.gov/guides/solar-carve-out-and-solar-carve-out-ii-program-information?_gl=1*vf7t1u*_ga*MTE0NjMwNDc0MC4xNzE0MTM5MjI1*_ga_MCLPEGW7WM*MTcxNjMwODY5MC4xMi4wLjE3MTYzMDg2OTAuMC4wLjA." TargetMode="External"/><Relationship Id="rId6" Type="http://schemas.openxmlformats.org/officeDocument/2006/relationships/table" Target="../tables/table117.xml"/><Relationship Id="rId11" Type="http://schemas.openxmlformats.org/officeDocument/2006/relationships/table" Target="../tables/table122.xml"/><Relationship Id="rId5" Type="http://schemas.openxmlformats.org/officeDocument/2006/relationships/table" Target="../tables/table116.xml"/><Relationship Id="rId10" Type="http://schemas.openxmlformats.org/officeDocument/2006/relationships/table" Target="../tables/table121.xml"/><Relationship Id="rId4" Type="http://schemas.openxmlformats.org/officeDocument/2006/relationships/table" Target="../tables/table115.xml"/><Relationship Id="rId9" Type="http://schemas.openxmlformats.org/officeDocument/2006/relationships/table" Target="../tables/table120.xml"/></Relationships>
</file>

<file path=xl/worksheets/_rels/sheet11.xml.rels><?xml version="1.0" encoding="UTF-8" standalone="yes"?>
<Relationships xmlns="http://schemas.openxmlformats.org/package/2006/relationships"><Relationship Id="rId8" Type="http://schemas.openxmlformats.org/officeDocument/2006/relationships/hyperlink" Target="http://epa.gov/climatechange/emissions/downloads10/US-GHG-Inventory-2010-Annex-2-CO2-Fossil-Fuel-Combustion.pdf" TargetMode="External"/><Relationship Id="rId13" Type="http://schemas.openxmlformats.org/officeDocument/2006/relationships/table" Target="../tables/table124.xml"/><Relationship Id="rId18" Type="http://schemas.openxmlformats.org/officeDocument/2006/relationships/table" Target="../tables/table129.xml"/><Relationship Id="rId26" Type="http://schemas.openxmlformats.org/officeDocument/2006/relationships/comments" Target="../comments2.xml"/><Relationship Id="rId3" Type="http://schemas.openxmlformats.org/officeDocument/2006/relationships/hyperlink" Target="https://www.govinfo.gov/content/pkg/CFR-2023-title40-vol23/pdf/CFR-2023-title40-vol23-part98-subpartC-appC.pdf" TargetMode="External"/><Relationship Id="rId21" Type="http://schemas.openxmlformats.org/officeDocument/2006/relationships/table" Target="../tables/table132.xml"/><Relationship Id="rId7" Type="http://schemas.openxmlformats.org/officeDocument/2006/relationships/hyperlink" Target="https://www.ipcc.ch/site/assets/uploads/2019/06/2019-Refinement_Energy_SBSTA-IPCC_Special-Event.pdf" TargetMode="External"/><Relationship Id="rId12" Type="http://schemas.openxmlformats.org/officeDocument/2006/relationships/vmlDrawing" Target="../drawings/vmlDrawing2.vml"/><Relationship Id="rId17" Type="http://schemas.openxmlformats.org/officeDocument/2006/relationships/table" Target="../tables/table128.xml"/><Relationship Id="rId25" Type="http://schemas.openxmlformats.org/officeDocument/2006/relationships/table" Target="../tables/table136.xml"/><Relationship Id="rId2" Type="http://schemas.openxmlformats.org/officeDocument/2006/relationships/hyperlink" Target="https://www.govinfo.gov/content/pkg/CFR-2023-title40-vol23/pdf/CFR-2023-title40-vol23-part98-subpartC-appC-id531.pdf" TargetMode="External"/><Relationship Id="rId16" Type="http://schemas.openxmlformats.org/officeDocument/2006/relationships/table" Target="../tables/table127.xml"/><Relationship Id="rId20" Type="http://schemas.openxmlformats.org/officeDocument/2006/relationships/table" Target="../tables/table131.xml"/><Relationship Id="rId1" Type="http://schemas.openxmlformats.org/officeDocument/2006/relationships/hyperlink" Target="http://www.eia.gov/electricity/annual/" TargetMode="External"/><Relationship Id="rId6" Type="http://schemas.openxmlformats.org/officeDocument/2006/relationships/hyperlink" Target="http://www.ipcc-nggip.iges.or.jp/public/2006gl/pdf/2_Volume2/V2_2_Ch2_Stationary_Combustion.pdf" TargetMode="External"/><Relationship Id="rId11" Type="http://schemas.openxmlformats.org/officeDocument/2006/relationships/drawing" Target="../drawings/drawing1.xml"/><Relationship Id="rId24" Type="http://schemas.openxmlformats.org/officeDocument/2006/relationships/table" Target="../tables/table135.xml"/><Relationship Id="rId5" Type="http://schemas.openxmlformats.org/officeDocument/2006/relationships/hyperlink" Target="https://www.epa.gov/sites/default/files/2015-07/documents/catalog_of_chp_technologies_section_6._technology_characterization_-_fuel_cells.pdf" TargetMode="External"/><Relationship Id="rId15" Type="http://schemas.openxmlformats.org/officeDocument/2006/relationships/table" Target="../tables/table126.xml"/><Relationship Id="rId23" Type="http://schemas.openxmlformats.org/officeDocument/2006/relationships/table" Target="../tables/table134.xml"/><Relationship Id="rId10" Type="http://schemas.openxmlformats.org/officeDocument/2006/relationships/printerSettings" Target="../printerSettings/printerSettings10.bin"/><Relationship Id="rId19" Type="http://schemas.openxmlformats.org/officeDocument/2006/relationships/table" Target="../tables/table130.xml"/><Relationship Id="rId4" Type="http://schemas.openxmlformats.org/officeDocument/2006/relationships/hyperlink" Target="https://www.federalregister.gov/documents/2024/05/14/2024-08988/greenhouse-gas-reporting-rule-revisions-and-confidentiality-determinations-for-petroleum-and-natural" TargetMode="External"/><Relationship Id="rId9" Type="http://schemas.openxmlformats.org/officeDocument/2006/relationships/hyperlink" Target="https://www.govinfo.gov/content/pkg/FR-2016-12-09/pdf/2016-28564.pdf" TargetMode="External"/><Relationship Id="rId14" Type="http://schemas.openxmlformats.org/officeDocument/2006/relationships/table" Target="../tables/table125.xml"/><Relationship Id="rId22" Type="http://schemas.openxmlformats.org/officeDocument/2006/relationships/table" Target="../tables/table133.xml"/><Relationship Id="rId27"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s>
</file>

<file path=xl/worksheets/_rels/sheet4.xml.rels><?xml version="1.0" encoding="UTF-8" standalone="yes"?>
<Relationships xmlns="http://schemas.openxmlformats.org/package/2006/relationships"><Relationship Id="rId8" Type="http://schemas.openxmlformats.org/officeDocument/2006/relationships/hyperlink" Target="https://view.officeapps.live.com/op/view.aspx?src=https%3A%2F%2Fwww.iso-ne.com%2Fstatic-assets%2Fdocuments%2F100008%2F2024_energy_peak_by_source.xlsx&amp;wdOrigin=BROWSELINK" TargetMode="External"/><Relationship Id="rId13" Type="http://schemas.openxmlformats.org/officeDocument/2006/relationships/table" Target="../tables/table17.xml"/><Relationship Id="rId3" Type="http://schemas.openxmlformats.org/officeDocument/2006/relationships/hyperlink" Target="https://view.officeapps.live.com/op/view.aspx?src=https%3A%2F%2Fwww.iso-ne.com%2Fstatic-assets%2Fdocuments%2F100008%2F2024_energy_peak_by_source.xlsx&amp;wdOrigin=BROWSELINK" TargetMode="External"/><Relationship Id="rId7" Type="http://schemas.openxmlformats.org/officeDocument/2006/relationships/hyperlink" Target="https://view.officeapps.live.com/op/view.aspx?src=https%3A%2F%2Fwww.iso-ne.com%2Fstatic-assets%2Fdocuments%2F100008%2F2024_energy_peak_by_source.xlsx&amp;wdOrigin=BROWSELINK" TargetMode="External"/><Relationship Id="rId12" Type="http://schemas.openxmlformats.org/officeDocument/2006/relationships/table" Target="../tables/table16.xml"/><Relationship Id="rId2" Type="http://schemas.openxmlformats.org/officeDocument/2006/relationships/hyperlink" Target="https://www150.statcan.gc.ca/t1/tbl1/en/tv.action?pid=2510002001&amp;pickMembers%5B0%5D=1.1&amp;pickMembers%5B1%5D=3.1" TargetMode="External"/><Relationship Id="rId1" Type="http://schemas.openxmlformats.org/officeDocument/2006/relationships/hyperlink" Target="https://www.iso-ne.com/isoexpress/web/reports/load-and-demand/-/tree/net-ener-peak-load" TargetMode="External"/><Relationship Id="rId6" Type="http://schemas.openxmlformats.org/officeDocument/2006/relationships/hyperlink" Target="&#169;https:/view.officeapps.live.com/op/view.aspx?src=https%3A%2F%2Fwww.iso-ne.com%2Fstatic-assets%2Fdocuments%2F100008%2F2024_energy_peak_by_source.xlsx&amp;wdOrigin=BROWSELINK" TargetMode="External"/><Relationship Id="rId11" Type="http://schemas.openxmlformats.org/officeDocument/2006/relationships/printerSettings" Target="../printerSettings/printerSettings4.bin"/><Relationship Id="rId5" Type="http://schemas.openxmlformats.org/officeDocument/2006/relationships/hyperlink" Target="https://view.officeapps.live.com/op/view.aspx?src=https%3A%2F%2Fwww.iso-ne.com%2Fstatic-assets%2Fdocuments%2F2022%2F11%2Fgen_nel_iso_states.xlsx&amp;wdOrigin=BROWSELINK" TargetMode="External"/><Relationship Id="rId10" Type="http://schemas.openxmlformats.org/officeDocument/2006/relationships/hyperlink" Target="https://view.officeapps.live.com/op/view.aspx?src=https%3A%2F%2Fwww.iso-ne.com%2Fstatic-assets%2Fdocuments%2F100008%2F2024_energy_peak_by_source.xlsx&amp;wdOrigin=BROWSELINK" TargetMode="External"/><Relationship Id="rId4" Type="http://schemas.openxmlformats.org/officeDocument/2006/relationships/hyperlink" Target="https://www.iso-ne.com/isoexpress/web/reports/load-and-demand/-/tree/net-ener-peak-load" TargetMode="External"/><Relationship Id="rId9" Type="http://schemas.openxmlformats.org/officeDocument/2006/relationships/hyperlink" Target="https://view.officeapps.live.com/op/view.aspx?src=https%3A%2F%2Fwww.iso-ne.com%2Fstatic-assets%2Fdocuments%2F100008%2F2024_energy_peak_by_source.xlsx&amp;wdOrigin=BROWSELINK" TargetMode="External"/><Relationship Id="rId14" Type="http://schemas.openxmlformats.org/officeDocument/2006/relationships/table" Target="../tables/table18.xml"/></Relationships>
</file>

<file path=xl/worksheets/_rels/sheet5.xml.rels><?xml version="1.0" encoding="UTF-8" standalone="yes"?>
<Relationships xmlns="http://schemas.openxmlformats.org/package/2006/relationships"><Relationship Id="rId8" Type="http://schemas.openxmlformats.org/officeDocument/2006/relationships/table" Target="../tables/table24.xml"/><Relationship Id="rId13" Type="http://schemas.openxmlformats.org/officeDocument/2006/relationships/table" Target="../tables/table29.xml"/><Relationship Id="rId18" Type="http://schemas.openxmlformats.org/officeDocument/2006/relationships/table" Target="../tables/table34.xml"/><Relationship Id="rId3" Type="http://schemas.openxmlformats.org/officeDocument/2006/relationships/table" Target="../tables/table19.xml"/><Relationship Id="rId7" Type="http://schemas.openxmlformats.org/officeDocument/2006/relationships/table" Target="../tables/table23.xml"/><Relationship Id="rId12" Type="http://schemas.openxmlformats.org/officeDocument/2006/relationships/table" Target="../tables/table28.xml"/><Relationship Id="rId17" Type="http://schemas.openxmlformats.org/officeDocument/2006/relationships/table" Target="../tables/table33.xml"/><Relationship Id="rId2" Type="http://schemas.openxmlformats.org/officeDocument/2006/relationships/printerSettings" Target="../printerSettings/printerSettings5.bin"/><Relationship Id="rId16" Type="http://schemas.openxmlformats.org/officeDocument/2006/relationships/table" Target="../tables/table32.xml"/><Relationship Id="rId1" Type="http://schemas.openxmlformats.org/officeDocument/2006/relationships/hyperlink" Target="https://www150.statcan.gc.ca/t1/tbl1/en/tv.action?pid=2510008401&amp;pickMembers%5B0%5D=1.6&amp;pickMembers%5B1%5D=2.2&amp;cubeTimeFrame.startYear=2022&amp;cubeTimeFrame.endYear=2022&amp;referencePeriods=20220101%2C20220101" TargetMode="External"/><Relationship Id="rId6" Type="http://schemas.openxmlformats.org/officeDocument/2006/relationships/table" Target="../tables/table22.xml"/><Relationship Id="rId11" Type="http://schemas.openxmlformats.org/officeDocument/2006/relationships/table" Target="../tables/table27.xml"/><Relationship Id="rId5" Type="http://schemas.openxmlformats.org/officeDocument/2006/relationships/table" Target="../tables/table21.xml"/><Relationship Id="rId15" Type="http://schemas.openxmlformats.org/officeDocument/2006/relationships/table" Target="../tables/table31.xml"/><Relationship Id="rId10" Type="http://schemas.openxmlformats.org/officeDocument/2006/relationships/table" Target="../tables/table26.xml"/><Relationship Id="rId19" Type="http://schemas.openxmlformats.org/officeDocument/2006/relationships/table" Target="../tables/table35.xml"/><Relationship Id="rId4" Type="http://schemas.openxmlformats.org/officeDocument/2006/relationships/table" Target="../tables/table20.xml"/><Relationship Id="rId9" Type="http://schemas.openxmlformats.org/officeDocument/2006/relationships/table" Target="../tables/table25.xml"/><Relationship Id="rId14" Type="http://schemas.openxmlformats.org/officeDocument/2006/relationships/table" Target="../tables/table30.xml"/></Relationships>
</file>

<file path=xl/worksheets/_rels/sheet6.xml.rels><?xml version="1.0" encoding="UTF-8" standalone="yes"?>
<Relationships xmlns="http://schemas.openxmlformats.org/package/2006/relationships"><Relationship Id="rId8" Type="http://schemas.openxmlformats.org/officeDocument/2006/relationships/table" Target="../tables/table41.xml"/><Relationship Id="rId13" Type="http://schemas.openxmlformats.org/officeDocument/2006/relationships/table" Target="../tables/table46.xml"/><Relationship Id="rId3" Type="http://schemas.openxmlformats.org/officeDocument/2006/relationships/table" Target="../tables/table36.xml"/><Relationship Id="rId7" Type="http://schemas.openxmlformats.org/officeDocument/2006/relationships/table" Target="../tables/table40.xml"/><Relationship Id="rId12" Type="http://schemas.openxmlformats.org/officeDocument/2006/relationships/table" Target="../tables/table45.xml"/><Relationship Id="rId2" Type="http://schemas.openxmlformats.org/officeDocument/2006/relationships/printerSettings" Target="../printerSettings/printerSettings6.bin"/><Relationship Id="rId1" Type="http://schemas.openxmlformats.org/officeDocument/2006/relationships/hyperlink" Target="https://www.eia.gov/electricity/data/eia923/" TargetMode="External"/><Relationship Id="rId6" Type="http://schemas.openxmlformats.org/officeDocument/2006/relationships/table" Target="../tables/table39.xml"/><Relationship Id="rId11" Type="http://schemas.openxmlformats.org/officeDocument/2006/relationships/table" Target="../tables/table44.xml"/><Relationship Id="rId5" Type="http://schemas.openxmlformats.org/officeDocument/2006/relationships/table" Target="../tables/table38.xml"/><Relationship Id="rId10" Type="http://schemas.openxmlformats.org/officeDocument/2006/relationships/table" Target="../tables/table43.xml"/><Relationship Id="rId4" Type="http://schemas.openxmlformats.org/officeDocument/2006/relationships/table" Target="../tables/table37.xml"/><Relationship Id="rId9" Type="http://schemas.openxmlformats.org/officeDocument/2006/relationships/table" Target="../tables/table42.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campd.epa.gov/" TargetMode="External"/><Relationship Id="rId1" Type="http://schemas.openxmlformats.org/officeDocument/2006/relationships/hyperlink" Target="https://campd.epa.gov/" TargetMode="External"/><Relationship Id="rId5" Type="http://schemas.openxmlformats.org/officeDocument/2006/relationships/table" Target="../tables/table48.xml"/><Relationship Id="rId4" Type="http://schemas.openxmlformats.org/officeDocument/2006/relationships/table" Target="../tables/table47.xml"/></Relationships>
</file>

<file path=xl/worksheets/_rels/sheet8.xml.rels><?xml version="1.0" encoding="UTF-8" standalone="yes"?>
<Relationships xmlns="http://schemas.openxmlformats.org/package/2006/relationships"><Relationship Id="rId13" Type="http://schemas.openxmlformats.org/officeDocument/2006/relationships/table" Target="../tables/table60.xml"/><Relationship Id="rId18" Type="http://schemas.openxmlformats.org/officeDocument/2006/relationships/table" Target="../tables/table65.xml"/><Relationship Id="rId26" Type="http://schemas.openxmlformats.org/officeDocument/2006/relationships/table" Target="../tables/table73.xml"/><Relationship Id="rId39" Type="http://schemas.openxmlformats.org/officeDocument/2006/relationships/table" Target="../tables/table86.xml"/><Relationship Id="rId21" Type="http://schemas.openxmlformats.org/officeDocument/2006/relationships/table" Target="../tables/table68.xml"/><Relationship Id="rId34" Type="http://schemas.openxmlformats.org/officeDocument/2006/relationships/table" Target="../tables/table81.xml"/><Relationship Id="rId42" Type="http://schemas.openxmlformats.org/officeDocument/2006/relationships/table" Target="../tables/table89.xml"/><Relationship Id="rId47" Type="http://schemas.openxmlformats.org/officeDocument/2006/relationships/table" Target="../tables/table94.xml"/><Relationship Id="rId7" Type="http://schemas.openxmlformats.org/officeDocument/2006/relationships/table" Target="../tables/table54.xml"/><Relationship Id="rId2" Type="http://schemas.openxmlformats.org/officeDocument/2006/relationships/table" Target="../tables/table49.xml"/><Relationship Id="rId16" Type="http://schemas.openxmlformats.org/officeDocument/2006/relationships/table" Target="../tables/table63.xml"/><Relationship Id="rId29" Type="http://schemas.openxmlformats.org/officeDocument/2006/relationships/table" Target="../tables/table76.xml"/><Relationship Id="rId1" Type="http://schemas.openxmlformats.org/officeDocument/2006/relationships/printerSettings" Target="../printerSettings/printerSettings8.bin"/><Relationship Id="rId6" Type="http://schemas.openxmlformats.org/officeDocument/2006/relationships/table" Target="../tables/table53.xml"/><Relationship Id="rId11" Type="http://schemas.openxmlformats.org/officeDocument/2006/relationships/table" Target="../tables/table58.xml"/><Relationship Id="rId24" Type="http://schemas.openxmlformats.org/officeDocument/2006/relationships/table" Target="../tables/table71.xml"/><Relationship Id="rId32" Type="http://schemas.openxmlformats.org/officeDocument/2006/relationships/table" Target="../tables/table79.xml"/><Relationship Id="rId37" Type="http://schemas.openxmlformats.org/officeDocument/2006/relationships/table" Target="../tables/table84.xml"/><Relationship Id="rId40" Type="http://schemas.openxmlformats.org/officeDocument/2006/relationships/table" Target="../tables/table87.xml"/><Relationship Id="rId45" Type="http://schemas.openxmlformats.org/officeDocument/2006/relationships/table" Target="../tables/table92.xml"/><Relationship Id="rId5" Type="http://schemas.openxmlformats.org/officeDocument/2006/relationships/table" Target="../tables/table52.xml"/><Relationship Id="rId15" Type="http://schemas.openxmlformats.org/officeDocument/2006/relationships/table" Target="../tables/table62.xml"/><Relationship Id="rId23" Type="http://schemas.openxmlformats.org/officeDocument/2006/relationships/table" Target="../tables/table70.xml"/><Relationship Id="rId28" Type="http://schemas.openxmlformats.org/officeDocument/2006/relationships/table" Target="../tables/table75.xml"/><Relationship Id="rId36" Type="http://schemas.openxmlformats.org/officeDocument/2006/relationships/table" Target="../tables/table83.xml"/><Relationship Id="rId10" Type="http://schemas.openxmlformats.org/officeDocument/2006/relationships/table" Target="../tables/table57.xml"/><Relationship Id="rId19" Type="http://schemas.openxmlformats.org/officeDocument/2006/relationships/table" Target="../tables/table66.xml"/><Relationship Id="rId31" Type="http://schemas.openxmlformats.org/officeDocument/2006/relationships/table" Target="../tables/table78.xml"/><Relationship Id="rId44" Type="http://schemas.openxmlformats.org/officeDocument/2006/relationships/table" Target="../tables/table91.xml"/><Relationship Id="rId4" Type="http://schemas.openxmlformats.org/officeDocument/2006/relationships/table" Target="../tables/table51.xml"/><Relationship Id="rId9" Type="http://schemas.openxmlformats.org/officeDocument/2006/relationships/table" Target="../tables/table56.xml"/><Relationship Id="rId14" Type="http://schemas.openxmlformats.org/officeDocument/2006/relationships/table" Target="../tables/table61.xml"/><Relationship Id="rId22" Type="http://schemas.openxmlformats.org/officeDocument/2006/relationships/table" Target="../tables/table69.xml"/><Relationship Id="rId27" Type="http://schemas.openxmlformats.org/officeDocument/2006/relationships/table" Target="../tables/table74.xml"/><Relationship Id="rId30" Type="http://schemas.openxmlformats.org/officeDocument/2006/relationships/table" Target="../tables/table77.xml"/><Relationship Id="rId35" Type="http://schemas.openxmlformats.org/officeDocument/2006/relationships/table" Target="../tables/table82.xml"/><Relationship Id="rId43" Type="http://schemas.openxmlformats.org/officeDocument/2006/relationships/table" Target="../tables/table90.xml"/><Relationship Id="rId8" Type="http://schemas.openxmlformats.org/officeDocument/2006/relationships/table" Target="../tables/table55.xml"/><Relationship Id="rId3" Type="http://schemas.openxmlformats.org/officeDocument/2006/relationships/table" Target="../tables/table50.xml"/><Relationship Id="rId12" Type="http://schemas.openxmlformats.org/officeDocument/2006/relationships/table" Target="../tables/table59.xml"/><Relationship Id="rId17" Type="http://schemas.openxmlformats.org/officeDocument/2006/relationships/table" Target="../tables/table64.xml"/><Relationship Id="rId25" Type="http://schemas.openxmlformats.org/officeDocument/2006/relationships/table" Target="../tables/table72.xml"/><Relationship Id="rId33" Type="http://schemas.openxmlformats.org/officeDocument/2006/relationships/table" Target="../tables/table80.xml"/><Relationship Id="rId38" Type="http://schemas.openxmlformats.org/officeDocument/2006/relationships/table" Target="../tables/table85.xml"/><Relationship Id="rId46" Type="http://schemas.openxmlformats.org/officeDocument/2006/relationships/table" Target="../tables/table93.xml"/><Relationship Id="rId20" Type="http://schemas.openxmlformats.org/officeDocument/2006/relationships/table" Target="../tables/table67.xml"/><Relationship Id="rId41" Type="http://schemas.openxmlformats.org/officeDocument/2006/relationships/table" Target="../tables/table88.xml"/></Relationships>
</file>

<file path=xl/worksheets/_rels/sheet9.xml.rels><?xml version="1.0" encoding="UTF-8" standalone="yes"?>
<Relationships xmlns="http://schemas.openxmlformats.org/package/2006/relationships"><Relationship Id="rId8" Type="http://schemas.openxmlformats.org/officeDocument/2006/relationships/table" Target="../tables/table102.xml"/><Relationship Id="rId13" Type="http://schemas.openxmlformats.org/officeDocument/2006/relationships/table" Target="../tables/table107.xml"/><Relationship Id="rId18" Type="http://schemas.openxmlformats.org/officeDocument/2006/relationships/table" Target="../tables/table112.xml"/><Relationship Id="rId3" Type="http://schemas.openxmlformats.org/officeDocument/2006/relationships/table" Target="../tables/table97.xml"/><Relationship Id="rId7" Type="http://schemas.openxmlformats.org/officeDocument/2006/relationships/table" Target="../tables/table101.xml"/><Relationship Id="rId12" Type="http://schemas.openxmlformats.org/officeDocument/2006/relationships/table" Target="../tables/table106.xml"/><Relationship Id="rId17" Type="http://schemas.openxmlformats.org/officeDocument/2006/relationships/table" Target="../tables/table111.xml"/><Relationship Id="rId2" Type="http://schemas.openxmlformats.org/officeDocument/2006/relationships/table" Target="../tables/table96.xml"/><Relationship Id="rId16" Type="http://schemas.openxmlformats.org/officeDocument/2006/relationships/table" Target="../tables/table110.xml"/><Relationship Id="rId1" Type="http://schemas.openxmlformats.org/officeDocument/2006/relationships/table" Target="../tables/table95.xml"/><Relationship Id="rId6" Type="http://schemas.openxmlformats.org/officeDocument/2006/relationships/table" Target="../tables/table100.xml"/><Relationship Id="rId11" Type="http://schemas.openxmlformats.org/officeDocument/2006/relationships/table" Target="../tables/table105.xml"/><Relationship Id="rId5" Type="http://schemas.openxmlformats.org/officeDocument/2006/relationships/table" Target="../tables/table99.xml"/><Relationship Id="rId15" Type="http://schemas.openxmlformats.org/officeDocument/2006/relationships/table" Target="../tables/table109.xml"/><Relationship Id="rId10" Type="http://schemas.openxmlformats.org/officeDocument/2006/relationships/table" Target="../tables/table104.xml"/><Relationship Id="rId19" Type="http://schemas.openxmlformats.org/officeDocument/2006/relationships/table" Target="../tables/table113.xml"/><Relationship Id="rId4" Type="http://schemas.openxmlformats.org/officeDocument/2006/relationships/table" Target="../tables/table98.xml"/><Relationship Id="rId9" Type="http://schemas.openxmlformats.org/officeDocument/2006/relationships/table" Target="../tables/table103.xml"/><Relationship Id="rId14" Type="http://schemas.openxmlformats.org/officeDocument/2006/relationships/table" Target="../tables/table10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262C7-8681-4FC1-A96F-969535853F77}">
  <dimension ref="A1:A15"/>
  <sheetViews>
    <sheetView tabSelected="1" workbookViewId="0"/>
  </sheetViews>
  <sheetFormatPr defaultColWidth="8.7265625" defaultRowHeight="18.5" x14ac:dyDescent="0.45"/>
  <cols>
    <col min="1" max="1" width="38.1796875" style="361" customWidth="1"/>
    <col min="2" max="16384" width="8.7265625" style="361"/>
  </cols>
  <sheetData>
    <row r="1" spans="1:1" ht="21" x14ac:dyDescent="0.5">
      <c r="A1" s="49" t="s">
        <v>0</v>
      </c>
    </row>
    <row r="2" spans="1:1" x14ac:dyDescent="0.45">
      <c r="A2" s="361" t="s">
        <v>1</v>
      </c>
    </row>
    <row r="3" spans="1:1" ht="21" x14ac:dyDescent="0.5">
      <c r="A3" s="653" t="s">
        <v>2</v>
      </c>
    </row>
    <row r="4" spans="1:1" ht="21" x14ac:dyDescent="0.5">
      <c r="A4" s="653" t="s">
        <v>3</v>
      </c>
    </row>
    <row r="5" spans="1:1" ht="21" x14ac:dyDescent="0.5">
      <c r="A5" s="653" t="s">
        <v>4</v>
      </c>
    </row>
    <row r="6" spans="1:1" ht="21" x14ac:dyDescent="0.5">
      <c r="A6" s="653" t="s">
        <v>5</v>
      </c>
    </row>
    <row r="7" spans="1:1" ht="21" x14ac:dyDescent="0.5">
      <c r="A7" s="653" t="s">
        <v>6</v>
      </c>
    </row>
    <row r="8" spans="1:1" ht="21" x14ac:dyDescent="0.5">
      <c r="A8" s="653" t="s">
        <v>7</v>
      </c>
    </row>
    <row r="9" spans="1:1" ht="21" x14ac:dyDescent="0.5">
      <c r="A9" s="653" t="s">
        <v>8</v>
      </c>
    </row>
    <row r="10" spans="1:1" ht="21" x14ac:dyDescent="0.5">
      <c r="A10" s="653" t="s">
        <v>9</v>
      </c>
    </row>
    <row r="11" spans="1:1" ht="21" x14ac:dyDescent="0.5">
      <c r="A11" s="653" t="s">
        <v>99</v>
      </c>
    </row>
    <row r="12" spans="1:1" ht="21" x14ac:dyDescent="0.5">
      <c r="A12" s="653" t="s">
        <v>4549</v>
      </c>
    </row>
    <row r="13" spans="1:1" ht="21" x14ac:dyDescent="0.5">
      <c r="A13" s="654" t="s">
        <v>11</v>
      </c>
    </row>
    <row r="15" spans="1:1" x14ac:dyDescent="0.45">
      <c r="A15" s="155" t="s">
        <v>150</v>
      </c>
    </row>
  </sheetData>
  <hyperlinks>
    <hyperlink ref="A3" location="'Emission Factors'!A1" display="Emission Factors" xr:uid="{45C5D4F4-F58C-4CF0-8E6E-883868E9EC65}"/>
    <hyperlink ref="A4" location="'State and Province Summary'!A1" display="State and Province Summary" xr:uid="{25D34472-0B1F-406C-9BDF-F4AAE141D91D}"/>
    <hyperlink ref="A5" location="'Generation Load Imports'!A1" display="Generation Load Imports" xr:uid="{11D48E13-3103-404B-9AB0-AABC1DCF0D81}"/>
    <hyperlink ref="A6" location="'EIA and EPA CO2e'!A1" display="EIA and EPA CO2e" xr:uid="{6C7FAD90-DC0A-477B-81A7-56844A09D6E5}"/>
    <hyperlink ref="A7" location="'EIA Form 923'!A1" display="EIA Form 923" xr:uid="{1E304BB1-D1BC-4A2A-8359-D4710EFC172F}"/>
    <hyperlink ref="A8" location="'EPA Part 75'!A1" display="EPA Part 75" xr:uid="{565672AF-CDA1-41FC-80B6-38B57E456DAF}"/>
    <hyperlink ref="A9" location="'GIS CO2e'!A1" display="GIS CO2e" xr:uid="{94EDF2FA-61BE-4CF9-A6E4-0290A0BD023E}"/>
    <hyperlink ref="A10" location="'GIS Heat Input'!A1" display="GIS Heat Input" xr:uid="{4BFF27BE-306D-4C28-B4B8-4DD29A370F7A}"/>
    <hyperlink ref="A11" location="GIS!A1" display="GIS" xr:uid="{F1A18358-0985-4031-9821-159B32389C06}"/>
    <hyperlink ref="A12" location="'GWPs and Fuel EFs'!A1" display="GWPs and Fuel Efs" xr:uid="{C707306B-E161-441C-A070-2AA61CE77511}"/>
  </hyperlinks>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6" tint="0.39997558519241921"/>
  </sheetPr>
  <dimension ref="A1:AA277"/>
  <sheetViews>
    <sheetView zoomScale="110" zoomScaleNormal="110" workbookViewId="0"/>
  </sheetViews>
  <sheetFormatPr defaultColWidth="9.1796875" defaultRowHeight="16" x14ac:dyDescent="0.4"/>
  <cols>
    <col min="1" max="1" width="30.453125" style="3" customWidth="1"/>
    <col min="2" max="2" width="15.7265625" style="3" customWidth="1"/>
    <col min="3" max="3" width="19.453125" style="3" customWidth="1"/>
    <col min="4" max="4" width="16" style="3" customWidth="1"/>
    <col min="5" max="5" width="20.1796875" style="3" customWidth="1"/>
    <col min="6" max="6" width="16.453125" style="3" customWidth="1"/>
    <col min="7" max="7" width="15.7265625" style="3" customWidth="1"/>
    <col min="8" max="8" width="16.1796875" style="3" customWidth="1"/>
    <col min="9" max="9" width="31.7265625" style="3" customWidth="1"/>
    <col min="10" max="10" width="16" style="3" customWidth="1"/>
    <col min="11" max="11" width="15.81640625" style="3" customWidth="1"/>
    <col min="12" max="12" width="16.26953125" style="3" customWidth="1"/>
    <col min="13" max="13" width="14.453125" style="3" customWidth="1"/>
    <col min="14" max="14" width="15.81640625" style="3" customWidth="1"/>
    <col min="15" max="15" width="15.7265625" style="3" customWidth="1"/>
    <col min="16" max="16" width="16.1796875" style="3" customWidth="1"/>
    <col min="17" max="17" width="14.453125" style="3" customWidth="1"/>
    <col min="18" max="18" width="15" style="3" customWidth="1"/>
    <col min="19" max="19" width="14.81640625" style="3" customWidth="1"/>
    <col min="20" max="20" width="15.26953125" style="3" customWidth="1"/>
    <col min="21" max="21" width="13.453125" style="3" customWidth="1"/>
    <col min="22" max="22" width="15.54296875" style="3" customWidth="1"/>
    <col min="23" max="23" width="15.453125" style="3" customWidth="1"/>
    <col min="24" max="24" width="15.7265625" style="3" customWidth="1"/>
    <col min="25" max="25" width="13.81640625" style="3" customWidth="1"/>
    <col min="26" max="26" width="12.81640625" style="3" bestFit="1" customWidth="1"/>
    <col min="27" max="27" width="11.81640625" style="3" customWidth="1"/>
    <col min="28" max="28" width="13.453125" style="3" customWidth="1"/>
    <col min="29" max="29" width="16.54296875" style="3" customWidth="1"/>
    <col min="30" max="30" width="9.1796875" style="3"/>
    <col min="31" max="31" width="12.81640625" style="3" customWidth="1"/>
    <col min="32" max="16384" width="9.1796875" style="3"/>
  </cols>
  <sheetData>
    <row r="1" spans="1:2" ht="21" x14ac:dyDescent="0.5">
      <c r="A1" s="49" t="s">
        <v>4130</v>
      </c>
    </row>
    <row r="2" spans="1:2" x14ac:dyDescent="0.4">
      <c r="A2" s="3" t="s">
        <v>4131</v>
      </c>
    </row>
    <row r="3" spans="1:2" x14ac:dyDescent="0.4">
      <c r="A3" s="3" t="s">
        <v>4529</v>
      </c>
    </row>
    <row r="4" spans="1:2" x14ac:dyDescent="0.4">
      <c r="A4" s="3" t="s">
        <v>4132</v>
      </c>
    </row>
    <row r="5" spans="1:2" x14ac:dyDescent="0.4">
      <c r="A5" s="3" t="s">
        <v>4133</v>
      </c>
    </row>
    <row r="6" spans="1:2" x14ac:dyDescent="0.4">
      <c r="A6" s="3" t="s">
        <v>4134</v>
      </c>
    </row>
    <row r="7" spans="1:2" x14ac:dyDescent="0.4">
      <c r="A7" s="3" t="s">
        <v>4528</v>
      </c>
      <c r="B7" s="86"/>
    </row>
    <row r="8" spans="1:2" x14ac:dyDescent="0.4">
      <c r="A8" s="3" t="s">
        <v>4135</v>
      </c>
    </row>
    <row r="9" spans="1:2" x14ac:dyDescent="0.4">
      <c r="A9" s="3" t="s">
        <v>4136</v>
      </c>
    </row>
    <row r="10" spans="1:2" x14ac:dyDescent="0.4">
      <c r="A10" s="3" t="s">
        <v>4137</v>
      </c>
    </row>
    <row r="11" spans="1:2" x14ac:dyDescent="0.4">
      <c r="A11" s="3" t="s">
        <v>4138</v>
      </c>
    </row>
    <row r="12" spans="1:2" x14ac:dyDescent="0.4">
      <c r="A12" s="3" t="s">
        <v>4144</v>
      </c>
    </row>
    <row r="13" spans="1:2" x14ac:dyDescent="0.4">
      <c r="A13" s="3" t="s">
        <v>4145</v>
      </c>
    </row>
    <row r="14" spans="1:2" x14ac:dyDescent="0.4">
      <c r="A14" s="3" t="s">
        <v>4539</v>
      </c>
    </row>
    <row r="16" spans="1:2" x14ac:dyDescent="0.4">
      <c r="A16" s="4" t="s">
        <v>4201</v>
      </c>
    </row>
    <row r="17" spans="1:10" x14ac:dyDescent="0.4">
      <c r="A17" s="3" t="s">
        <v>4536</v>
      </c>
    </row>
    <row r="18" spans="1:10" x14ac:dyDescent="0.4">
      <c r="A18" s="3" t="s">
        <v>4143</v>
      </c>
    </row>
    <row r="19" spans="1:10" x14ac:dyDescent="0.4">
      <c r="A19" s="3" t="s">
        <v>4534</v>
      </c>
    </row>
    <row r="20" spans="1:10" x14ac:dyDescent="0.4">
      <c r="A20" s="336" t="s">
        <v>4569</v>
      </c>
      <c r="B20" s="338" t="s">
        <v>4202</v>
      </c>
      <c r="C20" s="338" t="s">
        <v>4203</v>
      </c>
      <c r="D20" s="338" t="s">
        <v>4204</v>
      </c>
      <c r="E20" s="338" t="s">
        <v>4205</v>
      </c>
      <c r="F20" s="338" t="s">
        <v>4206</v>
      </c>
      <c r="G20" s="338" t="s">
        <v>191</v>
      </c>
      <c r="H20" s="338" t="s">
        <v>182</v>
      </c>
      <c r="I20" s="338" t="s">
        <v>4207</v>
      </c>
      <c r="J20" s="338" t="s">
        <v>184</v>
      </c>
    </row>
    <row r="21" spans="1:10" x14ac:dyDescent="0.4">
      <c r="A21" s="589" t="s">
        <v>4208</v>
      </c>
      <c r="B21" s="592">
        <f>D85+E108+D131+D154+D177+B201+E225+E249</f>
        <v>4961932</v>
      </c>
      <c r="C21" s="592">
        <f>G62+I108+G131+G154+G177+C201+I225+I249</f>
        <v>22459666</v>
      </c>
      <c r="D21" s="592">
        <f>J62+J85+J131+J154+J177+D201+M225+M249</f>
        <v>1418160</v>
      </c>
      <c r="E21" s="592">
        <f>M62+M85+Q108+M154+M177+E201+Q225+Q249</f>
        <v>719977</v>
      </c>
      <c r="F21" s="592">
        <f>P62+P85+U108+P131+P177+F201+U225+T249</f>
        <v>1253664</v>
      </c>
      <c r="G21" s="592">
        <f>S62+S85+Y108+S131+S154+G201+Y225+Y249</f>
        <v>3213288</v>
      </c>
      <c r="H21" s="447" t="s">
        <v>4065</v>
      </c>
      <c r="I21" s="447" t="s">
        <v>4065</v>
      </c>
      <c r="J21" s="447" t="s">
        <v>4065</v>
      </c>
    </row>
    <row r="22" spans="1:10" x14ac:dyDescent="0.4">
      <c r="A22" s="589" t="s">
        <v>4209</v>
      </c>
      <c r="B22" s="592">
        <f>G62+J62+M62+P62+S62</f>
        <v>3649351</v>
      </c>
      <c r="C22" s="592">
        <f>D85+J85+M85+P85+S85</f>
        <v>808877</v>
      </c>
      <c r="D22" s="592">
        <f>E108+I108+Q108+U108+Y108</f>
        <v>5336736</v>
      </c>
      <c r="E22" s="592">
        <f>D131+G131+J131+P131+S131</f>
        <v>11746617</v>
      </c>
      <c r="F22" s="592">
        <f>D154+G154+J154+M154+S154</f>
        <v>284606</v>
      </c>
      <c r="G22" s="592">
        <f>D177+G177+J177+M177+P177</f>
        <v>1608392</v>
      </c>
      <c r="H22" s="592">
        <f>B201+C201+D201+E201+F201+G201</f>
        <v>4686525</v>
      </c>
      <c r="I22" s="592">
        <f>E225+I225+M225+Q225+U225+Y225</f>
        <v>597320</v>
      </c>
      <c r="J22" s="592">
        <f>E249+I249+M249+Q249+U249+Y249</f>
        <v>5308263</v>
      </c>
    </row>
    <row r="23" spans="1:10" x14ac:dyDescent="0.4">
      <c r="A23" s="589" t="s">
        <v>4210</v>
      </c>
      <c r="B23" s="592">
        <f>C62+F62+I62+L62+O62+R62</f>
        <v>1776685</v>
      </c>
      <c r="C23" s="592">
        <f>C85+F85+I85+L85+O85+R85</f>
        <v>3476182</v>
      </c>
      <c r="D23" s="592">
        <f>C108+G108+K108+O108+S108+W108</f>
        <v>1345973</v>
      </c>
      <c r="E23" s="592">
        <f>C131+F131+I131+L131+O131+R131</f>
        <v>336877</v>
      </c>
      <c r="F23" s="592">
        <f>C154+F154+I154+L154+O154+R154</f>
        <v>320214</v>
      </c>
      <c r="G23" s="592">
        <f>C177+F177+I177+L177+O177+R177</f>
        <v>839654</v>
      </c>
      <c r="H23" s="447" t="s">
        <v>4065</v>
      </c>
      <c r="I23" s="447" t="s">
        <v>4065</v>
      </c>
      <c r="J23" s="447" t="s">
        <v>4065</v>
      </c>
    </row>
    <row r="24" spans="1:10" x14ac:dyDescent="0.4">
      <c r="A24" s="589" t="s">
        <v>4211</v>
      </c>
      <c r="B24" s="592">
        <f>B85+B108+B131+B154+B177</f>
        <v>3358243</v>
      </c>
      <c r="C24" s="592">
        <f>E62+F108+E131+E154+E177</f>
        <v>14843359</v>
      </c>
      <c r="D24" s="592">
        <f>H62+H85+H131+H154+H177</f>
        <v>1129165</v>
      </c>
      <c r="E24" s="592">
        <f>K62+K85+N108+K154+K177</f>
        <v>313533</v>
      </c>
      <c r="F24" s="592">
        <f>N62+N85+R108+N131+N177</f>
        <v>722337</v>
      </c>
      <c r="G24" s="592">
        <f>Q62+Q85+V108+Q131+Q154</f>
        <v>1660019</v>
      </c>
      <c r="H24" s="408" t="s">
        <v>170</v>
      </c>
      <c r="I24" s="408" t="s">
        <v>170</v>
      </c>
      <c r="J24" s="408" t="s">
        <v>170</v>
      </c>
    </row>
    <row r="25" spans="1:10" x14ac:dyDescent="0.4">
      <c r="A25" s="589" t="s">
        <v>4212</v>
      </c>
      <c r="B25" s="592">
        <f>E62+H62+K62+N62+Q62</f>
        <v>3637504</v>
      </c>
      <c r="C25" s="592">
        <f>B85+H85+K85+N85+Q85</f>
        <v>731593</v>
      </c>
      <c r="D25" s="592">
        <f>B108+F108+N108+R108+V108</f>
        <v>4896122</v>
      </c>
      <c r="E25" s="592">
        <f>B131+E131+H131+N131+Q131</f>
        <v>11448646</v>
      </c>
      <c r="F25" s="592">
        <f>B154+E154+H154+K154+Q154</f>
        <v>146833</v>
      </c>
      <c r="G25" s="592">
        <f>B177+E177+H177+K177+N177</f>
        <v>1165958</v>
      </c>
      <c r="H25" s="408" t="s">
        <v>170</v>
      </c>
      <c r="I25" s="408" t="s">
        <v>170</v>
      </c>
      <c r="J25" s="408" t="s">
        <v>170</v>
      </c>
    </row>
    <row r="26" spans="1:10" x14ac:dyDescent="0.4">
      <c r="A26" s="484" t="s">
        <v>11</v>
      </c>
      <c r="G26" s="319"/>
    </row>
    <row r="27" spans="1:10" x14ac:dyDescent="0.4">
      <c r="C27" s="319"/>
      <c r="D27" s="319"/>
      <c r="E27" s="319"/>
      <c r="F27" s="346"/>
      <c r="G27" s="319"/>
      <c r="H27" s="319"/>
      <c r="I27" s="319"/>
      <c r="J27" s="319"/>
    </row>
    <row r="28" spans="1:10" x14ac:dyDescent="0.4">
      <c r="A28" s="4" t="s">
        <v>4535</v>
      </c>
    </row>
    <row r="29" spans="1:10" x14ac:dyDescent="0.4">
      <c r="A29" s="3" t="s">
        <v>4537</v>
      </c>
    </row>
    <row r="30" spans="1:10" x14ac:dyDescent="0.4">
      <c r="A30" s="3" t="s">
        <v>4533</v>
      </c>
    </row>
    <row r="31" spans="1:10" x14ac:dyDescent="0.4">
      <c r="A31" s="3" t="s">
        <v>4139</v>
      </c>
    </row>
    <row r="32" spans="1:10" x14ac:dyDescent="0.4">
      <c r="A32" s="3" t="s">
        <v>4140</v>
      </c>
    </row>
    <row r="33" spans="1:20" x14ac:dyDescent="0.4">
      <c r="A33" s="3" t="s">
        <v>4141</v>
      </c>
    </row>
    <row r="34" spans="1:20" x14ac:dyDescent="0.4">
      <c r="A34" s="3" t="s">
        <v>4530</v>
      </c>
    </row>
    <row r="35" spans="1:20" x14ac:dyDescent="0.4">
      <c r="A35" s="3" t="s">
        <v>4531</v>
      </c>
    </row>
    <row r="36" spans="1:20" x14ac:dyDescent="0.4">
      <c r="A36" s="3" t="s">
        <v>4142</v>
      </c>
      <c r="B36" s="333"/>
      <c r="C36" s="334"/>
      <c r="D36" s="20"/>
    </row>
    <row r="37" spans="1:20" x14ac:dyDescent="0.4">
      <c r="A37" s="3" t="s">
        <v>4532</v>
      </c>
    </row>
    <row r="38" spans="1:20" x14ac:dyDescent="0.4">
      <c r="A38" s="3" t="s">
        <v>4570</v>
      </c>
      <c r="D38" s="335"/>
    </row>
    <row r="39" spans="1:20" x14ac:dyDescent="0.4">
      <c r="A39" s="60" t="s">
        <v>4582</v>
      </c>
    </row>
    <row r="40" spans="1:20" x14ac:dyDescent="0.4">
      <c r="A40" s="3" t="s">
        <v>4571</v>
      </c>
    </row>
    <row r="41" spans="1:20" x14ac:dyDescent="0.4">
      <c r="B41" s="4"/>
      <c r="C41" s="4"/>
      <c r="D41" s="4"/>
      <c r="E41" s="4"/>
      <c r="F41" s="4"/>
      <c r="G41" s="4"/>
      <c r="H41" s="4"/>
      <c r="I41" s="4"/>
      <c r="J41" s="4"/>
      <c r="K41" s="4"/>
      <c r="L41" s="4"/>
      <c r="M41" s="4"/>
      <c r="N41" s="4"/>
      <c r="O41" s="4"/>
      <c r="P41" s="4"/>
      <c r="Q41" s="4"/>
      <c r="R41" s="4"/>
      <c r="S41" s="4"/>
    </row>
    <row r="42" spans="1:20" x14ac:dyDescent="0.4">
      <c r="A42" s="4" t="s">
        <v>4146</v>
      </c>
    </row>
    <row r="43" spans="1:20" x14ac:dyDescent="0.4">
      <c r="A43" s="336" t="s">
        <v>212</v>
      </c>
      <c r="B43" s="337" t="s">
        <v>4147</v>
      </c>
      <c r="C43" s="337" t="s">
        <v>4082</v>
      </c>
      <c r="D43" s="337" t="s">
        <v>4148</v>
      </c>
      <c r="E43" s="338" t="s">
        <v>4149</v>
      </c>
      <c r="F43" s="338" t="s">
        <v>4084</v>
      </c>
      <c r="G43" s="338" t="s">
        <v>4150</v>
      </c>
      <c r="H43" s="338" t="s">
        <v>4085</v>
      </c>
      <c r="I43" s="338" t="s">
        <v>4086</v>
      </c>
      <c r="J43" s="338" t="s">
        <v>4151</v>
      </c>
      <c r="K43" s="338" t="s">
        <v>4087</v>
      </c>
      <c r="L43" s="338" t="s">
        <v>4088</v>
      </c>
      <c r="M43" s="338" t="s">
        <v>4152</v>
      </c>
      <c r="N43" s="338" t="s">
        <v>4089</v>
      </c>
      <c r="O43" s="338" t="s">
        <v>4090</v>
      </c>
      <c r="P43" s="338" t="s">
        <v>4153</v>
      </c>
      <c r="Q43" s="338" t="s">
        <v>4091</v>
      </c>
      <c r="R43" s="338" t="s">
        <v>4092</v>
      </c>
      <c r="S43" s="338" t="s">
        <v>4154</v>
      </c>
      <c r="T43" s="322" t="s">
        <v>55</v>
      </c>
    </row>
    <row r="44" spans="1:20" x14ac:dyDescent="0.4">
      <c r="A44" s="339" t="s">
        <v>4028</v>
      </c>
      <c r="B44" s="562">
        <v>0</v>
      </c>
      <c r="C44" s="562">
        <v>0</v>
      </c>
      <c r="D44" s="562">
        <v>0</v>
      </c>
      <c r="E44" s="563">
        <v>0</v>
      </c>
      <c r="F44" s="563">
        <v>0</v>
      </c>
      <c r="G44" s="563">
        <v>0</v>
      </c>
      <c r="H44" s="563">
        <v>0</v>
      </c>
      <c r="I44" s="563">
        <v>0</v>
      </c>
      <c r="J44" s="563">
        <v>0</v>
      </c>
      <c r="K44" s="563">
        <v>0</v>
      </c>
      <c r="L44" s="563">
        <v>0</v>
      </c>
      <c r="M44" s="563">
        <v>0</v>
      </c>
      <c r="N44" s="563">
        <v>0</v>
      </c>
      <c r="O44" s="563">
        <v>0</v>
      </c>
      <c r="P44" s="563">
        <v>0</v>
      </c>
      <c r="Q44" s="563">
        <v>0</v>
      </c>
      <c r="R44" s="563">
        <v>0</v>
      </c>
      <c r="S44" s="563">
        <v>0</v>
      </c>
      <c r="T44" s="408"/>
    </row>
    <row r="45" spans="1:20" x14ac:dyDescent="0.4">
      <c r="A45" s="564" t="s">
        <v>4029</v>
      </c>
      <c r="B45" s="562">
        <v>86556</v>
      </c>
      <c r="C45" s="562">
        <v>0</v>
      </c>
      <c r="D45" s="562">
        <v>86556</v>
      </c>
      <c r="E45" s="563">
        <v>0</v>
      </c>
      <c r="F45" s="563">
        <v>0</v>
      </c>
      <c r="G45" s="563">
        <v>0</v>
      </c>
      <c r="H45" s="563">
        <v>96800</v>
      </c>
      <c r="I45" s="563">
        <v>0</v>
      </c>
      <c r="J45" s="563">
        <v>96800</v>
      </c>
      <c r="K45" s="563">
        <v>0</v>
      </c>
      <c r="L45" s="563">
        <v>0</v>
      </c>
      <c r="M45" s="563">
        <v>0</v>
      </c>
      <c r="N45" s="563">
        <v>0</v>
      </c>
      <c r="O45" s="563">
        <v>0</v>
      </c>
      <c r="P45" s="563">
        <v>0</v>
      </c>
      <c r="Q45" s="563">
        <v>0</v>
      </c>
      <c r="R45" s="563">
        <v>0</v>
      </c>
      <c r="S45" s="563">
        <v>0</v>
      </c>
      <c r="T45" s="408"/>
    </row>
    <row r="46" spans="1:20" x14ac:dyDescent="0.4">
      <c r="A46" s="564" t="s">
        <v>4030</v>
      </c>
      <c r="B46" s="562">
        <v>0</v>
      </c>
      <c r="C46" s="562">
        <v>0</v>
      </c>
      <c r="D46" s="562">
        <v>0</v>
      </c>
      <c r="E46" s="563">
        <v>0</v>
      </c>
      <c r="F46" s="563">
        <v>0</v>
      </c>
      <c r="G46" s="563">
        <v>0</v>
      </c>
      <c r="H46" s="563">
        <v>0</v>
      </c>
      <c r="I46" s="563">
        <v>0</v>
      </c>
      <c r="J46" s="563">
        <v>0</v>
      </c>
      <c r="K46" s="563">
        <v>0</v>
      </c>
      <c r="L46" s="563">
        <v>0</v>
      </c>
      <c r="M46" s="563">
        <v>0</v>
      </c>
      <c r="N46" s="563">
        <v>0</v>
      </c>
      <c r="O46" s="563">
        <v>0</v>
      </c>
      <c r="P46" s="563">
        <v>0</v>
      </c>
      <c r="Q46" s="563">
        <v>0</v>
      </c>
      <c r="R46" s="563">
        <v>0</v>
      </c>
      <c r="S46" s="563">
        <v>0</v>
      </c>
      <c r="T46" s="408"/>
    </row>
    <row r="47" spans="1:20" x14ac:dyDescent="0.4">
      <c r="A47" s="564" t="s">
        <v>4031</v>
      </c>
      <c r="B47" s="562">
        <v>0</v>
      </c>
      <c r="C47" s="562">
        <v>0</v>
      </c>
      <c r="D47" s="562">
        <v>0</v>
      </c>
      <c r="E47" s="563">
        <v>0</v>
      </c>
      <c r="F47" s="563">
        <v>0</v>
      </c>
      <c r="G47" s="563">
        <v>0</v>
      </c>
      <c r="H47" s="563">
        <v>0</v>
      </c>
      <c r="I47" s="563">
        <v>0</v>
      </c>
      <c r="J47" s="563">
        <v>0</v>
      </c>
      <c r="K47" s="563">
        <v>0</v>
      </c>
      <c r="L47" s="563">
        <v>0</v>
      </c>
      <c r="M47" s="563">
        <v>0</v>
      </c>
      <c r="N47" s="563">
        <v>0</v>
      </c>
      <c r="O47" s="563">
        <v>0</v>
      </c>
      <c r="P47" s="563">
        <v>0</v>
      </c>
      <c r="Q47" s="563">
        <v>0</v>
      </c>
      <c r="R47" s="563">
        <v>0</v>
      </c>
      <c r="S47" s="563">
        <v>0</v>
      </c>
      <c r="T47" s="408"/>
    </row>
    <row r="48" spans="1:20" x14ac:dyDescent="0.4">
      <c r="A48" s="564" t="s">
        <v>4032</v>
      </c>
      <c r="B48" s="562">
        <v>0</v>
      </c>
      <c r="C48" s="562">
        <v>12248</v>
      </c>
      <c r="D48" s="562">
        <v>12248</v>
      </c>
      <c r="E48" s="563">
        <v>0</v>
      </c>
      <c r="F48" s="563">
        <v>1369</v>
      </c>
      <c r="G48" s="563">
        <v>1369</v>
      </c>
      <c r="H48" s="563">
        <v>0</v>
      </c>
      <c r="I48" s="563">
        <v>0</v>
      </c>
      <c r="J48" s="563">
        <v>0</v>
      </c>
      <c r="K48" s="563">
        <v>0</v>
      </c>
      <c r="L48" s="563">
        <v>0</v>
      </c>
      <c r="M48" s="563">
        <v>0</v>
      </c>
      <c r="N48" s="563">
        <v>0</v>
      </c>
      <c r="O48" s="563">
        <v>0</v>
      </c>
      <c r="P48" s="563">
        <v>0</v>
      </c>
      <c r="Q48" s="563">
        <v>0</v>
      </c>
      <c r="R48" s="563">
        <v>0</v>
      </c>
      <c r="S48" s="563">
        <v>0</v>
      </c>
      <c r="T48" s="408"/>
    </row>
    <row r="49" spans="1:21" x14ac:dyDescent="0.4">
      <c r="A49" s="564" t="s">
        <v>4033</v>
      </c>
      <c r="B49" s="562">
        <v>365520</v>
      </c>
      <c r="C49" s="562">
        <v>467207</v>
      </c>
      <c r="D49" s="562">
        <v>832727</v>
      </c>
      <c r="E49" s="563">
        <v>0</v>
      </c>
      <c r="F49" s="563">
        <v>0</v>
      </c>
      <c r="G49" s="563">
        <v>0</v>
      </c>
      <c r="H49" s="563">
        <v>34082</v>
      </c>
      <c r="I49" s="563">
        <v>0</v>
      </c>
      <c r="J49" s="563">
        <v>34082</v>
      </c>
      <c r="K49" s="563">
        <v>0</v>
      </c>
      <c r="L49" s="563">
        <v>0</v>
      </c>
      <c r="M49" s="563">
        <v>0</v>
      </c>
      <c r="N49" s="563">
        <v>0</v>
      </c>
      <c r="O49" s="563">
        <v>0</v>
      </c>
      <c r="P49" s="563">
        <v>0</v>
      </c>
      <c r="Q49" s="563">
        <v>0</v>
      </c>
      <c r="R49" s="563">
        <v>0</v>
      </c>
      <c r="S49" s="563">
        <v>0</v>
      </c>
      <c r="T49" s="408"/>
    </row>
    <row r="50" spans="1:21" x14ac:dyDescent="0.4">
      <c r="A50" s="534" t="s">
        <v>4034</v>
      </c>
      <c r="B50" s="562">
        <v>92204</v>
      </c>
      <c r="C50" s="562">
        <v>8680</v>
      </c>
      <c r="D50" s="562">
        <v>100884</v>
      </c>
      <c r="E50" s="563">
        <v>97410</v>
      </c>
      <c r="F50" s="563">
        <v>3825</v>
      </c>
      <c r="G50" s="563">
        <v>101235</v>
      </c>
      <c r="H50" s="563">
        <v>159418</v>
      </c>
      <c r="I50" s="563">
        <v>0</v>
      </c>
      <c r="J50" s="563">
        <v>159418</v>
      </c>
      <c r="K50" s="563">
        <v>2033</v>
      </c>
      <c r="L50" s="563">
        <v>0</v>
      </c>
      <c r="M50" s="563">
        <v>2033</v>
      </c>
      <c r="N50" s="563">
        <v>2621</v>
      </c>
      <c r="O50" s="563">
        <v>0</v>
      </c>
      <c r="P50" s="563">
        <v>2621</v>
      </c>
      <c r="Q50" s="563">
        <v>5345</v>
      </c>
      <c r="R50" s="563">
        <v>0</v>
      </c>
      <c r="S50" s="563">
        <v>5345</v>
      </c>
      <c r="T50" s="408"/>
    </row>
    <row r="51" spans="1:21" x14ac:dyDescent="0.4">
      <c r="A51" s="534" t="s">
        <v>4035</v>
      </c>
      <c r="B51" s="562">
        <v>0</v>
      </c>
      <c r="C51" s="562">
        <v>0</v>
      </c>
      <c r="D51" s="562">
        <v>0</v>
      </c>
      <c r="E51" s="563">
        <v>0</v>
      </c>
      <c r="F51" s="563">
        <v>0</v>
      </c>
      <c r="G51" s="563">
        <v>0</v>
      </c>
      <c r="H51" s="563">
        <v>0</v>
      </c>
      <c r="I51" s="563">
        <v>0</v>
      </c>
      <c r="J51" s="563">
        <v>0</v>
      </c>
      <c r="K51" s="563">
        <v>0</v>
      </c>
      <c r="L51" s="563">
        <v>0</v>
      </c>
      <c r="M51" s="563">
        <v>0</v>
      </c>
      <c r="N51" s="563">
        <v>0</v>
      </c>
      <c r="O51" s="563">
        <v>0</v>
      </c>
      <c r="P51" s="563">
        <v>0</v>
      </c>
      <c r="Q51" s="563">
        <v>0</v>
      </c>
      <c r="R51" s="563">
        <v>0</v>
      </c>
      <c r="S51" s="563">
        <v>0</v>
      </c>
      <c r="T51" s="408"/>
    </row>
    <row r="52" spans="1:21" x14ac:dyDescent="0.4">
      <c r="A52" s="564" t="s">
        <v>4036</v>
      </c>
      <c r="B52" s="562">
        <v>0</v>
      </c>
      <c r="C52" s="562">
        <v>0</v>
      </c>
      <c r="D52" s="562">
        <v>0</v>
      </c>
      <c r="E52" s="563">
        <v>0</v>
      </c>
      <c r="F52" s="563">
        <v>0</v>
      </c>
      <c r="G52" s="563">
        <v>0</v>
      </c>
      <c r="H52" s="563">
        <v>0</v>
      </c>
      <c r="I52" s="563">
        <v>0</v>
      </c>
      <c r="J52" s="563">
        <v>0</v>
      </c>
      <c r="K52" s="563">
        <v>0</v>
      </c>
      <c r="L52" s="563">
        <v>0</v>
      </c>
      <c r="M52" s="563">
        <v>0</v>
      </c>
      <c r="N52" s="563">
        <v>0</v>
      </c>
      <c r="O52" s="563">
        <v>0</v>
      </c>
      <c r="P52" s="563">
        <v>0</v>
      </c>
      <c r="Q52" s="563">
        <v>0</v>
      </c>
      <c r="R52" s="563">
        <v>0</v>
      </c>
      <c r="S52" s="563">
        <v>0</v>
      </c>
      <c r="T52" s="408"/>
    </row>
    <row r="53" spans="1:21" x14ac:dyDescent="0.4">
      <c r="A53" s="564" t="s">
        <v>4037</v>
      </c>
      <c r="B53" s="562">
        <v>3484</v>
      </c>
      <c r="C53" s="562">
        <v>0</v>
      </c>
      <c r="D53" s="562">
        <v>3484</v>
      </c>
      <c r="E53" s="563">
        <v>0</v>
      </c>
      <c r="F53" s="563">
        <v>0</v>
      </c>
      <c r="G53" s="563">
        <v>0</v>
      </c>
      <c r="H53" s="563">
        <v>0</v>
      </c>
      <c r="I53" s="563">
        <v>0</v>
      </c>
      <c r="J53" s="563">
        <v>0</v>
      </c>
      <c r="K53" s="563">
        <v>1208</v>
      </c>
      <c r="L53" s="563">
        <v>0</v>
      </c>
      <c r="M53" s="563">
        <v>1208</v>
      </c>
      <c r="N53" s="563">
        <v>0</v>
      </c>
      <c r="O53" s="563">
        <v>0</v>
      </c>
      <c r="P53" s="563">
        <v>0</v>
      </c>
      <c r="Q53" s="563">
        <v>0</v>
      </c>
      <c r="R53" s="563">
        <v>0</v>
      </c>
      <c r="S53" s="563">
        <v>0</v>
      </c>
      <c r="T53" s="408"/>
    </row>
    <row r="54" spans="1:21" x14ac:dyDescent="0.4">
      <c r="A54" s="564" t="s">
        <v>4038</v>
      </c>
      <c r="B54" s="562">
        <v>0</v>
      </c>
      <c r="C54" s="562">
        <v>0</v>
      </c>
      <c r="D54" s="562">
        <v>0</v>
      </c>
      <c r="E54" s="563">
        <v>0</v>
      </c>
      <c r="F54" s="563">
        <v>0</v>
      </c>
      <c r="G54" s="563">
        <v>0</v>
      </c>
      <c r="H54" s="563">
        <v>0</v>
      </c>
      <c r="I54" s="563">
        <v>0</v>
      </c>
      <c r="J54" s="563">
        <v>0</v>
      </c>
      <c r="K54" s="563">
        <v>0</v>
      </c>
      <c r="L54" s="563">
        <v>0</v>
      </c>
      <c r="M54" s="563">
        <v>0</v>
      </c>
      <c r="N54" s="563">
        <v>0</v>
      </c>
      <c r="O54" s="563">
        <v>0</v>
      </c>
      <c r="P54" s="563">
        <v>0</v>
      </c>
      <c r="Q54" s="563">
        <v>0</v>
      </c>
      <c r="R54" s="563">
        <v>0</v>
      </c>
      <c r="S54" s="563">
        <v>0</v>
      </c>
      <c r="T54" s="408"/>
    </row>
    <row r="55" spans="1:21" x14ac:dyDescent="0.4">
      <c r="A55" s="564" t="s">
        <v>4039</v>
      </c>
      <c r="B55" s="562">
        <v>0</v>
      </c>
      <c r="C55" s="562">
        <v>128604</v>
      </c>
      <c r="D55" s="562">
        <v>128604</v>
      </c>
      <c r="E55" s="563">
        <v>0</v>
      </c>
      <c r="F55" s="563">
        <v>0</v>
      </c>
      <c r="G55" s="563">
        <v>0</v>
      </c>
      <c r="H55" s="563">
        <v>0</v>
      </c>
      <c r="I55" s="563">
        <v>0</v>
      </c>
      <c r="J55" s="563">
        <v>0</v>
      </c>
      <c r="K55" s="563">
        <v>0</v>
      </c>
      <c r="L55" s="563">
        <v>0</v>
      </c>
      <c r="M55" s="563">
        <v>0</v>
      </c>
      <c r="N55" s="563">
        <v>0</v>
      </c>
      <c r="O55" s="563">
        <v>0</v>
      </c>
      <c r="P55" s="563">
        <v>0</v>
      </c>
      <c r="Q55" s="563">
        <v>0</v>
      </c>
      <c r="R55" s="563">
        <v>0</v>
      </c>
      <c r="S55" s="563">
        <v>0</v>
      </c>
      <c r="T55" s="408"/>
    </row>
    <row r="56" spans="1:21" x14ac:dyDescent="0.4">
      <c r="A56" s="564" t="s">
        <v>4040</v>
      </c>
      <c r="B56" s="562">
        <v>13798032</v>
      </c>
      <c r="C56" s="562">
        <v>0</v>
      </c>
      <c r="D56" s="562">
        <v>13798032</v>
      </c>
      <c r="E56" s="563">
        <v>2920619</v>
      </c>
      <c r="F56" s="563">
        <v>0</v>
      </c>
      <c r="G56" s="563">
        <v>2920619</v>
      </c>
      <c r="H56" s="563">
        <v>0</v>
      </c>
      <c r="I56" s="563">
        <v>0</v>
      </c>
      <c r="J56" s="563">
        <v>0</v>
      </c>
      <c r="K56" s="563">
        <v>0</v>
      </c>
      <c r="L56" s="563">
        <v>0</v>
      </c>
      <c r="M56" s="563">
        <v>0</v>
      </c>
      <c r="N56" s="563">
        <v>0</v>
      </c>
      <c r="O56" s="563">
        <v>0</v>
      </c>
      <c r="P56" s="563">
        <v>0</v>
      </c>
      <c r="Q56" s="563">
        <v>151654</v>
      </c>
      <c r="R56" s="563">
        <v>0</v>
      </c>
      <c r="S56" s="563">
        <v>151654</v>
      </c>
      <c r="T56" s="408"/>
    </row>
    <row r="57" spans="1:21" x14ac:dyDescent="0.4">
      <c r="A57" s="564" t="s">
        <v>4041</v>
      </c>
      <c r="B57" s="562">
        <v>0</v>
      </c>
      <c r="C57" s="562">
        <v>0</v>
      </c>
      <c r="D57" s="562">
        <v>0</v>
      </c>
      <c r="E57" s="563">
        <v>0</v>
      </c>
      <c r="F57" s="563">
        <v>0</v>
      </c>
      <c r="G57" s="563">
        <v>0</v>
      </c>
      <c r="H57" s="563">
        <v>0</v>
      </c>
      <c r="I57" s="563">
        <v>0</v>
      </c>
      <c r="J57" s="563">
        <v>0</v>
      </c>
      <c r="K57" s="563">
        <v>0</v>
      </c>
      <c r="L57" s="563">
        <v>0</v>
      </c>
      <c r="M57" s="563">
        <v>0</v>
      </c>
      <c r="N57" s="563">
        <v>0</v>
      </c>
      <c r="O57" s="563">
        <v>0</v>
      </c>
      <c r="P57" s="563">
        <v>0</v>
      </c>
      <c r="Q57" s="563">
        <v>0</v>
      </c>
      <c r="R57" s="563">
        <v>0</v>
      </c>
      <c r="S57" s="563">
        <v>0</v>
      </c>
      <c r="T57" s="408"/>
    </row>
    <row r="58" spans="1:21" x14ac:dyDescent="0.4">
      <c r="A58" s="534" t="s">
        <v>4042</v>
      </c>
      <c r="B58" s="562">
        <v>164016</v>
      </c>
      <c r="C58" s="562">
        <v>1137643</v>
      </c>
      <c r="D58" s="562">
        <v>1301659</v>
      </c>
      <c r="E58" s="563">
        <v>158318</v>
      </c>
      <c r="F58" s="563">
        <v>6647</v>
      </c>
      <c r="G58" s="563">
        <v>164965</v>
      </c>
      <c r="H58" s="563">
        <v>0</v>
      </c>
      <c r="I58" s="563">
        <v>0</v>
      </c>
      <c r="J58" s="563">
        <v>0</v>
      </c>
      <c r="K58" s="563">
        <v>0</v>
      </c>
      <c r="L58" s="563">
        <v>1</v>
      </c>
      <c r="M58" s="563">
        <v>1</v>
      </c>
      <c r="N58" s="563">
        <v>7996</v>
      </c>
      <c r="O58" s="563">
        <v>0</v>
      </c>
      <c r="P58" s="563">
        <v>7996</v>
      </c>
      <c r="Q58" s="563">
        <v>0</v>
      </c>
      <c r="R58" s="563">
        <v>5</v>
      </c>
      <c r="S58" s="563">
        <v>5</v>
      </c>
      <c r="T58" s="408"/>
    </row>
    <row r="59" spans="1:21" x14ac:dyDescent="0.4">
      <c r="A59" s="564" t="s">
        <v>4043</v>
      </c>
      <c r="B59" s="562">
        <v>669833</v>
      </c>
      <c r="C59" s="562">
        <v>0</v>
      </c>
      <c r="D59" s="562">
        <v>669833</v>
      </c>
      <c r="E59" s="565">
        <v>0</v>
      </c>
      <c r="F59" s="565">
        <v>0</v>
      </c>
      <c r="G59" s="565">
        <v>0</v>
      </c>
      <c r="H59" s="563">
        <v>0</v>
      </c>
      <c r="I59" s="563">
        <v>0</v>
      </c>
      <c r="J59" s="563">
        <v>0</v>
      </c>
      <c r="K59" s="563">
        <v>0</v>
      </c>
      <c r="L59" s="563">
        <v>0</v>
      </c>
      <c r="M59" s="563">
        <v>0</v>
      </c>
      <c r="N59" s="563">
        <v>0</v>
      </c>
      <c r="O59" s="563">
        <v>0</v>
      </c>
      <c r="P59" s="563">
        <v>0</v>
      </c>
      <c r="Q59" s="563">
        <v>0</v>
      </c>
      <c r="R59" s="563">
        <v>0</v>
      </c>
      <c r="S59" s="563">
        <v>0</v>
      </c>
      <c r="T59" s="408"/>
    </row>
    <row r="60" spans="1:21" x14ac:dyDescent="0.4">
      <c r="A60" s="564" t="s">
        <v>4044</v>
      </c>
      <c r="B60" s="562">
        <v>0</v>
      </c>
      <c r="C60" s="562">
        <v>10456</v>
      </c>
      <c r="D60" s="562">
        <v>10456</v>
      </c>
      <c r="E60" s="563">
        <v>0</v>
      </c>
      <c r="F60" s="563">
        <v>0</v>
      </c>
      <c r="G60" s="563">
        <v>0</v>
      </c>
      <c r="H60" s="563">
        <v>0</v>
      </c>
      <c r="I60" s="563">
        <v>0</v>
      </c>
      <c r="J60" s="563">
        <v>0</v>
      </c>
      <c r="K60" s="563">
        <v>0</v>
      </c>
      <c r="L60" s="563">
        <v>0</v>
      </c>
      <c r="M60" s="563">
        <v>0</v>
      </c>
      <c r="N60" s="563">
        <v>0</v>
      </c>
      <c r="O60" s="563">
        <v>0</v>
      </c>
      <c r="P60" s="563">
        <v>0</v>
      </c>
      <c r="Q60" s="563">
        <v>0</v>
      </c>
      <c r="R60" s="563">
        <v>0</v>
      </c>
      <c r="S60" s="563">
        <v>0</v>
      </c>
      <c r="T60" s="408"/>
    </row>
    <row r="61" spans="1:21" x14ac:dyDescent="0.4">
      <c r="A61" s="564" t="s">
        <v>4045</v>
      </c>
      <c r="B61" s="562">
        <v>0</v>
      </c>
      <c r="C61" s="562">
        <v>0</v>
      </c>
      <c r="D61" s="562">
        <v>0</v>
      </c>
      <c r="E61" s="563">
        <v>0</v>
      </c>
      <c r="F61" s="563">
        <v>0</v>
      </c>
      <c r="G61" s="563">
        <v>0</v>
      </c>
      <c r="H61" s="563">
        <v>0</v>
      </c>
      <c r="I61" s="563">
        <v>0</v>
      </c>
      <c r="J61" s="563">
        <v>0</v>
      </c>
      <c r="K61" s="563">
        <v>0</v>
      </c>
      <c r="L61" s="563">
        <v>0</v>
      </c>
      <c r="M61" s="563">
        <v>0</v>
      </c>
      <c r="N61" s="563">
        <v>0</v>
      </c>
      <c r="O61" s="563">
        <v>0</v>
      </c>
      <c r="P61" s="563">
        <v>0</v>
      </c>
      <c r="Q61" s="563">
        <v>0</v>
      </c>
      <c r="R61" s="563">
        <v>0</v>
      </c>
      <c r="S61" s="563">
        <v>0</v>
      </c>
      <c r="T61" s="408"/>
    </row>
    <row r="62" spans="1:21" x14ac:dyDescent="0.4">
      <c r="A62" s="566" t="s">
        <v>19</v>
      </c>
      <c r="B62" s="340">
        <v>15179645</v>
      </c>
      <c r="C62" s="340">
        <v>1764838</v>
      </c>
      <c r="D62" s="340">
        <v>16944483</v>
      </c>
      <c r="E62" s="340">
        <v>3176347</v>
      </c>
      <c r="F62" s="340">
        <v>11841</v>
      </c>
      <c r="G62" s="340">
        <v>3188188</v>
      </c>
      <c r="H62" s="340">
        <v>290300</v>
      </c>
      <c r="I62" s="340">
        <v>0</v>
      </c>
      <c r="J62" s="340">
        <v>290300</v>
      </c>
      <c r="K62" s="340">
        <v>3241</v>
      </c>
      <c r="L62" s="340">
        <v>1</v>
      </c>
      <c r="M62" s="340">
        <v>3242</v>
      </c>
      <c r="N62" s="340">
        <v>10617</v>
      </c>
      <c r="O62" s="340">
        <v>0</v>
      </c>
      <c r="P62" s="340">
        <v>10617</v>
      </c>
      <c r="Q62" s="340">
        <v>156999</v>
      </c>
      <c r="R62" s="340">
        <v>5</v>
      </c>
      <c r="S62" s="340">
        <v>157004</v>
      </c>
      <c r="T62" s="567">
        <f>D62+G62+J62+M62+P62+S62</f>
        <v>20593834</v>
      </c>
      <c r="U62" s="319"/>
    </row>
    <row r="63" spans="1:21" x14ac:dyDescent="0.4">
      <c r="A63" s="8" t="s">
        <v>11</v>
      </c>
    </row>
    <row r="65" spans="1:20" x14ac:dyDescent="0.4">
      <c r="A65" s="4" t="s">
        <v>4155</v>
      </c>
    </row>
    <row r="66" spans="1:20" x14ac:dyDescent="0.4">
      <c r="A66" s="336" t="s">
        <v>212</v>
      </c>
      <c r="B66" s="338" t="s">
        <v>4147</v>
      </c>
      <c r="C66" s="338" t="s">
        <v>4082</v>
      </c>
      <c r="D66" s="338" t="s">
        <v>4148</v>
      </c>
      <c r="E66" s="337" t="s">
        <v>4149</v>
      </c>
      <c r="F66" s="337" t="s">
        <v>4084</v>
      </c>
      <c r="G66" s="337" t="s">
        <v>4150</v>
      </c>
      <c r="H66" s="338" t="s">
        <v>4085</v>
      </c>
      <c r="I66" s="338" t="s">
        <v>4086</v>
      </c>
      <c r="J66" s="338" t="s">
        <v>4151</v>
      </c>
      <c r="K66" s="338" t="s">
        <v>4087</v>
      </c>
      <c r="L66" s="338" t="s">
        <v>4088</v>
      </c>
      <c r="M66" s="338" t="s">
        <v>4152</v>
      </c>
      <c r="N66" s="338" t="s">
        <v>4089</v>
      </c>
      <c r="O66" s="338" t="s">
        <v>4090</v>
      </c>
      <c r="P66" s="338" t="s">
        <v>4153</v>
      </c>
      <c r="Q66" s="338" t="s">
        <v>4091</v>
      </c>
      <c r="R66" s="338" t="s">
        <v>4092</v>
      </c>
      <c r="S66" s="338" t="s">
        <v>4154</v>
      </c>
      <c r="T66" s="322" t="s">
        <v>55</v>
      </c>
    </row>
    <row r="67" spans="1:20" x14ac:dyDescent="0.4">
      <c r="A67" s="534" t="s">
        <v>4028</v>
      </c>
      <c r="B67" s="563">
        <v>0</v>
      </c>
      <c r="C67" s="563">
        <v>0</v>
      </c>
      <c r="D67" s="563">
        <v>0</v>
      </c>
      <c r="E67" s="562">
        <v>0</v>
      </c>
      <c r="F67" s="562">
        <v>12234</v>
      </c>
      <c r="G67" s="562">
        <v>12234</v>
      </c>
      <c r="H67" s="563">
        <v>0</v>
      </c>
      <c r="I67" s="563">
        <v>0</v>
      </c>
      <c r="J67" s="563">
        <v>0</v>
      </c>
      <c r="K67" s="563">
        <v>0</v>
      </c>
      <c r="L67" s="563">
        <v>0</v>
      </c>
      <c r="M67" s="563">
        <v>0</v>
      </c>
      <c r="N67" s="563">
        <v>0</v>
      </c>
      <c r="O67" s="563">
        <v>0</v>
      </c>
      <c r="P67" s="563">
        <v>0</v>
      </c>
      <c r="Q67" s="563">
        <v>0</v>
      </c>
      <c r="R67" s="563">
        <v>0</v>
      </c>
      <c r="S67" s="563">
        <v>0</v>
      </c>
      <c r="T67" s="408"/>
    </row>
    <row r="68" spans="1:20" x14ac:dyDescent="0.4">
      <c r="A68" s="564" t="s">
        <v>4029</v>
      </c>
      <c r="B68" s="563">
        <v>0</v>
      </c>
      <c r="C68" s="563">
        <v>0</v>
      </c>
      <c r="D68" s="563">
        <v>0</v>
      </c>
      <c r="E68" s="562">
        <v>0</v>
      </c>
      <c r="F68" s="562">
        <v>0</v>
      </c>
      <c r="G68" s="562">
        <v>0</v>
      </c>
      <c r="H68" s="563">
        <v>0</v>
      </c>
      <c r="I68" s="563">
        <v>0</v>
      </c>
      <c r="J68" s="563">
        <v>0</v>
      </c>
      <c r="K68" s="563">
        <v>0</v>
      </c>
      <c r="L68" s="563">
        <v>0</v>
      </c>
      <c r="M68" s="563">
        <v>0</v>
      </c>
      <c r="N68" s="563">
        <v>0</v>
      </c>
      <c r="O68" s="563">
        <v>0</v>
      </c>
      <c r="P68" s="563">
        <v>0</v>
      </c>
      <c r="Q68" s="563">
        <v>0</v>
      </c>
      <c r="R68" s="563">
        <v>0</v>
      </c>
      <c r="S68" s="563">
        <v>0</v>
      </c>
      <c r="T68" s="408"/>
    </row>
    <row r="69" spans="1:20" x14ac:dyDescent="0.4">
      <c r="A69" s="564" t="s">
        <v>4030</v>
      </c>
      <c r="B69" s="563">
        <v>0</v>
      </c>
      <c r="C69" s="563">
        <v>0</v>
      </c>
      <c r="D69" s="563">
        <v>0</v>
      </c>
      <c r="E69" s="562">
        <v>0</v>
      </c>
      <c r="F69" s="562">
        <v>0</v>
      </c>
      <c r="G69" s="562">
        <v>0</v>
      </c>
      <c r="H69" s="563">
        <v>0</v>
      </c>
      <c r="I69" s="563">
        <v>0</v>
      </c>
      <c r="J69" s="563">
        <v>0</v>
      </c>
      <c r="K69" s="563">
        <v>0</v>
      </c>
      <c r="L69" s="563">
        <v>0</v>
      </c>
      <c r="M69" s="563">
        <v>0</v>
      </c>
      <c r="N69" s="563">
        <v>0</v>
      </c>
      <c r="O69" s="563">
        <v>0</v>
      </c>
      <c r="P69" s="563">
        <v>0</v>
      </c>
      <c r="Q69" s="563">
        <v>0</v>
      </c>
      <c r="R69" s="563">
        <v>0</v>
      </c>
      <c r="S69" s="563">
        <v>0</v>
      </c>
      <c r="T69" s="408"/>
    </row>
    <row r="70" spans="1:20" x14ac:dyDescent="0.4">
      <c r="A70" s="564" t="s">
        <v>4031</v>
      </c>
      <c r="B70" s="563">
        <v>0</v>
      </c>
      <c r="C70" s="563">
        <v>0</v>
      </c>
      <c r="D70" s="563">
        <v>0</v>
      </c>
      <c r="E70" s="562">
        <v>0</v>
      </c>
      <c r="F70" s="562">
        <v>0</v>
      </c>
      <c r="G70" s="562">
        <v>0</v>
      </c>
      <c r="H70" s="563">
        <v>0</v>
      </c>
      <c r="I70" s="563">
        <v>0</v>
      </c>
      <c r="J70" s="563">
        <v>0</v>
      </c>
      <c r="K70" s="563">
        <v>0</v>
      </c>
      <c r="L70" s="563">
        <v>0</v>
      </c>
      <c r="M70" s="563">
        <v>0</v>
      </c>
      <c r="N70" s="563">
        <v>0</v>
      </c>
      <c r="O70" s="563">
        <v>0</v>
      </c>
      <c r="P70" s="563">
        <v>0</v>
      </c>
      <c r="Q70" s="563">
        <v>0</v>
      </c>
      <c r="R70" s="563">
        <v>0</v>
      </c>
      <c r="S70" s="563">
        <v>0</v>
      </c>
      <c r="T70" s="408"/>
    </row>
    <row r="71" spans="1:20" x14ac:dyDescent="0.4">
      <c r="A71" s="564" t="s">
        <v>4032</v>
      </c>
      <c r="B71" s="563">
        <v>0</v>
      </c>
      <c r="C71" s="563">
        <v>0</v>
      </c>
      <c r="D71" s="563">
        <v>0</v>
      </c>
      <c r="E71" s="562">
        <v>0</v>
      </c>
      <c r="F71" s="562">
        <v>68292</v>
      </c>
      <c r="G71" s="562">
        <v>68292</v>
      </c>
      <c r="H71" s="563">
        <v>0</v>
      </c>
      <c r="I71" s="563">
        <v>0</v>
      </c>
      <c r="J71" s="563">
        <v>0</v>
      </c>
      <c r="K71" s="563">
        <v>0</v>
      </c>
      <c r="L71" s="563">
        <v>0</v>
      </c>
      <c r="M71" s="563">
        <v>0</v>
      </c>
      <c r="N71" s="563">
        <v>0</v>
      </c>
      <c r="O71" s="563">
        <v>0</v>
      </c>
      <c r="P71" s="563">
        <v>0</v>
      </c>
      <c r="Q71" s="563">
        <v>0</v>
      </c>
      <c r="R71" s="563">
        <v>0</v>
      </c>
      <c r="S71" s="563">
        <v>0</v>
      </c>
      <c r="T71" s="408"/>
    </row>
    <row r="72" spans="1:20" x14ac:dyDescent="0.4">
      <c r="A72" s="564" t="s">
        <v>4033</v>
      </c>
      <c r="B72" s="563">
        <v>0</v>
      </c>
      <c r="C72" s="563">
        <v>48926</v>
      </c>
      <c r="D72" s="563">
        <v>48926</v>
      </c>
      <c r="E72" s="562">
        <v>0</v>
      </c>
      <c r="F72" s="562">
        <v>45430</v>
      </c>
      <c r="G72" s="562">
        <v>45430</v>
      </c>
      <c r="H72" s="563">
        <v>0</v>
      </c>
      <c r="I72" s="563">
        <v>0</v>
      </c>
      <c r="J72" s="563">
        <v>0</v>
      </c>
      <c r="K72" s="563">
        <v>0</v>
      </c>
      <c r="L72" s="563">
        <v>0</v>
      </c>
      <c r="M72" s="563">
        <v>0</v>
      </c>
      <c r="N72" s="563">
        <v>0</v>
      </c>
      <c r="O72" s="563">
        <v>0</v>
      </c>
      <c r="P72" s="563">
        <v>0</v>
      </c>
      <c r="Q72" s="563">
        <v>0</v>
      </c>
      <c r="R72" s="563">
        <v>0</v>
      </c>
      <c r="S72" s="563">
        <v>0</v>
      </c>
      <c r="T72" s="568">
        <f>SUM(D72,G72,J72,S72,M72,P72)</f>
        <v>94356</v>
      </c>
    </row>
    <row r="73" spans="1:20" x14ac:dyDescent="0.4">
      <c r="A73" s="534" t="s">
        <v>4034</v>
      </c>
      <c r="B73" s="563">
        <v>113601</v>
      </c>
      <c r="C73" s="563">
        <v>0</v>
      </c>
      <c r="D73" s="563">
        <v>113601</v>
      </c>
      <c r="E73" s="562">
        <v>635113</v>
      </c>
      <c r="F73" s="562">
        <v>15847</v>
      </c>
      <c r="G73" s="562">
        <v>650960</v>
      </c>
      <c r="H73" s="563">
        <v>90667</v>
      </c>
      <c r="I73" s="563">
        <v>0</v>
      </c>
      <c r="J73" s="563">
        <v>90667</v>
      </c>
      <c r="K73" s="563">
        <v>5691</v>
      </c>
      <c r="L73" s="563">
        <v>0</v>
      </c>
      <c r="M73" s="563">
        <v>5691</v>
      </c>
      <c r="N73" s="563">
        <v>13341</v>
      </c>
      <c r="O73" s="563">
        <v>0</v>
      </c>
      <c r="P73" s="563">
        <v>13341</v>
      </c>
      <c r="Q73" s="563">
        <v>49821</v>
      </c>
      <c r="R73" s="563">
        <v>0</v>
      </c>
      <c r="S73" s="563">
        <v>49821</v>
      </c>
      <c r="T73" s="408"/>
    </row>
    <row r="74" spans="1:20" x14ac:dyDescent="0.4">
      <c r="A74" s="534" t="s">
        <v>4035</v>
      </c>
      <c r="B74" s="563">
        <v>0</v>
      </c>
      <c r="C74" s="563">
        <v>0</v>
      </c>
      <c r="D74" s="563">
        <v>0</v>
      </c>
      <c r="E74" s="562">
        <v>1018</v>
      </c>
      <c r="F74" s="562">
        <v>0</v>
      </c>
      <c r="G74" s="562">
        <v>1018</v>
      </c>
      <c r="H74" s="563">
        <v>0</v>
      </c>
      <c r="I74" s="563">
        <v>0</v>
      </c>
      <c r="J74" s="563">
        <v>0</v>
      </c>
      <c r="K74" s="563">
        <v>0</v>
      </c>
      <c r="L74" s="563">
        <v>0</v>
      </c>
      <c r="M74" s="563">
        <v>0</v>
      </c>
      <c r="N74" s="563">
        <v>0</v>
      </c>
      <c r="O74" s="563">
        <v>0</v>
      </c>
      <c r="P74" s="563">
        <v>0</v>
      </c>
      <c r="Q74" s="563">
        <v>0</v>
      </c>
      <c r="R74" s="563">
        <v>0</v>
      </c>
      <c r="S74" s="563">
        <v>0</v>
      </c>
      <c r="T74" s="408"/>
    </row>
    <row r="75" spans="1:20" x14ac:dyDescent="0.4">
      <c r="A75" s="564" t="s">
        <v>4036</v>
      </c>
      <c r="B75" s="563">
        <v>0</v>
      </c>
      <c r="C75" s="563">
        <v>0</v>
      </c>
      <c r="D75" s="563">
        <v>0</v>
      </c>
      <c r="E75" s="562">
        <v>0</v>
      </c>
      <c r="F75" s="562">
        <v>0</v>
      </c>
      <c r="G75" s="562">
        <v>0</v>
      </c>
      <c r="H75" s="563">
        <v>0</v>
      </c>
      <c r="I75" s="563">
        <v>0</v>
      </c>
      <c r="J75" s="563">
        <v>0</v>
      </c>
      <c r="K75" s="563">
        <v>0</v>
      </c>
      <c r="L75" s="563">
        <v>0</v>
      </c>
      <c r="M75" s="563">
        <v>0</v>
      </c>
      <c r="N75" s="563">
        <v>0</v>
      </c>
      <c r="O75" s="563">
        <v>0</v>
      </c>
      <c r="P75" s="563">
        <v>0</v>
      </c>
      <c r="Q75" s="563">
        <v>0</v>
      </c>
      <c r="R75" s="563">
        <v>0</v>
      </c>
      <c r="S75" s="563">
        <v>0</v>
      </c>
      <c r="T75" s="408"/>
    </row>
    <row r="76" spans="1:20" x14ac:dyDescent="0.4">
      <c r="A76" s="564" t="s">
        <v>4037</v>
      </c>
      <c r="B76" s="563">
        <v>34096</v>
      </c>
      <c r="C76" s="563">
        <v>3464</v>
      </c>
      <c r="D76" s="563">
        <v>37560</v>
      </c>
      <c r="E76" s="562">
        <v>23443</v>
      </c>
      <c r="F76" s="562">
        <v>10620</v>
      </c>
      <c r="G76" s="562">
        <v>34063</v>
      </c>
      <c r="H76" s="563">
        <v>0</v>
      </c>
      <c r="I76" s="563">
        <v>0</v>
      </c>
      <c r="J76" s="563">
        <v>0</v>
      </c>
      <c r="K76" s="563">
        <v>3887</v>
      </c>
      <c r="L76" s="563">
        <v>1681</v>
      </c>
      <c r="M76" s="563">
        <v>5568</v>
      </c>
      <c r="N76" s="563">
        <v>9163</v>
      </c>
      <c r="O76" s="563">
        <v>0</v>
      </c>
      <c r="P76" s="563">
        <v>9163</v>
      </c>
      <c r="Q76" s="563">
        <v>0</v>
      </c>
      <c r="R76" s="563">
        <v>0</v>
      </c>
      <c r="S76" s="563">
        <v>0</v>
      </c>
      <c r="T76" s="408"/>
    </row>
    <row r="77" spans="1:20" x14ac:dyDescent="0.4">
      <c r="A77" s="564" t="s">
        <v>4038</v>
      </c>
      <c r="B77" s="563">
        <v>0</v>
      </c>
      <c r="C77" s="563">
        <v>0</v>
      </c>
      <c r="D77" s="563">
        <v>0</v>
      </c>
      <c r="E77" s="562">
        <v>495169</v>
      </c>
      <c r="F77" s="562">
        <v>0</v>
      </c>
      <c r="G77" s="562">
        <v>495169</v>
      </c>
      <c r="H77" s="563">
        <v>0</v>
      </c>
      <c r="I77" s="563">
        <v>0</v>
      </c>
      <c r="J77" s="563">
        <v>0</v>
      </c>
      <c r="K77" s="563">
        <v>0</v>
      </c>
      <c r="L77" s="563">
        <v>0</v>
      </c>
      <c r="M77" s="563">
        <v>0</v>
      </c>
      <c r="N77" s="563">
        <v>0</v>
      </c>
      <c r="O77" s="563">
        <v>0</v>
      </c>
      <c r="P77" s="563">
        <v>0</v>
      </c>
      <c r="Q77" s="563">
        <v>0</v>
      </c>
      <c r="R77" s="563">
        <v>0</v>
      </c>
      <c r="S77" s="563">
        <v>0</v>
      </c>
      <c r="T77" s="408"/>
    </row>
    <row r="78" spans="1:20" x14ac:dyDescent="0.4">
      <c r="A78" s="564" t="s">
        <v>4039</v>
      </c>
      <c r="B78" s="563">
        <v>0</v>
      </c>
      <c r="C78" s="563">
        <v>0</v>
      </c>
      <c r="D78" s="563">
        <v>0</v>
      </c>
      <c r="E78" s="562">
        <v>0</v>
      </c>
      <c r="F78" s="562">
        <v>0</v>
      </c>
      <c r="G78" s="562">
        <v>0</v>
      </c>
      <c r="H78" s="563">
        <v>296912</v>
      </c>
      <c r="I78" s="563">
        <v>0</v>
      </c>
      <c r="J78" s="563">
        <v>296912</v>
      </c>
      <c r="K78" s="563">
        <v>0</v>
      </c>
      <c r="L78" s="563">
        <v>0</v>
      </c>
      <c r="M78" s="563">
        <v>0</v>
      </c>
      <c r="N78" s="563">
        <v>0</v>
      </c>
      <c r="O78" s="563">
        <v>0</v>
      </c>
      <c r="P78" s="563">
        <v>0</v>
      </c>
      <c r="Q78" s="563">
        <v>0</v>
      </c>
      <c r="R78" s="563">
        <v>0</v>
      </c>
      <c r="S78" s="563">
        <v>0</v>
      </c>
      <c r="T78" s="408"/>
    </row>
    <row r="79" spans="1:20" x14ac:dyDescent="0.4">
      <c r="A79" s="564" t="s">
        <v>4040</v>
      </c>
      <c r="B79" s="563">
        <v>0</v>
      </c>
      <c r="C79" s="563">
        <v>0</v>
      </c>
      <c r="D79" s="563">
        <v>0</v>
      </c>
      <c r="E79" s="562">
        <v>0</v>
      </c>
      <c r="F79" s="562">
        <v>0</v>
      </c>
      <c r="G79" s="562">
        <v>0</v>
      </c>
      <c r="H79" s="563">
        <v>0</v>
      </c>
      <c r="I79" s="563">
        <v>0</v>
      </c>
      <c r="J79" s="563">
        <v>0</v>
      </c>
      <c r="K79" s="563">
        <v>0</v>
      </c>
      <c r="L79" s="563">
        <v>0</v>
      </c>
      <c r="M79" s="563">
        <v>0</v>
      </c>
      <c r="N79" s="563">
        <v>0</v>
      </c>
      <c r="O79" s="563">
        <v>0</v>
      </c>
      <c r="P79" s="563">
        <v>0</v>
      </c>
      <c r="Q79" s="563">
        <v>0</v>
      </c>
      <c r="R79" s="563">
        <v>0</v>
      </c>
      <c r="S79" s="563">
        <v>0</v>
      </c>
      <c r="T79" s="408"/>
    </row>
    <row r="80" spans="1:20" x14ac:dyDescent="0.4">
      <c r="A80" s="564" t="s">
        <v>4041</v>
      </c>
      <c r="B80" s="563">
        <v>0</v>
      </c>
      <c r="C80" s="563">
        <v>0</v>
      </c>
      <c r="D80" s="563">
        <v>0</v>
      </c>
      <c r="E80" s="562">
        <v>0</v>
      </c>
      <c r="F80" s="562">
        <v>0</v>
      </c>
      <c r="G80" s="562">
        <v>0</v>
      </c>
      <c r="H80" s="563">
        <v>0</v>
      </c>
      <c r="I80" s="563">
        <v>0</v>
      </c>
      <c r="J80" s="563">
        <v>0</v>
      </c>
      <c r="K80" s="563">
        <v>0</v>
      </c>
      <c r="L80" s="563">
        <v>0</v>
      </c>
      <c r="M80" s="563">
        <v>0</v>
      </c>
      <c r="N80" s="563">
        <v>0</v>
      </c>
      <c r="O80" s="563">
        <v>0</v>
      </c>
      <c r="P80" s="563">
        <v>0</v>
      </c>
      <c r="Q80" s="563">
        <v>0</v>
      </c>
      <c r="R80" s="563">
        <v>0</v>
      </c>
      <c r="S80" s="563">
        <v>0</v>
      </c>
      <c r="T80" s="408"/>
    </row>
    <row r="81" spans="1:26" x14ac:dyDescent="0.4">
      <c r="A81" s="534" t="s">
        <v>4042</v>
      </c>
      <c r="B81" s="563">
        <v>0</v>
      </c>
      <c r="C81" s="563">
        <v>22254</v>
      </c>
      <c r="D81" s="563">
        <v>22254</v>
      </c>
      <c r="E81" s="562">
        <v>1369946</v>
      </c>
      <c r="F81" s="562">
        <v>3211385</v>
      </c>
      <c r="G81" s="562">
        <v>4581331</v>
      </c>
      <c r="H81" s="563">
        <v>0</v>
      </c>
      <c r="I81" s="563">
        <v>175</v>
      </c>
      <c r="J81" s="563">
        <v>175</v>
      </c>
      <c r="K81" s="563">
        <v>0</v>
      </c>
      <c r="L81" s="563">
        <v>77</v>
      </c>
      <c r="M81" s="563">
        <v>77</v>
      </c>
      <c r="N81" s="563">
        <v>3772</v>
      </c>
      <c r="O81" s="563">
        <v>0</v>
      </c>
      <c r="P81" s="563">
        <v>3772</v>
      </c>
      <c r="Q81" s="563">
        <v>0</v>
      </c>
      <c r="R81" s="563">
        <v>0</v>
      </c>
      <c r="S81" s="563">
        <v>0</v>
      </c>
      <c r="T81" s="408"/>
    </row>
    <row r="82" spans="1:26" x14ac:dyDescent="0.4">
      <c r="A82" s="564" t="s">
        <v>4043</v>
      </c>
      <c r="B82" s="563">
        <v>0</v>
      </c>
      <c r="C82" s="563">
        <v>0</v>
      </c>
      <c r="D82" s="563">
        <v>0</v>
      </c>
      <c r="E82" s="562">
        <v>1105805</v>
      </c>
      <c r="F82" s="562">
        <v>0</v>
      </c>
      <c r="G82" s="562">
        <v>1105805</v>
      </c>
      <c r="H82" s="563">
        <v>3616</v>
      </c>
      <c r="I82" s="563">
        <v>0</v>
      </c>
      <c r="J82" s="563">
        <v>3616</v>
      </c>
      <c r="K82" s="563">
        <v>0</v>
      </c>
      <c r="L82" s="563">
        <v>0</v>
      </c>
      <c r="M82" s="563">
        <v>0</v>
      </c>
      <c r="N82" s="563">
        <v>1135</v>
      </c>
      <c r="O82" s="563">
        <v>0</v>
      </c>
      <c r="P82" s="563">
        <v>1135</v>
      </c>
      <c r="Q82" s="563">
        <v>0</v>
      </c>
      <c r="R82" s="563">
        <v>0</v>
      </c>
      <c r="S82" s="563">
        <v>0</v>
      </c>
      <c r="T82" s="408"/>
    </row>
    <row r="83" spans="1:26" x14ac:dyDescent="0.4">
      <c r="A83" s="564" t="s">
        <v>4044</v>
      </c>
      <c r="B83" s="563">
        <v>11575</v>
      </c>
      <c r="C83" s="563">
        <v>707</v>
      </c>
      <c r="D83" s="563">
        <v>12282</v>
      </c>
      <c r="E83" s="562">
        <v>164211</v>
      </c>
      <c r="F83" s="562">
        <v>34501</v>
      </c>
      <c r="G83" s="562">
        <v>198712</v>
      </c>
      <c r="H83" s="563">
        <v>0</v>
      </c>
      <c r="I83" s="563">
        <v>0</v>
      </c>
      <c r="J83" s="563">
        <v>0</v>
      </c>
      <c r="K83" s="563">
        <v>23078</v>
      </c>
      <c r="L83" s="563">
        <v>0</v>
      </c>
      <c r="M83" s="563">
        <v>23078</v>
      </c>
      <c r="N83" s="563">
        <v>10011</v>
      </c>
      <c r="O83" s="563">
        <v>0</v>
      </c>
      <c r="P83" s="563">
        <v>10011</v>
      </c>
      <c r="Q83" s="563">
        <v>0</v>
      </c>
      <c r="R83" s="563">
        <v>0</v>
      </c>
      <c r="S83" s="563">
        <v>0</v>
      </c>
      <c r="T83" s="408"/>
    </row>
    <row r="84" spans="1:26" x14ac:dyDescent="0.4">
      <c r="A84" s="564" t="s">
        <v>4045</v>
      </c>
      <c r="B84" s="563">
        <v>61227</v>
      </c>
      <c r="C84" s="563">
        <v>0</v>
      </c>
      <c r="D84" s="563">
        <v>61227</v>
      </c>
      <c r="E84" s="562">
        <v>0</v>
      </c>
      <c r="F84" s="562">
        <v>589</v>
      </c>
      <c r="G84" s="562">
        <v>589</v>
      </c>
      <c r="H84" s="563">
        <v>0</v>
      </c>
      <c r="I84" s="563">
        <v>0</v>
      </c>
      <c r="J84" s="563">
        <v>0</v>
      </c>
      <c r="K84" s="563">
        <v>0</v>
      </c>
      <c r="L84" s="563">
        <v>0</v>
      </c>
      <c r="M84" s="563">
        <v>0</v>
      </c>
      <c r="N84" s="563">
        <v>0</v>
      </c>
      <c r="O84" s="563">
        <v>0</v>
      </c>
      <c r="P84" s="563">
        <v>0</v>
      </c>
      <c r="Q84" s="563">
        <v>0</v>
      </c>
      <c r="R84" s="563">
        <v>0</v>
      </c>
      <c r="S84" s="563">
        <v>0</v>
      </c>
      <c r="T84" s="408"/>
    </row>
    <row r="85" spans="1:26" x14ac:dyDescent="0.4">
      <c r="A85" s="566" t="s">
        <v>19</v>
      </c>
      <c r="B85" s="340">
        <v>220499</v>
      </c>
      <c r="C85" s="340">
        <v>75351</v>
      </c>
      <c r="D85" s="340">
        <v>295850</v>
      </c>
      <c r="E85" s="341">
        <v>3794705</v>
      </c>
      <c r="F85" s="341">
        <v>3398898</v>
      </c>
      <c r="G85" s="341">
        <v>7193603</v>
      </c>
      <c r="H85" s="340">
        <v>391195</v>
      </c>
      <c r="I85" s="340">
        <v>175</v>
      </c>
      <c r="J85" s="340">
        <v>391370</v>
      </c>
      <c r="K85" s="340">
        <v>32656</v>
      </c>
      <c r="L85" s="340">
        <v>1758</v>
      </c>
      <c r="M85" s="340">
        <v>34414</v>
      </c>
      <c r="N85" s="340">
        <v>37422</v>
      </c>
      <c r="O85" s="340">
        <v>0</v>
      </c>
      <c r="P85" s="340">
        <v>37422</v>
      </c>
      <c r="Q85" s="340">
        <v>49821</v>
      </c>
      <c r="R85" s="340">
        <v>0</v>
      </c>
      <c r="S85" s="340">
        <v>49821</v>
      </c>
      <c r="T85" s="567">
        <f>D85+G85+J85+M85+P85+S85</f>
        <v>8002480</v>
      </c>
      <c r="U85" s="319"/>
    </row>
    <row r="86" spans="1:26" x14ac:dyDescent="0.4">
      <c r="A86" s="484" t="s">
        <v>11</v>
      </c>
      <c r="B86" s="319"/>
      <c r="C86" s="319"/>
      <c r="D86" s="319"/>
      <c r="E86" s="319"/>
      <c r="F86" s="319"/>
      <c r="G86" s="319"/>
    </row>
    <row r="88" spans="1:26" x14ac:dyDescent="0.4">
      <c r="A88" s="4" t="s">
        <v>4156</v>
      </c>
    </row>
    <row r="89" spans="1:26" x14ac:dyDescent="0.4">
      <c r="A89" s="336" t="s">
        <v>212</v>
      </c>
      <c r="B89" s="338" t="s">
        <v>4147</v>
      </c>
      <c r="C89" s="342" t="s">
        <v>4082</v>
      </c>
      <c r="D89" s="338" t="s">
        <v>4099</v>
      </c>
      <c r="E89" s="336" t="s">
        <v>4148</v>
      </c>
      <c r="F89" s="338" t="s">
        <v>4149</v>
      </c>
      <c r="G89" s="338" t="s">
        <v>4084</v>
      </c>
      <c r="H89" s="338" t="s">
        <v>4100</v>
      </c>
      <c r="I89" s="338" t="s">
        <v>4150</v>
      </c>
      <c r="J89" s="338" t="s">
        <v>4085</v>
      </c>
      <c r="K89" s="338" t="s">
        <v>4086</v>
      </c>
      <c r="L89" s="338" t="s">
        <v>4101</v>
      </c>
      <c r="M89" s="338" t="s">
        <v>4151</v>
      </c>
      <c r="N89" s="338" t="s">
        <v>4087</v>
      </c>
      <c r="O89" s="338" t="s">
        <v>4088</v>
      </c>
      <c r="P89" s="338" t="s">
        <v>4102</v>
      </c>
      <c r="Q89" s="338" t="s">
        <v>4152</v>
      </c>
      <c r="R89" s="338" t="s">
        <v>4089</v>
      </c>
      <c r="S89" s="338" t="s">
        <v>4090</v>
      </c>
      <c r="T89" s="338" t="s">
        <v>4103</v>
      </c>
      <c r="U89" s="338" t="s">
        <v>4153</v>
      </c>
      <c r="V89" s="338" t="s">
        <v>4091</v>
      </c>
      <c r="W89" s="338" t="s">
        <v>4092</v>
      </c>
      <c r="X89" s="338" t="s">
        <v>4157</v>
      </c>
      <c r="Y89" s="338" t="s">
        <v>4154</v>
      </c>
      <c r="Z89" s="322" t="s">
        <v>55</v>
      </c>
    </row>
    <row r="90" spans="1:26" x14ac:dyDescent="0.4">
      <c r="A90" s="534" t="s">
        <v>4028</v>
      </c>
      <c r="B90" s="565">
        <v>0</v>
      </c>
      <c r="C90" s="565">
        <v>0</v>
      </c>
      <c r="D90" s="565">
        <v>0</v>
      </c>
      <c r="E90" s="565">
        <v>0</v>
      </c>
      <c r="F90" s="565">
        <v>0</v>
      </c>
      <c r="G90" s="565">
        <v>0</v>
      </c>
      <c r="H90" s="565">
        <v>0</v>
      </c>
      <c r="I90" s="565">
        <v>0</v>
      </c>
      <c r="J90" s="569">
        <v>0</v>
      </c>
      <c r="K90" s="569">
        <v>0</v>
      </c>
      <c r="L90" s="569">
        <v>0</v>
      </c>
      <c r="M90" s="569">
        <v>0</v>
      </c>
      <c r="N90" s="565">
        <v>0</v>
      </c>
      <c r="O90" s="565">
        <v>0</v>
      </c>
      <c r="P90" s="565">
        <v>0</v>
      </c>
      <c r="Q90" s="565">
        <v>0</v>
      </c>
      <c r="R90" s="565">
        <v>0</v>
      </c>
      <c r="S90" s="565">
        <v>0</v>
      </c>
      <c r="T90" s="565">
        <v>0</v>
      </c>
      <c r="U90" s="565">
        <v>0</v>
      </c>
      <c r="V90" s="565">
        <v>0</v>
      </c>
      <c r="W90" s="565">
        <v>0</v>
      </c>
      <c r="X90" s="565">
        <v>0</v>
      </c>
      <c r="Y90" s="565">
        <v>0</v>
      </c>
      <c r="Z90" s="408"/>
    </row>
    <row r="91" spans="1:26" x14ac:dyDescent="0.4">
      <c r="A91" s="564" t="s">
        <v>4029</v>
      </c>
      <c r="B91" s="565">
        <v>0</v>
      </c>
      <c r="C91" s="565">
        <v>0</v>
      </c>
      <c r="D91" s="565">
        <v>0</v>
      </c>
      <c r="E91" s="565">
        <v>0</v>
      </c>
      <c r="F91" s="565">
        <v>353</v>
      </c>
      <c r="G91" s="565">
        <v>0</v>
      </c>
      <c r="H91" s="565">
        <v>0</v>
      </c>
      <c r="I91" s="565">
        <v>353</v>
      </c>
      <c r="J91" s="569">
        <v>39652</v>
      </c>
      <c r="K91" s="569">
        <v>596715</v>
      </c>
      <c r="L91" s="569">
        <v>0</v>
      </c>
      <c r="M91" s="569">
        <v>636367</v>
      </c>
      <c r="N91" s="565">
        <v>0</v>
      </c>
      <c r="O91" s="565">
        <v>0</v>
      </c>
      <c r="P91" s="565">
        <v>0</v>
      </c>
      <c r="Q91" s="565">
        <v>0</v>
      </c>
      <c r="R91" s="565">
        <v>136197</v>
      </c>
      <c r="S91" s="565">
        <v>0</v>
      </c>
      <c r="T91" s="565">
        <v>0</v>
      </c>
      <c r="U91" s="565">
        <v>136197</v>
      </c>
      <c r="V91" s="565">
        <v>0</v>
      </c>
      <c r="W91" s="565">
        <v>0</v>
      </c>
      <c r="X91" s="565">
        <v>0</v>
      </c>
      <c r="Y91" s="565">
        <v>0</v>
      </c>
      <c r="Z91" s="408"/>
    </row>
    <row r="92" spans="1:26" x14ac:dyDescent="0.4">
      <c r="A92" s="564" t="s">
        <v>4030</v>
      </c>
      <c r="B92" s="565">
        <v>0</v>
      </c>
      <c r="C92" s="565">
        <v>0</v>
      </c>
      <c r="D92" s="565">
        <v>0</v>
      </c>
      <c r="E92" s="565">
        <v>0</v>
      </c>
      <c r="F92" s="565">
        <v>0</v>
      </c>
      <c r="G92" s="565">
        <v>0</v>
      </c>
      <c r="H92" s="565">
        <v>0</v>
      </c>
      <c r="I92" s="565">
        <v>0</v>
      </c>
      <c r="J92" s="569">
        <v>0</v>
      </c>
      <c r="K92" s="569">
        <v>39995</v>
      </c>
      <c r="L92" s="569">
        <v>0</v>
      </c>
      <c r="M92" s="569">
        <v>39995</v>
      </c>
      <c r="N92" s="565">
        <v>0</v>
      </c>
      <c r="O92" s="565">
        <v>0</v>
      </c>
      <c r="P92" s="565">
        <v>0</v>
      </c>
      <c r="Q92" s="565">
        <v>0</v>
      </c>
      <c r="R92" s="565">
        <v>0</v>
      </c>
      <c r="S92" s="565">
        <v>0</v>
      </c>
      <c r="T92" s="565">
        <v>0</v>
      </c>
      <c r="U92" s="565">
        <v>0</v>
      </c>
      <c r="V92" s="565">
        <v>0</v>
      </c>
      <c r="W92" s="565">
        <v>0</v>
      </c>
      <c r="X92" s="565">
        <v>0</v>
      </c>
      <c r="Y92" s="565">
        <v>0</v>
      </c>
      <c r="Z92" s="408"/>
    </row>
    <row r="93" spans="1:26" x14ac:dyDescent="0.4">
      <c r="A93" s="564" t="s">
        <v>4031</v>
      </c>
      <c r="B93" s="565">
        <v>0</v>
      </c>
      <c r="C93" s="565">
        <v>0</v>
      </c>
      <c r="D93" s="565">
        <v>0</v>
      </c>
      <c r="E93" s="565">
        <v>0</v>
      </c>
      <c r="F93" s="565">
        <v>0</v>
      </c>
      <c r="G93" s="565">
        <v>0</v>
      </c>
      <c r="H93" s="565">
        <v>0</v>
      </c>
      <c r="I93" s="565">
        <v>0</v>
      </c>
      <c r="J93" s="569">
        <v>0</v>
      </c>
      <c r="K93" s="569">
        <v>0</v>
      </c>
      <c r="L93" s="569">
        <v>0</v>
      </c>
      <c r="M93" s="569">
        <v>0</v>
      </c>
      <c r="N93" s="565">
        <v>0</v>
      </c>
      <c r="O93" s="565">
        <v>0</v>
      </c>
      <c r="P93" s="565">
        <v>0</v>
      </c>
      <c r="Q93" s="565">
        <v>0</v>
      </c>
      <c r="R93" s="565">
        <v>0</v>
      </c>
      <c r="S93" s="565">
        <v>0</v>
      </c>
      <c r="T93" s="565">
        <v>0</v>
      </c>
      <c r="U93" s="565">
        <v>0</v>
      </c>
      <c r="V93" s="565">
        <v>0</v>
      </c>
      <c r="W93" s="565">
        <v>0</v>
      </c>
      <c r="X93" s="565">
        <v>0</v>
      </c>
      <c r="Y93" s="565">
        <v>0</v>
      </c>
      <c r="Z93" s="408"/>
    </row>
    <row r="94" spans="1:26" x14ac:dyDescent="0.4">
      <c r="A94" s="564" t="s">
        <v>4032</v>
      </c>
      <c r="B94" s="565">
        <v>0</v>
      </c>
      <c r="C94" s="565">
        <v>0</v>
      </c>
      <c r="D94" s="565">
        <v>0</v>
      </c>
      <c r="E94" s="565">
        <v>0</v>
      </c>
      <c r="F94" s="565">
        <v>3712</v>
      </c>
      <c r="G94" s="565">
        <v>1712</v>
      </c>
      <c r="H94" s="565">
        <v>0</v>
      </c>
      <c r="I94" s="565">
        <v>5424</v>
      </c>
      <c r="J94" s="569">
        <v>0</v>
      </c>
      <c r="K94" s="569">
        <v>0</v>
      </c>
      <c r="L94" s="569">
        <v>0</v>
      </c>
      <c r="M94" s="569">
        <v>0</v>
      </c>
      <c r="N94" s="565">
        <v>0</v>
      </c>
      <c r="O94" s="565">
        <v>0</v>
      </c>
      <c r="P94" s="565">
        <v>0</v>
      </c>
      <c r="Q94" s="565">
        <v>0</v>
      </c>
      <c r="R94" s="565">
        <v>9775</v>
      </c>
      <c r="S94" s="565">
        <v>0</v>
      </c>
      <c r="T94" s="565">
        <v>0</v>
      </c>
      <c r="U94" s="565">
        <v>9775</v>
      </c>
      <c r="V94" s="565">
        <v>0</v>
      </c>
      <c r="W94" s="565">
        <v>0</v>
      </c>
      <c r="X94" s="565">
        <v>0</v>
      </c>
      <c r="Y94" s="565">
        <v>0</v>
      </c>
      <c r="Z94" s="408"/>
    </row>
    <row r="95" spans="1:26" x14ac:dyDescent="0.4">
      <c r="A95" s="564" t="s">
        <v>4033</v>
      </c>
      <c r="B95" s="565">
        <v>0</v>
      </c>
      <c r="C95" s="565">
        <v>0</v>
      </c>
      <c r="D95" s="565">
        <v>0</v>
      </c>
      <c r="E95" s="565">
        <v>0</v>
      </c>
      <c r="F95" s="565">
        <v>0</v>
      </c>
      <c r="G95" s="565">
        <v>0</v>
      </c>
      <c r="H95" s="565">
        <v>0</v>
      </c>
      <c r="I95" s="565">
        <v>0</v>
      </c>
      <c r="J95" s="569">
        <v>0</v>
      </c>
      <c r="K95" s="569">
        <v>0</v>
      </c>
      <c r="L95" s="569">
        <v>0</v>
      </c>
      <c r="M95" s="569">
        <v>0</v>
      </c>
      <c r="N95" s="565">
        <v>0</v>
      </c>
      <c r="O95" s="565">
        <v>0</v>
      </c>
      <c r="P95" s="565">
        <v>0</v>
      </c>
      <c r="Q95" s="565">
        <v>0</v>
      </c>
      <c r="R95" s="565">
        <v>0</v>
      </c>
      <c r="S95" s="565">
        <v>0</v>
      </c>
      <c r="T95" s="565">
        <v>0</v>
      </c>
      <c r="U95" s="565">
        <v>0</v>
      </c>
      <c r="V95" s="565">
        <v>0</v>
      </c>
      <c r="W95" s="565">
        <v>0</v>
      </c>
      <c r="X95" s="565">
        <v>0</v>
      </c>
      <c r="Y95" s="565">
        <v>0</v>
      </c>
      <c r="Z95" s="408"/>
    </row>
    <row r="96" spans="1:26" x14ac:dyDescent="0.4">
      <c r="A96" s="534" t="s">
        <v>4034</v>
      </c>
      <c r="B96" s="565">
        <v>83773</v>
      </c>
      <c r="C96" s="565">
        <v>821</v>
      </c>
      <c r="D96" s="565">
        <v>0</v>
      </c>
      <c r="E96" s="565">
        <v>84594</v>
      </c>
      <c r="F96" s="565">
        <v>697417</v>
      </c>
      <c r="G96" s="565">
        <v>52555</v>
      </c>
      <c r="H96" s="565">
        <v>0</v>
      </c>
      <c r="I96" s="565">
        <v>749972</v>
      </c>
      <c r="J96" s="569">
        <v>1048484</v>
      </c>
      <c r="K96" s="569">
        <v>33045</v>
      </c>
      <c r="L96" s="569">
        <v>0</v>
      </c>
      <c r="M96" s="569">
        <v>1081529</v>
      </c>
      <c r="N96" s="565">
        <v>31860</v>
      </c>
      <c r="O96" s="565">
        <v>2782</v>
      </c>
      <c r="P96" s="565">
        <v>0</v>
      </c>
      <c r="Q96" s="565">
        <v>34642</v>
      </c>
      <c r="R96" s="565">
        <v>245346</v>
      </c>
      <c r="S96" s="565">
        <v>0</v>
      </c>
      <c r="T96" s="565">
        <v>0</v>
      </c>
      <c r="U96" s="565">
        <v>245346</v>
      </c>
      <c r="V96" s="565">
        <v>156037</v>
      </c>
      <c r="W96" s="565">
        <v>0</v>
      </c>
      <c r="X96" s="565">
        <v>0</v>
      </c>
      <c r="Y96" s="565">
        <v>156037</v>
      </c>
      <c r="Z96" s="408"/>
    </row>
    <row r="97" spans="1:26" x14ac:dyDescent="0.4">
      <c r="A97" s="534" t="s">
        <v>4035</v>
      </c>
      <c r="B97" s="565">
        <v>0</v>
      </c>
      <c r="C97" s="565">
        <v>0</v>
      </c>
      <c r="D97" s="565">
        <v>0</v>
      </c>
      <c r="E97" s="565">
        <v>0</v>
      </c>
      <c r="F97" s="565">
        <v>0</v>
      </c>
      <c r="G97" s="565">
        <v>0</v>
      </c>
      <c r="H97" s="565">
        <v>0</v>
      </c>
      <c r="I97" s="565">
        <v>0</v>
      </c>
      <c r="J97" s="569">
        <v>0</v>
      </c>
      <c r="K97" s="569">
        <v>0</v>
      </c>
      <c r="L97" s="569">
        <v>0</v>
      </c>
      <c r="M97" s="569">
        <v>0</v>
      </c>
      <c r="N97" s="565">
        <v>0</v>
      </c>
      <c r="O97" s="565">
        <v>0</v>
      </c>
      <c r="P97" s="565">
        <v>0</v>
      </c>
      <c r="Q97" s="565">
        <v>0</v>
      </c>
      <c r="R97" s="565">
        <v>0</v>
      </c>
      <c r="S97" s="565">
        <v>0</v>
      </c>
      <c r="T97" s="565">
        <v>0</v>
      </c>
      <c r="U97" s="565">
        <v>0</v>
      </c>
      <c r="V97" s="565">
        <v>0</v>
      </c>
      <c r="W97" s="565">
        <v>0</v>
      </c>
      <c r="X97" s="565">
        <v>0</v>
      </c>
      <c r="Y97" s="565">
        <v>0</v>
      </c>
      <c r="Z97" s="408"/>
    </row>
    <row r="98" spans="1:26" x14ac:dyDescent="0.4">
      <c r="A98" s="564" t="s">
        <v>4036</v>
      </c>
      <c r="B98" s="565">
        <v>0</v>
      </c>
      <c r="C98" s="565">
        <v>0</v>
      </c>
      <c r="D98" s="565">
        <v>0</v>
      </c>
      <c r="E98" s="565">
        <v>0</v>
      </c>
      <c r="F98" s="565">
        <v>0</v>
      </c>
      <c r="G98" s="565">
        <v>0</v>
      </c>
      <c r="H98" s="565">
        <v>0</v>
      </c>
      <c r="I98" s="565">
        <v>0</v>
      </c>
      <c r="J98" s="569">
        <v>0</v>
      </c>
      <c r="K98" s="569">
        <v>0</v>
      </c>
      <c r="L98" s="569">
        <v>0</v>
      </c>
      <c r="M98" s="569">
        <v>0</v>
      </c>
      <c r="N98" s="565">
        <v>0</v>
      </c>
      <c r="O98" s="565">
        <v>0</v>
      </c>
      <c r="P98" s="565">
        <v>0</v>
      </c>
      <c r="Q98" s="565">
        <v>0</v>
      </c>
      <c r="R98" s="565">
        <v>0</v>
      </c>
      <c r="S98" s="565">
        <v>0</v>
      </c>
      <c r="T98" s="565">
        <v>0</v>
      </c>
      <c r="U98" s="565">
        <v>0</v>
      </c>
      <c r="V98" s="565">
        <v>0</v>
      </c>
      <c r="W98" s="565">
        <v>0</v>
      </c>
      <c r="X98" s="565">
        <v>0</v>
      </c>
      <c r="Y98" s="565">
        <v>0</v>
      </c>
      <c r="Z98" s="408"/>
    </row>
    <row r="99" spans="1:26" x14ac:dyDescent="0.4">
      <c r="A99" s="564" t="s">
        <v>4037</v>
      </c>
      <c r="B99" s="565">
        <v>11193</v>
      </c>
      <c r="C99" s="565">
        <v>0</v>
      </c>
      <c r="D99" s="565">
        <v>0</v>
      </c>
      <c r="E99" s="565">
        <v>11193</v>
      </c>
      <c r="F99" s="565">
        <v>5854</v>
      </c>
      <c r="G99" s="565">
        <v>0</v>
      </c>
      <c r="H99" s="565">
        <v>0</v>
      </c>
      <c r="I99" s="565">
        <v>5854</v>
      </c>
      <c r="J99" s="569">
        <v>0</v>
      </c>
      <c r="K99" s="569">
        <v>0</v>
      </c>
      <c r="L99" s="569">
        <v>0</v>
      </c>
      <c r="M99" s="569">
        <v>0</v>
      </c>
      <c r="N99" s="565">
        <v>1018</v>
      </c>
      <c r="O99" s="565">
        <v>0</v>
      </c>
      <c r="P99" s="565">
        <v>0</v>
      </c>
      <c r="Q99" s="565">
        <v>1018</v>
      </c>
      <c r="R99" s="565">
        <v>35</v>
      </c>
      <c r="S99" s="565">
        <v>0</v>
      </c>
      <c r="T99" s="565">
        <v>0</v>
      </c>
      <c r="U99" s="565">
        <v>35</v>
      </c>
      <c r="V99" s="565">
        <v>0</v>
      </c>
      <c r="W99" s="565">
        <v>0</v>
      </c>
      <c r="X99" s="565">
        <v>0</v>
      </c>
      <c r="Y99" s="565">
        <v>0</v>
      </c>
      <c r="Z99" s="408"/>
    </row>
    <row r="100" spans="1:26" x14ac:dyDescent="0.4">
      <c r="A100" s="564" t="s">
        <v>4038</v>
      </c>
      <c r="B100" s="565">
        <v>0</v>
      </c>
      <c r="C100" s="565">
        <v>0</v>
      </c>
      <c r="D100" s="565">
        <v>0</v>
      </c>
      <c r="E100" s="565">
        <v>0</v>
      </c>
      <c r="F100" s="565">
        <v>0</v>
      </c>
      <c r="G100" s="565">
        <v>0</v>
      </c>
      <c r="H100" s="565">
        <v>0</v>
      </c>
      <c r="I100" s="565">
        <v>0</v>
      </c>
      <c r="J100" s="569">
        <v>10093</v>
      </c>
      <c r="K100" s="569">
        <v>0</v>
      </c>
      <c r="L100" s="569">
        <v>0</v>
      </c>
      <c r="M100" s="569">
        <v>10093</v>
      </c>
      <c r="N100" s="565">
        <v>0</v>
      </c>
      <c r="O100" s="565">
        <v>0</v>
      </c>
      <c r="P100" s="565">
        <v>0</v>
      </c>
      <c r="Q100" s="565">
        <v>0</v>
      </c>
      <c r="R100" s="565">
        <v>0</v>
      </c>
      <c r="S100" s="565">
        <v>0</v>
      </c>
      <c r="T100" s="565">
        <v>0</v>
      </c>
      <c r="U100" s="565">
        <v>0</v>
      </c>
      <c r="V100" s="565">
        <v>0</v>
      </c>
      <c r="W100" s="565">
        <v>0</v>
      </c>
      <c r="X100" s="565">
        <v>0</v>
      </c>
      <c r="Y100" s="565">
        <v>0</v>
      </c>
      <c r="Z100" s="408"/>
    </row>
    <row r="101" spans="1:26" x14ac:dyDescent="0.4">
      <c r="A101" s="564" t="s">
        <v>4039</v>
      </c>
      <c r="B101" s="565">
        <v>0</v>
      </c>
      <c r="C101" s="565">
        <v>0</v>
      </c>
      <c r="D101" s="565">
        <v>0</v>
      </c>
      <c r="E101" s="565">
        <v>0</v>
      </c>
      <c r="F101" s="565">
        <v>0</v>
      </c>
      <c r="G101" s="565">
        <v>0</v>
      </c>
      <c r="H101" s="565">
        <v>0</v>
      </c>
      <c r="I101" s="565">
        <v>0</v>
      </c>
      <c r="J101" s="569">
        <v>0</v>
      </c>
      <c r="K101" s="569">
        <v>0</v>
      </c>
      <c r="L101" s="569">
        <v>0</v>
      </c>
      <c r="M101" s="569">
        <v>0</v>
      </c>
      <c r="N101" s="565">
        <v>0</v>
      </c>
      <c r="O101" s="565">
        <v>0</v>
      </c>
      <c r="P101" s="565">
        <v>0</v>
      </c>
      <c r="Q101" s="565">
        <v>0</v>
      </c>
      <c r="R101" s="565">
        <v>0</v>
      </c>
      <c r="S101" s="565">
        <v>0</v>
      </c>
      <c r="T101" s="565">
        <v>0</v>
      </c>
      <c r="U101" s="565">
        <v>0</v>
      </c>
      <c r="V101" s="565">
        <v>0</v>
      </c>
      <c r="W101" s="565">
        <v>0</v>
      </c>
      <c r="X101" s="565">
        <v>0</v>
      </c>
      <c r="Y101" s="565">
        <v>0</v>
      </c>
      <c r="Z101" s="408"/>
    </row>
    <row r="102" spans="1:26" x14ac:dyDescent="0.4">
      <c r="A102" s="564" t="s">
        <v>4040</v>
      </c>
      <c r="B102" s="565">
        <v>0</v>
      </c>
      <c r="C102" s="565">
        <v>0</v>
      </c>
      <c r="D102" s="565">
        <v>0</v>
      </c>
      <c r="E102" s="565">
        <v>0</v>
      </c>
      <c r="F102" s="565">
        <v>0</v>
      </c>
      <c r="G102" s="565">
        <v>0</v>
      </c>
      <c r="H102" s="565">
        <v>0</v>
      </c>
      <c r="I102" s="565">
        <v>0</v>
      </c>
      <c r="J102" s="569">
        <v>0</v>
      </c>
      <c r="K102" s="569">
        <v>0</v>
      </c>
      <c r="L102" s="569">
        <v>0</v>
      </c>
      <c r="M102" s="569">
        <v>0</v>
      </c>
      <c r="N102" s="565">
        <v>0</v>
      </c>
      <c r="O102" s="565">
        <v>0</v>
      </c>
      <c r="P102" s="565">
        <v>0</v>
      </c>
      <c r="Q102" s="565">
        <v>0</v>
      </c>
      <c r="R102" s="565">
        <v>0</v>
      </c>
      <c r="S102" s="565">
        <v>0</v>
      </c>
      <c r="T102" s="565">
        <v>0</v>
      </c>
      <c r="U102" s="565">
        <v>0</v>
      </c>
      <c r="V102" s="565">
        <v>0</v>
      </c>
      <c r="W102" s="565">
        <v>0</v>
      </c>
      <c r="X102" s="565">
        <v>0</v>
      </c>
      <c r="Y102" s="565">
        <v>0</v>
      </c>
      <c r="Z102" s="408"/>
    </row>
    <row r="103" spans="1:26" x14ac:dyDescent="0.4">
      <c r="A103" s="564" t="s">
        <v>4041</v>
      </c>
      <c r="B103" s="565">
        <v>0</v>
      </c>
      <c r="C103" s="565">
        <v>0</v>
      </c>
      <c r="D103" s="565">
        <v>0</v>
      </c>
      <c r="E103" s="565">
        <v>0</v>
      </c>
      <c r="F103" s="565">
        <v>0</v>
      </c>
      <c r="G103" s="565">
        <v>0</v>
      </c>
      <c r="H103" s="565">
        <v>0</v>
      </c>
      <c r="I103" s="565">
        <v>0</v>
      </c>
      <c r="J103" s="569">
        <v>0</v>
      </c>
      <c r="K103" s="569">
        <v>11080</v>
      </c>
      <c r="L103" s="569">
        <v>0</v>
      </c>
      <c r="M103" s="569">
        <v>11080</v>
      </c>
      <c r="N103" s="565">
        <v>0</v>
      </c>
      <c r="O103" s="565">
        <v>0</v>
      </c>
      <c r="P103" s="565">
        <v>0</v>
      </c>
      <c r="Q103" s="565">
        <v>0</v>
      </c>
      <c r="R103" s="565">
        <v>0</v>
      </c>
      <c r="S103" s="565">
        <v>0</v>
      </c>
      <c r="T103" s="565">
        <v>0</v>
      </c>
      <c r="U103" s="565">
        <v>0</v>
      </c>
      <c r="V103" s="565">
        <v>0</v>
      </c>
      <c r="W103" s="565">
        <v>0</v>
      </c>
      <c r="X103" s="565">
        <v>0</v>
      </c>
      <c r="Y103" s="565">
        <v>0</v>
      </c>
      <c r="Z103" s="408"/>
    </row>
    <row r="104" spans="1:26" x14ac:dyDescent="0.4">
      <c r="A104" s="534" t="s">
        <v>4042</v>
      </c>
      <c r="B104" s="565">
        <v>161604</v>
      </c>
      <c r="C104" s="565">
        <v>12841</v>
      </c>
      <c r="D104" s="565">
        <v>0</v>
      </c>
      <c r="E104" s="565">
        <v>174445</v>
      </c>
      <c r="F104" s="565">
        <v>695675</v>
      </c>
      <c r="G104" s="565">
        <v>356855</v>
      </c>
      <c r="H104" s="565">
        <v>0</v>
      </c>
      <c r="I104" s="565">
        <v>1052530</v>
      </c>
      <c r="J104" s="569">
        <v>50958</v>
      </c>
      <c r="K104" s="569">
        <v>31775</v>
      </c>
      <c r="L104" s="569">
        <v>0</v>
      </c>
      <c r="M104" s="569">
        <v>82733</v>
      </c>
      <c r="N104" s="565">
        <v>0</v>
      </c>
      <c r="O104" s="565">
        <v>0</v>
      </c>
      <c r="P104" s="565">
        <v>0</v>
      </c>
      <c r="Q104" s="565">
        <v>0</v>
      </c>
      <c r="R104" s="565">
        <v>37974</v>
      </c>
      <c r="S104" s="565">
        <v>1614</v>
      </c>
      <c r="T104" s="565">
        <v>0</v>
      </c>
      <c r="U104" s="565">
        <v>39588</v>
      </c>
      <c r="V104" s="565">
        <v>0</v>
      </c>
      <c r="W104" s="565">
        <v>0</v>
      </c>
      <c r="X104" s="565">
        <v>0</v>
      </c>
      <c r="Y104" s="565">
        <v>0</v>
      </c>
      <c r="Z104" s="408"/>
    </row>
    <row r="105" spans="1:26" x14ac:dyDescent="0.4">
      <c r="A105" s="564" t="s">
        <v>4043</v>
      </c>
      <c r="B105" s="565">
        <v>0</v>
      </c>
      <c r="C105" s="565">
        <v>0</v>
      </c>
      <c r="D105" s="565">
        <v>0</v>
      </c>
      <c r="E105" s="565">
        <v>0</v>
      </c>
      <c r="F105" s="565">
        <v>0</v>
      </c>
      <c r="G105" s="565">
        <v>0</v>
      </c>
      <c r="H105" s="565">
        <v>0</v>
      </c>
      <c r="I105" s="565">
        <v>0</v>
      </c>
      <c r="J105" s="569">
        <v>90215</v>
      </c>
      <c r="K105" s="569">
        <v>110102</v>
      </c>
      <c r="L105" s="569">
        <v>0</v>
      </c>
      <c r="M105" s="569">
        <v>200317</v>
      </c>
      <c r="N105" s="565">
        <v>0</v>
      </c>
      <c r="O105" s="565">
        <v>0</v>
      </c>
      <c r="P105" s="565">
        <v>0</v>
      </c>
      <c r="Q105" s="565">
        <v>0</v>
      </c>
      <c r="R105" s="565">
        <v>0</v>
      </c>
      <c r="S105" s="565">
        <v>0</v>
      </c>
      <c r="T105" s="565">
        <v>0</v>
      </c>
      <c r="U105" s="565">
        <v>0</v>
      </c>
      <c r="V105" s="565">
        <v>0</v>
      </c>
      <c r="W105" s="565">
        <v>0</v>
      </c>
      <c r="X105" s="565">
        <v>0</v>
      </c>
      <c r="Y105" s="565">
        <v>0</v>
      </c>
      <c r="Z105" s="408"/>
    </row>
    <row r="106" spans="1:26" x14ac:dyDescent="0.4">
      <c r="A106" s="564" t="s">
        <v>4044</v>
      </c>
      <c r="B106" s="565">
        <v>217069</v>
      </c>
      <c r="C106" s="565">
        <v>0</v>
      </c>
      <c r="D106" s="565">
        <v>0</v>
      </c>
      <c r="E106" s="565">
        <v>217069</v>
      </c>
      <c r="F106" s="565">
        <v>1781599</v>
      </c>
      <c r="G106" s="565">
        <v>5949</v>
      </c>
      <c r="H106" s="565">
        <v>40</v>
      </c>
      <c r="I106" s="565">
        <v>1787588</v>
      </c>
      <c r="J106" s="569">
        <v>12469</v>
      </c>
      <c r="K106" s="569">
        <v>0</v>
      </c>
      <c r="L106" s="569">
        <v>0</v>
      </c>
      <c r="M106" s="569">
        <v>12469</v>
      </c>
      <c r="N106" s="565">
        <v>183664</v>
      </c>
      <c r="O106" s="565">
        <v>0</v>
      </c>
      <c r="P106" s="565">
        <v>0</v>
      </c>
      <c r="Q106" s="565">
        <v>183664</v>
      </c>
      <c r="R106" s="565">
        <v>129846</v>
      </c>
      <c r="S106" s="565">
        <v>0</v>
      </c>
      <c r="T106" s="565">
        <v>0</v>
      </c>
      <c r="U106" s="565">
        <v>129846</v>
      </c>
      <c r="V106" s="565">
        <v>322</v>
      </c>
      <c r="W106" s="565">
        <v>0</v>
      </c>
      <c r="X106" s="565">
        <v>0</v>
      </c>
      <c r="Y106" s="565">
        <v>322</v>
      </c>
      <c r="Z106" s="408"/>
    </row>
    <row r="107" spans="1:26" x14ac:dyDescent="0.4">
      <c r="A107" s="564" t="s">
        <v>4045</v>
      </c>
      <c r="B107" s="565">
        <v>305799</v>
      </c>
      <c r="C107" s="565">
        <v>5445</v>
      </c>
      <c r="D107" s="565">
        <v>0</v>
      </c>
      <c r="E107" s="565">
        <v>311244</v>
      </c>
      <c r="F107" s="565">
        <v>0</v>
      </c>
      <c r="G107" s="565">
        <v>0</v>
      </c>
      <c r="H107" s="565">
        <v>0</v>
      </c>
      <c r="I107" s="565">
        <v>0</v>
      </c>
      <c r="J107" s="569">
        <v>117754</v>
      </c>
      <c r="K107" s="569">
        <v>82687</v>
      </c>
      <c r="L107" s="569">
        <v>0</v>
      </c>
      <c r="M107" s="569">
        <v>200441</v>
      </c>
      <c r="N107" s="565">
        <v>0</v>
      </c>
      <c r="O107" s="565">
        <v>0</v>
      </c>
      <c r="P107" s="565">
        <v>0</v>
      </c>
      <c r="Q107" s="565">
        <v>0</v>
      </c>
      <c r="R107" s="565">
        <v>0</v>
      </c>
      <c r="S107" s="565">
        <v>0</v>
      </c>
      <c r="T107" s="565">
        <v>0</v>
      </c>
      <c r="U107" s="565">
        <v>0</v>
      </c>
      <c r="V107" s="565">
        <v>0</v>
      </c>
      <c r="W107" s="565">
        <v>0</v>
      </c>
      <c r="X107" s="565">
        <v>0</v>
      </c>
      <c r="Y107" s="565">
        <v>0</v>
      </c>
      <c r="Z107" s="408"/>
    </row>
    <row r="108" spans="1:26" x14ac:dyDescent="0.4">
      <c r="A108" s="566" t="s">
        <v>19</v>
      </c>
      <c r="B108" s="340">
        <v>779438</v>
      </c>
      <c r="C108" s="340">
        <v>19107</v>
      </c>
      <c r="D108" s="340">
        <v>0</v>
      </c>
      <c r="E108" s="340">
        <v>798545</v>
      </c>
      <c r="F108" s="340">
        <v>3184610</v>
      </c>
      <c r="G108" s="340">
        <v>417071</v>
      </c>
      <c r="H108" s="340">
        <v>40</v>
      </c>
      <c r="I108" s="340">
        <v>3601721</v>
      </c>
      <c r="J108" s="341">
        <v>1369625</v>
      </c>
      <c r="K108" s="341">
        <v>905399</v>
      </c>
      <c r="L108" s="341">
        <v>0</v>
      </c>
      <c r="M108" s="341">
        <v>2275024</v>
      </c>
      <c r="N108" s="340">
        <v>216542</v>
      </c>
      <c r="O108" s="340">
        <v>2782</v>
      </c>
      <c r="P108" s="340">
        <v>0</v>
      </c>
      <c r="Q108" s="340">
        <v>219324</v>
      </c>
      <c r="R108" s="340">
        <v>559173</v>
      </c>
      <c r="S108" s="340">
        <v>1614</v>
      </c>
      <c r="T108" s="340">
        <v>0</v>
      </c>
      <c r="U108" s="340">
        <v>560787</v>
      </c>
      <c r="V108" s="340">
        <v>156359</v>
      </c>
      <c r="W108" s="340">
        <v>0</v>
      </c>
      <c r="X108" s="340">
        <v>0</v>
      </c>
      <c r="Y108" s="340">
        <v>156359</v>
      </c>
      <c r="Z108" s="567">
        <f>E108+I108+M108+Q108+U108+Y108</f>
        <v>7611760</v>
      </c>
    </row>
    <row r="109" spans="1:26" x14ac:dyDescent="0.4">
      <c r="A109" s="484" t="s">
        <v>11</v>
      </c>
      <c r="B109" s="570"/>
      <c r="E109" s="343"/>
      <c r="F109" s="343"/>
      <c r="G109" s="343"/>
      <c r="H109" s="343"/>
      <c r="I109" s="343"/>
      <c r="J109" s="343"/>
      <c r="K109" s="570"/>
      <c r="L109" s="343"/>
      <c r="M109" s="343"/>
      <c r="N109" s="343"/>
      <c r="O109" s="343"/>
      <c r="P109" s="343"/>
      <c r="Q109" s="343"/>
      <c r="R109" s="343"/>
      <c r="S109" s="343"/>
      <c r="T109" s="343"/>
      <c r="U109" s="343"/>
      <c r="V109" s="343"/>
      <c r="W109" s="343"/>
      <c r="X109" s="343"/>
      <c r="Y109" s="343"/>
    </row>
    <row r="110" spans="1:26" x14ac:dyDescent="0.4">
      <c r="A110" s="444"/>
      <c r="B110" s="570"/>
      <c r="E110" s="343"/>
      <c r="F110" s="343"/>
      <c r="G110" s="343"/>
      <c r="H110" s="343"/>
      <c r="I110" s="343"/>
      <c r="J110" s="343"/>
      <c r="K110" s="570"/>
      <c r="L110" s="343"/>
      <c r="M110" s="343"/>
      <c r="N110" s="343"/>
      <c r="O110" s="343"/>
      <c r="P110" s="343"/>
      <c r="Q110" s="343"/>
      <c r="R110" s="343"/>
      <c r="S110" s="343"/>
      <c r="T110" s="343"/>
      <c r="U110" s="343"/>
      <c r="V110" s="343"/>
      <c r="W110" s="343"/>
      <c r="X110" s="343"/>
      <c r="Y110" s="343"/>
    </row>
    <row r="111" spans="1:26" x14ac:dyDescent="0.4">
      <c r="A111" s="4" t="s">
        <v>4158</v>
      </c>
    </row>
    <row r="112" spans="1:26" x14ac:dyDescent="0.4">
      <c r="A112" s="336" t="s">
        <v>212</v>
      </c>
      <c r="B112" s="338" t="s">
        <v>4147</v>
      </c>
      <c r="C112" s="338" t="s">
        <v>4082</v>
      </c>
      <c r="D112" s="338" t="s">
        <v>4148</v>
      </c>
      <c r="E112" s="338" t="s">
        <v>4149</v>
      </c>
      <c r="F112" s="338" t="s">
        <v>4084</v>
      </c>
      <c r="G112" s="338" t="s">
        <v>4150</v>
      </c>
      <c r="H112" s="338" t="s">
        <v>4085</v>
      </c>
      <c r="I112" s="338" t="s">
        <v>4086</v>
      </c>
      <c r="J112" s="338" t="s">
        <v>4151</v>
      </c>
      <c r="K112" s="338" t="s">
        <v>4087</v>
      </c>
      <c r="L112" s="338" t="s">
        <v>4088</v>
      </c>
      <c r="M112" s="338" t="s">
        <v>4152</v>
      </c>
      <c r="N112" s="338" t="s">
        <v>4089</v>
      </c>
      <c r="O112" s="338" t="s">
        <v>4090</v>
      </c>
      <c r="P112" s="338" t="s">
        <v>4153</v>
      </c>
      <c r="Q112" s="338" t="s">
        <v>4091</v>
      </c>
      <c r="R112" s="338" t="s">
        <v>4092</v>
      </c>
      <c r="S112" s="338" t="s">
        <v>4154</v>
      </c>
      <c r="T112" s="322" t="s">
        <v>55</v>
      </c>
    </row>
    <row r="113" spans="1:20" x14ac:dyDescent="0.4">
      <c r="A113" s="534" t="s">
        <v>4028</v>
      </c>
      <c r="B113" s="563">
        <v>0</v>
      </c>
      <c r="C113" s="563">
        <v>0</v>
      </c>
      <c r="D113" s="563">
        <v>0</v>
      </c>
      <c r="E113" s="563">
        <v>0</v>
      </c>
      <c r="F113" s="563">
        <v>0</v>
      </c>
      <c r="G113" s="563">
        <v>0</v>
      </c>
      <c r="H113" s="563">
        <v>0</v>
      </c>
      <c r="I113" s="563">
        <v>0</v>
      </c>
      <c r="J113" s="563">
        <v>0</v>
      </c>
      <c r="K113" s="562">
        <v>0</v>
      </c>
      <c r="L113" s="562">
        <v>0</v>
      </c>
      <c r="M113" s="562">
        <v>0</v>
      </c>
      <c r="N113" s="563">
        <v>0</v>
      </c>
      <c r="O113" s="563">
        <v>0</v>
      </c>
      <c r="P113" s="563">
        <v>0</v>
      </c>
      <c r="Q113" s="563">
        <v>0</v>
      </c>
      <c r="R113" s="563">
        <v>0</v>
      </c>
      <c r="S113" s="563">
        <v>0</v>
      </c>
      <c r="T113" s="408"/>
    </row>
    <row r="114" spans="1:20" x14ac:dyDescent="0.4">
      <c r="A114" s="564" t="s">
        <v>4029</v>
      </c>
      <c r="B114" s="563">
        <v>163683</v>
      </c>
      <c r="C114" s="563">
        <v>0</v>
      </c>
      <c r="D114" s="563">
        <v>163683</v>
      </c>
      <c r="E114" s="563">
        <v>506</v>
      </c>
      <c r="F114" s="563">
        <v>0</v>
      </c>
      <c r="G114" s="563">
        <v>506</v>
      </c>
      <c r="H114" s="563">
        <v>27</v>
      </c>
      <c r="I114" s="563">
        <v>0</v>
      </c>
      <c r="J114" s="563">
        <v>27</v>
      </c>
      <c r="K114" s="562">
        <v>229989</v>
      </c>
      <c r="L114" s="562">
        <v>0</v>
      </c>
      <c r="M114" s="562">
        <v>229989</v>
      </c>
      <c r="N114" s="563">
        <v>50410</v>
      </c>
      <c r="O114" s="563">
        <v>0</v>
      </c>
      <c r="P114" s="563">
        <v>50410</v>
      </c>
      <c r="Q114" s="563">
        <v>0</v>
      </c>
      <c r="R114" s="563">
        <v>0</v>
      </c>
      <c r="S114" s="563">
        <v>0</v>
      </c>
      <c r="T114" s="408"/>
    </row>
    <row r="115" spans="1:20" x14ac:dyDescent="0.4">
      <c r="A115" s="564" t="s">
        <v>4030</v>
      </c>
      <c r="B115" s="563">
        <v>0</v>
      </c>
      <c r="C115" s="563">
        <v>0</v>
      </c>
      <c r="D115" s="563">
        <v>0</v>
      </c>
      <c r="E115" s="563">
        <v>0</v>
      </c>
      <c r="F115" s="563">
        <v>0</v>
      </c>
      <c r="G115" s="563">
        <v>0</v>
      </c>
      <c r="H115" s="563">
        <v>0</v>
      </c>
      <c r="I115" s="563">
        <v>0</v>
      </c>
      <c r="J115" s="563">
        <v>0</v>
      </c>
      <c r="K115" s="562">
        <v>0</v>
      </c>
      <c r="L115" s="562">
        <v>0</v>
      </c>
      <c r="M115" s="562">
        <v>0</v>
      </c>
      <c r="N115" s="563">
        <v>0</v>
      </c>
      <c r="O115" s="563">
        <v>0</v>
      </c>
      <c r="P115" s="563">
        <v>0</v>
      </c>
      <c r="Q115" s="563">
        <v>0</v>
      </c>
      <c r="R115" s="563">
        <v>0</v>
      </c>
      <c r="S115" s="563">
        <v>0</v>
      </c>
      <c r="T115" s="408"/>
    </row>
    <row r="116" spans="1:20" x14ac:dyDescent="0.4">
      <c r="A116" s="564" t="s">
        <v>4031</v>
      </c>
      <c r="B116" s="563">
        <v>0</v>
      </c>
      <c r="C116" s="563">
        <v>0</v>
      </c>
      <c r="D116" s="563">
        <v>0</v>
      </c>
      <c r="E116" s="563">
        <v>0</v>
      </c>
      <c r="F116" s="563">
        <v>0</v>
      </c>
      <c r="G116" s="563">
        <v>0</v>
      </c>
      <c r="H116" s="563">
        <v>0</v>
      </c>
      <c r="I116" s="563">
        <v>0</v>
      </c>
      <c r="J116" s="563">
        <v>0</v>
      </c>
      <c r="K116" s="562">
        <v>0</v>
      </c>
      <c r="L116" s="562">
        <v>0</v>
      </c>
      <c r="M116" s="562">
        <v>0</v>
      </c>
      <c r="N116" s="563">
        <v>0</v>
      </c>
      <c r="O116" s="563">
        <v>0</v>
      </c>
      <c r="P116" s="563">
        <v>0</v>
      </c>
      <c r="Q116" s="563">
        <v>0</v>
      </c>
      <c r="R116" s="563">
        <v>0</v>
      </c>
      <c r="S116" s="563">
        <v>0</v>
      </c>
      <c r="T116" s="408"/>
    </row>
    <row r="117" spans="1:20" x14ac:dyDescent="0.4">
      <c r="A117" s="564" t="s">
        <v>4032</v>
      </c>
      <c r="B117" s="563">
        <v>0</v>
      </c>
      <c r="C117" s="563">
        <v>0</v>
      </c>
      <c r="D117" s="563">
        <v>0</v>
      </c>
      <c r="E117" s="563">
        <v>0</v>
      </c>
      <c r="F117" s="563">
        <v>0</v>
      </c>
      <c r="G117" s="563">
        <v>0</v>
      </c>
      <c r="H117" s="563">
        <v>0</v>
      </c>
      <c r="I117" s="563">
        <v>0</v>
      </c>
      <c r="J117" s="563">
        <v>0</v>
      </c>
      <c r="K117" s="562">
        <v>0</v>
      </c>
      <c r="L117" s="562">
        <v>0</v>
      </c>
      <c r="M117" s="562">
        <v>0</v>
      </c>
      <c r="N117" s="563">
        <v>0</v>
      </c>
      <c r="O117" s="563">
        <v>0</v>
      </c>
      <c r="P117" s="563">
        <v>0</v>
      </c>
      <c r="Q117" s="563">
        <v>0</v>
      </c>
      <c r="R117" s="563">
        <v>0</v>
      </c>
      <c r="S117" s="563">
        <v>0</v>
      </c>
      <c r="T117" s="408"/>
    </row>
    <row r="118" spans="1:20" x14ac:dyDescent="0.4">
      <c r="A118" s="564" t="s">
        <v>4033</v>
      </c>
      <c r="B118" s="563">
        <v>0</v>
      </c>
      <c r="C118" s="563">
        <v>0</v>
      </c>
      <c r="D118" s="563">
        <v>0</v>
      </c>
      <c r="E118" s="563">
        <v>0</v>
      </c>
      <c r="F118" s="563">
        <v>0</v>
      </c>
      <c r="G118" s="563">
        <v>0</v>
      </c>
      <c r="H118" s="563">
        <v>0</v>
      </c>
      <c r="I118" s="563">
        <v>0</v>
      </c>
      <c r="J118" s="563">
        <v>0</v>
      </c>
      <c r="K118" s="562">
        <v>0</v>
      </c>
      <c r="L118" s="562">
        <v>0</v>
      </c>
      <c r="M118" s="562">
        <v>0</v>
      </c>
      <c r="N118" s="563">
        <v>0</v>
      </c>
      <c r="O118" s="563">
        <v>0</v>
      </c>
      <c r="P118" s="563">
        <v>0</v>
      </c>
      <c r="Q118" s="563">
        <v>0</v>
      </c>
      <c r="R118" s="563">
        <v>0</v>
      </c>
      <c r="S118" s="563">
        <v>0</v>
      </c>
      <c r="T118" s="408"/>
    </row>
    <row r="119" spans="1:20" x14ac:dyDescent="0.4">
      <c r="A119" s="534" t="s">
        <v>4034</v>
      </c>
      <c r="B119" s="563">
        <v>183379</v>
      </c>
      <c r="C119" s="563">
        <v>7213</v>
      </c>
      <c r="D119" s="563">
        <v>190592</v>
      </c>
      <c r="E119" s="563">
        <v>269082</v>
      </c>
      <c r="F119" s="563">
        <v>73260</v>
      </c>
      <c r="G119" s="563">
        <v>342342</v>
      </c>
      <c r="H119" s="563">
        <v>148226</v>
      </c>
      <c r="I119" s="563">
        <v>31993</v>
      </c>
      <c r="J119" s="563">
        <v>180219</v>
      </c>
      <c r="K119" s="562">
        <v>231461</v>
      </c>
      <c r="L119" s="562">
        <v>7002</v>
      </c>
      <c r="M119" s="562">
        <v>238463</v>
      </c>
      <c r="N119" s="563">
        <v>24452</v>
      </c>
      <c r="O119" s="563">
        <v>246</v>
      </c>
      <c r="P119" s="563">
        <v>24698</v>
      </c>
      <c r="Q119" s="563">
        <v>445382</v>
      </c>
      <c r="R119" s="563">
        <v>0</v>
      </c>
      <c r="S119" s="563">
        <v>445382</v>
      </c>
      <c r="T119" s="408"/>
    </row>
    <row r="120" spans="1:20" x14ac:dyDescent="0.4">
      <c r="A120" s="534" t="s">
        <v>4035</v>
      </c>
      <c r="B120" s="563">
        <v>0</v>
      </c>
      <c r="C120" s="563">
        <v>0</v>
      </c>
      <c r="D120" s="563">
        <v>0</v>
      </c>
      <c r="E120" s="563">
        <v>0</v>
      </c>
      <c r="F120" s="563">
        <v>0</v>
      </c>
      <c r="G120" s="563">
        <v>0</v>
      </c>
      <c r="H120" s="563">
        <v>0</v>
      </c>
      <c r="I120" s="563">
        <v>0</v>
      </c>
      <c r="J120" s="563">
        <v>0</v>
      </c>
      <c r="K120" s="562">
        <v>0</v>
      </c>
      <c r="L120" s="562">
        <v>0</v>
      </c>
      <c r="M120" s="562">
        <v>0</v>
      </c>
      <c r="N120" s="563">
        <v>0</v>
      </c>
      <c r="O120" s="563">
        <v>0</v>
      </c>
      <c r="P120" s="563">
        <v>0</v>
      </c>
      <c r="Q120" s="563">
        <v>0</v>
      </c>
      <c r="R120" s="563">
        <v>0</v>
      </c>
      <c r="S120" s="563">
        <v>0</v>
      </c>
      <c r="T120" s="408"/>
    </row>
    <row r="121" spans="1:20" x14ac:dyDescent="0.4">
      <c r="A121" s="564" t="s">
        <v>4036</v>
      </c>
      <c r="B121" s="563">
        <v>0</v>
      </c>
      <c r="C121" s="563">
        <v>0</v>
      </c>
      <c r="D121" s="563">
        <v>0</v>
      </c>
      <c r="E121" s="563">
        <v>0</v>
      </c>
      <c r="F121" s="563">
        <v>0</v>
      </c>
      <c r="G121" s="563">
        <v>0</v>
      </c>
      <c r="H121" s="563">
        <v>0</v>
      </c>
      <c r="I121" s="563">
        <v>0</v>
      </c>
      <c r="J121" s="563">
        <v>0</v>
      </c>
      <c r="K121" s="562">
        <v>0</v>
      </c>
      <c r="L121" s="562">
        <v>0</v>
      </c>
      <c r="M121" s="562">
        <v>0</v>
      </c>
      <c r="N121" s="563">
        <v>0</v>
      </c>
      <c r="O121" s="563">
        <v>0</v>
      </c>
      <c r="P121" s="563">
        <v>0</v>
      </c>
      <c r="Q121" s="563">
        <v>0</v>
      </c>
      <c r="R121" s="563">
        <v>0</v>
      </c>
      <c r="S121" s="563">
        <v>0</v>
      </c>
      <c r="T121" s="408"/>
    </row>
    <row r="122" spans="1:20" x14ac:dyDescent="0.4">
      <c r="A122" s="564" t="s">
        <v>4037</v>
      </c>
      <c r="B122" s="563">
        <v>59582</v>
      </c>
      <c r="C122" s="563">
        <v>23642</v>
      </c>
      <c r="D122" s="563">
        <v>83224</v>
      </c>
      <c r="E122" s="563">
        <v>7989</v>
      </c>
      <c r="F122" s="563">
        <v>14275</v>
      </c>
      <c r="G122" s="563">
        <v>22264</v>
      </c>
      <c r="H122" s="563">
        <v>2377</v>
      </c>
      <c r="I122" s="563">
        <v>0</v>
      </c>
      <c r="J122" s="563">
        <v>2377</v>
      </c>
      <c r="K122" s="562">
        <v>9378</v>
      </c>
      <c r="L122" s="562">
        <v>0</v>
      </c>
      <c r="M122" s="562">
        <v>9378</v>
      </c>
      <c r="N122" s="563">
        <v>0</v>
      </c>
      <c r="O122" s="563">
        <v>0</v>
      </c>
      <c r="P122" s="563">
        <v>0</v>
      </c>
      <c r="Q122" s="563">
        <v>0</v>
      </c>
      <c r="R122" s="563">
        <v>0</v>
      </c>
      <c r="S122" s="563">
        <v>0</v>
      </c>
      <c r="T122" s="408"/>
    </row>
    <row r="123" spans="1:20" x14ac:dyDescent="0.4">
      <c r="A123" s="564" t="s">
        <v>4038</v>
      </c>
      <c r="B123" s="563">
        <v>0</v>
      </c>
      <c r="C123" s="563">
        <v>0</v>
      </c>
      <c r="D123" s="563">
        <v>0</v>
      </c>
      <c r="E123" s="563">
        <v>0</v>
      </c>
      <c r="F123" s="563">
        <v>0</v>
      </c>
      <c r="G123" s="563">
        <v>0</v>
      </c>
      <c r="H123" s="563">
        <v>0</v>
      </c>
      <c r="I123" s="563">
        <v>0</v>
      </c>
      <c r="J123" s="563">
        <v>0</v>
      </c>
      <c r="K123" s="562">
        <v>0</v>
      </c>
      <c r="L123" s="562">
        <v>0</v>
      </c>
      <c r="M123" s="562">
        <v>0</v>
      </c>
      <c r="N123" s="563">
        <v>0</v>
      </c>
      <c r="O123" s="563">
        <v>0</v>
      </c>
      <c r="P123" s="563">
        <v>0</v>
      </c>
      <c r="Q123" s="563">
        <v>0</v>
      </c>
      <c r="R123" s="563">
        <v>0</v>
      </c>
      <c r="S123" s="563">
        <v>0</v>
      </c>
      <c r="T123" s="408"/>
    </row>
    <row r="124" spans="1:20" x14ac:dyDescent="0.4">
      <c r="A124" s="564" t="s">
        <v>4039</v>
      </c>
      <c r="B124" s="563">
        <v>0</v>
      </c>
      <c r="C124" s="563">
        <v>0</v>
      </c>
      <c r="D124" s="563">
        <v>0</v>
      </c>
      <c r="E124" s="563">
        <v>0</v>
      </c>
      <c r="F124" s="563">
        <v>0</v>
      </c>
      <c r="G124" s="563">
        <v>0</v>
      </c>
      <c r="H124" s="563">
        <v>0</v>
      </c>
      <c r="I124" s="563">
        <v>0</v>
      </c>
      <c r="J124" s="563">
        <v>0</v>
      </c>
      <c r="K124" s="562">
        <v>0</v>
      </c>
      <c r="L124" s="562">
        <v>0</v>
      </c>
      <c r="M124" s="562">
        <v>0</v>
      </c>
      <c r="N124" s="563">
        <v>0</v>
      </c>
      <c r="O124" s="563">
        <v>0</v>
      </c>
      <c r="P124" s="563">
        <v>0</v>
      </c>
      <c r="Q124" s="563">
        <v>0</v>
      </c>
      <c r="R124" s="563">
        <v>0</v>
      </c>
      <c r="S124" s="563">
        <v>0</v>
      </c>
      <c r="T124" s="408"/>
    </row>
    <row r="125" spans="1:20" x14ac:dyDescent="0.4">
      <c r="A125" s="564" t="s">
        <v>4040</v>
      </c>
      <c r="B125" s="563">
        <v>1320584</v>
      </c>
      <c r="C125" s="563">
        <v>0</v>
      </c>
      <c r="D125" s="563">
        <v>1320584</v>
      </c>
      <c r="E125" s="563">
        <v>7362823</v>
      </c>
      <c r="F125" s="563">
        <v>0</v>
      </c>
      <c r="G125" s="563">
        <v>7362823</v>
      </c>
      <c r="H125" s="563">
        <v>43925</v>
      </c>
      <c r="I125" s="563">
        <v>0</v>
      </c>
      <c r="J125" s="563">
        <v>43925</v>
      </c>
      <c r="K125" s="562">
        <v>86237</v>
      </c>
      <c r="L125" s="562">
        <v>0</v>
      </c>
      <c r="M125" s="562">
        <v>86237</v>
      </c>
      <c r="N125" s="563">
        <v>12054</v>
      </c>
      <c r="O125" s="563">
        <v>0</v>
      </c>
      <c r="P125" s="563">
        <v>12054</v>
      </c>
      <c r="Q125" s="563">
        <v>851458</v>
      </c>
      <c r="R125" s="563">
        <v>0</v>
      </c>
      <c r="S125" s="563">
        <v>851458</v>
      </c>
      <c r="T125" s="408"/>
    </row>
    <row r="126" spans="1:20" x14ac:dyDescent="0.4">
      <c r="A126" s="564" t="s">
        <v>4041</v>
      </c>
      <c r="B126" s="563">
        <v>0</v>
      </c>
      <c r="C126" s="563">
        <v>0</v>
      </c>
      <c r="D126" s="563">
        <v>0</v>
      </c>
      <c r="E126" s="563">
        <v>0</v>
      </c>
      <c r="F126" s="563">
        <v>0</v>
      </c>
      <c r="G126" s="563">
        <v>0</v>
      </c>
      <c r="H126" s="563">
        <v>0</v>
      </c>
      <c r="I126" s="563">
        <v>0</v>
      </c>
      <c r="J126" s="563">
        <v>0</v>
      </c>
      <c r="K126" s="562">
        <v>0</v>
      </c>
      <c r="L126" s="562">
        <v>0</v>
      </c>
      <c r="M126" s="562">
        <v>0</v>
      </c>
      <c r="N126" s="563">
        <v>0</v>
      </c>
      <c r="O126" s="563">
        <v>0</v>
      </c>
      <c r="P126" s="563">
        <v>0</v>
      </c>
      <c r="Q126" s="563">
        <v>0</v>
      </c>
      <c r="R126" s="563">
        <v>0</v>
      </c>
      <c r="S126" s="563">
        <v>0</v>
      </c>
      <c r="T126" s="408"/>
    </row>
    <row r="127" spans="1:20" x14ac:dyDescent="0.4">
      <c r="A127" s="534" t="s">
        <v>4042</v>
      </c>
      <c r="B127" s="563">
        <v>0</v>
      </c>
      <c r="C127" s="563">
        <v>3340</v>
      </c>
      <c r="D127" s="563">
        <v>3340</v>
      </c>
      <c r="E127" s="563">
        <v>0</v>
      </c>
      <c r="F127" s="563">
        <v>142956</v>
      </c>
      <c r="G127" s="563">
        <v>142956</v>
      </c>
      <c r="H127" s="563">
        <v>0</v>
      </c>
      <c r="I127" s="563">
        <v>19</v>
      </c>
      <c r="J127" s="563">
        <v>19</v>
      </c>
      <c r="K127" s="562">
        <v>0</v>
      </c>
      <c r="L127" s="562">
        <v>31894</v>
      </c>
      <c r="M127" s="562">
        <v>31894</v>
      </c>
      <c r="N127" s="563">
        <v>0</v>
      </c>
      <c r="O127" s="563">
        <v>1013</v>
      </c>
      <c r="P127" s="563">
        <v>1013</v>
      </c>
      <c r="Q127" s="563">
        <v>0</v>
      </c>
      <c r="R127" s="563">
        <v>0</v>
      </c>
      <c r="S127" s="563">
        <v>0</v>
      </c>
      <c r="T127" s="408"/>
    </row>
    <row r="128" spans="1:20" x14ac:dyDescent="0.4">
      <c r="A128" s="564" t="s">
        <v>4043</v>
      </c>
      <c r="B128" s="563">
        <v>6560</v>
      </c>
      <c r="C128" s="563">
        <v>0</v>
      </c>
      <c r="D128" s="563">
        <v>6560</v>
      </c>
      <c r="E128" s="563">
        <v>4430</v>
      </c>
      <c r="F128" s="563">
        <v>0</v>
      </c>
      <c r="G128" s="563">
        <v>4430</v>
      </c>
      <c r="H128" s="563">
        <v>82274</v>
      </c>
      <c r="I128" s="563">
        <v>0</v>
      </c>
      <c r="J128" s="563">
        <v>82274</v>
      </c>
      <c r="K128" s="562">
        <v>0</v>
      </c>
      <c r="L128" s="562">
        <v>0</v>
      </c>
      <c r="M128" s="562">
        <v>0</v>
      </c>
      <c r="N128" s="563">
        <v>0</v>
      </c>
      <c r="O128" s="563">
        <v>0</v>
      </c>
      <c r="P128" s="563">
        <v>0</v>
      </c>
      <c r="Q128" s="563">
        <v>0</v>
      </c>
      <c r="R128" s="563">
        <v>0</v>
      </c>
      <c r="S128" s="563">
        <v>0</v>
      </c>
      <c r="T128" s="408"/>
    </row>
    <row r="129" spans="1:21" x14ac:dyDescent="0.4">
      <c r="A129" s="564" t="s">
        <v>4044</v>
      </c>
      <c r="B129" s="563">
        <v>102131</v>
      </c>
      <c r="C129" s="563">
        <v>0</v>
      </c>
      <c r="D129" s="563">
        <v>102131</v>
      </c>
      <c r="E129" s="563">
        <v>272336</v>
      </c>
      <c r="F129" s="563">
        <v>14</v>
      </c>
      <c r="G129" s="563">
        <v>272350</v>
      </c>
      <c r="H129" s="563">
        <v>1473</v>
      </c>
      <c r="I129" s="563">
        <v>0</v>
      </c>
      <c r="J129" s="563">
        <v>1473</v>
      </c>
      <c r="K129" s="562">
        <v>64047</v>
      </c>
      <c r="L129" s="562">
        <v>10</v>
      </c>
      <c r="M129" s="562">
        <v>64057</v>
      </c>
      <c r="N129" s="563">
        <v>6318</v>
      </c>
      <c r="O129" s="563">
        <v>0</v>
      </c>
      <c r="P129" s="563">
        <v>6318</v>
      </c>
      <c r="Q129" s="563">
        <v>0</v>
      </c>
      <c r="R129" s="563">
        <v>0</v>
      </c>
      <c r="S129" s="563">
        <v>0</v>
      </c>
      <c r="T129" s="408"/>
    </row>
    <row r="130" spans="1:21" x14ac:dyDescent="0.4">
      <c r="A130" s="564" t="s">
        <v>4045</v>
      </c>
      <c r="B130" s="563">
        <v>18935</v>
      </c>
      <c r="C130" s="563">
        <v>0</v>
      </c>
      <c r="D130" s="563">
        <v>18935</v>
      </c>
      <c r="E130" s="563">
        <v>0</v>
      </c>
      <c r="F130" s="563">
        <v>0</v>
      </c>
      <c r="G130" s="563">
        <v>0</v>
      </c>
      <c r="H130" s="563">
        <v>8250</v>
      </c>
      <c r="I130" s="563">
        <v>0</v>
      </c>
      <c r="J130" s="563">
        <v>8250</v>
      </c>
      <c r="K130" s="562">
        <v>60031</v>
      </c>
      <c r="L130" s="562">
        <v>0</v>
      </c>
      <c r="M130" s="562">
        <v>60031</v>
      </c>
      <c r="N130" s="563">
        <v>0</v>
      </c>
      <c r="O130" s="563">
        <v>0</v>
      </c>
      <c r="P130" s="563">
        <v>0</v>
      </c>
      <c r="Q130" s="563">
        <v>0</v>
      </c>
      <c r="R130" s="563">
        <v>0</v>
      </c>
      <c r="S130" s="563">
        <v>0</v>
      </c>
      <c r="T130" s="408"/>
    </row>
    <row r="131" spans="1:21" x14ac:dyDescent="0.4">
      <c r="A131" s="566" t="s">
        <v>19</v>
      </c>
      <c r="B131" s="340">
        <v>1854854</v>
      </c>
      <c r="C131" s="340">
        <v>34195</v>
      </c>
      <c r="D131" s="340">
        <v>1889049</v>
      </c>
      <c r="E131" s="340">
        <v>7917166</v>
      </c>
      <c r="F131" s="340">
        <v>230505</v>
      </c>
      <c r="G131" s="340">
        <v>8147671</v>
      </c>
      <c r="H131" s="340">
        <v>286552</v>
      </c>
      <c r="I131" s="340">
        <v>32012</v>
      </c>
      <c r="J131" s="340">
        <v>318564</v>
      </c>
      <c r="K131" s="340">
        <v>681143</v>
      </c>
      <c r="L131" s="340">
        <v>38906</v>
      </c>
      <c r="M131" s="340">
        <v>720049</v>
      </c>
      <c r="N131" s="340">
        <v>93234</v>
      </c>
      <c r="O131" s="340">
        <v>1259</v>
      </c>
      <c r="P131" s="340">
        <v>94493</v>
      </c>
      <c r="Q131" s="340">
        <v>1296840</v>
      </c>
      <c r="R131" s="340">
        <v>0</v>
      </c>
      <c r="S131" s="340">
        <v>1296840</v>
      </c>
      <c r="T131" s="567">
        <f>D131+G131+J131+M131+P131+S131</f>
        <v>12466666</v>
      </c>
      <c r="U131" s="319"/>
    </row>
    <row r="132" spans="1:21" x14ac:dyDescent="0.4">
      <c r="A132" s="484" t="s">
        <v>11</v>
      </c>
      <c r="E132" s="319"/>
      <c r="G132" s="319"/>
    </row>
    <row r="134" spans="1:21" x14ac:dyDescent="0.4">
      <c r="A134" s="4" t="s">
        <v>4159</v>
      </c>
    </row>
    <row r="135" spans="1:21" x14ac:dyDescent="0.4">
      <c r="A135" s="336" t="s">
        <v>212</v>
      </c>
      <c r="B135" s="338" t="s">
        <v>4147</v>
      </c>
      <c r="C135" s="338" t="s">
        <v>4082</v>
      </c>
      <c r="D135" s="338" t="s">
        <v>4148</v>
      </c>
      <c r="E135" s="338" t="s">
        <v>4149</v>
      </c>
      <c r="F135" s="338" t="s">
        <v>4084</v>
      </c>
      <c r="G135" s="338" t="s">
        <v>4150</v>
      </c>
      <c r="H135" s="338" t="s">
        <v>4085</v>
      </c>
      <c r="I135" s="338" t="s">
        <v>4086</v>
      </c>
      <c r="J135" s="338" t="s">
        <v>4151</v>
      </c>
      <c r="K135" s="338" t="s">
        <v>4087</v>
      </c>
      <c r="L135" s="338" t="s">
        <v>4088</v>
      </c>
      <c r="M135" s="338" t="s">
        <v>4152</v>
      </c>
      <c r="N135" s="338" t="s">
        <v>4089</v>
      </c>
      <c r="O135" s="338" t="s">
        <v>4090</v>
      </c>
      <c r="P135" s="338" t="s">
        <v>4153</v>
      </c>
      <c r="Q135" s="338" t="s">
        <v>4091</v>
      </c>
      <c r="R135" s="338" t="s">
        <v>4092</v>
      </c>
      <c r="S135" s="338" t="s">
        <v>4154</v>
      </c>
      <c r="T135" s="322" t="s">
        <v>55</v>
      </c>
    </row>
    <row r="136" spans="1:21" x14ac:dyDescent="0.4">
      <c r="A136" s="339" t="s">
        <v>4028</v>
      </c>
      <c r="B136" s="571">
        <v>0</v>
      </c>
      <c r="C136" s="571">
        <v>0</v>
      </c>
      <c r="D136" s="571">
        <v>0</v>
      </c>
      <c r="E136" s="571">
        <v>0</v>
      </c>
      <c r="F136" s="571">
        <v>0</v>
      </c>
      <c r="G136" s="571">
        <v>0</v>
      </c>
      <c r="H136" s="571">
        <v>0</v>
      </c>
      <c r="I136" s="571">
        <v>0</v>
      </c>
      <c r="J136" s="571">
        <v>0</v>
      </c>
      <c r="K136" s="571">
        <v>0</v>
      </c>
      <c r="L136" s="571">
        <v>0</v>
      </c>
      <c r="M136" s="571">
        <v>0</v>
      </c>
      <c r="N136" s="572">
        <v>103</v>
      </c>
      <c r="O136" s="572">
        <v>0</v>
      </c>
      <c r="P136" s="572">
        <v>103</v>
      </c>
      <c r="Q136" s="571">
        <v>0</v>
      </c>
      <c r="R136" s="571">
        <v>0</v>
      </c>
      <c r="S136" s="571">
        <v>0</v>
      </c>
      <c r="T136" s="408"/>
    </row>
    <row r="137" spans="1:21" x14ac:dyDescent="0.4">
      <c r="A137" s="564" t="s">
        <v>4029</v>
      </c>
      <c r="B137" s="571">
        <v>0</v>
      </c>
      <c r="C137" s="571">
        <v>0</v>
      </c>
      <c r="D137" s="571">
        <v>0</v>
      </c>
      <c r="E137" s="571">
        <v>0</v>
      </c>
      <c r="F137" s="571">
        <v>0</v>
      </c>
      <c r="G137" s="571">
        <v>0</v>
      </c>
      <c r="H137" s="571">
        <v>0</v>
      </c>
      <c r="I137" s="571">
        <v>0</v>
      </c>
      <c r="J137" s="571">
        <v>0</v>
      </c>
      <c r="K137" s="571">
        <v>0</v>
      </c>
      <c r="L137" s="571">
        <v>0</v>
      </c>
      <c r="M137" s="571">
        <v>0</v>
      </c>
      <c r="N137" s="572">
        <v>0</v>
      </c>
      <c r="O137" s="572">
        <v>0</v>
      </c>
      <c r="P137" s="572">
        <v>0</v>
      </c>
      <c r="Q137" s="571">
        <v>0</v>
      </c>
      <c r="R137" s="571">
        <v>0</v>
      </c>
      <c r="S137" s="571">
        <v>0</v>
      </c>
      <c r="T137" s="408"/>
    </row>
    <row r="138" spans="1:21" x14ac:dyDescent="0.4">
      <c r="A138" s="564" t="s">
        <v>4030</v>
      </c>
      <c r="B138" s="571">
        <v>0</v>
      </c>
      <c r="C138" s="571">
        <v>0</v>
      </c>
      <c r="D138" s="571">
        <v>0</v>
      </c>
      <c r="E138" s="571">
        <v>0</v>
      </c>
      <c r="F138" s="571">
        <v>0</v>
      </c>
      <c r="G138" s="571">
        <v>0</v>
      </c>
      <c r="H138" s="571">
        <v>0</v>
      </c>
      <c r="I138" s="571">
        <v>0</v>
      </c>
      <c r="J138" s="571">
        <v>0</v>
      </c>
      <c r="K138" s="571">
        <v>0</v>
      </c>
      <c r="L138" s="571">
        <v>0</v>
      </c>
      <c r="M138" s="571">
        <v>0</v>
      </c>
      <c r="N138" s="572">
        <v>0</v>
      </c>
      <c r="O138" s="572">
        <v>0</v>
      </c>
      <c r="P138" s="572">
        <v>0</v>
      </c>
      <c r="Q138" s="571">
        <v>0</v>
      </c>
      <c r="R138" s="571">
        <v>0</v>
      </c>
      <c r="S138" s="571">
        <v>0</v>
      </c>
      <c r="T138" s="408"/>
    </row>
    <row r="139" spans="1:21" x14ac:dyDescent="0.4">
      <c r="A139" s="564" t="s">
        <v>4031</v>
      </c>
      <c r="B139" s="571">
        <v>0</v>
      </c>
      <c r="C139" s="571">
        <v>0</v>
      </c>
      <c r="D139" s="571">
        <v>0</v>
      </c>
      <c r="E139" s="571">
        <v>0</v>
      </c>
      <c r="F139" s="571">
        <v>0</v>
      </c>
      <c r="G139" s="571">
        <v>0</v>
      </c>
      <c r="H139" s="571">
        <v>0</v>
      </c>
      <c r="I139" s="571">
        <v>0</v>
      </c>
      <c r="J139" s="571">
        <v>0</v>
      </c>
      <c r="K139" s="571">
        <v>0</v>
      </c>
      <c r="L139" s="571">
        <v>0</v>
      </c>
      <c r="M139" s="571">
        <v>0</v>
      </c>
      <c r="N139" s="572">
        <v>0</v>
      </c>
      <c r="O139" s="572">
        <v>0</v>
      </c>
      <c r="P139" s="572">
        <v>0</v>
      </c>
      <c r="Q139" s="571">
        <v>0</v>
      </c>
      <c r="R139" s="571">
        <v>0</v>
      </c>
      <c r="S139" s="571">
        <v>0</v>
      </c>
      <c r="T139" s="408"/>
    </row>
    <row r="140" spans="1:21" x14ac:dyDescent="0.4">
      <c r="A140" s="564" t="s">
        <v>4032</v>
      </c>
      <c r="B140" s="571">
        <v>0</v>
      </c>
      <c r="C140" s="571">
        <v>0</v>
      </c>
      <c r="D140" s="571">
        <v>0</v>
      </c>
      <c r="E140" s="571">
        <v>0</v>
      </c>
      <c r="F140" s="571">
        <v>0</v>
      </c>
      <c r="G140" s="571">
        <v>0</v>
      </c>
      <c r="H140" s="571">
        <v>0</v>
      </c>
      <c r="I140" s="571">
        <v>0</v>
      </c>
      <c r="J140" s="571">
        <v>0</v>
      </c>
      <c r="K140" s="571">
        <v>0</v>
      </c>
      <c r="L140" s="571">
        <v>0</v>
      </c>
      <c r="M140" s="571">
        <v>0</v>
      </c>
      <c r="N140" s="572">
        <v>0</v>
      </c>
      <c r="O140" s="572">
        <v>0</v>
      </c>
      <c r="P140" s="572">
        <v>0</v>
      </c>
      <c r="Q140" s="571">
        <v>0</v>
      </c>
      <c r="R140" s="571">
        <v>0</v>
      </c>
      <c r="S140" s="571">
        <v>0</v>
      </c>
      <c r="T140" s="408"/>
    </row>
    <row r="141" spans="1:21" x14ac:dyDescent="0.4">
      <c r="A141" s="564" t="s">
        <v>4033</v>
      </c>
      <c r="B141" s="571">
        <v>0</v>
      </c>
      <c r="C141" s="571">
        <v>0</v>
      </c>
      <c r="D141" s="571">
        <v>0</v>
      </c>
      <c r="E141" s="571">
        <v>0</v>
      </c>
      <c r="F141" s="571">
        <v>0</v>
      </c>
      <c r="G141" s="571">
        <v>0</v>
      </c>
      <c r="H141" s="571">
        <v>0</v>
      </c>
      <c r="I141" s="571">
        <v>0</v>
      </c>
      <c r="J141" s="571">
        <v>0</v>
      </c>
      <c r="K141" s="571">
        <v>0</v>
      </c>
      <c r="L141" s="571">
        <v>0</v>
      </c>
      <c r="M141" s="571">
        <v>0</v>
      </c>
      <c r="N141" s="572">
        <v>0</v>
      </c>
      <c r="O141" s="572">
        <v>0</v>
      </c>
      <c r="P141" s="572">
        <v>0</v>
      </c>
      <c r="Q141" s="571">
        <v>0</v>
      </c>
      <c r="R141" s="571">
        <v>0</v>
      </c>
      <c r="S141" s="571">
        <v>0</v>
      </c>
      <c r="T141" s="408"/>
    </row>
    <row r="142" spans="1:21" x14ac:dyDescent="0.4">
      <c r="A142" s="534" t="s">
        <v>4034</v>
      </c>
      <c r="B142" s="571">
        <v>2668</v>
      </c>
      <c r="C142" s="571">
        <v>0</v>
      </c>
      <c r="D142" s="571">
        <v>2668</v>
      </c>
      <c r="E142" s="571">
        <v>2427</v>
      </c>
      <c r="F142" s="571">
        <v>0</v>
      </c>
      <c r="G142" s="571">
        <v>2427</v>
      </c>
      <c r="H142" s="571">
        <v>0</v>
      </c>
      <c r="I142" s="571">
        <v>0</v>
      </c>
      <c r="J142" s="571">
        <v>0</v>
      </c>
      <c r="K142" s="571">
        <v>0</v>
      </c>
      <c r="L142" s="571">
        <v>0</v>
      </c>
      <c r="M142" s="571">
        <v>0</v>
      </c>
      <c r="N142" s="572">
        <v>1631</v>
      </c>
      <c r="O142" s="572">
        <v>0</v>
      </c>
      <c r="P142" s="572">
        <v>1631</v>
      </c>
      <c r="Q142" s="571">
        <v>0</v>
      </c>
      <c r="R142" s="571">
        <v>0</v>
      </c>
      <c r="S142" s="571">
        <v>0</v>
      </c>
      <c r="T142" s="408"/>
    </row>
    <row r="143" spans="1:21" x14ac:dyDescent="0.4">
      <c r="A143" s="534" t="s">
        <v>4035</v>
      </c>
      <c r="B143" s="571">
        <v>0</v>
      </c>
      <c r="C143" s="571">
        <v>0</v>
      </c>
      <c r="D143" s="571">
        <v>0</v>
      </c>
      <c r="E143" s="571">
        <v>0</v>
      </c>
      <c r="F143" s="571">
        <v>0</v>
      </c>
      <c r="G143" s="571">
        <v>0</v>
      </c>
      <c r="H143" s="571">
        <v>0</v>
      </c>
      <c r="I143" s="571">
        <v>0</v>
      </c>
      <c r="J143" s="571">
        <v>0</v>
      </c>
      <c r="K143" s="571">
        <v>0</v>
      </c>
      <c r="L143" s="571">
        <v>0</v>
      </c>
      <c r="M143" s="571">
        <v>0</v>
      </c>
      <c r="N143" s="572">
        <v>0</v>
      </c>
      <c r="O143" s="572">
        <v>0</v>
      </c>
      <c r="P143" s="572">
        <v>0</v>
      </c>
      <c r="Q143" s="571">
        <v>0</v>
      </c>
      <c r="R143" s="571">
        <v>0</v>
      </c>
      <c r="S143" s="571">
        <v>0</v>
      </c>
      <c r="T143" s="408"/>
    </row>
    <row r="144" spans="1:21" x14ac:dyDescent="0.4">
      <c r="A144" s="564" t="s">
        <v>4036</v>
      </c>
      <c r="B144" s="571">
        <v>0</v>
      </c>
      <c r="C144" s="571">
        <v>0</v>
      </c>
      <c r="D144" s="571">
        <v>0</v>
      </c>
      <c r="E144" s="571">
        <v>0</v>
      </c>
      <c r="F144" s="571">
        <v>0</v>
      </c>
      <c r="G144" s="571">
        <v>0</v>
      </c>
      <c r="H144" s="571">
        <v>0</v>
      </c>
      <c r="I144" s="571">
        <v>0</v>
      </c>
      <c r="J144" s="571">
        <v>0</v>
      </c>
      <c r="K144" s="571">
        <v>0</v>
      </c>
      <c r="L144" s="571">
        <v>0</v>
      </c>
      <c r="M144" s="571">
        <v>0</v>
      </c>
      <c r="N144" s="572">
        <v>0</v>
      </c>
      <c r="O144" s="572">
        <v>0</v>
      </c>
      <c r="P144" s="572">
        <v>0</v>
      </c>
      <c r="Q144" s="571">
        <v>0</v>
      </c>
      <c r="R144" s="571">
        <v>0</v>
      </c>
      <c r="S144" s="571">
        <v>0</v>
      </c>
      <c r="T144" s="408"/>
    </row>
    <row r="145" spans="1:21" x14ac:dyDescent="0.4">
      <c r="A145" s="564" t="s">
        <v>4037</v>
      </c>
      <c r="B145" s="571">
        <v>942</v>
      </c>
      <c r="C145" s="571">
        <v>0</v>
      </c>
      <c r="D145" s="571">
        <v>942</v>
      </c>
      <c r="E145" s="571">
        <v>521</v>
      </c>
      <c r="F145" s="571">
        <v>0</v>
      </c>
      <c r="G145" s="571">
        <v>521</v>
      </c>
      <c r="H145" s="571">
        <v>0</v>
      </c>
      <c r="I145" s="571">
        <v>0</v>
      </c>
      <c r="J145" s="571">
        <v>0</v>
      </c>
      <c r="K145" s="571">
        <v>0</v>
      </c>
      <c r="L145" s="571">
        <v>0</v>
      </c>
      <c r="M145" s="571">
        <v>0</v>
      </c>
      <c r="N145" s="572">
        <v>195116</v>
      </c>
      <c r="O145" s="572">
        <v>0</v>
      </c>
      <c r="P145" s="572">
        <v>195116</v>
      </c>
      <c r="Q145" s="571">
        <v>0</v>
      </c>
      <c r="R145" s="571">
        <v>0</v>
      </c>
      <c r="S145" s="571">
        <v>0</v>
      </c>
      <c r="T145" s="408"/>
    </row>
    <row r="146" spans="1:21" x14ac:dyDescent="0.4">
      <c r="A146" s="564" t="s">
        <v>4038</v>
      </c>
      <c r="B146" s="571">
        <v>0</v>
      </c>
      <c r="C146" s="571">
        <v>0</v>
      </c>
      <c r="D146" s="571">
        <v>0</v>
      </c>
      <c r="E146" s="571">
        <v>0</v>
      </c>
      <c r="F146" s="571">
        <v>0</v>
      </c>
      <c r="G146" s="571">
        <v>0</v>
      </c>
      <c r="H146" s="571">
        <v>0</v>
      </c>
      <c r="I146" s="571">
        <v>0</v>
      </c>
      <c r="J146" s="571">
        <v>0</v>
      </c>
      <c r="K146" s="571">
        <v>0</v>
      </c>
      <c r="L146" s="571">
        <v>0</v>
      </c>
      <c r="M146" s="571">
        <v>0</v>
      </c>
      <c r="N146" s="572">
        <v>0</v>
      </c>
      <c r="O146" s="572">
        <v>0</v>
      </c>
      <c r="P146" s="572">
        <v>0</v>
      </c>
      <c r="Q146" s="571">
        <v>0</v>
      </c>
      <c r="R146" s="571">
        <v>0</v>
      </c>
      <c r="S146" s="571">
        <v>0</v>
      </c>
      <c r="T146" s="408"/>
    </row>
    <row r="147" spans="1:21" x14ac:dyDescent="0.4">
      <c r="A147" s="564" t="s">
        <v>4039</v>
      </c>
      <c r="B147" s="571">
        <v>0</v>
      </c>
      <c r="C147" s="571">
        <v>0</v>
      </c>
      <c r="D147" s="571">
        <v>0</v>
      </c>
      <c r="E147" s="571">
        <v>0</v>
      </c>
      <c r="F147" s="571">
        <v>0</v>
      </c>
      <c r="G147" s="571">
        <v>0</v>
      </c>
      <c r="H147" s="571">
        <v>0</v>
      </c>
      <c r="I147" s="571">
        <v>0</v>
      </c>
      <c r="J147" s="571">
        <v>0</v>
      </c>
      <c r="K147" s="571">
        <v>0</v>
      </c>
      <c r="L147" s="571">
        <v>0</v>
      </c>
      <c r="M147" s="571">
        <v>0</v>
      </c>
      <c r="N147" s="572">
        <v>0</v>
      </c>
      <c r="O147" s="572">
        <v>0</v>
      </c>
      <c r="P147" s="572">
        <v>0</v>
      </c>
      <c r="Q147" s="571">
        <v>0</v>
      </c>
      <c r="R147" s="571">
        <v>0</v>
      </c>
      <c r="S147" s="571">
        <v>0</v>
      </c>
      <c r="T147" s="408"/>
    </row>
    <row r="148" spans="1:21" x14ac:dyDescent="0.4">
      <c r="A148" s="564" t="s">
        <v>4040</v>
      </c>
      <c r="B148" s="571">
        <v>0</v>
      </c>
      <c r="C148" s="571">
        <v>0</v>
      </c>
      <c r="D148" s="571">
        <v>0</v>
      </c>
      <c r="E148" s="571">
        <v>0</v>
      </c>
      <c r="F148" s="571">
        <v>0</v>
      </c>
      <c r="G148" s="571">
        <v>0</v>
      </c>
      <c r="H148" s="571">
        <v>0</v>
      </c>
      <c r="I148" s="571">
        <v>0</v>
      </c>
      <c r="J148" s="571">
        <v>0</v>
      </c>
      <c r="K148" s="571">
        <v>0</v>
      </c>
      <c r="L148" s="571">
        <v>0</v>
      </c>
      <c r="M148" s="571">
        <v>0</v>
      </c>
      <c r="N148" s="572">
        <v>0</v>
      </c>
      <c r="O148" s="572">
        <v>0</v>
      </c>
      <c r="P148" s="572">
        <v>0</v>
      </c>
      <c r="Q148" s="571">
        <v>0</v>
      </c>
      <c r="R148" s="571">
        <v>0</v>
      </c>
      <c r="S148" s="571">
        <v>0</v>
      </c>
      <c r="T148" s="408"/>
    </row>
    <row r="149" spans="1:21" x14ac:dyDescent="0.4">
      <c r="A149" s="564" t="s">
        <v>4041</v>
      </c>
      <c r="B149" s="571">
        <v>0</v>
      </c>
      <c r="C149" s="571">
        <v>0</v>
      </c>
      <c r="D149" s="571">
        <v>0</v>
      </c>
      <c r="E149" s="571">
        <v>0</v>
      </c>
      <c r="F149" s="571">
        <v>0</v>
      </c>
      <c r="G149" s="571">
        <v>0</v>
      </c>
      <c r="H149" s="571">
        <v>0</v>
      </c>
      <c r="I149" s="571">
        <v>0</v>
      </c>
      <c r="J149" s="571">
        <v>0</v>
      </c>
      <c r="K149" s="571">
        <v>0</v>
      </c>
      <c r="L149" s="571">
        <v>0</v>
      </c>
      <c r="M149" s="571">
        <v>0</v>
      </c>
      <c r="N149" s="572">
        <v>0</v>
      </c>
      <c r="O149" s="572">
        <v>0</v>
      </c>
      <c r="P149" s="572">
        <v>0</v>
      </c>
      <c r="Q149" s="571">
        <v>0</v>
      </c>
      <c r="R149" s="571">
        <v>0</v>
      </c>
      <c r="S149" s="571">
        <v>0</v>
      </c>
      <c r="T149" s="408"/>
    </row>
    <row r="150" spans="1:21" x14ac:dyDescent="0.4">
      <c r="A150" s="534" t="s">
        <v>4042</v>
      </c>
      <c r="B150" s="571">
        <v>37672</v>
      </c>
      <c r="C150" s="571">
        <v>26224</v>
      </c>
      <c r="D150" s="571">
        <v>63896</v>
      </c>
      <c r="E150" s="571">
        <v>89167</v>
      </c>
      <c r="F150" s="571">
        <v>108710</v>
      </c>
      <c r="G150" s="571">
        <v>197877</v>
      </c>
      <c r="H150" s="571">
        <v>0</v>
      </c>
      <c r="I150" s="571">
        <v>0</v>
      </c>
      <c r="J150" s="571">
        <v>0</v>
      </c>
      <c r="K150" s="571">
        <v>0</v>
      </c>
      <c r="L150" s="571">
        <v>1</v>
      </c>
      <c r="M150" s="571">
        <v>1</v>
      </c>
      <c r="N150" s="572">
        <v>331177</v>
      </c>
      <c r="O150" s="572">
        <v>174568</v>
      </c>
      <c r="P150" s="572">
        <v>505745</v>
      </c>
      <c r="Q150" s="571">
        <v>0</v>
      </c>
      <c r="R150" s="571">
        <v>0</v>
      </c>
      <c r="S150" s="571">
        <v>0</v>
      </c>
      <c r="T150" s="408"/>
    </row>
    <row r="151" spans="1:21" x14ac:dyDescent="0.4">
      <c r="A151" s="564" t="s">
        <v>4043</v>
      </c>
      <c r="B151" s="571">
        <v>0</v>
      </c>
      <c r="C151" s="571">
        <v>0</v>
      </c>
      <c r="D151" s="571">
        <v>0</v>
      </c>
      <c r="E151" s="571">
        <v>0</v>
      </c>
      <c r="F151" s="571">
        <v>0</v>
      </c>
      <c r="G151" s="571">
        <v>0</v>
      </c>
      <c r="H151" s="571">
        <v>0</v>
      </c>
      <c r="I151" s="571">
        <v>0</v>
      </c>
      <c r="J151" s="571">
        <v>0</v>
      </c>
      <c r="K151" s="571">
        <v>0</v>
      </c>
      <c r="L151" s="571">
        <v>0</v>
      </c>
      <c r="M151" s="571">
        <v>0</v>
      </c>
      <c r="N151" s="572">
        <v>0</v>
      </c>
      <c r="O151" s="572">
        <v>0</v>
      </c>
      <c r="P151" s="572">
        <v>0</v>
      </c>
      <c r="Q151" s="571">
        <v>0</v>
      </c>
      <c r="R151" s="571">
        <v>0</v>
      </c>
      <c r="S151" s="571">
        <v>0</v>
      </c>
      <c r="T151" s="408"/>
    </row>
    <row r="152" spans="1:21" x14ac:dyDescent="0.4">
      <c r="A152" s="564" t="s">
        <v>4044</v>
      </c>
      <c r="B152" s="571">
        <v>2579</v>
      </c>
      <c r="C152" s="571">
        <v>2106</v>
      </c>
      <c r="D152" s="571">
        <v>4685</v>
      </c>
      <c r="E152" s="571">
        <v>10857</v>
      </c>
      <c r="F152" s="571">
        <v>732</v>
      </c>
      <c r="G152" s="571">
        <v>11589</v>
      </c>
      <c r="H152" s="571">
        <v>0</v>
      </c>
      <c r="I152" s="571">
        <v>0</v>
      </c>
      <c r="J152" s="571">
        <v>0</v>
      </c>
      <c r="K152" s="571">
        <v>0</v>
      </c>
      <c r="L152" s="571">
        <v>0</v>
      </c>
      <c r="M152" s="571">
        <v>0</v>
      </c>
      <c r="N152" s="572">
        <v>152780</v>
      </c>
      <c r="O152" s="572">
        <v>7873</v>
      </c>
      <c r="P152" s="572">
        <v>160653</v>
      </c>
      <c r="Q152" s="571">
        <v>0</v>
      </c>
      <c r="R152" s="571">
        <v>0</v>
      </c>
      <c r="S152" s="571">
        <v>0</v>
      </c>
      <c r="T152" s="408"/>
    </row>
    <row r="153" spans="1:21" x14ac:dyDescent="0.4">
      <c r="A153" s="564" t="s">
        <v>4045</v>
      </c>
      <c r="B153" s="571">
        <v>0</v>
      </c>
      <c r="C153" s="571">
        <v>0</v>
      </c>
      <c r="D153" s="571">
        <v>0</v>
      </c>
      <c r="E153" s="571">
        <v>0</v>
      </c>
      <c r="F153" s="571">
        <v>0</v>
      </c>
      <c r="G153" s="571">
        <v>0</v>
      </c>
      <c r="H153" s="571">
        <v>0</v>
      </c>
      <c r="I153" s="571">
        <v>0</v>
      </c>
      <c r="J153" s="571">
        <v>0</v>
      </c>
      <c r="K153" s="571">
        <v>0</v>
      </c>
      <c r="L153" s="571">
        <v>0</v>
      </c>
      <c r="M153" s="571">
        <v>0</v>
      </c>
      <c r="N153" s="572">
        <v>0</v>
      </c>
      <c r="O153" s="572">
        <v>0</v>
      </c>
      <c r="P153" s="572">
        <v>0</v>
      </c>
      <c r="Q153" s="571">
        <v>0</v>
      </c>
      <c r="R153" s="571">
        <v>0</v>
      </c>
      <c r="S153" s="571">
        <v>0</v>
      </c>
      <c r="T153" s="408"/>
    </row>
    <row r="154" spans="1:21" x14ac:dyDescent="0.4">
      <c r="A154" s="566" t="s">
        <v>19</v>
      </c>
      <c r="B154" s="573">
        <v>43861</v>
      </c>
      <c r="C154" s="574">
        <v>28330</v>
      </c>
      <c r="D154" s="575">
        <v>72191</v>
      </c>
      <c r="E154" s="573">
        <v>102972</v>
      </c>
      <c r="F154" s="574">
        <v>109442</v>
      </c>
      <c r="G154" s="575">
        <v>212414</v>
      </c>
      <c r="H154" s="573">
        <v>0</v>
      </c>
      <c r="I154" s="574">
        <v>0</v>
      </c>
      <c r="J154" s="575">
        <v>0</v>
      </c>
      <c r="K154" s="573">
        <v>0</v>
      </c>
      <c r="L154" s="574">
        <v>1</v>
      </c>
      <c r="M154" s="575">
        <v>1</v>
      </c>
      <c r="N154" s="576">
        <v>680807</v>
      </c>
      <c r="O154" s="577">
        <v>182441</v>
      </c>
      <c r="P154" s="578">
        <v>863248</v>
      </c>
      <c r="Q154" s="573">
        <v>0</v>
      </c>
      <c r="R154" s="574">
        <v>0</v>
      </c>
      <c r="S154" s="575">
        <v>0</v>
      </c>
      <c r="T154" s="567">
        <f>D154+G154+J154+M154+P154+S154</f>
        <v>1147854</v>
      </c>
      <c r="U154" s="319"/>
    </row>
    <row r="155" spans="1:21" x14ac:dyDescent="0.4">
      <c r="A155" s="484" t="s">
        <v>11</v>
      </c>
    </row>
    <row r="157" spans="1:21" x14ac:dyDescent="0.4">
      <c r="A157" s="4" t="s">
        <v>4160</v>
      </c>
    </row>
    <row r="158" spans="1:21" x14ac:dyDescent="0.4">
      <c r="A158" s="336" t="s">
        <v>212</v>
      </c>
      <c r="B158" s="338" t="s">
        <v>4147</v>
      </c>
      <c r="C158" s="338" t="s">
        <v>4082</v>
      </c>
      <c r="D158" s="338" t="s">
        <v>4148</v>
      </c>
      <c r="E158" s="338" t="s">
        <v>4149</v>
      </c>
      <c r="F158" s="338" t="s">
        <v>4084</v>
      </c>
      <c r="G158" s="338" t="s">
        <v>4150</v>
      </c>
      <c r="H158" s="338" t="s">
        <v>4085</v>
      </c>
      <c r="I158" s="338" t="s">
        <v>4086</v>
      </c>
      <c r="J158" s="338" t="s">
        <v>4151</v>
      </c>
      <c r="K158" s="338" t="s">
        <v>4087</v>
      </c>
      <c r="L158" s="338" t="s">
        <v>4088</v>
      </c>
      <c r="M158" s="338" t="s">
        <v>4152</v>
      </c>
      <c r="N158" s="338" t="s">
        <v>4089</v>
      </c>
      <c r="O158" s="338" t="s">
        <v>4090</v>
      </c>
      <c r="P158" s="338" t="s">
        <v>4153</v>
      </c>
      <c r="Q158" s="338" t="s">
        <v>4091</v>
      </c>
      <c r="R158" s="338" t="s">
        <v>4092</v>
      </c>
      <c r="S158" s="338" t="s">
        <v>4154</v>
      </c>
      <c r="T158" s="322" t="s">
        <v>55</v>
      </c>
    </row>
    <row r="159" spans="1:21" x14ac:dyDescent="0.4">
      <c r="A159" s="534" t="s">
        <v>4028</v>
      </c>
      <c r="B159" s="563">
        <v>0</v>
      </c>
      <c r="C159" s="563">
        <v>0</v>
      </c>
      <c r="D159" s="563">
        <v>0</v>
      </c>
      <c r="E159" s="563">
        <v>0</v>
      </c>
      <c r="F159" s="563">
        <v>0</v>
      </c>
      <c r="G159" s="563">
        <v>0</v>
      </c>
      <c r="H159" s="563">
        <v>0</v>
      </c>
      <c r="I159" s="563">
        <v>0</v>
      </c>
      <c r="J159" s="563">
        <v>0</v>
      </c>
      <c r="K159" s="563">
        <v>0</v>
      </c>
      <c r="L159" s="563">
        <v>0</v>
      </c>
      <c r="M159" s="563">
        <v>0</v>
      </c>
      <c r="N159" s="563">
        <v>0</v>
      </c>
      <c r="O159" s="563">
        <v>0</v>
      </c>
      <c r="P159" s="563">
        <v>0</v>
      </c>
      <c r="Q159" s="562">
        <v>0</v>
      </c>
      <c r="R159" s="562">
        <v>0</v>
      </c>
      <c r="S159" s="562">
        <v>0</v>
      </c>
      <c r="T159" s="408"/>
    </row>
    <row r="160" spans="1:21" x14ac:dyDescent="0.4">
      <c r="A160" s="564" t="s">
        <v>4029</v>
      </c>
      <c r="B160" s="563">
        <v>141303</v>
      </c>
      <c r="C160" s="563">
        <v>0</v>
      </c>
      <c r="D160" s="563">
        <v>141303</v>
      </c>
      <c r="E160" s="563">
        <v>0</v>
      </c>
      <c r="F160" s="563">
        <v>0</v>
      </c>
      <c r="G160" s="563">
        <v>0</v>
      </c>
      <c r="H160" s="563">
        <v>0</v>
      </c>
      <c r="I160" s="563">
        <v>0</v>
      </c>
      <c r="J160" s="563">
        <v>0</v>
      </c>
      <c r="K160" s="563">
        <v>0</v>
      </c>
      <c r="L160" s="563">
        <v>0</v>
      </c>
      <c r="M160" s="563">
        <v>0</v>
      </c>
      <c r="N160" s="563">
        <v>0</v>
      </c>
      <c r="O160" s="563">
        <v>688</v>
      </c>
      <c r="P160" s="563">
        <v>688</v>
      </c>
      <c r="Q160" s="562">
        <v>0</v>
      </c>
      <c r="R160" s="562">
        <v>0</v>
      </c>
      <c r="S160" s="562">
        <v>0</v>
      </c>
      <c r="T160" s="408"/>
    </row>
    <row r="161" spans="1:20" x14ac:dyDescent="0.4">
      <c r="A161" s="564" t="s">
        <v>4030</v>
      </c>
      <c r="B161" s="563">
        <v>0</v>
      </c>
      <c r="C161" s="563">
        <v>0</v>
      </c>
      <c r="D161" s="563">
        <v>0</v>
      </c>
      <c r="E161" s="563">
        <v>0</v>
      </c>
      <c r="F161" s="563">
        <v>0</v>
      </c>
      <c r="G161" s="563">
        <v>0</v>
      </c>
      <c r="H161" s="563">
        <v>0</v>
      </c>
      <c r="I161" s="563">
        <v>0</v>
      </c>
      <c r="J161" s="563">
        <v>0</v>
      </c>
      <c r="K161" s="563">
        <v>0</v>
      </c>
      <c r="L161" s="563">
        <v>0</v>
      </c>
      <c r="M161" s="563">
        <v>0</v>
      </c>
      <c r="N161" s="563">
        <v>0</v>
      </c>
      <c r="O161" s="563">
        <v>0</v>
      </c>
      <c r="P161" s="563">
        <v>0</v>
      </c>
      <c r="Q161" s="562">
        <v>0</v>
      </c>
      <c r="R161" s="562">
        <v>0</v>
      </c>
      <c r="S161" s="562">
        <v>0</v>
      </c>
      <c r="T161" s="408"/>
    </row>
    <row r="162" spans="1:20" x14ac:dyDescent="0.4">
      <c r="A162" s="564" t="s">
        <v>4031</v>
      </c>
      <c r="B162" s="563">
        <v>0</v>
      </c>
      <c r="C162" s="563">
        <v>0</v>
      </c>
      <c r="D162" s="563">
        <v>0</v>
      </c>
      <c r="E162" s="563">
        <v>0</v>
      </c>
      <c r="F162" s="563">
        <v>0</v>
      </c>
      <c r="G162" s="563">
        <v>0</v>
      </c>
      <c r="H162" s="563">
        <v>0</v>
      </c>
      <c r="I162" s="563">
        <v>0</v>
      </c>
      <c r="J162" s="563">
        <v>0</v>
      </c>
      <c r="K162" s="563">
        <v>0</v>
      </c>
      <c r="L162" s="563">
        <v>0</v>
      </c>
      <c r="M162" s="563">
        <v>0</v>
      </c>
      <c r="N162" s="563">
        <v>0</v>
      </c>
      <c r="O162" s="563">
        <v>0</v>
      </c>
      <c r="P162" s="563">
        <v>0</v>
      </c>
      <c r="Q162" s="562">
        <v>0</v>
      </c>
      <c r="R162" s="562">
        <v>0</v>
      </c>
      <c r="S162" s="562">
        <v>0</v>
      </c>
      <c r="T162" s="408"/>
    </row>
    <row r="163" spans="1:20" x14ac:dyDescent="0.4">
      <c r="A163" s="564" t="s">
        <v>4032</v>
      </c>
      <c r="B163" s="563">
        <v>0</v>
      </c>
      <c r="C163" s="563">
        <v>5266</v>
      </c>
      <c r="D163" s="563">
        <v>5266</v>
      </c>
      <c r="E163" s="563">
        <v>248</v>
      </c>
      <c r="F163" s="563">
        <v>1537</v>
      </c>
      <c r="G163" s="563">
        <v>1785</v>
      </c>
      <c r="H163" s="563">
        <v>0</v>
      </c>
      <c r="I163" s="563">
        <v>0</v>
      </c>
      <c r="J163" s="563">
        <v>0</v>
      </c>
      <c r="K163" s="563">
        <v>0</v>
      </c>
      <c r="L163" s="563">
        <v>4073</v>
      </c>
      <c r="M163" s="563">
        <v>4073</v>
      </c>
      <c r="N163" s="563">
        <v>0</v>
      </c>
      <c r="O163" s="563">
        <v>159</v>
      </c>
      <c r="P163" s="563">
        <v>159</v>
      </c>
      <c r="Q163" s="562">
        <v>2601</v>
      </c>
      <c r="R163" s="562">
        <v>4158</v>
      </c>
      <c r="S163" s="562">
        <v>6759</v>
      </c>
      <c r="T163" s="408"/>
    </row>
    <row r="164" spans="1:20" x14ac:dyDescent="0.4">
      <c r="A164" s="564" t="s">
        <v>4033</v>
      </c>
      <c r="B164" s="563">
        <v>0</v>
      </c>
      <c r="C164" s="563">
        <v>0</v>
      </c>
      <c r="D164" s="563">
        <v>0</v>
      </c>
      <c r="E164" s="563">
        <v>0</v>
      </c>
      <c r="F164" s="563">
        <v>0</v>
      </c>
      <c r="G164" s="563">
        <v>0</v>
      </c>
      <c r="H164" s="563">
        <v>0</v>
      </c>
      <c r="I164" s="563">
        <v>0</v>
      </c>
      <c r="J164" s="563">
        <v>0</v>
      </c>
      <c r="K164" s="563">
        <v>0</v>
      </c>
      <c r="L164" s="563">
        <v>0</v>
      </c>
      <c r="M164" s="563">
        <v>0</v>
      </c>
      <c r="N164" s="563">
        <v>0</v>
      </c>
      <c r="O164" s="563">
        <v>0</v>
      </c>
      <c r="P164" s="563">
        <v>0</v>
      </c>
      <c r="Q164" s="562">
        <v>0</v>
      </c>
      <c r="R164" s="562">
        <v>0</v>
      </c>
      <c r="S164" s="562">
        <v>0</v>
      </c>
      <c r="T164" s="408"/>
    </row>
    <row r="165" spans="1:20" x14ac:dyDescent="0.4">
      <c r="A165" s="534" t="s">
        <v>4034</v>
      </c>
      <c r="B165" s="563">
        <v>20989</v>
      </c>
      <c r="C165" s="563">
        <v>20196</v>
      </c>
      <c r="D165" s="563">
        <v>41185</v>
      </c>
      <c r="E165" s="563">
        <v>237637</v>
      </c>
      <c r="F165" s="563">
        <v>57885</v>
      </c>
      <c r="G165" s="563">
        <v>295522</v>
      </c>
      <c r="H165" s="563">
        <v>161118</v>
      </c>
      <c r="I165" s="563">
        <v>0</v>
      </c>
      <c r="J165" s="563">
        <v>161118</v>
      </c>
      <c r="K165" s="563">
        <v>49643</v>
      </c>
      <c r="L165" s="563">
        <v>1246</v>
      </c>
      <c r="M165" s="563">
        <v>50889</v>
      </c>
      <c r="N165" s="563">
        <v>1024</v>
      </c>
      <c r="O165" s="563">
        <v>14049</v>
      </c>
      <c r="P165" s="563">
        <v>15073</v>
      </c>
      <c r="Q165" s="562">
        <v>623644</v>
      </c>
      <c r="R165" s="562">
        <v>115322</v>
      </c>
      <c r="S165" s="562">
        <v>738966</v>
      </c>
      <c r="T165" s="408"/>
    </row>
    <row r="166" spans="1:20" x14ac:dyDescent="0.4">
      <c r="A166" s="534" t="s">
        <v>4035</v>
      </c>
      <c r="B166" s="563">
        <v>0</v>
      </c>
      <c r="C166" s="563">
        <v>0</v>
      </c>
      <c r="D166" s="563">
        <v>0</v>
      </c>
      <c r="E166" s="563">
        <v>0</v>
      </c>
      <c r="F166" s="563">
        <v>0</v>
      </c>
      <c r="G166" s="563">
        <v>0</v>
      </c>
      <c r="H166" s="563">
        <v>0</v>
      </c>
      <c r="I166" s="563">
        <v>0</v>
      </c>
      <c r="J166" s="563">
        <v>0</v>
      </c>
      <c r="K166" s="563">
        <v>0</v>
      </c>
      <c r="L166" s="563">
        <v>0</v>
      </c>
      <c r="M166" s="563">
        <v>0</v>
      </c>
      <c r="N166" s="563">
        <v>0</v>
      </c>
      <c r="O166" s="563">
        <v>0</v>
      </c>
      <c r="P166" s="563">
        <v>0</v>
      </c>
      <c r="Q166" s="562">
        <v>0</v>
      </c>
      <c r="R166" s="562">
        <v>0</v>
      </c>
      <c r="S166" s="562">
        <v>0</v>
      </c>
      <c r="T166" s="408"/>
    </row>
    <row r="167" spans="1:20" x14ac:dyDescent="0.4">
      <c r="A167" s="564" t="s">
        <v>4036</v>
      </c>
      <c r="B167" s="563">
        <v>0</v>
      </c>
      <c r="C167" s="563">
        <v>0</v>
      </c>
      <c r="D167" s="563">
        <v>0</v>
      </c>
      <c r="E167" s="563">
        <v>0</v>
      </c>
      <c r="F167" s="563">
        <v>0</v>
      </c>
      <c r="G167" s="563">
        <v>0</v>
      </c>
      <c r="H167" s="563">
        <v>0</v>
      </c>
      <c r="I167" s="563">
        <v>0</v>
      </c>
      <c r="J167" s="563">
        <v>0</v>
      </c>
      <c r="K167" s="563">
        <v>0</v>
      </c>
      <c r="L167" s="563">
        <v>0</v>
      </c>
      <c r="M167" s="563">
        <v>0</v>
      </c>
      <c r="N167" s="563">
        <v>0</v>
      </c>
      <c r="O167" s="563">
        <v>0</v>
      </c>
      <c r="P167" s="563">
        <v>0</v>
      </c>
      <c r="Q167" s="562">
        <v>0</v>
      </c>
      <c r="R167" s="562">
        <v>0</v>
      </c>
      <c r="S167" s="562">
        <v>0</v>
      </c>
      <c r="T167" s="408"/>
    </row>
    <row r="168" spans="1:20" x14ac:dyDescent="0.4">
      <c r="A168" s="564" t="s">
        <v>4037</v>
      </c>
      <c r="B168" s="563">
        <v>20299</v>
      </c>
      <c r="C168" s="563">
        <v>0</v>
      </c>
      <c r="D168" s="563">
        <v>20299</v>
      </c>
      <c r="E168" s="563">
        <v>0</v>
      </c>
      <c r="F168" s="563">
        <v>0</v>
      </c>
      <c r="G168" s="563">
        <v>0</v>
      </c>
      <c r="H168" s="563">
        <v>0</v>
      </c>
      <c r="I168" s="563">
        <v>0</v>
      </c>
      <c r="J168" s="563">
        <v>0</v>
      </c>
      <c r="K168" s="563">
        <v>0</v>
      </c>
      <c r="L168" s="563">
        <v>0</v>
      </c>
      <c r="M168" s="563">
        <v>0</v>
      </c>
      <c r="N168" s="563">
        <v>1564</v>
      </c>
      <c r="O168" s="563">
        <v>27578</v>
      </c>
      <c r="P168" s="563">
        <v>29142</v>
      </c>
      <c r="Q168" s="562">
        <v>0</v>
      </c>
      <c r="R168" s="562">
        <v>0</v>
      </c>
      <c r="S168" s="562">
        <v>0</v>
      </c>
      <c r="T168" s="408"/>
    </row>
    <row r="169" spans="1:20" x14ac:dyDescent="0.4">
      <c r="A169" s="564" t="s">
        <v>4038</v>
      </c>
      <c r="B169" s="563">
        <v>0</v>
      </c>
      <c r="C169" s="563">
        <v>0</v>
      </c>
      <c r="D169" s="563">
        <v>0</v>
      </c>
      <c r="E169" s="563">
        <v>0</v>
      </c>
      <c r="F169" s="563">
        <v>0</v>
      </c>
      <c r="G169" s="563">
        <v>0</v>
      </c>
      <c r="H169" s="563">
        <v>0</v>
      </c>
      <c r="I169" s="563">
        <v>0</v>
      </c>
      <c r="J169" s="563">
        <v>0</v>
      </c>
      <c r="K169" s="563">
        <v>0</v>
      </c>
      <c r="L169" s="563">
        <v>0</v>
      </c>
      <c r="M169" s="563">
        <v>0</v>
      </c>
      <c r="N169" s="563">
        <v>0</v>
      </c>
      <c r="O169" s="563">
        <v>0</v>
      </c>
      <c r="P169" s="563">
        <v>0</v>
      </c>
      <c r="Q169" s="562">
        <v>0</v>
      </c>
      <c r="R169" s="562">
        <v>0</v>
      </c>
      <c r="S169" s="562">
        <v>0</v>
      </c>
      <c r="T169" s="408"/>
    </row>
    <row r="170" spans="1:20" x14ac:dyDescent="0.4">
      <c r="A170" s="564" t="s">
        <v>4039</v>
      </c>
      <c r="B170" s="563">
        <v>0</v>
      </c>
      <c r="C170" s="563">
        <v>0</v>
      </c>
      <c r="D170" s="563">
        <v>0</v>
      </c>
      <c r="E170" s="563">
        <v>0</v>
      </c>
      <c r="F170" s="563">
        <v>0</v>
      </c>
      <c r="G170" s="563">
        <v>0</v>
      </c>
      <c r="H170" s="563">
        <v>0</v>
      </c>
      <c r="I170" s="563">
        <v>0</v>
      </c>
      <c r="J170" s="563">
        <v>0</v>
      </c>
      <c r="K170" s="563">
        <v>0</v>
      </c>
      <c r="L170" s="563">
        <v>0</v>
      </c>
      <c r="M170" s="563">
        <v>0</v>
      </c>
      <c r="N170" s="563">
        <v>0</v>
      </c>
      <c r="O170" s="563">
        <v>0</v>
      </c>
      <c r="P170" s="563">
        <v>0</v>
      </c>
      <c r="Q170" s="562">
        <v>0</v>
      </c>
      <c r="R170" s="562">
        <v>0</v>
      </c>
      <c r="S170" s="562">
        <v>0</v>
      </c>
      <c r="T170" s="408"/>
    </row>
    <row r="171" spans="1:20" x14ac:dyDescent="0.4">
      <c r="A171" s="564" t="s">
        <v>4040</v>
      </c>
      <c r="B171" s="563">
        <v>0</v>
      </c>
      <c r="C171" s="563">
        <v>0</v>
      </c>
      <c r="D171" s="563">
        <v>0</v>
      </c>
      <c r="E171" s="563">
        <v>0</v>
      </c>
      <c r="F171" s="563">
        <v>0</v>
      </c>
      <c r="G171" s="563">
        <v>0</v>
      </c>
      <c r="H171" s="563">
        <v>0</v>
      </c>
      <c r="I171" s="563">
        <v>0</v>
      </c>
      <c r="J171" s="563">
        <v>0</v>
      </c>
      <c r="K171" s="563">
        <v>0</v>
      </c>
      <c r="L171" s="563">
        <v>0</v>
      </c>
      <c r="M171" s="563">
        <v>0</v>
      </c>
      <c r="N171" s="563">
        <v>0</v>
      </c>
      <c r="O171" s="563">
        <v>0</v>
      </c>
      <c r="P171" s="563">
        <v>0</v>
      </c>
      <c r="Q171" s="562">
        <v>0</v>
      </c>
      <c r="R171" s="562">
        <v>0</v>
      </c>
      <c r="S171" s="562">
        <v>0</v>
      </c>
      <c r="T171" s="408"/>
    </row>
    <row r="172" spans="1:20" x14ac:dyDescent="0.4">
      <c r="A172" s="564" t="s">
        <v>4041</v>
      </c>
      <c r="B172" s="563">
        <v>0</v>
      </c>
      <c r="C172" s="563">
        <v>0</v>
      </c>
      <c r="D172" s="563">
        <v>0</v>
      </c>
      <c r="E172" s="563">
        <v>0</v>
      </c>
      <c r="F172" s="563">
        <v>0</v>
      </c>
      <c r="G172" s="563">
        <v>0</v>
      </c>
      <c r="H172" s="563">
        <v>0</v>
      </c>
      <c r="I172" s="563">
        <v>0</v>
      </c>
      <c r="J172" s="563">
        <v>0</v>
      </c>
      <c r="K172" s="563">
        <v>0</v>
      </c>
      <c r="L172" s="563">
        <v>0</v>
      </c>
      <c r="M172" s="563">
        <v>0</v>
      </c>
      <c r="N172" s="563">
        <v>0</v>
      </c>
      <c r="O172" s="563">
        <v>0</v>
      </c>
      <c r="P172" s="563">
        <v>0</v>
      </c>
      <c r="Q172" s="562">
        <v>0</v>
      </c>
      <c r="R172" s="562">
        <v>0</v>
      </c>
      <c r="S172" s="562">
        <v>0</v>
      </c>
      <c r="T172" s="408"/>
    </row>
    <row r="173" spans="1:20" x14ac:dyDescent="0.4">
      <c r="A173" s="534" t="s">
        <v>4042</v>
      </c>
      <c r="B173" s="563">
        <v>10974</v>
      </c>
      <c r="C173" s="563">
        <v>25734</v>
      </c>
      <c r="D173" s="563">
        <v>36708</v>
      </c>
      <c r="E173" s="563">
        <v>16192</v>
      </c>
      <c r="F173" s="563">
        <v>245279</v>
      </c>
      <c r="G173" s="563">
        <v>261471</v>
      </c>
      <c r="H173" s="563">
        <v>0</v>
      </c>
      <c r="I173" s="563">
        <v>0</v>
      </c>
      <c r="J173" s="563">
        <v>0</v>
      </c>
      <c r="K173" s="563">
        <v>0</v>
      </c>
      <c r="L173" s="563">
        <v>749</v>
      </c>
      <c r="M173" s="563">
        <v>749</v>
      </c>
      <c r="N173" s="563">
        <v>0</v>
      </c>
      <c r="O173" s="563">
        <v>37936</v>
      </c>
      <c r="P173" s="563">
        <v>37936</v>
      </c>
      <c r="Q173" s="562">
        <v>0</v>
      </c>
      <c r="R173" s="562">
        <v>277257</v>
      </c>
      <c r="S173" s="562">
        <v>277257</v>
      </c>
      <c r="T173" s="408"/>
    </row>
    <row r="174" spans="1:20" x14ac:dyDescent="0.4">
      <c r="A174" s="564" t="s">
        <v>4043</v>
      </c>
      <c r="B174" s="563">
        <v>0</v>
      </c>
      <c r="C174" s="563">
        <v>0</v>
      </c>
      <c r="D174" s="563">
        <v>0</v>
      </c>
      <c r="E174" s="563">
        <v>0</v>
      </c>
      <c r="F174" s="563">
        <v>0</v>
      </c>
      <c r="G174" s="563">
        <v>0</v>
      </c>
      <c r="H174" s="563">
        <v>0</v>
      </c>
      <c r="I174" s="563">
        <v>0</v>
      </c>
      <c r="J174" s="563">
        <v>0</v>
      </c>
      <c r="K174" s="563">
        <v>0</v>
      </c>
      <c r="L174" s="563">
        <v>0</v>
      </c>
      <c r="M174" s="563">
        <v>0</v>
      </c>
      <c r="N174" s="563">
        <v>0</v>
      </c>
      <c r="O174" s="563">
        <v>0</v>
      </c>
      <c r="P174" s="563">
        <v>0</v>
      </c>
      <c r="Q174" s="562">
        <v>0</v>
      </c>
      <c r="R174" s="562">
        <v>0</v>
      </c>
      <c r="S174" s="562">
        <v>0</v>
      </c>
      <c r="T174" s="408"/>
    </row>
    <row r="175" spans="1:20" x14ac:dyDescent="0.4">
      <c r="A175" s="564" t="s">
        <v>4044</v>
      </c>
      <c r="B175" s="563">
        <v>128983</v>
      </c>
      <c r="C175" s="563">
        <v>0</v>
      </c>
      <c r="D175" s="563">
        <v>128983</v>
      </c>
      <c r="E175" s="563">
        <v>208187</v>
      </c>
      <c r="F175" s="563">
        <v>57</v>
      </c>
      <c r="G175" s="563">
        <v>208244</v>
      </c>
      <c r="H175" s="563">
        <v>0</v>
      </c>
      <c r="I175" s="563">
        <v>0</v>
      </c>
      <c r="J175" s="563">
        <v>0</v>
      </c>
      <c r="K175" s="563">
        <v>0</v>
      </c>
      <c r="L175" s="563">
        <v>0</v>
      </c>
      <c r="M175" s="563">
        <v>0</v>
      </c>
      <c r="N175" s="563">
        <v>19303</v>
      </c>
      <c r="O175" s="563">
        <v>2</v>
      </c>
      <c r="P175" s="563">
        <v>19305</v>
      </c>
      <c r="Q175" s="562">
        <v>0</v>
      </c>
      <c r="R175" s="562">
        <v>13</v>
      </c>
      <c r="S175" s="562">
        <v>13</v>
      </c>
      <c r="T175" s="408"/>
    </row>
    <row r="176" spans="1:20" x14ac:dyDescent="0.4">
      <c r="A176" s="564" t="s">
        <v>4045</v>
      </c>
      <c r="B176" s="563">
        <v>137043</v>
      </c>
      <c r="C176" s="563">
        <v>0</v>
      </c>
      <c r="D176" s="563">
        <v>137043</v>
      </c>
      <c r="E176" s="563">
        <v>0</v>
      </c>
      <c r="F176" s="563">
        <v>0</v>
      </c>
      <c r="G176" s="563">
        <v>0</v>
      </c>
      <c r="H176" s="563">
        <v>0</v>
      </c>
      <c r="I176" s="563">
        <v>0</v>
      </c>
      <c r="J176" s="563">
        <v>0</v>
      </c>
      <c r="K176" s="563">
        <v>11451</v>
      </c>
      <c r="L176" s="563">
        <v>0</v>
      </c>
      <c r="M176" s="563">
        <v>11451</v>
      </c>
      <c r="N176" s="563">
        <v>0</v>
      </c>
      <c r="O176" s="563">
        <v>0</v>
      </c>
      <c r="P176" s="563">
        <v>0</v>
      </c>
      <c r="Q176" s="562">
        <v>0</v>
      </c>
      <c r="R176" s="562">
        <v>470</v>
      </c>
      <c r="S176" s="562">
        <v>470</v>
      </c>
      <c r="T176" s="408"/>
    </row>
    <row r="177" spans="1:21" x14ac:dyDescent="0.4">
      <c r="A177" s="566" t="s">
        <v>19</v>
      </c>
      <c r="B177" s="340">
        <v>459591</v>
      </c>
      <c r="C177" s="340">
        <v>51196</v>
      </c>
      <c r="D177" s="340">
        <v>510787</v>
      </c>
      <c r="E177" s="340">
        <v>462264</v>
      </c>
      <c r="F177" s="340">
        <v>304758</v>
      </c>
      <c r="G177" s="340">
        <v>767022</v>
      </c>
      <c r="H177" s="340">
        <v>161118</v>
      </c>
      <c r="I177" s="340">
        <v>0</v>
      </c>
      <c r="J177" s="340">
        <v>161118</v>
      </c>
      <c r="K177" s="340">
        <v>61094</v>
      </c>
      <c r="L177" s="340">
        <v>6068</v>
      </c>
      <c r="M177" s="340">
        <v>67162</v>
      </c>
      <c r="N177" s="340">
        <v>21891</v>
      </c>
      <c r="O177" s="340">
        <v>80412</v>
      </c>
      <c r="P177" s="340">
        <v>102303</v>
      </c>
      <c r="Q177" s="340">
        <v>626245</v>
      </c>
      <c r="R177" s="340">
        <v>397220</v>
      </c>
      <c r="S177" s="340">
        <v>1023465</v>
      </c>
      <c r="T177" s="567">
        <f>D177+G177+J177+M177+P177+S177</f>
        <v>2631857</v>
      </c>
      <c r="U177" s="319"/>
    </row>
    <row r="178" spans="1:21" x14ac:dyDescent="0.4">
      <c r="A178" s="484" t="s">
        <v>11</v>
      </c>
    </row>
    <row r="180" spans="1:21" x14ac:dyDescent="0.4">
      <c r="A180" s="4" t="s">
        <v>4161</v>
      </c>
    </row>
    <row r="181" spans="1:21" x14ac:dyDescent="0.4">
      <c r="A181" s="336" t="s">
        <v>212</v>
      </c>
      <c r="B181" s="338" t="s">
        <v>4099</v>
      </c>
      <c r="C181" s="338" t="s">
        <v>4100</v>
      </c>
      <c r="D181" s="338" t="s">
        <v>4101</v>
      </c>
      <c r="E181" s="338" t="s">
        <v>4102</v>
      </c>
      <c r="F181" s="338" t="s">
        <v>4103</v>
      </c>
      <c r="G181" s="338" t="s">
        <v>4104</v>
      </c>
      <c r="H181" s="338" t="s">
        <v>55</v>
      </c>
    </row>
    <row r="182" spans="1:21" x14ac:dyDescent="0.4">
      <c r="A182" s="339" t="s">
        <v>4028</v>
      </c>
      <c r="B182" s="563">
        <v>3085</v>
      </c>
      <c r="C182" s="563">
        <v>6672</v>
      </c>
      <c r="D182" s="563">
        <v>0</v>
      </c>
      <c r="E182" s="563">
        <v>0</v>
      </c>
      <c r="F182" s="563">
        <v>0</v>
      </c>
      <c r="G182" s="579">
        <v>0</v>
      </c>
      <c r="H182" s="408"/>
      <c r="I182" s="570"/>
      <c r="K182" s="570"/>
      <c r="L182" s="570"/>
      <c r="N182" s="570"/>
      <c r="O182" s="570"/>
      <c r="Q182" s="570"/>
      <c r="R182" s="570"/>
    </row>
    <row r="183" spans="1:21" x14ac:dyDescent="0.4">
      <c r="A183" s="564" t="s">
        <v>4029</v>
      </c>
      <c r="B183" s="563">
        <v>0</v>
      </c>
      <c r="C183" s="563">
        <v>0</v>
      </c>
      <c r="D183" s="563">
        <v>0</v>
      </c>
      <c r="E183" s="563">
        <v>0</v>
      </c>
      <c r="F183" s="563">
        <v>0</v>
      </c>
      <c r="G183" s="579">
        <v>0</v>
      </c>
      <c r="H183" s="408"/>
      <c r="I183" s="570"/>
      <c r="K183" s="570"/>
      <c r="L183" s="570"/>
      <c r="N183" s="570"/>
      <c r="O183" s="570"/>
      <c r="Q183" s="570"/>
      <c r="R183" s="570"/>
    </row>
    <row r="184" spans="1:21" x14ac:dyDescent="0.4">
      <c r="A184" s="564" t="s">
        <v>4030</v>
      </c>
      <c r="B184" s="563">
        <v>0</v>
      </c>
      <c r="C184" s="563">
        <v>0</v>
      </c>
      <c r="D184" s="563">
        <v>0</v>
      </c>
      <c r="E184" s="563">
        <v>0</v>
      </c>
      <c r="F184" s="563">
        <v>0</v>
      </c>
      <c r="G184" s="579">
        <v>0</v>
      </c>
      <c r="H184" s="408"/>
      <c r="I184" s="570"/>
      <c r="K184" s="570"/>
      <c r="L184" s="570"/>
      <c r="N184" s="570"/>
      <c r="O184" s="570"/>
      <c r="Q184" s="570"/>
      <c r="R184" s="570"/>
    </row>
    <row r="185" spans="1:21" x14ac:dyDescent="0.4">
      <c r="A185" s="564" t="s">
        <v>4031</v>
      </c>
      <c r="B185" s="563">
        <v>0</v>
      </c>
      <c r="C185" s="563">
        <v>0</v>
      </c>
      <c r="D185" s="563">
        <v>0</v>
      </c>
      <c r="E185" s="563">
        <v>0</v>
      </c>
      <c r="F185" s="563">
        <v>0</v>
      </c>
      <c r="G185" s="579">
        <v>0</v>
      </c>
      <c r="H185" s="408"/>
      <c r="I185" s="570"/>
      <c r="K185" s="570"/>
      <c r="L185" s="570"/>
      <c r="N185" s="570"/>
      <c r="O185" s="570"/>
      <c r="Q185" s="570"/>
      <c r="R185" s="570"/>
    </row>
    <row r="186" spans="1:21" x14ac:dyDescent="0.4">
      <c r="A186" s="564" t="s">
        <v>4032</v>
      </c>
      <c r="B186" s="563">
        <v>0</v>
      </c>
      <c r="C186" s="563">
        <v>0</v>
      </c>
      <c r="D186" s="563">
        <v>0</v>
      </c>
      <c r="E186" s="563">
        <v>0</v>
      </c>
      <c r="F186" s="563">
        <v>0</v>
      </c>
      <c r="G186" s="579">
        <v>0</v>
      </c>
      <c r="H186" s="408"/>
      <c r="I186" s="570"/>
      <c r="K186" s="570"/>
      <c r="L186" s="570"/>
      <c r="N186" s="570"/>
      <c r="O186" s="570"/>
      <c r="Q186" s="570"/>
      <c r="R186" s="570"/>
    </row>
    <row r="187" spans="1:21" x14ac:dyDescent="0.4">
      <c r="A187" s="564" t="s">
        <v>4033</v>
      </c>
      <c r="B187" s="563">
        <v>0</v>
      </c>
      <c r="C187" s="563">
        <v>0</v>
      </c>
      <c r="D187" s="563">
        <v>0</v>
      </c>
      <c r="E187" s="563">
        <v>0</v>
      </c>
      <c r="F187" s="563">
        <v>0</v>
      </c>
      <c r="G187" s="579">
        <v>0</v>
      </c>
      <c r="H187" s="408"/>
      <c r="I187" s="570"/>
      <c r="K187" s="570"/>
      <c r="L187" s="570"/>
      <c r="N187" s="570"/>
      <c r="O187" s="570"/>
      <c r="Q187" s="570"/>
      <c r="R187" s="570"/>
    </row>
    <row r="188" spans="1:21" x14ac:dyDescent="0.4">
      <c r="A188" s="534" t="s">
        <v>4034</v>
      </c>
      <c r="B188" s="563">
        <v>26931</v>
      </c>
      <c r="C188" s="563">
        <v>1048117</v>
      </c>
      <c r="D188" s="563">
        <v>0</v>
      </c>
      <c r="E188" s="563">
        <v>0</v>
      </c>
      <c r="F188" s="563">
        <v>45858</v>
      </c>
      <c r="G188" s="579">
        <v>191042</v>
      </c>
      <c r="H188" s="408"/>
      <c r="I188" s="570"/>
      <c r="K188" s="570"/>
      <c r="L188" s="570"/>
      <c r="N188" s="570"/>
      <c r="O188" s="570"/>
      <c r="Q188" s="570"/>
      <c r="R188" s="570"/>
    </row>
    <row r="189" spans="1:21" x14ac:dyDescent="0.4">
      <c r="A189" s="534" t="s">
        <v>4035</v>
      </c>
      <c r="B189" s="563">
        <v>0</v>
      </c>
      <c r="C189" s="563">
        <v>0</v>
      </c>
      <c r="D189" s="563">
        <v>0</v>
      </c>
      <c r="E189" s="563">
        <v>0</v>
      </c>
      <c r="F189" s="563">
        <v>0</v>
      </c>
      <c r="G189" s="579">
        <v>0</v>
      </c>
      <c r="H189" s="408"/>
      <c r="I189" s="570"/>
      <c r="K189" s="570"/>
      <c r="L189" s="570"/>
      <c r="N189" s="570"/>
      <c r="O189" s="570"/>
      <c r="Q189" s="570"/>
      <c r="R189" s="570"/>
    </row>
    <row r="190" spans="1:21" x14ac:dyDescent="0.4">
      <c r="A190" s="564" t="s">
        <v>4036</v>
      </c>
      <c r="B190" s="563">
        <v>0</v>
      </c>
      <c r="C190" s="563">
        <v>0</v>
      </c>
      <c r="D190" s="563">
        <v>0</v>
      </c>
      <c r="E190" s="563">
        <v>0</v>
      </c>
      <c r="F190" s="563">
        <v>0</v>
      </c>
      <c r="G190" s="579">
        <v>0</v>
      </c>
      <c r="H190" s="408"/>
      <c r="I190" s="570"/>
      <c r="K190" s="570"/>
      <c r="L190" s="570"/>
      <c r="N190" s="570"/>
      <c r="O190" s="570"/>
      <c r="Q190" s="570"/>
      <c r="R190" s="570"/>
    </row>
    <row r="191" spans="1:21" x14ac:dyDescent="0.4">
      <c r="A191" s="564" t="s">
        <v>4037</v>
      </c>
      <c r="B191" s="563">
        <v>295126</v>
      </c>
      <c r="C191" s="563">
        <v>152328</v>
      </c>
      <c r="D191" s="563">
        <v>2941</v>
      </c>
      <c r="E191" s="563">
        <v>31751</v>
      </c>
      <c r="F191" s="563">
        <v>6123</v>
      </c>
      <c r="G191" s="579">
        <v>0</v>
      </c>
      <c r="H191" s="408"/>
      <c r="I191" s="570"/>
      <c r="K191" s="570"/>
      <c r="L191" s="570"/>
      <c r="N191" s="570"/>
      <c r="O191" s="570"/>
      <c r="Q191" s="570"/>
      <c r="R191" s="570"/>
    </row>
    <row r="192" spans="1:21" x14ac:dyDescent="0.4">
      <c r="A192" s="564" t="s">
        <v>4038</v>
      </c>
      <c r="B192" s="563">
        <v>0</v>
      </c>
      <c r="C192" s="563">
        <v>0</v>
      </c>
      <c r="D192" s="563">
        <v>0</v>
      </c>
      <c r="E192" s="563">
        <v>0</v>
      </c>
      <c r="F192" s="563">
        <v>0</v>
      </c>
      <c r="G192" s="579">
        <v>0</v>
      </c>
      <c r="H192" s="408"/>
      <c r="I192" s="570"/>
      <c r="K192" s="570"/>
      <c r="L192" s="570"/>
      <c r="N192" s="570"/>
      <c r="O192" s="570"/>
      <c r="Q192" s="570"/>
      <c r="R192" s="570"/>
    </row>
    <row r="193" spans="1:26" x14ac:dyDescent="0.4">
      <c r="A193" s="564" t="s">
        <v>4039</v>
      </c>
      <c r="B193" s="563">
        <v>0</v>
      </c>
      <c r="C193" s="563">
        <v>0</v>
      </c>
      <c r="D193" s="563">
        <v>0</v>
      </c>
      <c r="E193" s="563">
        <v>0</v>
      </c>
      <c r="F193" s="563">
        <v>0</v>
      </c>
      <c r="G193" s="579">
        <v>0</v>
      </c>
      <c r="H193" s="408"/>
      <c r="I193" s="570"/>
      <c r="K193" s="570"/>
      <c r="L193" s="570"/>
      <c r="N193" s="570"/>
      <c r="O193" s="570"/>
      <c r="Q193" s="570"/>
      <c r="R193" s="570"/>
    </row>
    <row r="194" spans="1:26" x14ac:dyDescent="0.4">
      <c r="A194" s="564" t="s">
        <v>4040</v>
      </c>
      <c r="B194" s="563">
        <v>0</v>
      </c>
      <c r="C194" s="563">
        <v>0</v>
      </c>
      <c r="D194" s="563">
        <v>0</v>
      </c>
      <c r="E194" s="563">
        <v>0</v>
      </c>
      <c r="F194" s="563">
        <v>0</v>
      </c>
      <c r="G194" s="579">
        <v>0</v>
      </c>
      <c r="H194" s="408"/>
      <c r="I194" s="570"/>
      <c r="K194" s="570"/>
      <c r="L194" s="570"/>
      <c r="N194" s="570"/>
      <c r="O194" s="570"/>
      <c r="Q194" s="570"/>
      <c r="R194" s="570"/>
    </row>
    <row r="195" spans="1:26" x14ac:dyDescent="0.4">
      <c r="A195" s="564" t="s">
        <v>4041</v>
      </c>
      <c r="B195" s="563">
        <v>0</v>
      </c>
      <c r="C195" s="563">
        <v>0</v>
      </c>
      <c r="D195" s="563">
        <v>0</v>
      </c>
      <c r="E195" s="563">
        <v>0</v>
      </c>
      <c r="F195" s="563">
        <v>0</v>
      </c>
      <c r="G195" s="579">
        <v>0</v>
      </c>
      <c r="H195" s="408"/>
      <c r="I195" s="570"/>
      <c r="K195" s="570"/>
      <c r="L195" s="570"/>
      <c r="N195" s="570"/>
      <c r="O195" s="570"/>
      <c r="Q195" s="570"/>
      <c r="R195" s="570"/>
    </row>
    <row r="196" spans="1:26" x14ac:dyDescent="0.4">
      <c r="A196" s="534" t="s">
        <v>4042</v>
      </c>
      <c r="B196" s="563">
        <v>18182</v>
      </c>
      <c r="C196" s="563">
        <v>3107</v>
      </c>
      <c r="D196" s="563">
        <v>0</v>
      </c>
      <c r="E196" s="563">
        <v>0</v>
      </c>
      <c r="F196" s="563">
        <v>0</v>
      </c>
      <c r="G196" s="579">
        <v>0</v>
      </c>
      <c r="H196" s="408"/>
      <c r="I196" s="570"/>
      <c r="K196" s="570"/>
      <c r="L196" s="570"/>
      <c r="N196" s="570"/>
      <c r="O196" s="570"/>
      <c r="Q196" s="570"/>
      <c r="R196" s="570"/>
    </row>
    <row r="197" spans="1:26" x14ac:dyDescent="0.4">
      <c r="A197" s="564" t="s">
        <v>4043</v>
      </c>
      <c r="B197" s="563">
        <v>0</v>
      </c>
      <c r="C197" s="563">
        <v>0</v>
      </c>
      <c r="D197" s="563">
        <v>0</v>
      </c>
      <c r="E197" s="563">
        <v>0</v>
      </c>
      <c r="F197" s="563">
        <v>0</v>
      </c>
      <c r="G197" s="579">
        <v>0</v>
      </c>
      <c r="H197" s="408"/>
      <c r="I197" s="570"/>
      <c r="K197" s="570"/>
      <c r="L197" s="570"/>
      <c r="N197" s="570"/>
      <c r="O197" s="570"/>
      <c r="Q197" s="570"/>
      <c r="R197" s="570"/>
    </row>
    <row r="198" spans="1:26" x14ac:dyDescent="0.4">
      <c r="A198" s="564" t="s">
        <v>4044</v>
      </c>
      <c r="B198" s="563">
        <v>737134</v>
      </c>
      <c r="C198" s="563">
        <v>1349344</v>
      </c>
      <c r="D198" s="563">
        <v>8640</v>
      </c>
      <c r="E198" s="563">
        <v>364083</v>
      </c>
      <c r="F198" s="563">
        <v>396061</v>
      </c>
      <c r="G198" s="579">
        <v>0</v>
      </c>
      <c r="H198" s="408"/>
      <c r="I198" s="570"/>
      <c r="K198" s="570"/>
      <c r="L198" s="570"/>
      <c r="N198" s="570"/>
      <c r="O198" s="570"/>
      <c r="Q198" s="570"/>
      <c r="R198" s="570"/>
    </row>
    <row r="199" spans="1:26" x14ac:dyDescent="0.4">
      <c r="A199" s="564" t="s">
        <v>4045</v>
      </c>
      <c r="B199" s="563">
        <v>0</v>
      </c>
      <c r="C199" s="563">
        <v>0</v>
      </c>
      <c r="D199" s="563">
        <v>0</v>
      </c>
      <c r="E199" s="563">
        <v>0</v>
      </c>
      <c r="F199" s="563">
        <v>0</v>
      </c>
      <c r="G199" s="579">
        <v>0</v>
      </c>
      <c r="H199" s="408"/>
      <c r="I199" s="570"/>
      <c r="K199" s="570"/>
      <c r="L199" s="570"/>
      <c r="N199" s="570"/>
      <c r="O199" s="570"/>
      <c r="Q199" s="570"/>
      <c r="R199" s="570"/>
    </row>
    <row r="200" spans="1:26" x14ac:dyDescent="0.4">
      <c r="A200" s="564" t="s">
        <v>3983</v>
      </c>
      <c r="B200" s="563">
        <v>0</v>
      </c>
      <c r="C200" s="563">
        <v>0</v>
      </c>
      <c r="D200" s="563">
        <v>0</v>
      </c>
      <c r="E200" s="563">
        <v>0</v>
      </c>
      <c r="F200" s="563">
        <v>0</v>
      </c>
      <c r="G200" s="579">
        <v>0</v>
      </c>
      <c r="H200" s="592">
        <f>SUM(G200,F200,E200,D200,C200,B200)</f>
        <v>0</v>
      </c>
      <c r="I200" s="570"/>
      <c r="K200" s="570"/>
      <c r="L200" s="570"/>
      <c r="N200" s="570"/>
      <c r="O200" s="570"/>
      <c r="Q200" s="570"/>
      <c r="R200" s="570"/>
      <c r="U200" s="319"/>
    </row>
    <row r="201" spans="1:26" x14ac:dyDescent="0.4">
      <c r="A201" s="566" t="s">
        <v>19</v>
      </c>
      <c r="B201" s="340">
        <v>1080458</v>
      </c>
      <c r="C201" s="340">
        <v>2559568</v>
      </c>
      <c r="D201" s="340">
        <v>11581</v>
      </c>
      <c r="E201" s="340">
        <v>395834</v>
      </c>
      <c r="F201" s="340">
        <v>448042</v>
      </c>
      <c r="G201" s="580">
        <v>191042</v>
      </c>
      <c r="H201" s="567">
        <f>B201+C201+D201+E201+F201+G201</f>
        <v>4686525</v>
      </c>
      <c r="I201" s="570"/>
      <c r="K201" s="570"/>
      <c r="L201" s="570"/>
      <c r="N201" s="570"/>
      <c r="O201" s="570"/>
      <c r="Q201" s="570"/>
      <c r="R201" s="570"/>
    </row>
    <row r="202" spans="1:26" x14ac:dyDescent="0.4">
      <c r="A202" s="484" t="s">
        <v>11</v>
      </c>
      <c r="D202" s="321"/>
      <c r="G202" s="321"/>
      <c r="J202" s="344"/>
      <c r="M202" s="344"/>
      <c r="P202" s="344"/>
      <c r="S202" s="344"/>
    </row>
    <row r="204" spans="1:26" x14ac:dyDescent="0.4">
      <c r="A204" s="4" t="s">
        <v>4572</v>
      </c>
    </row>
    <row r="205" spans="1:26" x14ac:dyDescent="0.4">
      <c r="A205" s="336" t="s">
        <v>212</v>
      </c>
      <c r="B205" s="338" t="s">
        <v>4162</v>
      </c>
      <c r="C205" s="338" t="s">
        <v>4163</v>
      </c>
      <c r="D205" s="338" t="s">
        <v>4164</v>
      </c>
      <c r="E205" s="338" t="s">
        <v>4148</v>
      </c>
      <c r="F205" s="338" t="s">
        <v>4165</v>
      </c>
      <c r="G205" s="338" t="s">
        <v>4166</v>
      </c>
      <c r="H205" s="338" t="s">
        <v>4167</v>
      </c>
      <c r="I205" s="338" t="s">
        <v>4168</v>
      </c>
      <c r="J205" s="338" t="s">
        <v>4169</v>
      </c>
      <c r="K205" s="338" t="s">
        <v>4170</v>
      </c>
      <c r="L205" s="338" t="s">
        <v>4171</v>
      </c>
      <c r="M205" s="338" t="s">
        <v>4151</v>
      </c>
      <c r="N205" s="338" t="s">
        <v>4172</v>
      </c>
      <c r="O205" s="338" t="s">
        <v>4173</v>
      </c>
      <c r="P205" s="338" t="s">
        <v>4174</v>
      </c>
      <c r="Q205" s="338" t="s">
        <v>4152</v>
      </c>
      <c r="R205" s="338" t="s">
        <v>4175</v>
      </c>
      <c r="S205" s="338" t="s">
        <v>4176</v>
      </c>
      <c r="T205" s="338" t="s">
        <v>4177</v>
      </c>
      <c r="U205" s="338" t="s">
        <v>4153</v>
      </c>
      <c r="V205" s="338" t="s">
        <v>4178</v>
      </c>
      <c r="W205" s="338" t="s">
        <v>4179</v>
      </c>
      <c r="X205" s="338" t="s">
        <v>4180</v>
      </c>
      <c r="Y205" s="338" t="s">
        <v>4154</v>
      </c>
      <c r="Z205" s="338" t="s">
        <v>55</v>
      </c>
    </row>
    <row r="206" spans="1:26" x14ac:dyDescent="0.4">
      <c r="A206" s="339" t="s">
        <v>4028</v>
      </c>
      <c r="B206" s="563">
        <v>0</v>
      </c>
      <c r="C206" s="563">
        <v>0</v>
      </c>
      <c r="D206" s="563">
        <v>0</v>
      </c>
      <c r="E206" s="563">
        <v>0</v>
      </c>
      <c r="F206" s="563">
        <v>0</v>
      </c>
      <c r="G206" s="563">
        <v>0</v>
      </c>
      <c r="H206" s="563">
        <v>0</v>
      </c>
      <c r="I206" s="563">
        <v>0</v>
      </c>
      <c r="J206" s="563">
        <v>0</v>
      </c>
      <c r="K206" s="563">
        <v>0</v>
      </c>
      <c r="L206" s="563">
        <v>0</v>
      </c>
      <c r="M206" s="563">
        <v>0</v>
      </c>
      <c r="N206" s="563">
        <v>0</v>
      </c>
      <c r="O206" s="563">
        <v>0</v>
      </c>
      <c r="P206" s="563">
        <v>0</v>
      </c>
      <c r="Q206" s="563">
        <v>0</v>
      </c>
      <c r="R206" s="563">
        <v>0</v>
      </c>
      <c r="S206" s="563">
        <v>0</v>
      </c>
      <c r="T206" s="563">
        <v>0</v>
      </c>
      <c r="U206" s="563">
        <v>0</v>
      </c>
      <c r="V206" s="563">
        <v>0</v>
      </c>
      <c r="W206" s="563">
        <v>0</v>
      </c>
      <c r="X206" s="563">
        <v>0</v>
      </c>
      <c r="Y206" s="545">
        <v>0</v>
      </c>
      <c r="Z206" s="563"/>
    </row>
    <row r="207" spans="1:26" x14ac:dyDescent="0.4">
      <c r="A207" s="564" t="s">
        <v>4029</v>
      </c>
      <c r="B207" s="563">
        <v>0</v>
      </c>
      <c r="C207" s="563">
        <v>0</v>
      </c>
      <c r="D207" s="563">
        <v>0</v>
      </c>
      <c r="E207" s="563">
        <v>0</v>
      </c>
      <c r="F207" s="563">
        <v>0</v>
      </c>
      <c r="G207" s="563">
        <v>0</v>
      </c>
      <c r="H207" s="563">
        <v>0</v>
      </c>
      <c r="I207" s="563">
        <v>0</v>
      </c>
      <c r="J207" s="563">
        <v>0</v>
      </c>
      <c r="K207" s="563">
        <v>0</v>
      </c>
      <c r="L207" s="563">
        <v>0</v>
      </c>
      <c r="M207" s="563">
        <v>0</v>
      </c>
      <c r="N207" s="563">
        <v>0</v>
      </c>
      <c r="O207" s="563">
        <v>0</v>
      </c>
      <c r="P207" s="563">
        <v>0</v>
      </c>
      <c r="Q207" s="563">
        <v>0</v>
      </c>
      <c r="R207" s="563">
        <v>0</v>
      </c>
      <c r="S207" s="563">
        <v>0</v>
      </c>
      <c r="T207" s="563">
        <v>0</v>
      </c>
      <c r="U207" s="563">
        <v>0</v>
      </c>
      <c r="V207" s="563">
        <v>0</v>
      </c>
      <c r="W207" s="563">
        <v>0</v>
      </c>
      <c r="X207" s="563">
        <v>0</v>
      </c>
      <c r="Y207" s="545">
        <v>0</v>
      </c>
      <c r="Z207" s="581"/>
    </row>
    <row r="208" spans="1:26" x14ac:dyDescent="0.4">
      <c r="A208" s="564" t="s">
        <v>4030</v>
      </c>
      <c r="B208" s="563">
        <v>0</v>
      </c>
      <c r="C208" s="563">
        <v>0</v>
      </c>
      <c r="D208" s="563">
        <v>0</v>
      </c>
      <c r="E208" s="563">
        <v>0</v>
      </c>
      <c r="F208" s="563">
        <v>0</v>
      </c>
      <c r="G208" s="563">
        <v>0</v>
      </c>
      <c r="H208" s="563">
        <v>0</v>
      </c>
      <c r="I208" s="563">
        <v>0</v>
      </c>
      <c r="J208" s="563">
        <v>0</v>
      </c>
      <c r="K208" s="563">
        <v>0</v>
      </c>
      <c r="L208" s="563">
        <v>0</v>
      </c>
      <c r="M208" s="563">
        <v>0</v>
      </c>
      <c r="N208" s="563">
        <v>0</v>
      </c>
      <c r="O208" s="563">
        <v>0</v>
      </c>
      <c r="P208" s="563">
        <v>0</v>
      </c>
      <c r="Q208" s="563">
        <v>0</v>
      </c>
      <c r="R208" s="563">
        <v>0</v>
      </c>
      <c r="S208" s="563">
        <v>0</v>
      </c>
      <c r="T208" s="563">
        <v>0</v>
      </c>
      <c r="U208" s="563">
        <v>0</v>
      </c>
      <c r="V208" s="563">
        <v>0</v>
      </c>
      <c r="W208" s="563">
        <v>0</v>
      </c>
      <c r="X208" s="563">
        <v>0</v>
      </c>
      <c r="Y208" s="545">
        <v>0</v>
      </c>
      <c r="Z208" s="581"/>
    </row>
    <row r="209" spans="1:26" x14ac:dyDescent="0.4">
      <c r="A209" s="564" t="s">
        <v>4031</v>
      </c>
      <c r="B209" s="563">
        <v>0</v>
      </c>
      <c r="C209" s="563">
        <v>0</v>
      </c>
      <c r="D209" s="563">
        <v>0</v>
      </c>
      <c r="E209" s="563">
        <v>0</v>
      </c>
      <c r="F209" s="563">
        <v>0</v>
      </c>
      <c r="G209" s="563">
        <v>0</v>
      </c>
      <c r="H209" s="563">
        <v>0</v>
      </c>
      <c r="I209" s="563">
        <v>0</v>
      </c>
      <c r="J209" s="563">
        <v>0</v>
      </c>
      <c r="K209" s="563">
        <v>0</v>
      </c>
      <c r="L209" s="563">
        <v>0</v>
      </c>
      <c r="M209" s="563">
        <v>0</v>
      </c>
      <c r="N209" s="563">
        <v>0</v>
      </c>
      <c r="O209" s="563">
        <v>0</v>
      </c>
      <c r="P209" s="563">
        <v>0</v>
      </c>
      <c r="Q209" s="563">
        <v>0</v>
      </c>
      <c r="R209" s="563">
        <v>0</v>
      </c>
      <c r="S209" s="563">
        <v>0</v>
      </c>
      <c r="T209" s="563">
        <v>0</v>
      </c>
      <c r="U209" s="563">
        <v>0</v>
      </c>
      <c r="V209" s="563">
        <v>0</v>
      </c>
      <c r="W209" s="563">
        <v>0</v>
      </c>
      <c r="X209" s="563">
        <v>0</v>
      </c>
      <c r="Y209" s="545">
        <v>0</v>
      </c>
      <c r="Z209" s="581"/>
    </row>
    <row r="210" spans="1:26" x14ac:dyDescent="0.4">
      <c r="A210" s="564" t="s">
        <v>4032</v>
      </c>
      <c r="B210" s="563">
        <v>0</v>
      </c>
      <c r="C210" s="563">
        <v>0</v>
      </c>
      <c r="D210" s="563">
        <v>0</v>
      </c>
      <c r="E210" s="563">
        <v>0</v>
      </c>
      <c r="F210" s="563">
        <v>0</v>
      </c>
      <c r="G210" s="563">
        <v>0</v>
      </c>
      <c r="H210" s="563">
        <v>0</v>
      </c>
      <c r="I210" s="563">
        <v>0</v>
      </c>
      <c r="J210" s="563">
        <v>0</v>
      </c>
      <c r="K210" s="563">
        <v>0</v>
      </c>
      <c r="L210" s="563">
        <v>0</v>
      </c>
      <c r="M210" s="563">
        <v>0</v>
      </c>
      <c r="N210" s="563">
        <v>0</v>
      </c>
      <c r="O210" s="563">
        <v>0</v>
      </c>
      <c r="P210" s="563">
        <v>0</v>
      </c>
      <c r="Q210" s="563">
        <v>0</v>
      </c>
      <c r="R210" s="563">
        <v>0</v>
      </c>
      <c r="S210" s="563">
        <v>0</v>
      </c>
      <c r="T210" s="563">
        <v>0</v>
      </c>
      <c r="U210" s="563">
        <v>0</v>
      </c>
      <c r="V210" s="563">
        <v>0</v>
      </c>
      <c r="W210" s="563">
        <v>0</v>
      </c>
      <c r="X210" s="563">
        <v>0</v>
      </c>
      <c r="Y210" s="545">
        <v>0</v>
      </c>
      <c r="Z210" s="581"/>
    </row>
    <row r="211" spans="1:26" x14ac:dyDescent="0.4">
      <c r="A211" s="564" t="s">
        <v>4033</v>
      </c>
      <c r="B211" s="563">
        <v>0</v>
      </c>
      <c r="C211" s="563">
        <v>0</v>
      </c>
      <c r="D211" s="563">
        <v>0</v>
      </c>
      <c r="E211" s="563">
        <v>0</v>
      </c>
      <c r="F211" s="563">
        <v>0</v>
      </c>
      <c r="G211" s="563">
        <v>0</v>
      </c>
      <c r="H211" s="563">
        <v>0</v>
      </c>
      <c r="I211" s="563">
        <v>0</v>
      </c>
      <c r="J211" s="563">
        <v>0</v>
      </c>
      <c r="K211" s="563">
        <v>0</v>
      </c>
      <c r="L211" s="563">
        <v>0</v>
      </c>
      <c r="M211" s="563">
        <v>0</v>
      </c>
      <c r="N211" s="563">
        <v>0</v>
      </c>
      <c r="O211" s="563">
        <v>0</v>
      </c>
      <c r="P211" s="563">
        <v>0</v>
      </c>
      <c r="Q211" s="563">
        <v>0</v>
      </c>
      <c r="R211" s="563">
        <v>0</v>
      </c>
      <c r="S211" s="563">
        <v>0</v>
      </c>
      <c r="T211" s="563">
        <v>0</v>
      </c>
      <c r="U211" s="563">
        <v>0</v>
      </c>
      <c r="V211" s="563">
        <v>0</v>
      </c>
      <c r="W211" s="563">
        <v>0</v>
      </c>
      <c r="X211" s="563">
        <v>0</v>
      </c>
      <c r="Y211" s="545">
        <v>0</v>
      </c>
      <c r="Z211" s="581"/>
    </row>
    <row r="212" spans="1:26" x14ac:dyDescent="0.4">
      <c r="A212" s="534" t="s">
        <v>4034</v>
      </c>
      <c r="B212" s="563">
        <v>0</v>
      </c>
      <c r="C212" s="563">
        <v>0</v>
      </c>
      <c r="D212" s="563">
        <v>0</v>
      </c>
      <c r="E212" s="563">
        <v>0</v>
      </c>
      <c r="F212" s="563">
        <v>4372</v>
      </c>
      <c r="G212" s="563">
        <v>0</v>
      </c>
      <c r="H212" s="563">
        <v>0</v>
      </c>
      <c r="I212" s="563">
        <v>4372</v>
      </c>
      <c r="J212" s="563">
        <v>0</v>
      </c>
      <c r="K212" s="563">
        <v>0</v>
      </c>
      <c r="L212" s="563">
        <v>0</v>
      </c>
      <c r="M212" s="563">
        <v>0</v>
      </c>
      <c r="N212" s="563">
        <v>0</v>
      </c>
      <c r="O212" s="563">
        <v>0</v>
      </c>
      <c r="P212" s="563">
        <v>0</v>
      </c>
      <c r="Q212" s="563">
        <v>0</v>
      </c>
      <c r="R212" s="563">
        <v>0</v>
      </c>
      <c r="S212" s="563">
        <v>0</v>
      </c>
      <c r="T212" s="563">
        <v>0</v>
      </c>
      <c r="U212" s="563">
        <v>0</v>
      </c>
      <c r="V212" s="563">
        <v>0</v>
      </c>
      <c r="W212" s="563">
        <v>0</v>
      </c>
      <c r="X212" s="563">
        <v>0</v>
      </c>
      <c r="Y212" s="545">
        <v>0</v>
      </c>
      <c r="Z212" s="581"/>
    </row>
    <row r="213" spans="1:26" x14ac:dyDescent="0.4">
      <c r="A213" s="534" t="s">
        <v>4035</v>
      </c>
      <c r="B213" s="563">
        <v>0</v>
      </c>
      <c r="C213" s="563">
        <v>0</v>
      </c>
      <c r="D213" s="563">
        <v>0</v>
      </c>
      <c r="E213" s="563">
        <v>0</v>
      </c>
      <c r="F213" s="563">
        <v>0</v>
      </c>
      <c r="G213" s="563">
        <v>0</v>
      </c>
      <c r="H213" s="563">
        <v>0</v>
      </c>
      <c r="I213" s="563">
        <v>0</v>
      </c>
      <c r="J213" s="563">
        <v>0</v>
      </c>
      <c r="K213" s="563">
        <v>0</v>
      </c>
      <c r="L213" s="563">
        <v>0</v>
      </c>
      <c r="M213" s="563">
        <v>0</v>
      </c>
      <c r="N213" s="563">
        <v>0</v>
      </c>
      <c r="O213" s="563">
        <v>0</v>
      </c>
      <c r="P213" s="563">
        <v>0</v>
      </c>
      <c r="Q213" s="563">
        <v>0</v>
      </c>
      <c r="R213" s="563">
        <v>0</v>
      </c>
      <c r="S213" s="563">
        <v>0</v>
      </c>
      <c r="T213" s="563">
        <v>0</v>
      </c>
      <c r="U213" s="563">
        <v>0</v>
      </c>
      <c r="V213" s="563">
        <v>0</v>
      </c>
      <c r="W213" s="563">
        <v>0</v>
      </c>
      <c r="X213" s="563">
        <v>0</v>
      </c>
      <c r="Y213" s="545">
        <v>0</v>
      </c>
      <c r="Z213" s="581"/>
    </row>
    <row r="214" spans="1:26" x14ac:dyDescent="0.4">
      <c r="A214" s="564" t="s">
        <v>4036</v>
      </c>
      <c r="B214" s="563">
        <v>0</v>
      </c>
      <c r="C214" s="563">
        <v>0</v>
      </c>
      <c r="D214" s="563">
        <v>0</v>
      </c>
      <c r="E214" s="563">
        <v>0</v>
      </c>
      <c r="F214" s="563">
        <v>0</v>
      </c>
      <c r="G214" s="563">
        <v>0</v>
      </c>
      <c r="H214" s="563">
        <v>0</v>
      </c>
      <c r="I214" s="563">
        <v>0</v>
      </c>
      <c r="J214" s="563">
        <v>0</v>
      </c>
      <c r="K214" s="563">
        <v>0</v>
      </c>
      <c r="L214" s="563">
        <v>0</v>
      </c>
      <c r="M214" s="563">
        <v>0</v>
      </c>
      <c r="N214" s="563">
        <v>0</v>
      </c>
      <c r="O214" s="563">
        <v>0</v>
      </c>
      <c r="P214" s="563">
        <v>0</v>
      </c>
      <c r="Q214" s="563">
        <v>0</v>
      </c>
      <c r="R214" s="563">
        <v>0</v>
      </c>
      <c r="S214" s="563">
        <v>0</v>
      </c>
      <c r="T214" s="563">
        <v>0</v>
      </c>
      <c r="U214" s="563">
        <v>0</v>
      </c>
      <c r="V214" s="563">
        <v>0</v>
      </c>
      <c r="W214" s="563">
        <v>0</v>
      </c>
      <c r="X214" s="563">
        <v>0</v>
      </c>
      <c r="Y214" s="545">
        <v>0</v>
      </c>
      <c r="Z214" s="581"/>
    </row>
    <row r="215" spans="1:26" x14ac:dyDescent="0.4">
      <c r="A215" s="564" t="s">
        <v>4037</v>
      </c>
      <c r="B215" s="563">
        <v>0</v>
      </c>
      <c r="C215" s="563">
        <v>0</v>
      </c>
      <c r="D215" s="563">
        <v>0</v>
      </c>
      <c r="E215" s="563">
        <v>0</v>
      </c>
      <c r="F215" s="563">
        <v>0</v>
      </c>
      <c r="G215" s="563">
        <v>0</v>
      </c>
      <c r="H215" s="563">
        <v>0</v>
      </c>
      <c r="I215" s="563">
        <v>0</v>
      </c>
      <c r="J215" s="563">
        <v>0</v>
      </c>
      <c r="K215" s="563">
        <v>0</v>
      </c>
      <c r="L215" s="563">
        <v>0</v>
      </c>
      <c r="M215" s="563">
        <v>0</v>
      </c>
      <c r="N215" s="563">
        <v>0</v>
      </c>
      <c r="O215" s="563">
        <v>0</v>
      </c>
      <c r="P215" s="563">
        <v>0</v>
      </c>
      <c r="Q215" s="563">
        <v>0</v>
      </c>
      <c r="R215" s="563">
        <v>0</v>
      </c>
      <c r="S215" s="563">
        <v>0</v>
      </c>
      <c r="T215" s="563">
        <v>0</v>
      </c>
      <c r="U215" s="563">
        <v>0</v>
      </c>
      <c r="V215" s="563">
        <v>0</v>
      </c>
      <c r="W215" s="563">
        <v>0</v>
      </c>
      <c r="X215" s="563">
        <v>0</v>
      </c>
      <c r="Y215" s="545">
        <v>0</v>
      </c>
      <c r="Z215" s="581"/>
    </row>
    <row r="216" spans="1:26" x14ac:dyDescent="0.4">
      <c r="A216" s="564" t="s">
        <v>4038</v>
      </c>
      <c r="B216" s="563">
        <v>0</v>
      </c>
      <c r="C216" s="563">
        <v>0</v>
      </c>
      <c r="D216" s="563">
        <v>0</v>
      </c>
      <c r="E216" s="563">
        <v>0</v>
      </c>
      <c r="F216" s="563">
        <v>0</v>
      </c>
      <c r="G216" s="563">
        <v>0</v>
      </c>
      <c r="H216" s="563">
        <v>0</v>
      </c>
      <c r="I216" s="563">
        <v>0</v>
      </c>
      <c r="J216" s="563">
        <v>0</v>
      </c>
      <c r="K216" s="563">
        <v>0</v>
      </c>
      <c r="L216" s="563">
        <v>0</v>
      </c>
      <c r="M216" s="563">
        <v>0</v>
      </c>
      <c r="N216" s="563">
        <v>0</v>
      </c>
      <c r="O216" s="563">
        <v>0</v>
      </c>
      <c r="P216" s="563">
        <v>0</v>
      </c>
      <c r="Q216" s="563">
        <v>0</v>
      </c>
      <c r="R216" s="563">
        <v>0</v>
      </c>
      <c r="S216" s="563">
        <v>0</v>
      </c>
      <c r="T216" s="563">
        <v>0</v>
      </c>
      <c r="U216" s="563">
        <v>0</v>
      </c>
      <c r="V216" s="563">
        <v>0</v>
      </c>
      <c r="W216" s="563">
        <v>0</v>
      </c>
      <c r="X216" s="563">
        <v>0</v>
      </c>
      <c r="Y216" s="545">
        <v>0</v>
      </c>
      <c r="Z216" s="581"/>
    </row>
    <row r="217" spans="1:26" x14ac:dyDescent="0.4">
      <c r="A217" s="564" t="s">
        <v>4039</v>
      </c>
      <c r="B217" s="563">
        <v>0</v>
      </c>
      <c r="C217" s="563">
        <v>0</v>
      </c>
      <c r="D217" s="563">
        <v>0</v>
      </c>
      <c r="E217" s="563">
        <v>0</v>
      </c>
      <c r="F217" s="563">
        <v>0</v>
      </c>
      <c r="G217" s="563">
        <v>0</v>
      </c>
      <c r="H217" s="563">
        <v>0</v>
      </c>
      <c r="I217" s="563">
        <v>0</v>
      </c>
      <c r="J217" s="563">
        <v>0</v>
      </c>
      <c r="K217" s="563">
        <v>0</v>
      </c>
      <c r="L217" s="563">
        <v>0</v>
      </c>
      <c r="M217" s="563">
        <v>0</v>
      </c>
      <c r="N217" s="563">
        <v>0</v>
      </c>
      <c r="O217" s="563">
        <v>0</v>
      </c>
      <c r="P217" s="563">
        <v>0</v>
      </c>
      <c r="Q217" s="563">
        <v>0</v>
      </c>
      <c r="R217" s="563">
        <v>0</v>
      </c>
      <c r="S217" s="563">
        <v>0</v>
      </c>
      <c r="T217" s="563">
        <v>0</v>
      </c>
      <c r="U217" s="563">
        <v>0</v>
      </c>
      <c r="V217" s="563">
        <v>0</v>
      </c>
      <c r="W217" s="563">
        <v>0</v>
      </c>
      <c r="X217" s="563">
        <v>0</v>
      </c>
      <c r="Y217" s="545">
        <v>0</v>
      </c>
      <c r="Z217" s="581"/>
    </row>
    <row r="218" spans="1:26" x14ac:dyDescent="0.4">
      <c r="A218" s="564" t="s">
        <v>4040</v>
      </c>
      <c r="B218" s="563">
        <v>0</v>
      </c>
      <c r="C218" s="563">
        <v>0</v>
      </c>
      <c r="D218" s="563">
        <v>0</v>
      </c>
      <c r="E218" s="563">
        <v>0</v>
      </c>
      <c r="F218" s="563">
        <v>0</v>
      </c>
      <c r="G218" s="563">
        <v>0</v>
      </c>
      <c r="H218" s="563">
        <v>0</v>
      </c>
      <c r="I218" s="563">
        <v>0</v>
      </c>
      <c r="J218" s="563">
        <v>0</v>
      </c>
      <c r="K218" s="563">
        <v>0</v>
      </c>
      <c r="L218" s="563">
        <v>0</v>
      </c>
      <c r="M218" s="563">
        <v>0</v>
      </c>
      <c r="N218" s="563">
        <v>0</v>
      </c>
      <c r="O218" s="563">
        <v>0</v>
      </c>
      <c r="P218" s="563">
        <v>0</v>
      </c>
      <c r="Q218" s="563">
        <v>0</v>
      </c>
      <c r="R218" s="563">
        <v>0</v>
      </c>
      <c r="S218" s="563">
        <v>0</v>
      </c>
      <c r="T218" s="563">
        <v>0</v>
      </c>
      <c r="U218" s="563">
        <v>0</v>
      </c>
      <c r="V218" s="563">
        <v>0</v>
      </c>
      <c r="W218" s="563">
        <v>0</v>
      </c>
      <c r="X218" s="563">
        <v>0</v>
      </c>
      <c r="Y218" s="545">
        <v>0</v>
      </c>
      <c r="Z218" s="581"/>
    </row>
    <row r="219" spans="1:26" x14ac:dyDescent="0.4">
      <c r="A219" s="564" t="s">
        <v>4041</v>
      </c>
      <c r="B219" s="563">
        <v>0</v>
      </c>
      <c r="C219" s="563">
        <v>0</v>
      </c>
      <c r="D219" s="563">
        <v>0</v>
      </c>
      <c r="E219" s="563">
        <v>0</v>
      </c>
      <c r="F219" s="563">
        <v>0</v>
      </c>
      <c r="G219" s="563">
        <v>0</v>
      </c>
      <c r="H219" s="563">
        <v>0</v>
      </c>
      <c r="I219" s="563">
        <v>0</v>
      </c>
      <c r="J219" s="563">
        <v>0</v>
      </c>
      <c r="K219" s="563">
        <v>0</v>
      </c>
      <c r="L219" s="563">
        <v>0</v>
      </c>
      <c r="M219" s="563">
        <v>0</v>
      </c>
      <c r="N219" s="563">
        <v>0</v>
      </c>
      <c r="O219" s="563">
        <v>0</v>
      </c>
      <c r="P219" s="563">
        <v>0</v>
      </c>
      <c r="Q219" s="563">
        <v>0</v>
      </c>
      <c r="R219" s="563">
        <v>0</v>
      </c>
      <c r="S219" s="563">
        <v>0</v>
      </c>
      <c r="T219" s="563">
        <v>0</v>
      </c>
      <c r="U219" s="563">
        <v>0</v>
      </c>
      <c r="V219" s="563">
        <v>0</v>
      </c>
      <c r="W219" s="563">
        <v>0</v>
      </c>
      <c r="X219" s="563">
        <v>0</v>
      </c>
      <c r="Y219" s="545">
        <v>0</v>
      </c>
      <c r="Z219" s="581"/>
    </row>
    <row r="220" spans="1:26" x14ac:dyDescent="0.4">
      <c r="A220" s="534" t="s">
        <v>4042</v>
      </c>
      <c r="B220" s="563">
        <v>0</v>
      </c>
      <c r="C220" s="563">
        <v>0</v>
      </c>
      <c r="D220" s="563">
        <v>0</v>
      </c>
      <c r="E220" s="563">
        <v>0</v>
      </c>
      <c r="F220" s="563">
        <v>0</v>
      </c>
      <c r="G220" s="563">
        <v>0</v>
      </c>
      <c r="H220" s="563">
        <v>0</v>
      </c>
      <c r="I220" s="563">
        <v>0</v>
      </c>
      <c r="J220" s="563">
        <v>0</v>
      </c>
      <c r="K220" s="563">
        <v>0</v>
      </c>
      <c r="L220" s="563">
        <v>0</v>
      </c>
      <c r="M220" s="563">
        <v>0</v>
      </c>
      <c r="N220" s="563">
        <v>0</v>
      </c>
      <c r="O220" s="563">
        <v>0</v>
      </c>
      <c r="P220" s="563">
        <v>0</v>
      </c>
      <c r="Q220" s="563">
        <v>0</v>
      </c>
      <c r="R220" s="563">
        <v>0</v>
      </c>
      <c r="S220" s="563">
        <v>0</v>
      </c>
      <c r="T220" s="563">
        <v>0</v>
      </c>
      <c r="U220" s="563">
        <v>0</v>
      </c>
      <c r="V220" s="563">
        <v>0</v>
      </c>
      <c r="W220" s="563">
        <v>0</v>
      </c>
      <c r="X220" s="563">
        <v>0</v>
      </c>
      <c r="Y220" s="545">
        <v>0</v>
      </c>
      <c r="Z220" s="581"/>
    </row>
    <row r="221" spans="1:26" x14ac:dyDescent="0.4">
      <c r="A221" s="564" t="s">
        <v>4043</v>
      </c>
      <c r="B221" s="563">
        <v>0</v>
      </c>
      <c r="C221" s="563">
        <v>0</v>
      </c>
      <c r="D221" s="563">
        <v>0</v>
      </c>
      <c r="E221" s="563">
        <v>0</v>
      </c>
      <c r="F221" s="563">
        <v>0</v>
      </c>
      <c r="G221" s="563">
        <v>0</v>
      </c>
      <c r="H221" s="563">
        <v>0</v>
      </c>
      <c r="I221" s="563">
        <v>0</v>
      </c>
      <c r="J221" s="563">
        <v>0</v>
      </c>
      <c r="K221" s="563">
        <v>0</v>
      </c>
      <c r="L221" s="563">
        <v>0</v>
      </c>
      <c r="M221" s="563">
        <v>0</v>
      </c>
      <c r="N221" s="563">
        <v>0</v>
      </c>
      <c r="O221" s="563">
        <v>0</v>
      </c>
      <c r="P221" s="563">
        <v>0</v>
      </c>
      <c r="Q221" s="563">
        <v>0</v>
      </c>
      <c r="R221" s="563">
        <v>0</v>
      </c>
      <c r="S221" s="563">
        <v>0</v>
      </c>
      <c r="T221" s="563">
        <v>0</v>
      </c>
      <c r="U221" s="563">
        <v>0</v>
      </c>
      <c r="V221" s="563">
        <v>0</v>
      </c>
      <c r="W221" s="563">
        <v>0</v>
      </c>
      <c r="X221" s="563">
        <v>0</v>
      </c>
      <c r="Y221" s="545">
        <v>0</v>
      </c>
      <c r="Z221" s="581"/>
    </row>
    <row r="222" spans="1:26" x14ac:dyDescent="0.4">
      <c r="A222" s="564" t="s">
        <v>4044</v>
      </c>
      <c r="B222" s="563">
        <v>99588</v>
      </c>
      <c r="C222" s="563">
        <v>0</v>
      </c>
      <c r="D222" s="563">
        <v>0</v>
      </c>
      <c r="E222" s="563">
        <v>99588</v>
      </c>
      <c r="F222" s="563">
        <v>246099</v>
      </c>
      <c r="G222" s="563">
        <v>0</v>
      </c>
      <c r="H222" s="563">
        <v>223916</v>
      </c>
      <c r="I222" s="563">
        <v>470015</v>
      </c>
      <c r="J222" s="563">
        <v>7904</v>
      </c>
      <c r="K222" s="563">
        <v>0</v>
      </c>
      <c r="L222" s="563">
        <v>15441</v>
      </c>
      <c r="M222" s="563">
        <v>23345</v>
      </c>
      <c r="N222" s="563">
        <v>0</v>
      </c>
      <c r="O222" s="563">
        <v>0</v>
      </c>
      <c r="P222" s="563">
        <v>0</v>
      </c>
      <c r="Q222" s="563">
        <v>0</v>
      </c>
      <c r="R222" s="563">
        <v>0</v>
      </c>
      <c r="S222" s="563">
        <v>0</v>
      </c>
      <c r="T222" s="563">
        <v>0</v>
      </c>
      <c r="U222" s="563">
        <v>0</v>
      </c>
      <c r="V222" s="563">
        <v>0</v>
      </c>
      <c r="W222" s="563">
        <v>0</v>
      </c>
      <c r="X222" s="563">
        <v>0</v>
      </c>
      <c r="Y222" s="545">
        <v>0</v>
      </c>
      <c r="Z222" s="581"/>
    </row>
    <row r="223" spans="1:26" x14ac:dyDescent="0.4">
      <c r="A223" s="564" t="s">
        <v>4045</v>
      </c>
      <c r="B223" s="563">
        <v>0</v>
      </c>
      <c r="C223" s="581">
        <v>0</v>
      </c>
      <c r="D223" s="581">
        <v>0</v>
      </c>
      <c r="E223" s="581">
        <v>0</v>
      </c>
      <c r="F223" s="581">
        <v>0</v>
      </c>
      <c r="G223" s="581">
        <v>0</v>
      </c>
      <c r="H223" s="581">
        <v>0</v>
      </c>
      <c r="I223" s="581">
        <v>0</v>
      </c>
      <c r="J223" s="581">
        <v>0</v>
      </c>
      <c r="K223" s="581">
        <v>0</v>
      </c>
      <c r="L223" s="581">
        <v>0</v>
      </c>
      <c r="M223" s="581">
        <v>0</v>
      </c>
      <c r="N223" s="581">
        <v>0</v>
      </c>
      <c r="O223" s="581">
        <v>0</v>
      </c>
      <c r="P223" s="581">
        <v>0</v>
      </c>
      <c r="Q223" s="581">
        <v>0</v>
      </c>
      <c r="R223" s="581">
        <v>0</v>
      </c>
      <c r="S223" s="581">
        <v>0</v>
      </c>
      <c r="T223" s="581">
        <v>0</v>
      </c>
      <c r="U223" s="581">
        <v>0</v>
      </c>
      <c r="V223" s="581">
        <v>0</v>
      </c>
      <c r="W223" s="581">
        <v>0</v>
      </c>
      <c r="X223" s="581">
        <v>0</v>
      </c>
      <c r="Y223" s="582">
        <v>0</v>
      </c>
      <c r="Z223" s="581"/>
    </row>
    <row r="224" spans="1:26" x14ac:dyDescent="0.4">
      <c r="A224" s="564" t="s">
        <v>3979</v>
      </c>
      <c r="B224" s="563">
        <v>0</v>
      </c>
      <c r="C224" s="581">
        <v>0</v>
      </c>
      <c r="D224" s="581">
        <v>0</v>
      </c>
      <c r="E224" s="581">
        <v>0</v>
      </c>
      <c r="F224" s="581">
        <v>0</v>
      </c>
      <c r="G224" s="581">
        <v>0</v>
      </c>
      <c r="H224" s="581">
        <v>0</v>
      </c>
      <c r="I224" s="581">
        <v>0</v>
      </c>
      <c r="J224" s="581">
        <v>0</v>
      </c>
      <c r="K224" s="581">
        <v>0</v>
      </c>
      <c r="L224" s="581">
        <v>0</v>
      </c>
      <c r="M224" s="581">
        <v>0</v>
      </c>
      <c r="N224" s="581">
        <v>0</v>
      </c>
      <c r="O224" s="581">
        <v>0</v>
      </c>
      <c r="P224" s="581">
        <v>0</v>
      </c>
      <c r="Q224" s="581">
        <v>0</v>
      </c>
      <c r="R224" s="581">
        <v>0</v>
      </c>
      <c r="S224" s="581">
        <v>0</v>
      </c>
      <c r="T224" s="581">
        <v>0</v>
      </c>
      <c r="U224" s="581">
        <v>0</v>
      </c>
      <c r="V224" s="581">
        <v>0</v>
      </c>
      <c r="W224" s="581">
        <v>0</v>
      </c>
      <c r="X224" s="583">
        <v>0</v>
      </c>
      <c r="Y224" s="584">
        <v>0</v>
      </c>
      <c r="Z224" s="592">
        <f>SUM(Y224,U224,Q224,M224,I224,E224)</f>
        <v>0</v>
      </c>
    </row>
    <row r="225" spans="1:26" ht="16.5" thickBot="1" x14ac:dyDescent="0.45">
      <c r="A225" s="566" t="s">
        <v>19</v>
      </c>
      <c r="B225" s="345"/>
      <c r="C225" s="585"/>
      <c r="D225" s="586"/>
      <c r="E225" s="587">
        <v>99588</v>
      </c>
      <c r="F225" s="585"/>
      <c r="G225" s="585"/>
      <c r="H225" s="586"/>
      <c r="I225" s="587">
        <v>474387</v>
      </c>
      <c r="J225" s="585"/>
      <c r="K225" s="585"/>
      <c r="L225" s="586"/>
      <c r="M225" s="587">
        <v>23345</v>
      </c>
      <c r="N225" s="585"/>
      <c r="O225" s="585"/>
      <c r="P225" s="586"/>
      <c r="Q225" s="587">
        <v>0</v>
      </c>
      <c r="R225" s="585"/>
      <c r="S225" s="585"/>
      <c r="T225" s="586"/>
      <c r="U225" s="587">
        <v>0</v>
      </c>
      <c r="V225" s="585"/>
      <c r="W225" s="585"/>
      <c r="X225" s="586"/>
      <c r="Y225" s="588">
        <v>0</v>
      </c>
      <c r="Z225" s="567">
        <f>E225+I225+M225+Q225+U225+Y225</f>
        <v>597320</v>
      </c>
    </row>
    <row r="226" spans="1:26" x14ac:dyDescent="0.4">
      <c r="A226" s="484" t="s">
        <v>11</v>
      </c>
      <c r="D226" s="321"/>
      <c r="G226" s="321"/>
      <c r="J226" s="321"/>
      <c r="M226" s="321"/>
      <c r="P226" s="321"/>
      <c r="S226" s="321"/>
    </row>
    <row r="228" spans="1:26" x14ac:dyDescent="0.4">
      <c r="A228" s="4" t="s">
        <v>4181</v>
      </c>
    </row>
    <row r="229" spans="1:26" x14ac:dyDescent="0.4">
      <c r="A229" s="336" t="s">
        <v>212</v>
      </c>
      <c r="B229" s="338" t="s">
        <v>4182</v>
      </c>
      <c r="C229" s="338" t="s">
        <v>4183</v>
      </c>
      <c r="D229" s="338" t="s">
        <v>4184</v>
      </c>
      <c r="E229" s="338" t="s">
        <v>4148</v>
      </c>
      <c r="F229" s="338" t="s">
        <v>4185</v>
      </c>
      <c r="G229" s="338" t="s">
        <v>4186</v>
      </c>
      <c r="H229" s="338" t="s">
        <v>4187</v>
      </c>
      <c r="I229" s="338" t="s">
        <v>4150</v>
      </c>
      <c r="J229" s="338" t="s">
        <v>4188</v>
      </c>
      <c r="K229" s="338" t="s">
        <v>4189</v>
      </c>
      <c r="L229" s="338" t="s">
        <v>4190</v>
      </c>
      <c r="M229" s="338" t="s">
        <v>4151</v>
      </c>
      <c r="N229" s="338" t="s">
        <v>4191</v>
      </c>
      <c r="O229" s="338" t="s">
        <v>4192</v>
      </c>
      <c r="P229" s="338" t="s">
        <v>4193</v>
      </c>
      <c r="Q229" s="338" t="s">
        <v>4152</v>
      </c>
      <c r="R229" s="338" t="s">
        <v>4194</v>
      </c>
      <c r="S229" s="338" t="s">
        <v>4195</v>
      </c>
      <c r="T229" s="338" t="s">
        <v>4196</v>
      </c>
      <c r="U229" s="338" t="s">
        <v>4153</v>
      </c>
      <c r="V229" s="338" t="s">
        <v>4197</v>
      </c>
      <c r="W229" s="338" t="s">
        <v>4198</v>
      </c>
      <c r="X229" s="338" t="s">
        <v>4199</v>
      </c>
      <c r="Y229" s="338" t="s">
        <v>4154</v>
      </c>
      <c r="Z229" s="338" t="s">
        <v>55</v>
      </c>
    </row>
    <row r="230" spans="1:26" x14ac:dyDescent="0.4">
      <c r="A230" s="589" t="s">
        <v>4028</v>
      </c>
      <c r="B230" s="581">
        <v>0</v>
      </c>
      <c r="C230" s="581">
        <v>0</v>
      </c>
      <c r="D230" s="581">
        <v>0</v>
      </c>
      <c r="E230" s="581">
        <v>0</v>
      </c>
      <c r="F230" s="581">
        <v>0</v>
      </c>
      <c r="G230" s="581">
        <v>0</v>
      </c>
      <c r="H230" s="581">
        <v>0</v>
      </c>
      <c r="I230" s="581">
        <v>0</v>
      </c>
      <c r="J230" s="581">
        <v>0</v>
      </c>
      <c r="K230" s="581">
        <v>0</v>
      </c>
      <c r="L230" s="581">
        <v>0</v>
      </c>
      <c r="M230" s="581">
        <v>0</v>
      </c>
      <c r="N230" s="581">
        <v>0</v>
      </c>
      <c r="O230" s="581">
        <v>0</v>
      </c>
      <c r="P230" s="581">
        <v>0</v>
      </c>
      <c r="Q230" s="581">
        <v>0</v>
      </c>
      <c r="R230" s="581">
        <v>0</v>
      </c>
      <c r="S230" s="581">
        <v>0</v>
      </c>
      <c r="T230" s="581">
        <v>0</v>
      </c>
      <c r="U230" s="581">
        <v>0</v>
      </c>
      <c r="V230" s="581">
        <v>0</v>
      </c>
      <c r="W230" s="581">
        <v>0</v>
      </c>
      <c r="X230" s="581">
        <v>0</v>
      </c>
      <c r="Y230" s="590">
        <v>0</v>
      </c>
      <c r="Z230" s="581"/>
    </row>
    <row r="231" spans="1:26" x14ac:dyDescent="0.4">
      <c r="A231" s="591" t="s">
        <v>4029</v>
      </c>
      <c r="B231" s="581">
        <v>65699</v>
      </c>
      <c r="C231" s="581">
        <v>0</v>
      </c>
      <c r="D231" s="581">
        <v>0</v>
      </c>
      <c r="E231" s="581">
        <v>65699</v>
      </c>
      <c r="F231" s="581">
        <v>0</v>
      </c>
      <c r="G231" s="581">
        <v>0</v>
      </c>
      <c r="H231" s="581">
        <v>0</v>
      </c>
      <c r="I231" s="581">
        <v>0</v>
      </c>
      <c r="J231" s="581">
        <v>39374</v>
      </c>
      <c r="K231" s="581">
        <v>0</v>
      </c>
      <c r="L231" s="581">
        <v>0</v>
      </c>
      <c r="M231" s="581">
        <v>39374</v>
      </c>
      <c r="N231" s="581">
        <v>0</v>
      </c>
      <c r="O231" s="581">
        <v>0</v>
      </c>
      <c r="P231" s="581">
        <v>0</v>
      </c>
      <c r="Q231" s="581">
        <v>0</v>
      </c>
      <c r="R231" s="581">
        <v>0</v>
      </c>
      <c r="S231" s="581">
        <v>0</v>
      </c>
      <c r="T231" s="581">
        <v>0</v>
      </c>
      <c r="U231" s="581">
        <v>0</v>
      </c>
      <c r="V231" s="581">
        <v>0</v>
      </c>
      <c r="W231" s="581">
        <v>0</v>
      </c>
      <c r="X231" s="581">
        <v>0</v>
      </c>
      <c r="Y231" s="590">
        <v>0</v>
      </c>
      <c r="Z231" s="581"/>
    </row>
    <row r="232" spans="1:26" x14ac:dyDescent="0.4">
      <c r="A232" s="591" t="s">
        <v>4030</v>
      </c>
      <c r="B232" s="581">
        <v>0</v>
      </c>
      <c r="C232" s="581">
        <v>0</v>
      </c>
      <c r="D232" s="581">
        <v>0</v>
      </c>
      <c r="E232" s="581">
        <v>0</v>
      </c>
      <c r="F232" s="581">
        <v>0</v>
      </c>
      <c r="G232" s="581">
        <v>0</v>
      </c>
      <c r="H232" s="581">
        <v>0</v>
      </c>
      <c r="I232" s="581">
        <v>0</v>
      </c>
      <c r="J232" s="581">
        <v>0</v>
      </c>
      <c r="K232" s="581">
        <v>0</v>
      </c>
      <c r="L232" s="581">
        <v>0</v>
      </c>
      <c r="M232" s="581">
        <v>0</v>
      </c>
      <c r="N232" s="581">
        <v>0</v>
      </c>
      <c r="O232" s="581">
        <v>0</v>
      </c>
      <c r="P232" s="581">
        <v>0</v>
      </c>
      <c r="Q232" s="581">
        <v>0</v>
      </c>
      <c r="R232" s="581">
        <v>0</v>
      </c>
      <c r="S232" s="581">
        <v>0</v>
      </c>
      <c r="T232" s="581">
        <v>0</v>
      </c>
      <c r="U232" s="581">
        <v>0</v>
      </c>
      <c r="V232" s="581">
        <v>0</v>
      </c>
      <c r="W232" s="581">
        <v>0</v>
      </c>
      <c r="X232" s="581">
        <v>0</v>
      </c>
      <c r="Y232" s="590">
        <v>0</v>
      </c>
      <c r="Z232" s="581"/>
    </row>
    <row r="233" spans="1:26" x14ac:dyDescent="0.4">
      <c r="A233" s="591" t="s">
        <v>4031</v>
      </c>
      <c r="B233" s="581">
        <v>0</v>
      </c>
      <c r="C233" s="581">
        <v>0</v>
      </c>
      <c r="D233" s="581">
        <v>0</v>
      </c>
      <c r="E233" s="581">
        <v>0</v>
      </c>
      <c r="F233" s="581">
        <v>0</v>
      </c>
      <c r="G233" s="581">
        <v>0</v>
      </c>
      <c r="H233" s="581">
        <v>0</v>
      </c>
      <c r="I233" s="581">
        <v>0</v>
      </c>
      <c r="J233" s="581">
        <v>0</v>
      </c>
      <c r="K233" s="581">
        <v>0</v>
      </c>
      <c r="L233" s="581">
        <v>0</v>
      </c>
      <c r="M233" s="581">
        <v>0</v>
      </c>
      <c r="N233" s="581">
        <v>0</v>
      </c>
      <c r="O233" s="581">
        <v>0</v>
      </c>
      <c r="P233" s="581">
        <v>0</v>
      </c>
      <c r="Q233" s="581">
        <v>0</v>
      </c>
      <c r="R233" s="581">
        <v>0</v>
      </c>
      <c r="S233" s="581">
        <v>0</v>
      </c>
      <c r="T233" s="581">
        <v>0</v>
      </c>
      <c r="U233" s="581">
        <v>0</v>
      </c>
      <c r="V233" s="581">
        <v>0</v>
      </c>
      <c r="W233" s="581">
        <v>0</v>
      </c>
      <c r="X233" s="581">
        <v>0</v>
      </c>
      <c r="Y233" s="590">
        <v>0</v>
      </c>
      <c r="Z233" s="581"/>
    </row>
    <row r="234" spans="1:26" x14ac:dyDescent="0.4">
      <c r="A234" s="591" t="s">
        <v>4032</v>
      </c>
      <c r="B234" s="581">
        <v>0</v>
      </c>
      <c r="C234" s="581">
        <v>0</v>
      </c>
      <c r="D234" s="581">
        <v>0</v>
      </c>
      <c r="E234" s="581">
        <v>0</v>
      </c>
      <c r="F234" s="581">
        <v>0</v>
      </c>
      <c r="G234" s="581">
        <v>0</v>
      </c>
      <c r="H234" s="581">
        <v>0</v>
      </c>
      <c r="I234" s="581">
        <v>0</v>
      </c>
      <c r="J234" s="581">
        <v>0</v>
      </c>
      <c r="K234" s="581">
        <v>0</v>
      </c>
      <c r="L234" s="581">
        <v>0</v>
      </c>
      <c r="M234" s="581">
        <v>0</v>
      </c>
      <c r="N234" s="581">
        <v>0</v>
      </c>
      <c r="O234" s="581">
        <v>0</v>
      </c>
      <c r="P234" s="581">
        <v>0</v>
      </c>
      <c r="Q234" s="581">
        <v>0</v>
      </c>
      <c r="R234" s="581">
        <v>0</v>
      </c>
      <c r="S234" s="581">
        <v>0</v>
      </c>
      <c r="T234" s="581">
        <v>0</v>
      </c>
      <c r="U234" s="581">
        <v>0</v>
      </c>
      <c r="V234" s="581">
        <v>0</v>
      </c>
      <c r="W234" s="581">
        <v>0</v>
      </c>
      <c r="X234" s="581">
        <v>0</v>
      </c>
      <c r="Y234" s="590">
        <v>0</v>
      </c>
      <c r="Z234" s="581"/>
    </row>
    <row r="235" spans="1:26" x14ac:dyDescent="0.4">
      <c r="A235" s="591" t="s">
        <v>4033</v>
      </c>
      <c r="B235" s="581">
        <v>0</v>
      </c>
      <c r="C235" s="581">
        <v>0</v>
      </c>
      <c r="D235" s="581">
        <v>0</v>
      </c>
      <c r="E235" s="581">
        <v>0</v>
      </c>
      <c r="F235" s="581">
        <v>0</v>
      </c>
      <c r="G235" s="581">
        <v>0</v>
      </c>
      <c r="H235" s="581">
        <v>0</v>
      </c>
      <c r="I235" s="581">
        <v>0</v>
      </c>
      <c r="J235" s="581">
        <v>0</v>
      </c>
      <c r="K235" s="581">
        <v>0</v>
      </c>
      <c r="L235" s="581">
        <v>0</v>
      </c>
      <c r="M235" s="581">
        <v>0</v>
      </c>
      <c r="N235" s="581">
        <v>0</v>
      </c>
      <c r="O235" s="581">
        <v>0</v>
      </c>
      <c r="P235" s="581">
        <v>0</v>
      </c>
      <c r="Q235" s="581">
        <v>0</v>
      </c>
      <c r="R235" s="581">
        <v>0</v>
      </c>
      <c r="S235" s="581">
        <v>0</v>
      </c>
      <c r="T235" s="581">
        <v>0</v>
      </c>
      <c r="U235" s="581">
        <v>0</v>
      </c>
      <c r="V235" s="581">
        <v>0</v>
      </c>
      <c r="W235" s="581">
        <v>0</v>
      </c>
      <c r="X235" s="581">
        <v>0</v>
      </c>
      <c r="Y235" s="590">
        <v>0</v>
      </c>
      <c r="Z235" s="581"/>
    </row>
    <row r="236" spans="1:26" x14ac:dyDescent="0.4">
      <c r="A236" s="589" t="s">
        <v>4034</v>
      </c>
      <c r="B236" s="581">
        <v>5642</v>
      </c>
      <c r="C236" s="581">
        <v>0</v>
      </c>
      <c r="D236" s="581">
        <v>0</v>
      </c>
      <c r="E236" s="581">
        <v>5642</v>
      </c>
      <c r="F236" s="581">
        <v>2155510</v>
      </c>
      <c r="G236" s="581">
        <v>1184144</v>
      </c>
      <c r="H236" s="581">
        <v>0</v>
      </c>
      <c r="I236" s="581">
        <v>3339654</v>
      </c>
      <c r="J236" s="581">
        <v>182508</v>
      </c>
      <c r="K236" s="581">
        <v>0</v>
      </c>
      <c r="L236" s="581">
        <v>0</v>
      </c>
      <c r="M236" s="581">
        <v>182508</v>
      </c>
      <c r="N236" s="581">
        <v>0</v>
      </c>
      <c r="O236" s="581">
        <v>0</v>
      </c>
      <c r="P236" s="581">
        <v>0</v>
      </c>
      <c r="Q236" s="581">
        <v>0</v>
      </c>
      <c r="R236" s="581">
        <v>0</v>
      </c>
      <c r="S236" s="581">
        <v>0</v>
      </c>
      <c r="T236" s="581">
        <v>0</v>
      </c>
      <c r="U236" s="581">
        <v>0</v>
      </c>
      <c r="V236" s="581">
        <v>12195</v>
      </c>
      <c r="W236" s="581">
        <v>0</v>
      </c>
      <c r="X236" s="581">
        <v>0</v>
      </c>
      <c r="Y236" s="590">
        <v>12195</v>
      </c>
      <c r="Z236" s="581"/>
    </row>
    <row r="237" spans="1:26" x14ac:dyDescent="0.4">
      <c r="A237" s="589" t="s">
        <v>4035</v>
      </c>
      <c r="B237" s="581">
        <v>0</v>
      </c>
      <c r="C237" s="581">
        <v>0</v>
      </c>
      <c r="D237" s="581">
        <v>0</v>
      </c>
      <c r="E237" s="581">
        <v>0</v>
      </c>
      <c r="F237" s="581">
        <v>0</v>
      </c>
      <c r="G237" s="581">
        <v>0</v>
      </c>
      <c r="H237" s="581">
        <v>0</v>
      </c>
      <c r="I237" s="581">
        <v>0</v>
      </c>
      <c r="J237" s="581">
        <v>0</v>
      </c>
      <c r="K237" s="581">
        <v>0</v>
      </c>
      <c r="L237" s="581">
        <v>0</v>
      </c>
      <c r="M237" s="581">
        <v>0</v>
      </c>
      <c r="N237" s="581">
        <v>0</v>
      </c>
      <c r="O237" s="581">
        <v>0</v>
      </c>
      <c r="P237" s="581">
        <v>0</v>
      </c>
      <c r="Q237" s="581">
        <v>0</v>
      </c>
      <c r="R237" s="581">
        <v>0</v>
      </c>
      <c r="S237" s="581">
        <v>0</v>
      </c>
      <c r="T237" s="581">
        <v>0</v>
      </c>
      <c r="U237" s="581">
        <v>0</v>
      </c>
      <c r="V237" s="581">
        <v>0</v>
      </c>
      <c r="W237" s="581">
        <v>0</v>
      </c>
      <c r="X237" s="581">
        <v>0</v>
      </c>
      <c r="Y237" s="590">
        <v>0</v>
      </c>
      <c r="Z237" s="581"/>
    </row>
    <row r="238" spans="1:26" x14ac:dyDescent="0.4">
      <c r="A238" s="591" t="s">
        <v>4036</v>
      </c>
      <c r="B238" s="581">
        <v>0</v>
      </c>
      <c r="C238" s="581">
        <v>0</v>
      </c>
      <c r="D238" s="581">
        <v>0</v>
      </c>
      <c r="E238" s="581">
        <v>0</v>
      </c>
      <c r="F238" s="581">
        <v>0</v>
      </c>
      <c r="G238" s="581">
        <v>0</v>
      </c>
      <c r="H238" s="581">
        <v>0</v>
      </c>
      <c r="I238" s="581">
        <v>0</v>
      </c>
      <c r="J238" s="581">
        <v>0</v>
      </c>
      <c r="K238" s="581">
        <v>0</v>
      </c>
      <c r="L238" s="581">
        <v>0</v>
      </c>
      <c r="M238" s="581">
        <v>0</v>
      </c>
      <c r="N238" s="581">
        <v>0</v>
      </c>
      <c r="O238" s="581">
        <v>0</v>
      </c>
      <c r="P238" s="581">
        <v>0</v>
      </c>
      <c r="Q238" s="581">
        <v>0</v>
      </c>
      <c r="R238" s="581">
        <v>0</v>
      </c>
      <c r="S238" s="581">
        <v>0</v>
      </c>
      <c r="T238" s="581">
        <v>0</v>
      </c>
      <c r="U238" s="581">
        <v>0</v>
      </c>
      <c r="V238" s="581">
        <v>0</v>
      </c>
      <c r="W238" s="581">
        <v>0</v>
      </c>
      <c r="X238" s="581">
        <v>0</v>
      </c>
      <c r="Y238" s="590">
        <v>0</v>
      </c>
      <c r="Z238" s="581"/>
    </row>
    <row r="239" spans="1:26" x14ac:dyDescent="0.4">
      <c r="A239" s="591" t="s">
        <v>4037</v>
      </c>
      <c r="B239" s="581">
        <v>32058</v>
      </c>
      <c r="C239" s="581">
        <v>0</v>
      </c>
      <c r="D239" s="581">
        <v>0</v>
      </c>
      <c r="E239" s="581">
        <v>32058</v>
      </c>
      <c r="F239" s="581">
        <v>20809</v>
      </c>
      <c r="G239" s="581">
        <v>0</v>
      </c>
      <c r="H239" s="581">
        <v>0</v>
      </c>
      <c r="I239" s="581">
        <v>20809</v>
      </c>
      <c r="J239" s="581">
        <v>0</v>
      </c>
      <c r="K239" s="581">
        <v>0</v>
      </c>
      <c r="L239" s="581">
        <v>0</v>
      </c>
      <c r="M239" s="581">
        <v>0</v>
      </c>
      <c r="N239" s="581">
        <v>0</v>
      </c>
      <c r="O239" s="581">
        <v>0</v>
      </c>
      <c r="P239" s="581">
        <v>0</v>
      </c>
      <c r="Q239" s="581">
        <v>0</v>
      </c>
      <c r="R239" s="581">
        <v>0</v>
      </c>
      <c r="S239" s="581">
        <v>0</v>
      </c>
      <c r="T239" s="581">
        <v>0</v>
      </c>
      <c r="U239" s="581">
        <v>0</v>
      </c>
      <c r="V239" s="581">
        <v>0</v>
      </c>
      <c r="W239" s="581">
        <v>0</v>
      </c>
      <c r="X239" s="581">
        <v>0</v>
      </c>
      <c r="Y239" s="590">
        <v>0</v>
      </c>
      <c r="Z239" s="581"/>
    </row>
    <row r="240" spans="1:26" x14ac:dyDescent="0.4">
      <c r="A240" s="591" t="s">
        <v>4038</v>
      </c>
      <c r="B240" s="581">
        <v>0</v>
      </c>
      <c r="C240" s="581">
        <v>0</v>
      </c>
      <c r="D240" s="581">
        <v>0</v>
      </c>
      <c r="E240" s="581">
        <v>0</v>
      </c>
      <c r="F240" s="581">
        <v>0</v>
      </c>
      <c r="G240" s="581">
        <v>0</v>
      </c>
      <c r="H240" s="581">
        <v>0</v>
      </c>
      <c r="I240" s="581">
        <v>0</v>
      </c>
      <c r="J240" s="581">
        <v>0</v>
      </c>
      <c r="K240" s="581">
        <v>0</v>
      </c>
      <c r="L240" s="581">
        <v>0</v>
      </c>
      <c r="M240" s="581">
        <v>0</v>
      </c>
      <c r="N240" s="581">
        <v>0</v>
      </c>
      <c r="O240" s="581">
        <v>0</v>
      </c>
      <c r="P240" s="581">
        <v>0</v>
      </c>
      <c r="Q240" s="581">
        <v>0</v>
      </c>
      <c r="R240" s="581">
        <v>0</v>
      </c>
      <c r="S240" s="581">
        <v>0</v>
      </c>
      <c r="T240" s="581">
        <v>0</v>
      </c>
      <c r="U240" s="581">
        <v>0</v>
      </c>
      <c r="V240" s="581">
        <v>0</v>
      </c>
      <c r="W240" s="581">
        <v>0</v>
      </c>
      <c r="X240" s="581">
        <v>0</v>
      </c>
      <c r="Y240" s="590">
        <v>0</v>
      </c>
      <c r="Z240" s="581"/>
    </row>
    <row r="241" spans="1:27" x14ac:dyDescent="0.4">
      <c r="A241" s="591" t="s">
        <v>4039</v>
      </c>
      <c r="B241" s="581">
        <v>0</v>
      </c>
      <c r="C241" s="581">
        <v>0</v>
      </c>
      <c r="D241" s="581">
        <v>0</v>
      </c>
      <c r="E241" s="581">
        <v>0</v>
      </c>
      <c r="F241" s="581">
        <v>0</v>
      </c>
      <c r="G241" s="581">
        <v>0</v>
      </c>
      <c r="H241" s="581">
        <v>0</v>
      </c>
      <c r="I241" s="581">
        <v>0</v>
      </c>
      <c r="J241" s="581">
        <v>0</v>
      </c>
      <c r="K241" s="581">
        <v>0</v>
      </c>
      <c r="L241" s="581">
        <v>0</v>
      </c>
      <c r="M241" s="581">
        <v>0</v>
      </c>
      <c r="N241" s="581">
        <v>0</v>
      </c>
      <c r="O241" s="581">
        <v>0</v>
      </c>
      <c r="P241" s="581">
        <v>0</v>
      </c>
      <c r="Q241" s="581">
        <v>0</v>
      </c>
      <c r="R241" s="581">
        <v>0</v>
      </c>
      <c r="S241" s="581">
        <v>0</v>
      </c>
      <c r="T241" s="581">
        <v>0</v>
      </c>
      <c r="U241" s="581">
        <v>0</v>
      </c>
      <c r="V241" s="581">
        <v>0</v>
      </c>
      <c r="W241" s="581">
        <v>0</v>
      </c>
      <c r="X241" s="581">
        <v>0</v>
      </c>
      <c r="Y241" s="590">
        <v>0</v>
      </c>
      <c r="Z241" s="581"/>
    </row>
    <row r="242" spans="1:27" x14ac:dyDescent="0.4">
      <c r="A242" s="591" t="s">
        <v>4040</v>
      </c>
      <c r="B242" s="581">
        <v>0</v>
      </c>
      <c r="C242" s="581">
        <v>0</v>
      </c>
      <c r="D242" s="581">
        <v>0</v>
      </c>
      <c r="E242" s="581">
        <v>0</v>
      </c>
      <c r="F242" s="581">
        <v>0</v>
      </c>
      <c r="G242" s="581">
        <v>0</v>
      </c>
      <c r="H242" s="581">
        <v>0</v>
      </c>
      <c r="I242" s="581">
        <v>0</v>
      </c>
      <c r="J242" s="581">
        <v>0</v>
      </c>
      <c r="K242" s="581">
        <v>0</v>
      </c>
      <c r="L242" s="581">
        <v>0</v>
      </c>
      <c r="M242" s="581">
        <v>0</v>
      </c>
      <c r="N242" s="581">
        <v>0</v>
      </c>
      <c r="O242" s="581">
        <v>0</v>
      </c>
      <c r="P242" s="581">
        <v>0</v>
      </c>
      <c r="Q242" s="581">
        <v>0</v>
      </c>
      <c r="R242" s="581">
        <v>0</v>
      </c>
      <c r="S242" s="581">
        <v>0</v>
      </c>
      <c r="T242" s="581">
        <v>0</v>
      </c>
      <c r="U242" s="581">
        <v>0</v>
      </c>
      <c r="V242" s="581">
        <v>0</v>
      </c>
      <c r="W242" s="581">
        <v>0</v>
      </c>
      <c r="X242" s="581">
        <v>0</v>
      </c>
      <c r="Y242" s="590">
        <v>0</v>
      </c>
      <c r="Z242" s="581"/>
    </row>
    <row r="243" spans="1:27" x14ac:dyDescent="0.4">
      <c r="A243" s="591" t="s">
        <v>4041</v>
      </c>
      <c r="B243" s="581">
        <v>0</v>
      </c>
      <c r="C243" s="581">
        <v>0</v>
      </c>
      <c r="D243" s="581">
        <v>0</v>
      </c>
      <c r="E243" s="581">
        <v>0</v>
      </c>
      <c r="F243" s="581">
        <v>0</v>
      </c>
      <c r="G243" s="581">
        <v>0</v>
      </c>
      <c r="H243" s="581">
        <v>0</v>
      </c>
      <c r="I243" s="581">
        <v>0</v>
      </c>
      <c r="J243" s="581">
        <v>0</v>
      </c>
      <c r="K243" s="581">
        <v>0</v>
      </c>
      <c r="L243" s="581">
        <v>0</v>
      </c>
      <c r="M243" s="581">
        <v>0</v>
      </c>
      <c r="N243" s="581">
        <v>0</v>
      </c>
      <c r="O243" s="581">
        <v>0</v>
      </c>
      <c r="P243" s="581">
        <v>0</v>
      </c>
      <c r="Q243" s="581">
        <v>0</v>
      </c>
      <c r="R243" s="581">
        <v>0</v>
      </c>
      <c r="S243" s="581">
        <v>0</v>
      </c>
      <c r="T243" s="581">
        <v>0</v>
      </c>
      <c r="U243" s="581">
        <v>0</v>
      </c>
      <c r="V243" s="581">
        <v>0</v>
      </c>
      <c r="W243" s="581">
        <v>0</v>
      </c>
      <c r="X243" s="581">
        <v>0</v>
      </c>
      <c r="Y243" s="590">
        <v>0</v>
      </c>
      <c r="Z243" s="581"/>
    </row>
    <row r="244" spans="1:27" x14ac:dyDescent="0.4">
      <c r="A244" s="589" t="s">
        <v>4042</v>
      </c>
      <c r="B244" s="581">
        <v>0</v>
      </c>
      <c r="C244" s="581">
        <v>0</v>
      </c>
      <c r="D244" s="581">
        <v>0</v>
      </c>
      <c r="E244" s="581">
        <v>0</v>
      </c>
      <c r="F244" s="581">
        <v>0</v>
      </c>
      <c r="G244" s="581">
        <v>0</v>
      </c>
      <c r="H244" s="581">
        <v>0</v>
      </c>
      <c r="I244" s="581">
        <v>0</v>
      </c>
      <c r="J244" s="581">
        <v>0</v>
      </c>
      <c r="K244" s="581">
        <v>0</v>
      </c>
      <c r="L244" s="581">
        <v>0</v>
      </c>
      <c r="M244" s="581">
        <v>0</v>
      </c>
      <c r="N244" s="581">
        <v>0</v>
      </c>
      <c r="O244" s="581">
        <v>0</v>
      </c>
      <c r="P244" s="581">
        <v>0</v>
      </c>
      <c r="Q244" s="581">
        <v>0</v>
      </c>
      <c r="R244" s="581">
        <v>0</v>
      </c>
      <c r="S244" s="581">
        <v>0</v>
      </c>
      <c r="T244" s="581">
        <v>0</v>
      </c>
      <c r="U244" s="581">
        <v>0</v>
      </c>
      <c r="V244" s="581">
        <v>0</v>
      </c>
      <c r="W244" s="581">
        <v>0</v>
      </c>
      <c r="X244" s="581">
        <v>0</v>
      </c>
      <c r="Y244" s="590">
        <v>0</v>
      </c>
      <c r="Z244" s="581"/>
    </row>
    <row r="245" spans="1:27" x14ac:dyDescent="0.4">
      <c r="A245" s="591" t="s">
        <v>4043</v>
      </c>
      <c r="B245" s="581">
        <v>0</v>
      </c>
      <c r="C245" s="581">
        <v>0</v>
      </c>
      <c r="D245" s="581">
        <v>0</v>
      </c>
      <c r="E245" s="581">
        <v>0</v>
      </c>
      <c r="F245" s="581">
        <v>0</v>
      </c>
      <c r="G245" s="581">
        <v>0</v>
      </c>
      <c r="H245" s="581">
        <v>0</v>
      </c>
      <c r="I245" s="581">
        <v>0</v>
      </c>
      <c r="J245" s="581">
        <v>0</v>
      </c>
      <c r="K245" s="581">
        <v>0</v>
      </c>
      <c r="L245" s="581">
        <v>0</v>
      </c>
      <c r="M245" s="581">
        <v>0</v>
      </c>
      <c r="N245" s="581">
        <v>0</v>
      </c>
      <c r="O245" s="581">
        <v>0</v>
      </c>
      <c r="P245" s="581">
        <v>0</v>
      </c>
      <c r="Q245" s="581">
        <v>0</v>
      </c>
      <c r="R245" s="581">
        <v>0</v>
      </c>
      <c r="S245" s="581">
        <v>0</v>
      </c>
      <c r="T245" s="581">
        <v>0</v>
      </c>
      <c r="U245" s="581">
        <v>0</v>
      </c>
      <c r="V245" s="581">
        <v>0</v>
      </c>
      <c r="W245" s="581">
        <v>0</v>
      </c>
      <c r="X245" s="581">
        <v>0</v>
      </c>
      <c r="Y245" s="590">
        <v>0</v>
      </c>
      <c r="Z245" s="581"/>
    </row>
    <row r="246" spans="1:27" x14ac:dyDescent="0.4">
      <c r="A246" s="591" t="s">
        <v>4044</v>
      </c>
      <c r="B246" s="581">
        <v>112065</v>
      </c>
      <c r="C246" s="581">
        <v>0</v>
      </c>
      <c r="D246" s="581">
        <v>0</v>
      </c>
      <c r="E246" s="581">
        <v>112065</v>
      </c>
      <c r="F246" s="581">
        <v>148232</v>
      </c>
      <c r="G246" s="581">
        <v>0</v>
      </c>
      <c r="H246" s="581">
        <v>0</v>
      </c>
      <c r="I246" s="581">
        <v>148232</v>
      </c>
      <c r="J246" s="581">
        <v>0</v>
      </c>
      <c r="K246" s="581">
        <v>0</v>
      </c>
      <c r="L246" s="581">
        <v>0</v>
      </c>
      <c r="M246" s="581">
        <v>0</v>
      </c>
      <c r="N246" s="581">
        <v>0</v>
      </c>
      <c r="O246" s="581">
        <v>0</v>
      </c>
      <c r="P246" s="581">
        <v>0</v>
      </c>
      <c r="Q246" s="581">
        <v>0</v>
      </c>
      <c r="R246" s="581">
        <v>0</v>
      </c>
      <c r="S246" s="581">
        <v>0</v>
      </c>
      <c r="T246" s="581">
        <v>0</v>
      </c>
      <c r="U246" s="581">
        <v>0</v>
      </c>
      <c r="V246" s="581">
        <v>0</v>
      </c>
      <c r="W246" s="581">
        <v>0</v>
      </c>
      <c r="X246" s="581">
        <v>0</v>
      </c>
      <c r="Y246" s="590">
        <v>0</v>
      </c>
      <c r="Z246" s="581"/>
    </row>
    <row r="247" spans="1:27" x14ac:dyDescent="0.4">
      <c r="A247" s="591" t="s">
        <v>4045</v>
      </c>
      <c r="B247" s="581">
        <v>0</v>
      </c>
      <c r="C247" s="581">
        <v>0</v>
      </c>
      <c r="D247" s="581">
        <v>0</v>
      </c>
      <c r="E247" s="581">
        <v>0</v>
      </c>
      <c r="F247" s="581">
        <v>0</v>
      </c>
      <c r="G247" s="581">
        <v>0</v>
      </c>
      <c r="H247" s="581">
        <v>0</v>
      </c>
      <c r="I247" s="581">
        <v>0</v>
      </c>
      <c r="J247" s="581">
        <v>0</v>
      </c>
      <c r="K247" s="581">
        <v>0</v>
      </c>
      <c r="L247" s="581">
        <v>0</v>
      </c>
      <c r="M247" s="581">
        <v>0</v>
      </c>
      <c r="N247" s="581">
        <v>0</v>
      </c>
      <c r="O247" s="581">
        <v>0</v>
      </c>
      <c r="P247" s="581">
        <v>0</v>
      </c>
      <c r="Q247" s="581">
        <v>0</v>
      </c>
      <c r="R247" s="581">
        <v>0</v>
      </c>
      <c r="S247" s="581">
        <v>0</v>
      </c>
      <c r="T247" s="581">
        <v>0</v>
      </c>
      <c r="U247" s="581">
        <v>0</v>
      </c>
      <c r="V247" s="581">
        <v>0</v>
      </c>
      <c r="W247" s="581">
        <v>0</v>
      </c>
      <c r="X247" s="581">
        <v>0</v>
      </c>
      <c r="Y247" s="590">
        <v>0</v>
      </c>
      <c r="Z247" s="581"/>
    </row>
    <row r="248" spans="1:27" x14ac:dyDescent="0.4">
      <c r="A248" s="591" t="s">
        <v>4200</v>
      </c>
      <c r="B248" s="581">
        <v>0</v>
      </c>
      <c r="C248" s="581">
        <v>0</v>
      </c>
      <c r="D248" s="581">
        <v>0</v>
      </c>
      <c r="E248" s="581">
        <v>0</v>
      </c>
      <c r="F248" s="581">
        <v>0</v>
      </c>
      <c r="G248" s="581">
        <v>0</v>
      </c>
      <c r="H248" s="581">
        <v>0</v>
      </c>
      <c r="I248" s="581">
        <v>0</v>
      </c>
      <c r="J248" s="581">
        <v>0</v>
      </c>
      <c r="K248" s="581">
        <v>0</v>
      </c>
      <c r="L248" s="581">
        <v>0</v>
      </c>
      <c r="M248" s="581">
        <v>0</v>
      </c>
      <c r="N248" s="581">
        <v>0</v>
      </c>
      <c r="O248" s="581">
        <v>0</v>
      </c>
      <c r="P248" s="581">
        <v>0</v>
      </c>
      <c r="Q248" s="581">
        <v>0</v>
      </c>
      <c r="R248" s="581">
        <v>0</v>
      </c>
      <c r="S248" s="581">
        <v>0</v>
      </c>
      <c r="T248" s="581">
        <v>0</v>
      </c>
      <c r="U248" s="581">
        <v>0</v>
      </c>
      <c r="V248" s="581">
        <v>1350027</v>
      </c>
      <c r="W248" s="581">
        <v>0</v>
      </c>
      <c r="X248" s="581">
        <v>0</v>
      </c>
      <c r="Y248" s="590">
        <v>1350027</v>
      </c>
      <c r="Z248" s="592">
        <f>SUM(Y248,U248,Q248,M248,I248,E248)</f>
        <v>1350027</v>
      </c>
      <c r="AA248" s="319"/>
    </row>
    <row r="249" spans="1:27" x14ac:dyDescent="0.4">
      <c r="A249" s="566" t="s">
        <v>19</v>
      </c>
      <c r="B249" s="345">
        <v>215464</v>
      </c>
      <c r="C249" s="345">
        <v>0</v>
      </c>
      <c r="D249" s="345">
        <v>0</v>
      </c>
      <c r="E249" s="581">
        <v>215464</v>
      </c>
      <c r="F249" s="345">
        <v>2324551</v>
      </c>
      <c r="G249" s="345">
        <v>1184144</v>
      </c>
      <c r="H249" s="345">
        <v>0</v>
      </c>
      <c r="I249" s="581">
        <v>3508695</v>
      </c>
      <c r="J249" s="345">
        <v>221882</v>
      </c>
      <c r="K249" s="345">
        <v>0</v>
      </c>
      <c r="L249" s="345">
        <v>0</v>
      </c>
      <c r="M249" s="581">
        <v>221882</v>
      </c>
      <c r="N249" s="345">
        <v>0</v>
      </c>
      <c r="O249" s="345">
        <v>0</v>
      </c>
      <c r="P249" s="345">
        <v>0</v>
      </c>
      <c r="Q249" s="581">
        <v>0</v>
      </c>
      <c r="R249" s="345">
        <v>0</v>
      </c>
      <c r="S249" s="345">
        <v>0</v>
      </c>
      <c r="T249" s="345">
        <v>0</v>
      </c>
      <c r="U249" s="581">
        <v>0</v>
      </c>
      <c r="V249" s="345">
        <v>1362222</v>
      </c>
      <c r="W249" s="345">
        <v>0</v>
      </c>
      <c r="X249" s="345">
        <v>0</v>
      </c>
      <c r="Y249" s="590">
        <v>1362222</v>
      </c>
      <c r="Z249" s="567">
        <f>E249+I249+M249+Q249+U249+Y249</f>
        <v>5308263</v>
      </c>
    </row>
    <row r="250" spans="1:27" x14ac:dyDescent="0.4">
      <c r="A250" s="484" t="s">
        <v>11</v>
      </c>
    </row>
    <row r="251" spans="1:27" x14ac:dyDescent="0.4">
      <c r="A251" s="437"/>
    </row>
    <row r="252" spans="1:27" x14ac:dyDescent="0.4">
      <c r="A252" s="155" t="s">
        <v>150</v>
      </c>
    </row>
    <row r="264" spans="2:10" x14ac:dyDescent="0.4">
      <c r="B264" s="33"/>
      <c r="F264" s="346"/>
      <c r="G264" s="319"/>
      <c r="J264" s="47"/>
    </row>
    <row r="265" spans="2:10" x14ac:dyDescent="0.4">
      <c r="F265" s="346"/>
      <c r="G265" s="319"/>
    </row>
    <row r="266" spans="2:10" x14ac:dyDescent="0.4">
      <c r="F266" s="44"/>
    </row>
    <row r="267" spans="2:10" x14ac:dyDescent="0.4">
      <c r="F267" s="44"/>
      <c r="G267" s="319"/>
    </row>
    <row r="268" spans="2:10" x14ac:dyDescent="0.4">
      <c r="F268" s="44"/>
      <c r="G268" s="319"/>
    </row>
    <row r="269" spans="2:10" x14ac:dyDescent="0.4">
      <c r="F269" s="44"/>
      <c r="G269" s="319"/>
    </row>
    <row r="270" spans="2:10" x14ac:dyDescent="0.4">
      <c r="F270" s="44"/>
    </row>
    <row r="271" spans="2:10" x14ac:dyDescent="0.4">
      <c r="F271" s="165"/>
      <c r="G271" s="347"/>
    </row>
    <row r="272" spans="2:10" x14ac:dyDescent="0.4">
      <c r="F272" s="44"/>
      <c r="G272" s="319"/>
    </row>
    <row r="273" spans="6:7" x14ac:dyDescent="0.4">
      <c r="F273" s="44"/>
      <c r="G273" s="319"/>
    </row>
    <row r="274" spans="6:7" x14ac:dyDescent="0.4">
      <c r="F274" s="44"/>
      <c r="G274" s="319"/>
    </row>
    <row r="275" spans="6:7" x14ac:dyDescent="0.4">
      <c r="G275" s="319"/>
    </row>
    <row r="276" spans="6:7" x14ac:dyDescent="0.4">
      <c r="F276" s="44"/>
      <c r="G276" s="319"/>
    </row>
    <row r="277" spans="6:7" x14ac:dyDescent="0.4">
      <c r="G277" s="319"/>
    </row>
  </sheetData>
  <hyperlinks>
    <hyperlink ref="A39" r:id="rId1" xr:uid="{F1EFCD9D-F5F8-4CB9-A8AC-62EA08C4B279}"/>
  </hyperlinks>
  <pageMargins left="0.7" right="0.7" top="0.75" bottom="0.75" header="0.3" footer="0.3"/>
  <pageSetup scale="49" orientation="landscape" r:id="rId2"/>
  <rowBreaks count="5" manualBreakCount="5">
    <brk id="40" max="16383" man="1"/>
    <brk id="87" max="16383" man="1"/>
    <brk id="133" max="16383" man="1"/>
    <brk id="179" max="16383" man="1"/>
    <brk id="227" max="16383" man="1"/>
  </rowBreaks>
  <colBreaks count="1" manualBreakCount="1">
    <brk id="21" max="1048575" man="1"/>
  </colBreaks>
  <tableParts count="10">
    <tablePart r:id="rId3"/>
    <tablePart r:id="rId4"/>
    <tablePart r:id="rId5"/>
    <tablePart r:id="rId6"/>
    <tablePart r:id="rId7"/>
    <tablePart r:id="rId8"/>
    <tablePart r:id="rId9"/>
    <tablePart r:id="rId10"/>
    <tablePart r:id="rId11"/>
    <tablePart r:id="rId12"/>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9" tint="0.59999389629810485"/>
    <pageSetUpPr fitToPage="1"/>
  </sheetPr>
  <dimension ref="A1:AC403"/>
  <sheetViews>
    <sheetView zoomScale="104" zoomScaleNormal="100" workbookViewId="0"/>
  </sheetViews>
  <sheetFormatPr defaultColWidth="9.1796875" defaultRowHeight="16" x14ac:dyDescent="0.4"/>
  <cols>
    <col min="1" max="1" width="47.1796875" style="3" customWidth="1"/>
    <col min="2" max="2" width="26.453125" style="3" customWidth="1"/>
    <col min="3" max="3" width="25.81640625" style="3" customWidth="1"/>
    <col min="4" max="4" width="26.81640625" style="3" customWidth="1"/>
    <col min="5" max="5" width="38.1796875" style="3" customWidth="1"/>
    <col min="6" max="6" width="24.7265625" style="3" customWidth="1"/>
    <col min="7" max="7" width="22.54296875" style="3" customWidth="1"/>
    <col min="8" max="8" width="16.1796875" style="3" customWidth="1"/>
    <col min="9" max="25" width="12.54296875" style="3" customWidth="1"/>
    <col min="26" max="16384" width="9.1796875" style="3"/>
  </cols>
  <sheetData>
    <row r="1" spans="1:21" ht="21" x14ac:dyDescent="0.5">
      <c r="A1" s="49" t="s">
        <v>4213</v>
      </c>
    </row>
    <row r="2" spans="1:21" x14ac:dyDescent="0.4">
      <c r="A2" s="3" t="s">
        <v>4443</v>
      </c>
      <c r="U2" s="37"/>
    </row>
    <row r="3" spans="1:21" x14ac:dyDescent="0.4">
      <c r="C3" s="108"/>
      <c r="D3" s="108"/>
      <c r="E3" s="108"/>
    </row>
    <row r="4" spans="1:21" x14ac:dyDescent="0.4">
      <c r="A4" s="4" t="s">
        <v>4214</v>
      </c>
      <c r="B4" s="108"/>
      <c r="C4" s="108"/>
      <c r="D4" s="108"/>
      <c r="E4" s="108"/>
    </row>
    <row r="5" spans="1:21" x14ac:dyDescent="0.4">
      <c r="A5" s="108" t="s">
        <v>4215</v>
      </c>
      <c r="B5" s="108"/>
      <c r="C5" s="108"/>
      <c r="D5" s="108"/>
      <c r="E5" s="108"/>
    </row>
    <row r="6" spans="1:21" ht="16.5" thickBot="1" x14ac:dyDescent="0.45">
      <c r="A6" s="4" t="s">
        <v>4216</v>
      </c>
      <c r="B6" s="165" t="s">
        <v>4217</v>
      </c>
      <c r="C6" s="165" t="s">
        <v>4218</v>
      </c>
      <c r="D6" s="108"/>
      <c r="E6" s="108"/>
    </row>
    <row r="7" spans="1:21" ht="16.5" thickBot="1" x14ac:dyDescent="0.45">
      <c r="A7" s="169" t="s">
        <v>4219</v>
      </c>
      <c r="B7" s="167">
        <f>IF(A7=A8,B8,IF(A7=A9,B9,IF(A7=A10,B10,IF(A7=A11,B11,IF(A7=A12,B12,IF(A7=A13,B13))))))</f>
        <v>25</v>
      </c>
      <c r="C7" s="168">
        <f>IF(B7=B8,C8,IF(B7=B9,C9,IF(B7=B10,C10,IF(B7=B11,C11,IF(B7=B12,C12,IF(B7=B13,C13))))))</f>
        <v>298</v>
      </c>
    </row>
    <row r="8" spans="1:21" x14ac:dyDescent="0.4">
      <c r="A8" s="106" t="s">
        <v>4219</v>
      </c>
      <c r="B8" s="107">
        <v>25</v>
      </c>
      <c r="C8" s="107">
        <v>298</v>
      </c>
    </row>
    <row r="9" spans="1:21" x14ac:dyDescent="0.4">
      <c r="A9" s="106" t="s">
        <v>4220</v>
      </c>
      <c r="B9" s="107">
        <v>28</v>
      </c>
      <c r="C9" s="107">
        <v>265</v>
      </c>
    </row>
    <row r="10" spans="1:21" x14ac:dyDescent="0.4">
      <c r="A10" s="106" t="s">
        <v>4221</v>
      </c>
      <c r="B10" s="45">
        <v>29.8</v>
      </c>
      <c r="C10" s="45">
        <v>273</v>
      </c>
    </row>
    <row r="11" spans="1:21" x14ac:dyDescent="0.4">
      <c r="A11" s="106" t="s">
        <v>4222</v>
      </c>
      <c r="B11" s="107">
        <v>72</v>
      </c>
      <c r="C11" s="107">
        <v>289</v>
      </c>
    </row>
    <row r="12" spans="1:21" x14ac:dyDescent="0.4">
      <c r="A12" s="106" t="s">
        <v>4223</v>
      </c>
      <c r="B12" s="107">
        <v>84</v>
      </c>
      <c r="C12" s="107">
        <v>264</v>
      </c>
    </row>
    <row r="13" spans="1:21" x14ac:dyDescent="0.4">
      <c r="A13" s="106" t="s">
        <v>4224</v>
      </c>
      <c r="B13" s="45">
        <v>81.2</v>
      </c>
      <c r="C13" s="45">
        <v>273</v>
      </c>
    </row>
    <row r="14" spans="1:21" x14ac:dyDescent="0.4">
      <c r="A14" s="106" t="s">
        <v>11</v>
      </c>
      <c r="B14" s="107"/>
      <c r="C14" s="107"/>
    </row>
    <row r="16" spans="1:21" x14ac:dyDescent="0.4">
      <c r="A16" s="4" t="s">
        <v>4225</v>
      </c>
    </row>
    <row r="17" spans="1:12" x14ac:dyDescent="0.4">
      <c r="A17" s="109" t="s">
        <v>4226</v>
      </c>
    </row>
    <row r="18" spans="1:12" x14ac:dyDescent="0.4">
      <c r="A18" s="3" t="s">
        <v>4227</v>
      </c>
    </row>
    <row r="19" spans="1:12" x14ac:dyDescent="0.4">
      <c r="A19" s="3" t="s">
        <v>4228</v>
      </c>
    </row>
    <row r="20" spans="1:12" x14ac:dyDescent="0.4">
      <c r="B20" s="109"/>
      <c r="C20" s="109"/>
      <c r="D20" s="109"/>
      <c r="E20" s="109"/>
      <c r="F20" s="109"/>
      <c r="G20" s="109"/>
      <c r="H20" s="109"/>
      <c r="I20" s="109"/>
      <c r="J20" s="109"/>
      <c r="K20" s="109"/>
      <c r="L20" s="109"/>
    </row>
    <row r="21" spans="1:12" x14ac:dyDescent="0.4">
      <c r="A21" s="4" t="s">
        <v>4229</v>
      </c>
      <c r="H21" s="109"/>
      <c r="I21" s="109"/>
      <c r="J21" s="109"/>
      <c r="K21" s="109"/>
      <c r="L21" s="109"/>
    </row>
    <row r="22" spans="1:12" ht="48.5" thickBot="1" x14ac:dyDescent="0.45">
      <c r="A22" s="170" t="s">
        <v>212</v>
      </c>
      <c r="B22" s="171" t="s">
        <v>4230</v>
      </c>
      <c r="C22" s="172" t="s">
        <v>4231</v>
      </c>
      <c r="D22" s="170" t="s">
        <v>4232</v>
      </c>
      <c r="E22" s="170" t="s">
        <v>4233</v>
      </c>
      <c r="F22" s="170" t="s">
        <v>4234</v>
      </c>
      <c r="G22" s="170" t="s">
        <v>4235</v>
      </c>
      <c r="J22" s="109"/>
      <c r="K22" s="109"/>
      <c r="L22" s="109"/>
    </row>
    <row r="23" spans="1:12" x14ac:dyDescent="0.4">
      <c r="A23" s="8" t="s">
        <v>221</v>
      </c>
      <c r="B23" s="173">
        <f t="shared" ref="B23:B35" si="0">IF(E23&gt;0,E23,(IF(F23&gt;0,F23,(IF(D23&gt;0,D23,G23)))))</f>
        <v>205.55876879999997</v>
      </c>
      <c r="C23" s="174" t="str">
        <f t="shared" ref="C23:C35" si="1">IF(B23=D23,"IPCC",(IF(B23=E23,"EIA",(IF(B23=F23,"EPA",(IF(B23=G23,"Average")))))))</f>
        <v>EIA</v>
      </c>
      <c r="D23" s="179">
        <f>C256*0.95</f>
        <v>209.0376193056039</v>
      </c>
      <c r="E23" s="179">
        <f>D224</f>
        <v>205.55876879999997</v>
      </c>
      <c r="F23" s="179">
        <f>B134*$B$116</f>
        <v>205.6471979936</v>
      </c>
      <c r="G23" s="179"/>
      <c r="H23" s="33"/>
      <c r="I23" s="33"/>
      <c r="J23" s="109"/>
      <c r="K23" s="109"/>
      <c r="L23" s="109"/>
    </row>
    <row r="24" spans="1:12" x14ac:dyDescent="0.4">
      <c r="A24" s="8" t="s">
        <v>223</v>
      </c>
      <c r="B24" s="175">
        <f t="shared" si="0"/>
        <v>214.13474059999996</v>
      </c>
      <c r="C24" s="176" t="str">
        <f t="shared" si="1"/>
        <v>EIA</v>
      </c>
      <c r="D24" s="179">
        <f>C257*0.95</f>
        <v>212.35216929459335</v>
      </c>
      <c r="E24" s="179">
        <f>D238</f>
        <v>214.13474059999996</v>
      </c>
      <c r="F24" s="179">
        <f>B135*$B$116</f>
        <v>214.22317998539998</v>
      </c>
      <c r="G24" s="179"/>
      <c r="H24" s="33"/>
      <c r="I24" s="33"/>
      <c r="J24" s="99"/>
      <c r="K24" s="99"/>
      <c r="L24" s="99"/>
    </row>
    <row r="25" spans="1:12" x14ac:dyDescent="0.4">
      <c r="A25" s="8" t="s">
        <v>225</v>
      </c>
      <c r="B25" s="175">
        <f t="shared" si="0"/>
        <v>163.45052679999998</v>
      </c>
      <c r="C25" s="176" t="str">
        <f t="shared" si="1"/>
        <v>EIA</v>
      </c>
      <c r="D25" s="179"/>
      <c r="E25" s="179">
        <f>D225</f>
        <v>163.45052679999998</v>
      </c>
      <c r="F25" s="179">
        <f>B144*B116</f>
        <v>161.48860691499999</v>
      </c>
      <c r="G25" s="179"/>
      <c r="H25" s="33"/>
      <c r="I25" s="33"/>
      <c r="J25" s="99"/>
      <c r="K25" s="99"/>
      <c r="L25" s="99"/>
    </row>
    <row r="26" spans="1:12" x14ac:dyDescent="0.4">
      <c r="A26" s="8" t="s">
        <v>270</v>
      </c>
      <c r="B26" s="175">
        <f t="shared" si="0"/>
        <v>116.64644419999998</v>
      </c>
      <c r="C26" s="176" t="str">
        <f t="shared" si="1"/>
        <v>EIA</v>
      </c>
      <c r="D26" s="179">
        <f>C259*0.9</f>
        <v>117.43973960988026</v>
      </c>
      <c r="E26" s="179">
        <f>D231</f>
        <v>116.64644419999998</v>
      </c>
      <c r="F26" s="179">
        <f>B142*$B$116</f>
        <v>116.9772762172</v>
      </c>
      <c r="G26" s="179"/>
      <c r="H26" s="33"/>
      <c r="I26" s="33"/>
    </row>
    <row r="27" spans="1:12" x14ac:dyDescent="0.4">
      <c r="A27" s="8" t="s">
        <v>229</v>
      </c>
      <c r="B27" s="175">
        <f t="shared" si="0"/>
        <v>199.959271634</v>
      </c>
      <c r="C27" s="176" t="str">
        <f t="shared" si="1"/>
        <v>EPA</v>
      </c>
      <c r="D27" s="179">
        <f>C261*0.95</f>
        <v>202.62948932689085</v>
      </c>
      <c r="E27" s="179"/>
      <c r="F27" s="179">
        <f>B177*$B$116</f>
        <v>199.959271634</v>
      </c>
      <c r="G27" s="179"/>
      <c r="H27" s="33"/>
      <c r="I27" s="33"/>
    </row>
    <row r="28" spans="1:12" x14ac:dyDescent="0.4">
      <c r="A28" s="8" t="s">
        <v>231</v>
      </c>
      <c r="B28" s="175">
        <f t="shared" si="0"/>
        <v>176.07526838141925</v>
      </c>
      <c r="C28" s="176" t="str">
        <f t="shared" si="1"/>
        <v>Average</v>
      </c>
      <c r="D28" s="179"/>
      <c r="E28" s="179"/>
      <c r="F28" s="179"/>
      <c r="G28" s="179">
        <f>AVERAGE(B23:B27,B29:B35,B44:B47,B49:B51)</f>
        <v>176.07526838141925</v>
      </c>
      <c r="H28" s="33"/>
      <c r="I28" s="33"/>
    </row>
    <row r="29" spans="1:12" x14ac:dyDescent="0.4">
      <c r="A29" s="8" t="s">
        <v>233</v>
      </c>
      <c r="B29" s="175">
        <f t="shared" si="0"/>
        <v>189.53118139999998</v>
      </c>
      <c r="C29" s="176" t="str">
        <f t="shared" si="1"/>
        <v>EIA</v>
      </c>
      <c r="D29" s="179"/>
      <c r="E29" s="179">
        <f>D239</f>
        <v>189.53118139999998</v>
      </c>
      <c r="F29" s="179">
        <f>B178*B116</f>
        <v>189.5314066414</v>
      </c>
      <c r="G29" s="179"/>
      <c r="H29" s="33"/>
      <c r="I29" s="33"/>
    </row>
    <row r="30" spans="1:12" x14ac:dyDescent="0.4">
      <c r="A30" s="8" t="s">
        <v>235</v>
      </c>
      <c r="B30" s="175">
        <f t="shared" si="0"/>
        <v>225.12843096919997</v>
      </c>
      <c r="C30" s="176" t="str">
        <f t="shared" si="1"/>
        <v>EIA</v>
      </c>
      <c r="D30" s="179">
        <f>C264*0.95</f>
        <v>215.44574928431689</v>
      </c>
      <c r="E30" s="179">
        <f>D232</f>
        <v>225.12843096919997</v>
      </c>
      <c r="F30" s="179">
        <f>B166*B116</f>
        <v>225.77540251419998</v>
      </c>
      <c r="G30" s="179"/>
      <c r="H30" s="33"/>
      <c r="I30" s="33"/>
    </row>
    <row r="31" spans="1:12" x14ac:dyDescent="0.4">
      <c r="A31" s="8" t="s">
        <v>237</v>
      </c>
      <c r="B31" s="175">
        <f t="shared" si="0"/>
        <v>165.55225718459997</v>
      </c>
      <c r="C31" s="176" t="str">
        <f t="shared" si="1"/>
        <v>EIA</v>
      </c>
      <c r="D31" s="179">
        <f>C265*0.95</f>
        <v>171.0307794318577</v>
      </c>
      <c r="E31" s="179">
        <f>D235</f>
        <v>165.55225718459997</v>
      </c>
      <c r="F31" s="179">
        <f>B148*B116</f>
        <v>165.56715876199999</v>
      </c>
      <c r="G31" s="179"/>
      <c r="H31" s="33"/>
      <c r="I31" s="33"/>
    </row>
    <row r="32" spans="1:12" x14ac:dyDescent="0.4">
      <c r="A32" s="8" t="s">
        <v>239</v>
      </c>
      <c r="B32" s="175">
        <f t="shared" si="0"/>
        <v>159.24704398459997</v>
      </c>
      <c r="C32" s="176" t="str">
        <f t="shared" si="1"/>
        <v>EIA</v>
      </c>
      <c r="D32" s="179">
        <f>C266*0.95</f>
        <v>157.99354947516574</v>
      </c>
      <c r="E32" s="179">
        <f>D227</f>
        <v>159.24704398459997</v>
      </c>
      <c r="F32" s="179">
        <f>B173*B116</f>
        <v>159.21784561639998</v>
      </c>
      <c r="G32" s="179"/>
      <c r="H32" s="33"/>
      <c r="I32" s="33"/>
    </row>
    <row r="33" spans="1:9" x14ac:dyDescent="0.4">
      <c r="A33" s="8" t="s">
        <v>241</v>
      </c>
      <c r="B33" s="175">
        <f t="shared" si="0"/>
        <v>161.34877436919999</v>
      </c>
      <c r="C33" s="176" t="str">
        <f t="shared" si="1"/>
        <v>EIA</v>
      </c>
      <c r="D33" s="179">
        <f>C267*0.95</f>
        <v>158.87742947222955</v>
      </c>
      <c r="E33" s="179">
        <f>D228</f>
        <v>161.34877436919999</v>
      </c>
      <c r="F33" s="179">
        <f>B150*B116</f>
        <v>165.787621024</v>
      </c>
      <c r="G33" s="179"/>
      <c r="H33" s="33"/>
      <c r="I33" s="33"/>
    </row>
    <row r="34" spans="1:9" x14ac:dyDescent="0.4">
      <c r="A34" s="8" t="s">
        <v>243</v>
      </c>
      <c r="B34" s="175">
        <f t="shared" si="0"/>
        <v>205.55876879999997</v>
      </c>
      <c r="C34" s="176" t="str">
        <f t="shared" si="1"/>
        <v>EIA</v>
      </c>
      <c r="D34" s="179">
        <f>C268*0.95</f>
        <v>161.97100946195312</v>
      </c>
      <c r="E34" s="179">
        <f>D240</f>
        <v>205.55876879999997</v>
      </c>
      <c r="F34" s="179">
        <f>B150*$B$116</f>
        <v>165.787621024</v>
      </c>
      <c r="G34" s="179"/>
      <c r="H34" s="33"/>
      <c r="I34" s="33"/>
    </row>
    <row r="35" spans="1:9" ht="16.5" thickBot="1" x14ac:dyDescent="0.45">
      <c r="A35" s="8" t="s">
        <v>245</v>
      </c>
      <c r="B35" s="177">
        <f t="shared" si="0"/>
        <v>138.63384698459998</v>
      </c>
      <c r="C35" s="178" t="str">
        <f t="shared" si="1"/>
        <v>EIA</v>
      </c>
      <c r="D35" s="179"/>
      <c r="E35" s="179">
        <f>D233</f>
        <v>138.63384698459998</v>
      </c>
      <c r="F35" s="179">
        <f>B152*B116</f>
        <v>138.60462411939997</v>
      </c>
      <c r="G35" s="179"/>
      <c r="H35" s="33"/>
      <c r="I35" s="33"/>
    </row>
    <row r="36" spans="1:9" x14ac:dyDescent="0.4">
      <c r="A36" s="8" t="s">
        <v>11</v>
      </c>
      <c r="B36" s="33"/>
      <c r="C36" s="33"/>
      <c r="D36" s="33"/>
      <c r="E36" s="33"/>
      <c r="F36" s="33"/>
      <c r="G36" s="166"/>
      <c r="H36" s="33"/>
      <c r="I36" s="33"/>
    </row>
    <row r="37" spans="1:9" x14ac:dyDescent="0.4">
      <c r="A37" s="95"/>
      <c r="B37" s="33"/>
      <c r="C37" s="33"/>
      <c r="D37" s="33"/>
      <c r="E37" s="33"/>
      <c r="F37" s="33"/>
      <c r="G37" s="33"/>
    </row>
    <row r="38" spans="1:9" x14ac:dyDescent="0.4">
      <c r="A38" s="648" t="s">
        <v>4578</v>
      </c>
      <c r="B38" s="33"/>
      <c r="C38" s="649"/>
      <c r="D38" s="33"/>
      <c r="E38" s="33"/>
      <c r="F38" s="33"/>
      <c r="G38" s="44"/>
    </row>
    <row r="39" spans="1:9" x14ac:dyDescent="0.4">
      <c r="A39" s="2" t="s">
        <v>4236</v>
      </c>
      <c r="B39" s="33"/>
      <c r="C39" s="33"/>
      <c r="D39" s="33"/>
      <c r="E39" s="33"/>
      <c r="F39" s="33"/>
      <c r="G39" s="44"/>
    </row>
    <row r="40" spans="1:9" x14ac:dyDescent="0.4">
      <c r="A40" s="8" t="s">
        <v>4237</v>
      </c>
      <c r="B40" s="33"/>
      <c r="C40" s="33"/>
      <c r="D40" s="33"/>
      <c r="E40" s="33"/>
      <c r="F40" s="33"/>
      <c r="G40" s="44"/>
    </row>
    <row r="41" spans="1:9" x14ac:dyDescent="0.4">
      <c r="A41" s="95"/>
      <c r="B41" s="33"/>
      <c r="C41" s="33"/>
      <c r="D41" s="33"/>
      <c r="E41" s="33"/>
      <c r="F41" s="33"/>
      <c r="G41" s="44"/>
    </row>
    <row r="42" spans="1:9" ht="16.5" thickBot="1" x14ac:dyDescent="0.45">
      <c r="A42" s="4" t="s">
        <v>4238</v>
      </c>
      <c r="B42" s="33"/>
      <c r="C42" s="33"/>
      <c r="D42" s="33"/>
      <c r="E42" s="33"/>
      <c r="F42" s="33"/>
      <c r="G42" s="33"/>
      <c r="H42" s="33"/>
      <c r="I42" s="33"/>
    </row>
    <row r="43" spans="1:9" ht="48.5" thickBot="1" x14ac:dyDescent="0.45">
      <c r="A43" s="180" t="s">
        <v>212</v>
      </c>
      <c r="B43" s="171" t="s">
        <v>4230</v>
      </c>
      <c r="C43" s="172" t="s">
        <v>4231</v>
      </c>
      <c r="D43" s="170" t="s">
        <v>4232</v>
      </c>
      <c r="E43" s="170" t="s">
        <v>4233</v>
      </c>
      <c r="F43" s="181" t="s">
        <v>4234</v>
      </c>
      <c r="G43" s="181" t="s">
        <v>4235</v>
      </c>
      <c r="H43" s="37"/>
      <c r="I43" s="37"/>
    </row>
    <row r="44" spans="1:9" x14ac:dyDescent="0.4">
      <c r="A44" s="8" t="s">
        <v>251</v>
      </c>
      <c r="B44" s="173">
        <f t="shared" ref="B44:B51" si="2">IF(E44&gt;0,E44,(IF(F44&gt;0,F44,(IF(D44&gt;0,D44,G44)))))</f>
        <v>114.79469982339999</v>
      </c>
      <c r="C44" s="174" t="str">
        <f t="shared" ref="C44:C51" si="3">IF(B44=D44,"IPCC",(IF(B44=E44,"EIA",(IF(B44=F44,"EPA",(IF(B44=G44,"Average")))))))</f>
        <v>EPA</v>
      </c>
      <c r="D44" s="179">
        <f>C270*0.9</f>
        <v>114.29963962031128</v>
      </c>
      <c r="E44" s="179"/>
      <c r="F44" s="179">
        <f>B192*B116</f>
        <v>114.79469982339999</v>
      </c>
      <c r="G44" s="179"/>
      <c r="H44" s="33"/>
      <c r="I44" s="33"/>
    </row>
    <row r="45" spans="1:9" x14ac:dyDescent="0.4">
      <c r="A45" s="8" t="s">
        <v>253</v>
      </c>
      <c r="B45" s="175">
        <f t="shared" si="2"/>
        <v>162.78933426079999</v>
      </c>
      <c r="C45" s="176" t="str">
        <f t="shared" si="3"/>
        <v>EPA</v>
      </c>
      <c r="D45" s="179">
        <f>C271*0.9</f>
        <v>209.33999930459942</v>
      </c>
      <c r="E45" s="179"/>
      <c r="F45" s="179">
        <f>B196*$B$116</f>
        <v>162.78933426079999</v>
      </c>
      <c r="G45" s="179"/>
      <c r="H45" s="33"/>
      <c r="I45" s="33"/>
    </row>
    <row r="46" spans="1:9" x14ac:dyDescent="0.4">
      <c r="A46" s="8" t="s">
        <v>255</v>
      </c>
      <c r="B46" s="175">
        <f t="shared" si="2"/>
        <v>199.50101933728322</v>
      </c>
      <c r="C46" s="176" t="str">
        <f t="shared" si="3"/>
        <v>IPCC</v>
      </c>
      <c r="D46" s="179">
        <f>C272*0.9</f>
        <v>199.50101933728322</v>
      </c>
      <c r="E46" s="179"/>
      <c r="F46" s="179"/>
      <c r="G46" s="179"/>
      <c r="H46" s="33"/>
      <c r="I46" s="33"/>
    </row>
    <row r="47" spans="1:9" x14ac:dyDescent="0.4">
      <c r="A47" s="8" t="s">
        <v>257</v>
      </c>
      <c r="B47" s="175">
        <f t="shared" si="2"/>
        <v>199.959271634</v>
      </c>
      <c r="C47" s="176" t="str">
        <f t="shared" si="3"/>
        <v>EPA</v>
      </c>
      <c r="D47" s="179">
        <f>C273*0.9</f>
        <v>234.46079922115135</v>
      </c>
      <c r="E47" s="179"/>
      <c r="F47" s="179">
        <f>B177*B116</f>
        <v>199.959271634</v>
      </c>
      <c r="G47" s="179"/>
      <c r="H47" s="33"/>
      <c r="I47" s="33"/>
    </row>
    <row r="48" spans="1:9" x14ac:dyDescent="0.4">
      <c r="A48" s="8" t="s">
        <v>259</v>
      </c>
      <c r="B48" s="175">
        <f t="shared" si="2"/>
        <v>176.07526838141925</v>
      </c>
      <c r="C48" s="176" t="str">
        <f t="shared" si="3"/>
        <v>Average</v>
      </c>
      <c r="D48" s="179"/>
      <c r="E48" s="179"/>
      <c r="F48" s="179"/>
      <c r="G48" s="179">
        <f>AVERAGE(B23:B27,B29:B35,B44:B47,B49:B51)</f>
        <v>176.07526838141925</v>
      </c>
      <c r="H48" s="33"/>
      <c r="I48" s="33"/>
    </row>
    <row r="49" spans="1:12" x14ac:dyDescent="0.4">
      <c r="A49" s="8" t="s">
        <v>261</v>
      </c>
      <c r="B49" s="175">
        <f t="shared" si="2"/>
        <v>209.33999930459942</v>
      </c>
      <c r="C49" s="176" t="str">
        <f t="shared" si="3"/>
        <v>IPCC</v>
      </c>
      <c r="D49" s="179">
        <f>C274*0.9</f>
        <v>209.33999930459942</v>
      </c>
      <c r="E49" s="179"/>
      <c r="F49" s="179"/>
      <c r="G49" s="179"/>
      <c r="H49" s="33"/>
      <c r="I49" s="33"/>
      <c r="J49" s="20"/>
      <c r="K49" s="20"/>
      <c r="L49" s="20"/>
    </row>
    <row r="50" spans="1:12" x14ac:dyDescent="0.4">
      <c r="A50" s="8" t="s">
        <v>263</v>
      </c>
      <c r="B50" s="175">
        <f t="shared" si="2"/>
        <v>199.50101933728322</v>
      </c>
      <c r="C50" s="176" t="str">
        <f t="shared" si="3"/>
        <v>IPCC</v>
      </c>
      <c r="D50" s="179">
        <f>C272*0.9</f>
        <v>199.50101933728322</v>
      </c>
      <c r="E50" s="179"/>
      <c r="F50" s="179"/>
      <c r="G50" s="179"/>
      <c r="H50" s="33"/>
      <c r="I50" s="33"/>
      <c r="J50" s="20"/>
      <c r="K50" s="20"/>
      <c r="L50" s="20"/>
    </row>
    <row r="51" spans="1:12" ht="16.5" thickBot="1" x14ac:dyDescent="0.45">
      <c r="A51" s="8" t="s">
        <v>265</v>
      </c>
      <c r="B51" s="177">
        <f t="shared" si="2"/>
        <v>114.79469982339999</v>
      </c>
      <c r="C51" s="178" t="str">
        <f t="shared" si="3"/>
        <v>EPA</v>
      </c>
      <c r="D51" s="179">
        <f>C275*0.9</f>
        <v>114.29963962031128</v>
      </c>
      <c r="E51" s="179"/>
      <c r="F51" s="179">
        <f>B193*B116</f>
        <v>114.79469982339999</v>
      </c>
      <c r="G51" s="179"/>
      <c r="H51" s="33"/>
      <c r="I51" s="33"/>
    </row>
    <row r="52" spans="1:12" x14ac:dyDescent="0.4">
      <c r="A52" s="8" t="s">
        <v>11</v>
      </c>
      <c r="B52" s="33"/>
      <c r="C52" s="33"/>
      <c r="D52" s="33"/>
      <c r="E52" s="33"/>
      <c r="F52" s="33"/>
      <c r="G52" s="166"/>
      <c r="H52" s="33"/>
      <c r="I52" s="33"/>
    </row>
    <row r="54" spans="1:12" x14ac:dyDescent="0.4">
      <c r="A54" s="110" t="s">
        <v>4239</v>
      </c>
      <c r="B54" s="99"/>
      <c r="C54" s="99"/>
      <c r="D54" s="99"/>
    </row>
    <row r="55" spans="1:12" ht="32.5" thickBot="1" x14ac:dyDescent="0.45">
      <c r="A55" s="193" t="s">
        <v>212</v>
      </c>
      <c r="B55" s="194" t="s">
        <v>4240</v>
      </c>
      <c r="C55" s="195" t="s">
        <v>4231</v>
      </c>
      <c r="D55" s="99"/>
    </row>
    <row r="56" spans="1:12" ht="16.5" thickBot="1" x14ac:dyDescent="0.45">
      <c r="A56" s="3" t="s">
        <v>4241</v>
      </c>
      <c r="B56" s="196">
        <v>745.9</v>
      </c>
      <c r="C56" s="197" t="s">
        <v>4242</v>
      </c>
    </row>
    <row r="57" spans="1:12" x14ac:dyDescent="0.4">
      <c r="A57" s="3" t="s">
        <v>11</v>
      </c>
      <c r="C57" s="24"/>
    </row>
    <row r="58" spans="1:12" x14ac:dyDescent="0.4">
      <c r="A58" s="44"/>
      <c r="C58" s="99"/>
    </row>
    <row r="59" spans="1:12" x14ac:dyDescent="0.4">
      <c r="A59" s="8" t="s">
        <v>4243</v>
      </c>
      <c r="C59" s="99"/>
    </row>
    <row r="60" spans="1:12" x14ac:dyDescent="0.4">
      <c r="A60" s="2" t="s">
        <v>4244</v>
      </c>
      <c r="C60" s="99"/>
    </row>
    <row r="61" spans="1:12" ht="17" x14ac:dyDescent="0.45">
      <c r="A61" s="3" t="s">
        <v>4245</v>
      </c>
      <c r="C61" s="99"/>
    </row>
    <row r="62" spans="1:12" x14ac:dyDescent="0.4">
      <c r="A62" s="3" t="s">
        <v>4246</v>
      </c>
      <c r="F62" s="20"/>
      <c r="G62" s="20"/>
      <c r="H62" s="20"/>
      <c r="I62" s="20"/>
      <c r="J62" s="20"/>
      <c r="K62" s="20"/>
      <c r="L62" s="20"/>
    </row>
    <row r="63" spans="1:12" x14ac:dyDescent="0.4">
      <c r="F63" s="20"/>
      <c r="G63" s="20"/>
      <c r="H63" s="20"/>
      <c r="I63" s="20"/>
      <c r="J63" s="20"/>
      <c r="K63" s="20"/>
      <c r="L63" s="20"/>
    </row>
    <row r="64" spans="1:12" x14ac:dyDescent="0.4">
      <c r="A64" s="4" t="s">
        <v>4247</v>
      </c>
      <c r="G64" s="20"/>
      <c r="H64" s="20"/>
      <c r="I64" s="20"/>
      <c r="J64" s="20"/>
      <c r="K64" s="20"/>
      <c r="L64" s="20"/>
    </row>
    <row r="65" spans="1:12" ht="48.5" thickBot="1" x14ac:dyDescent="0.45">
      <c r="A65" s="180" t="s">
        <v>212</v>
      </c>
      <c r="B65" s="171" t="s">
        <v>4248</v>
      </c>
      <c r="C65" s="172" t="s">
        <v>4231</v>
      </c>
      <c r="D65" s="170" t="s">
        <v>4249</v>
      </c>
      <c r="E65" s="170" t="s">
        <v>4250</v>
      </c>
      <c r="F65" s="170" t="s">
        <v>4251</v>
      </c>
      <c r="G65" s="37"/>
      <c r="H65" s="37"/>
      <c r="I65" s="20"/>
      <c r="J65" s="20"/>
      <c r="K65" s="20"/>
      <c r="L65" s="20"/>
    </row>
    <row r="66" spans="1:12" x14ac:dyDescent="0.4">
      <c r="A66" s="187" t="s">
        <v>221</v>
      </c>
      <c r="B66" s="188">
        <f t="shared" ref="B66:B86" si="4">(IF(E66&gt;0,E66,(IF(D66&gt;0,D66,F66))))</f>
        <v>2.4250848819999997E-2</v>
      </c>
      <c r="C66" s="185" t="str">
        <f t="shared" ref="C66:C86" si="5">IF(B66=D66,"IPCC",(IF(B66=E66,"EPA",(IF(B66=F66,"Average")))))</f>
        <v>EPA</v>
      </c>
      <c r="D66" s="186">
        <f>C280*0.95</f>
        <v>2.2096999926596605E-3</v>
      </c>
      <c r="E66" s="186">
        <f>0.011*$B$116</f>
        <v>2.4250848819999997E-2</v>
      </c>
      <c r="F66" s="186"/>
      <c r="I66" s="20"/>
      <c r="J66" s="20"/>
      <c r="K66" s="20"/>
      <c r="L66" s="20"/>
    </row>
    <row r="67" spans="1:12" x14ac:dyDescent="0.4">
      <c r="A67" s="187" t="s">
        <v>223</v>
      </c>
      <c r="B67" s="188">
        <f t="shared" si="4"/>
        <v>2.4250848819999997E-2</v>
      </c>
      <c r="C67" s="185" t="str">
        <f t="shared" si="5"/>
        <v>EPA</v>
      </c>
      <c r="D67" s="186">
        <f>C281*0.95</f>
        <v>2.2096999926596605E-3</v>
      </c>
      <c r="E67" s="186">
        <f>0.011*$B$116</f>
        <v>2.4250848819999997E-2</v>
      </c>
      <c r="F67" s="186"/>
    </row>
    <row r="68" spans="1:12" x14ac:dyDescent="0.4">
      <c r="A68" s="187" t="s">
        <v>225</v>
      </c>
      <c r="B68" s="188">
        <f t="shared" si="4"/>
        <v>6.6138678599999999E-3</v>
      </c>
      <c r="C68" s="185" t="str">
        <f t="shared" si="5"/>
        <v>EPA</v>
      </c>
      <c r="D68" s="186">
        <f>C282*0.95</f>
        <v>6.6290999779789802E-3</v>
      </c>
      <c r="E68" s="186">
        <f>0.003*$B$116</f>
        <v>6.6138678599999999E-3</v>
      </c>
      <c r="F68" s="186"/>
      <c r="I68" s="103"/>
      <c r="J68" s="103"/>
      <c r="K68" s="103"/>
      <c r="L68" s="103"/>
    </row>
    <row r="69" spans="1:12" x14ac:dyDescent="0.4">
      <c r="A69" s="187" t="s">
        <v>270</v>
      </c>
      <c r="B69" s="188">
        <f t="shared" si="4"/>
        <v>2.20462262E-3</v>
      </c>
      <c r="C69" s="185" t="str">
        <f t="shared" si="5"/>
        <v>EPA</v>
      </c>
      <c r="D69" s="186">
        <f>C283*0.9</f>
        <v>2.0933999930459941E-3</v>
      </c>
      <c r="E69" s="186">
        <f>0.001*$B$116</f>
        <v>2.20462262E-3</v>
      </c>
      <c r="F69" s="186"/>
    </row>
    <row r="70" spans="1:12" x14ac:dyDescent="0.4">
      <c r="A70" s="187" t="s">
        <v>229</v>
      </c>
      <c r="B70" s="188">
        <f t="shared" si="4"/>
        <v>7.0547923839999999E-2</v>
      </c>
      <c r="C70" s="185" t="str">
        <f t="shared" si="5"/>
        <v>EPA</v>
      </c>
      <c r="D70" s="186">
        <f>C285*0.95</f>
        <v>6.6290999779789792E-2</v>
      </c>
      <c r="E70" s="186">
        <f>0.032*$B$116</f>
        <v>7.0547923839999999E-2</v>
      </c>
      <c r="F70" s="186"/>
    </row>
    <row r="71" spans="1:12" x14ac:dyDescent="0.4">
      <c r="A71" s="187" t="s">
        <v>231</v>
      </c>
      <c r="B71" s="188">
        <f t="shared" si="4"/>
        <v>2.510559183737188E-2</v>
      </c>
      <c r="C71" s="185" t="str">
        <f t="shared" si="5"/>
        <v>Average</v>
      </c>
      <c r="D71" s="186"/>
      <c r="E71" s="186"/>
      <c r="F71" s="186">
        <f>AVERAGE(B66:B70,B72:B78,B79:B82,B84:B86)</f>
        <v>2.510559183737188E-2</v>
      </c>
      <c r="I71" s="20"/>
      <c r="J71" s="20"/>
      <c r="K71" s="20"/>
      <c r="L71" s="20"/>
    </row>
    <row r="72" spans="1:12" x14ac:dyDescent="0.4">
      <c r="A72" s="187" t="s">
        <v>233</v>
      </c>
      <c r="B72" s="188">
        <f t="shared" si="4"/>
        <v>7.0547923839999999E-2</v>
      </c>
      <c r="C72" s="185" t="str">
        <f t="shared" si="5"/>
        <v>EPA</v>
      </c>
      <c r="D72" s="186">
        <f t="shared" ref="D72:D78" si="6">C287*0.95</f>
        <v>6.6290999779789792E-2</v>
      </c>
      <c r="E72" s="186">
        <f>0.032*$B$116</f>
        <v>7.0547923839999999E-2</v>
      </c>
      <c r="F72" s="186"/>
    </row>
    <row r="73" spans="1:12" x14ac:dyDescent="0.4">
      <c r="A73" s="187" t="s">
        <v>235</v>
      </c>
      <c r="B73" s="188">
        <f t="shared" si="4"/>
        <v>6.6138678599999999E-3</v>
      </c>
      <c r="C73" s="185" t="str">
        <f t="shared" si="5"/>
        <v>EPA</v>
      </c>
      <c r="D73" s="186">
        <f t="shared" si="6"/>
        <v>6.6290999779789802E-3</v>
      </c>
      <c r="E73" s="186">
        <f>0.003*$B$116</f>
        <v>6.6138678599999999E-3</v>
      </c>
      <c r="F73" s="186"/>
    </row>
    <row r="74" spans="1:12" x14ac:dyDescent="0.4">
      <c r="A74" s="187" t="s">
        <v>237</v>
      </c>
      <c r="B74" s="188">
        <f t="shared" si="4"/>
        <v>6.6138678599999999E-3</v>
      </c>
      <c r="C74" s="185" t="str">
        <f t="shared" si="5"/>
        <v>EPA</v>
      </c>
      <c r="D74" s="186">
        <f t="shared" si="6"/>
        <v>6.6290999779789802E-3</v>
      </c>
      <c r="E74" s="186">
        <f>0.003*$B$116</f>
        <v>6.6138678599999999E-3</v>
      </c>
      <c r="F74" s="186"/>
    </row>
    <row r="75" spans="1:12" x14ac:dyDescent="0.4">
      <c r="A75" s="187" t="s">
        <v>239</v>
      </c>
      <c r="B75" s="188">
        <f t="shared" si="4"/>
        <v>6.6138678599999999E-3</v>
      </c>
      <c r="C75" s="185" t="str">
        <f t="shared" si="5"/>
        <v>EPA</v>
      </c>
      <c r="D75" s="186">
        <f t="shared" si="6"/>
        <v>6.6290999779789802E-3</v>
      </c>
      <c r="E75" s="186">
        <f>0.003*$B$116</f>
        <v>6.6138678599999999E-3</v>
      </c>
      <c r="F75" s="186"/>
    </row>
    <row r="76" spans="1:12" x14ac:dyDescent="0.4">
      <c r="A76" s="187" t="s">
        <v>241</v>
      </c>
      <c r="B76" s="188">
        <f t="shared" si="4"/>
        <v>6.6138678599999999E-3</v>
      </c>
      <c r="C76" s="185" t="str">
        <f t="shared" si="5"/>
        <v>EPA</v>
      </c>
      <c r="D76" s="186">
        <f t="shared" si="6"/>
        <v>6.6290999779789802E-3</v>
      </c>
      <c r="E76" s="186">
        <f>0.003*$B$116</f>
        <v>6.6138678599999999E-3</v>
      </c>
      <c r="F76" s="186"/>
    </row>
    <row r="77" spans="1:12" x14ac:dyDescent="0.4">
      <c r="A77" s="187" t="s">
        <v>243</v>
      </c>
      <c r="B77" s="188">
        <f t="shared" si="4"/>
        <v>6.6290999779789792E-2</v>
      </c>
      <c r="C77" s="185" t="str">
        <f t="shared" si="5"/>
        <v>IPCC</v>
      </c>
      <c r="D77" s="186">
        <f t="shared" si="6"/>
        <v>6.6290999779789792E-2</v>
      </c>
      <c r="E77" s="186"/>
      <c r="F77" s="186"/>
    </row>
    <row r="78" spans="1:12" x14ac:dyDescent="0.4">
      <c r="A78" s="187" t="s">
        <v>245</v>
      </c>
      <c r="B78" s="188">
        <f t="shared" si="4"/>
        <v>2.20462262E-3</v>
      </c>
      <c r="C78" s="185" t="str">
        <f t="shared" si="5"/>
        <v>EPA</v>
      </c>
      <c r="D78" s="186">
        <f t="shared" si="6"/>
        <v>2.2096999926596605E-3</v>
      </c>
      <c r="E78" s="186">
        <f>0.001*$B$116</f>
        <v>2.20462262E-3</v>
      </c>
      <c r="F78" s="186"/>
    </row>
    <row r="79" spans="1:12" x14ac:dyDescent="0.4">
      <c r="A79" s="187" t="s">
        <v>251</v>
      </c>
      <c r="B79" s="188">
        <f t="shared" si="4"/>
        <v>7.054792384E-3</v>
      </c>
      <c r="C79" s="185" t="str">
        <f t="shared" si="5"/>
        <v>EPA</v>
      </c>
      <c r="D79" s="186">
        <f>C294*0.9</f>
        <v>2.0933999930459941E-3</v>
      </c>
      <c r="E79" s="186">
        <f>0.0032*$B$116</f>
        <v>7.054792384E-3</v>
      </c>
      <c r="F79" s="186"/>
    </row>
    <row r="80" spans="1:12" x14ac:dyDescent="0.4">
      <c r="A80" s="187" t="s">
        <v>253</v>
      </c>
      <c r="B80" s="188">
        <f t="shared" si="4"/>
        <v>7.0547923839999999E-2</v>
      </c>
      <c r="C80" s="185" t="str">
        <f t="shared" si="5"/>
        <v>EPA</v>
      </c>
      <c r="D80" s="186">
        <f>C295*0.9</f>
        <v>6.280199979137982E-2</v>
      </c>
      <c r="E80" s="186">
        <f>0.032*$B$116</f>
        <v>7.0547923839999999E-2</v>
      </c>
      <c r="F80" s="186"/>
    </row>
    <row r="81" spans="1:15" x14ac:dyDescent="0.4">
      <c r="A81" s="187" t="s">
        <v>255</v>
      </c>
      <c r="B81" s="188">
        <f t="shared" si="4"/>
        <v>6.2801999791379818E-3</v>
      </c>
      <c r="C81" s="185" t="str">
        <f t="shared" si="5"/>
        <v>IPCC</v>
      </c>
      <c r="D81" s="186">
        <f>C296*0.9</f>
        <v>6.2801999791379818E-3</v>
      </c>
      <c r="E81" s="186"/>
      <c r="F81" s="186"/>
    </row>
    <row r="82" spans="1:15" x14ac:dyDescent="0.4">
      <c r="A82" s="187" t="s">
        <v>257</v>
      </c>
      <c r="B82" s="188">
        <f t="shared" si="4"/>
        <v>1.5873282863999999E-2</v>
      </c>
      <c r="C82" s="185" t="str">
        <f t="shared" si="5"/>
        <v>EPA</v>
      </c>
      <c r="D82" s="186">
        <f>C297*0.9</f>
        <v>6.280199979137982E-2</v>
      </c>
      <c r="E82" s="186">
        <f>0.0072*$B$116</f>
        <v>1.5873282863999999E-2</v>
      </c>
      <c r="F82" s="186"/>
    </row>
    <row r="83" spans="1:15" x14ac:dyDescent="0.4">
      <c r="A83" s="187" t="s">
        <v>259</v>
      </c>
      <c r="B83" s="188">
        <f t="shared" si="4"/>
        <v>2.510559183737188E-2</v>
      </c>
      <c r="C83" s="185" t="str">
        <f t="shared" si="5"/>
        <v>Average</v>
      </c>
      <c r="D83" s="186"/>
      <c r="E83" s="186"/>
      <c r="F83" s="186">
        <f>AVERAGE(B66:B70,B72:B78,B79:B82,B84:B86)</f>
        <v>2.510559183737188E-2</v>
      </c>
    </row>
    <row r="84" spans="1:15" x14ac:dyDescent="0.4">
      <c r="A84" s="187" t="s">
        <v>261</v>
      </c>
      <c r="B84" s="188">
        <f t="shared" si="4"/>
        <v>7.0547923839999999E-2</v>
      </c>
      <c r="C84" s="185" t="str">
        <f t="shared" si="5"/>
        <v>EPA</v>
      </c>
      <c r="D84" s="186">
        <f>C298*0.9</f>
        <v>6.280199979137982E-2</v>
      </c>
      <c r="E84" s="186">
        <f>0.032*$B$116</f>
        <v>7.0547923839999999E-2</v>
      </c>
      <c r="F84" s="186"/>
    </row>
    <row r="85" spans="1:15" x14ac:dyDescent="0.4">
      <c r="A85" s="187" t="s">
        <v>263</v>
      </c>
      <c r="B85" s="188">
        <f t="shared" si="4"/>
        <v>6.2801999791379818E-3</v>
      </c>
      <c r="C85" s="185" t="str">
        <f t="shared" si="5"/>
        <v>IPCC</v>
      </c>
      <c r="D85" s="186">
        <f>C296*0.9</f>
        <v>6.2801999791379818E-3</v>
      </c>
      <c r="E85" s="186"/>
      <c r="F85" s="186"/>
    </row>
    <row r="86" spans="1:15" ht="16.5" thickBot="1" x14ac:dyDescent="0.45">
      <c r="A86" s="189" t="s">
        <v>265</v>
      </c>
      <c r="B86" s="190">
        <f t="shared" si="4"/>
        <v>7.054792384E-3</v>
      </c>
      <c r="C86" s="191" t="str">
        <f t="shared" si="5"/>
        <v>EPA</v>
      </c>
      <c r="D86" s="192">
        <f>C299*0.9</f>
        <v>2.0933999930459941E-3</v>
      </c>
      <c r="E86" s="192">
        <f>0.0032*$B$116</f>
        <v>7.054792384E-3</v>
      </c>
      <c r="F86" s="192"/>
    </row>
    <row r="87" spans="1:15" x14ac:dyDescent="0.4">
      <c r="A87" s="8" t="s">
        <v>11</v>
      </c>
      <c r="B87" s="8"/>
      <c r="C87" s="8"/>
      <c r="D87" s="186"/>
      <c r="E87" s="186"/>
      <c r="F87" s="186"/>
      <c r="N87" s="44"/>
      <c r="O87" s="44"/>
    </row>
    <row r="88" spans="1:15" x14ac:dyDescent="0.4">
      <c r="N88" s="44"/>
      <c r="O88" s="44"/>
    </row>
    <row r="89" spans="1:15" x14ac:dyDescent="0.4">
      <c r="A89" s="43" t="s">
        <v>4252</v>
      </c>
      <c r="N89" s="44"/>
      <c r="O89" s="44"/>
    </row>
    <row r="90" spans="1:15" ht="48.5" thickBot="1" x14ac:dyDescent="0.45">
      <c r="A90" s="164" t="s">
        <v>212</v>
      </c>
      <c r="B90" s="162" t="s">
        <v>4253</v>
      </c>
      <c r="C90" s="163" t="s">
        <v>4231</v>
      </c>
      <c r="D90" s="37" t="s">
        <v>4254</v>
      </c>
      <c r="E90" s="37" t="s">
        <v>4255</v>
      </c>
      <c r="F90" s="37" t="s">
        <v>4256</v>
      </c>
      <c r="G90" s="37"/>
      <c r="H90" s="37"/>
      <c r="N90" s="44"/>
      <c r="O90" s="44"/>
    </row>
    <row r="91" spans="1:15" x14ac:dyDescent="0.4">
      <c r="A91" s="95" t="s">
        <v>221</v>
      </c>
      <c r="B91" s="100">
        <f t="shared" ref="B91:B111" si="7">(IF(E91&gt;0,E91,(IF(D91&gt;0,D91,F91))))</f>
        <v>3.527396192E-3</v>
      </c>
      <c r="C91" s="96" t="str">
        <f t="shared" ref="C91:C111" si="8">IF(B91=D91,"IPCC",(IF(B91=E91,"EPA",(IF(B91=F91,"Average")))))</f>
        <v>EPA</v>
      </c>
      <c r="D91" s="182">
        <f>C303*0.95</f>
        <v>3.3145499889894901E-3</v>
      </c>
      <c r="E91" s="182">
        <f>0.0016*$B$116</f>
        <v>3.527396192E-3</v>
      </c>
      <c r="F91" s="183"/>
      <c r="N91" s="44"/>
      <c r="O91" s="44"/>
    </row>
    <row r="92" spans="1:15" x14ac:dyDescent="0.4">
      <c r="A92" s="95" t="s">
        <v>223</v>
      </c>
      <c r="B92" s="100">
        <f t="shared" si="7"/>
        <v>3.527396192E-3</v>
      </c>
      <c r="C92" s="96" t="str">
        <f t="shared" si="8"/>
        <v>EPA</v>
      </c>
      <c r="D92" s="182">
        <f>C304*0.95</f>
        <v>3.3145499889894901E-3</v>
      </c>
      <c r="E92" s="182">
        <f>0.0016*$B$116</f>
        <v>3.527396192E-3</v>
      </c>
      <c r="F92" s="183"/>
      <c r="N92" s="44"/>
      <c r="O92" s="44"/>
    </row>
    <row r="93" spans="1:15" x14ac:dyDescent="0.4">
      <c r="A93" s="95" t="s">
        <v>225</v>
      </c>
      <c r="B93" s="100">
        <f t="shared" si="7"/>
        <v>1.3227735719999998E-3</v>
      </c>
      <c r="C93" s="96" t="str">
        <f t="shared" si="8"/>
        <v>EPA</v>
      </c>
      <c r="D93" s="182">
        <f>C305*0.95</f>
        <v>1.3258199955957961E-3</v>
      </c>
      <c r="E93" s="182">
        <f>0.0006*$B$116</f>
        <v>1.3227735719999998E-3</v>
      </c>
      <c r="F93" s="183"/>
      <c r="N93" s="44"/>
      <c r="O93" s="44"/>
    </row>
    <row r="94" spans="1:15" x14ac:dyDescent="0.4">
      <c r="A94" s="95" t="s">
        <v>270</v>
      </c>
      <c r="B94" s="100">
        <f t="shared" si="7"/>
        <v>2.20462262E-4</v>
      </c>
      <c r="C94" s="96" t="str">
        <f t="shared" si="8"/>
        <v>EPA</v>
      </c>
      <c r="D94" s="182">
        <f>C306*0.9</f>
        <v>2.0933999930459942E-4</v>
      </c>
      <c r="E94" s="182">
        <f>0.0001*$B$116</f>
        <v>2.20462262E-4</v>
      </c>
      <c r="F94" s="183"/>
      <c r="N94" s="44"/>
      <c r="O94" s="44"/>
    </row>
    <row r="95" spans="1:15" x14ac:dyDescent="0.4">
      <c r="A95" s="95" t="s">
        <v>229</v>
      </c>
      <c r="B95" s="100">
        <f t="shared" si="7"/>
        <v>9.2594150039999983E-3</v>
      </c>
      <c r="C95" s="96" t="str">
        <f t="shared" si="8"/>
        <v>EPA</v>
      </c>
      <c r="D95" s="182">
        <f>C308*0.95</f>
        <v>8.838799970638642E-3</v>
      </c>
      <c r="E95" s="182">
        <f>0.0042*$B$116</f>
        <v>9.2594150039999983E-3</v>
      </c>
      <c r="F95" s="183"/>
      <c r="N95" s="44"/>
      <c r="O95" s="44"/>
    </row>
    <row r="96" spans="1:15" x14ac:dyDescent="0.4">
      <c r="A96" s="95" t="s">
        <v>231</v>
      </c>
      <c r="B96" s="100">
        <f t="shared" si="7"/>
        <v>4.1617952978959278E-3</v>
      </c>
      <c r="C96" s="96" t="str">
        <f t="shared" si="8"/>
        <v>Average</v>
      </c>
      <c r="D96" s="182"/>
      <c r="E96" s="182"/>
      <c r="F96" s="183">
        <f>AVERAGE(B91:B95,B97:B103,B104:B107,B109:B111)</f>
        <v>4.1617952978959278E-3</v>
      </c>
      <c r="N96" s="44"/>
      <c r="O96" s="44"/>
    </row>
    <row r="97" spans="1:15" x14ac:dyDescent="0.4">
      <c r="A97" s="95" t="s">
        <v>233</v>
      </c>
      <c r="B97" s="100">
        <f t="shared" si="7"/>
        <v>9.2594150039999983E-3</v>
      </c>
      <c r="C97" s="96" t="str">
        <f t="shared" si="8"/>
        <v>EPA</v>
      </c>
      <c r="D97" s="182">
        <f t="shared" ref="D97:D103" si="9">C310*0.95</f>
        <v>8.838799970638642E-3</v>
      </c>
      <c r="E97" s="182">
        <f>0.0042*$B$116</f>
        <v>9.2594150039999983E-3</v>
      </c>
      <c r="F97" s="183"/>
      <c r="N97" s="44"/>
      <c r="O97" s="44"/>
    </row>
    <row r="98" spans="1:15" x14ac:dyDescent="0.4">
      <c r="A98" s="95" t="s">
        <v>235</v>
      </c>
      <c r="B98" s="100">
        <f t="shared" si="7"/>
        <v>1.3227735719999998E-3</v>
      </c>
      <c r="C98" s="96" t="str">
        <f t="shared" si="8"/>
        <v>EPA</v>
      </c>
      <c r="D98" s="182">
        <f t="shared" si="9"/>
        <v>1.3258199955957961E-3</v>
      </c>
      <c r="E98" s="182">
        <f>0.0006*$B$116</f>
        <v>1.3227735719999998E-3</v>
      </c>
      <c r="F98" s="183"/>
      <c r="N98" s="44"/>
      <c r="O98" s="44"/>
    </row>
    <row r="99" spans="1:15" x14ac:dyDescent="0.4">
      <c r="A99" s="95" t="s">
        <v>237</v>
      </c>
      <c r="B99" s="100">
        <f t="shared" si="7"/>
        <v>1.3227735719999998E-3</v>
      </c>
      <c r="C99" s="96" t="str">
        <f t="shared" si="8"/>
        <v>EPA</v>
      </c>
      <c r="D99" s="182">
        <f t="shared" si="9"/>
        <v>1.3258199955957961E-3</v>
      </c>
      <c r="E99" s="182">
        <f>0.0006*$B$116</f>
        <v>1.3227735719999998E-3</v>
      </c>
      <c r="F99" s="183"/>
      <c r="N99" s="44"/>
      <c r="O99" s="44"/>
    </row>
    <row r="100" spans="1:15" x14ac:dyDescent="0.4">
      <c r="A100" s="95" t="s">
        <v>239</v>
      </c>
      <c r="B100" s="100">
        <f t="shared" si="7"/>
        <v>1.3227735719999998E-3</v>
      </c>
      <c r="C100" s="96" t="str">
        <f t="shared" si="8"/>
        <v>EPA</v>
      </c>
      <c r="D100" s="182">
        <f t="shared" si="9"/>
        <v>1.3258199955957961E-3</v>
      </c>
      <c r="E100" s="182">
        <f>0.0006*$B$116</f>
        <v>1.3227735719999998E-3</v>
      </c>
      <c r="F100" s="183"/>
      <c r="N100" s="44"/>
      <c r="O100" s="44"/>
    </row>
    <row r="101" spans="1:15" x14ac:dyDescent="0.4">
      <c r="A101" s="95" t="s">
        <v>241</v>
      </c>
      <c r="B101" s="100">
        <f t="shared" si="7"/>
        <v>1.3227735719999998E-3</v>
      </c>
      <c r="C101" s="96" t="str">
        <f t="shared" si="8"/>
        <v>EPA</v>
      </c>
      <c r="D101" s="182">
        <f t="shared" si="9"/>
        <v>1.3258199955957961E-3</v>
      </c>
      <c r="E101" s="182">
        <f>0.0006*$B$116</f>
        <v>1.3227735719999998E-3</v>
      </c>
      <c r="F101" s="183"/>
      <c r="N101" s="44"/>
      <c r="O101" s="44"/>
    </row>
    <row r="102" spans="1:15" x14ac:dyDescent="0.4">
      <c r="A102" s="95" t="s">
        <v>243</v>
      </c>
      <c r="B102" s="100">
        <f t="shared" si="7"/>
        <v>8.838799970638642E-3</v>
      </c>
      <c r="C102" s="96" t="str">
        <f t="shared" si="8"/>
        <v>IPCC</v>
      </c>
      <c r="D102" s="182">
        <f t="shared" si="9"/>
        <v>8.838799970638642E-3</v>
      </c>
      <c r="E102" s="182"/>
      <c r="F102" s="183"/>
      <c r="N102" s="44"/>
      <c r="O102" s="44"/>
    </row>
    <row r="103" spans="1:15" x14ac:dyDescent="0.4">
      <c r="A103" s="95" t="s">
        <v>245</v>
      </c>
      <c r="B103" s="100">
        <f t="shared" si="7"/>
        <v>2.20462262E-4</v>
      </c>
      <c r="C103" s="96" t="str">
        <f t="shared" si="8"/>
        <v>EPA</v>
      </c>
      <c r="D103" s="182">
        <f t="shared" si="9"/>
        <v>2.2096999926596604E-4</v>
      </c>
      <c r="E103" s="182">
        <f>0.0001*$B$116</f>
        <v>2.20462262E-4</v>
      </c>
      <c r="F103" s="183"/>
      <c r="N103" s="44"/>
      <c r="O103" s="44"/>
    </row>
    <row r="104" spans="1:15" x14ac:dyDescent="0.4">
      <c r="A104" s="95" t="s">
        <v>251</v>
      </c>
      <c r="B104" s="100">
        <f t="shared" si="7"/>
        <v>1.3889122505999999E-3</v>
      </c>
      <c r="C104" s="96" t="str">
        <f t="shared" si="8"/>
        <v>EPA</v>
      </c>
      <c r="D104" s="182">
        <f>C317*0.9</f>
        <v>2.0933999930459942E-4</v>
      </c>
      <c r="E104" s="182">
        <f>0.00063*$B$116</f>
        <v>1.3889122505999999E-3</v>
      </c>
      <c r="F104" s="183"/>
      <c r="N104" s="44"/>
      <c r="O104" s="44"/>
    </row>
    <row r="105" spans="1:15" x14ac:dyDescent="0.4">
      <c r="A105" s="95" t="s">
        <v>253</v>
      </c>
      <c r="B105" s="100">
        <f t="shared" si="7"/>
        <v>9.2594150039999983E-3</v>
      </c>
      <c r="C105" s="96" t="str">
        <f t="shared" si="8"/>
        <v>EPA</v>
      </c>
      <c r="D105" s="182">
        <f>C318*0.9</f>
        <v>8.3735999721839764E-3</v>
      </c>
      <c r="E105" s="182">
        <f>0.0042*$B$116</f>
        <v>9.2594150039999983E-3</v>
      </c>
      <c r="F105" s="183"/>
      <c r="N105" s="44"/>
      <c r="O105" s="44"/>
    </row>
    <row r="106" spans="1:15" x14ac:dyDescent="0.4">
      <c r="A106" s="95" t="s">
        <v>255</v>
      </c>
      <c r="B106" s="100">
        <f t="shared" si="7"/>
        <v>4.1867999860919882E-3</v>
      </c>
      <c r="C106" s="96" t="str">
        <f t="shared" si="8"/>
        <v>IPCC</v>
      </c>
      <c r="D106" s="182">
        <f>C319*0.9</f>
        <v>4.1867999860919882E-3</v>
      </c>
      <c r="E106" s="182"/>
      <c r="F106" s="183"/>
      <c r="N106" s="44"/>
      <c r="O106" s="44"/>
    </row>
    <row r="107" spans="1:15" x14ac:dyDescent="0.4">
      <c r="A107" s="95" t="s">
        <v>257</v>
      </c>
      <c r="B107" s="100">
        <f t="shared" si="7"/>
        <v>7.9366414319999995E-3</v>
      </c>
      <c r="C107" s="96" t="str">
        <f t="shared" si="8"/>
        <v>EPA</v>
      </c>
      <c r="D107" s="182">
        <f>C320*0.9</f>
        <v>8.3735999721839764E-3</v>
      </c>
      <c r="E107" s="182">
        <f>0.0036*$B$116</f>
        <v>7.9366414319999995E-3</v>
      </c>
      <c r="F107" s="183"/>
      <c r="N107" s="44"/>
      <c r="O107" s="44"/>
    </row>
    <row r="108" spans="1:15" x14ac:dyDescent="0.4">
      <c r="A108" s="95" t="s">
        <v>259</v>
      </c>
      <c r="B108" s="100">
        <f t="shared" si="7"/>
        <v>4.1617952978959278E-3</v>
      </c>
      <c r="C108" s="96" t="str">
        <f t="shared" si="8"/>
        <v>Average</v>
      </c>
      <c r="D108" s="182"/>
      <c r="E108" s="182"/>
      <c r="F108" s="183">
        <f>AVERAGE(B91:B95,B97:B103,B104:B107,B109:B111)</f>
        <v>4.1617952978959278E-3</v>
      </c>
      <c r="N108" s="44"/>
      <c r="O108" s="44"/>
    </row>
    <row r="109" spans="1:15" x14ac:dyDescent="0.4">
      <c r="A109" s="95" t="s">
        <v>261</v>
      </c>
      <c r="B109" s="100">
        <f t="shared" si="7"/>
        <v>9.2594150039999983E-3</v>
      </c>
      <c r="C109" s="96" t="str">
        <f t="shared" si="8"/>
        <v>EPA</v>
      </c>
      <c r="D109" s="182">
        <f>C321*0.9</f>
        <v>8.3735999721839764E-3</v>
      </c>
      <c r="E109" s="182">
        <f>0.0042*$B$116</f>
        <v>9.2594150039999983E-3</v>
      </c>
      <c r="F109" s="183"/>
      <c r="N109" s="44"/>
      <c r="O109" s="44"/>
    </row>
    <row r="110" spans="1:15" x14ac:dyDescent="0.4">
      <c r="A110" s="95" t="s">
        <v>263</v>
      </c>
      <c r="B110" s="100">
        <f t="shared" si="7"/>
        <v>4.1867999860919882E-3</v>
      </c>
      <c r="C110" s="96" t="str">
        <f t="shared" si="8"/>
        <v>IPCC</v>
      </c>
      <c r="D110" s="182">
        <f>C319*0.9</f>
        <v>4.1867999860919882E-3</v>
      </c>
      <c r="E110" s="182"/>
      <c r="F110" s="183"/>
      <c r="N110" s="44"/>
      <c r="O110" s="44"/>
    </row>
    <row r="111" spans="1:15" ht="16.5" thickBot="1" x14ac:dyDescent="0.45">
      <c r="A111" s="97" t="s">
        <v>265</v>
      </c>
      <c r="B111" s="102">
        <f t="shared" si="7"/>
        <v>1.3889122505999999E-3</v>
      </c>
      <c r="C111" s="98" t="str">
        <f t="shared" si="8"/>
        <v>EPA</v>
      </c>
      <c r="D111" s="101">
        <f>C322*0.9</f>
        <v>2.0933999930459942E-4</v>
      </c>
      <c r="E111" s="101">
        <f>0.00063*$B$116</f>
        <v>1.3889122505999999E-3</v>
      </c>
      <c r="F111" s="184"/>
      <c r="N111" s="44"/>
      <c r="O111" s="44"/>
    </row>
    <row r="112" spans="1:15" x14ac:dyDescent="0.4">
      <c r="A112" s="3" t="s">
        <v>11</v>
      </c>
      <c r="D112" s="182"/>
      <c r="E112" s="182"/>
      <c r="F112" s="183"/>
      <c r="N112" s="44"/>
      <c r="O112" s="44"/>
    </row>
    <row r="113" spans="1:15" x14ac:dyDescent="0.4">
      <c r="N113" s="44"/>
      <c r="O113" s="44"/>
    </row>
    <row r="114" spans="1:15" x14ac:dyDescent="0.4">
      <c r="A114" s="4" t="s">
        <v>4257</v>
      </c>
      <c r="N114" s="44"/>
      <c r="O114" s="44"/>
    </row>
    <row r="115" spans="1:15" x14ac:dyDescent="0.4">
      <c r="A115" s="198" t="s">
        <v>4258</v>
      </c>
      <c r="B115" s="199" t="s">
        <v>4259</v>
      </c>
      <c r="N115" s="44"/>
      <c r="O115" s="44"/>
    </row>
    <row r="116" spans="1:15" x14ac:dyDescent="0.4">
      <c r="A116" s="8" t="s">
        <v>4260</v>
      </c>
      <c r="B116" s="8">
        <v>2.2046226199999999</v>
      </c>
      <c r="N116" s="44"/>
      <c r="O116" s="44"/>
    </row>
    <row r="117" spans="1:15" x14ac:dyDescent="0.4">
      <c r="A117" s="8" t="s">
        <v>4261</v>
      </c>
      <c r="B117" s="8">
        <v>1055.05585</v>
      </c>
      <c r="N117" s="44"/>
      <c r="O117" s="44"/>
    </row>
    <row r="118" spans="1:15" x14ac:dyDescent="0.4">
      <c r="A118" s="3" t="s">
        <v>11</v>
      </c>
      <c r="B118" s="8"/>
      <c r="N118" s="44"/>
      <c r="O118" s="44"/>
    </row>
    <row r="119" spans="1:15" x14ac:dyDescent="0.4">
      <c r="N119" s="44"/>
      <c r="O119" s="44"/>
    </row>
    <row r="120" spans="1:15" x14ac:dyDescent="0.4">
      <c r="A120" s="4" t="s">
        <v>4262</v>
      </c>
      <c r="N120" s="44"/>
      <c r="O120" s="44"/>
    </row>
    <row r="121" spans="1:15" x14ac:dyDescent="0.4">
      <c r="A121" s="4" t="s">
        <v>4263</v>
      </c>
      <c r="N121" s="44"/>
      <c r="O121" s="44"/>
    </row>
    <row r="122" spans="1:15" x14ac:dyDescent="0.4">
      <c r="A122" s="60" t="s">
        <v>4264</v>
      </c>
      <c r="N122" s="44"/>
      <c r="O122" s="44"/>
    </row>
    <row r="123" spans="1:15" x14ac:dyDescent="0.4">
      <c r="A123" s="3" t="s">
        <v>4265</v>
      </c>
      <c r="B123" s="60" t="s">
        <v>4266</v>
      </c>
      <c r="N123" s="44"/>
      <c r="O123" s="44"/>
    </row>
    <row r="124" spans="1:15" x14ac:dyDescent="0.4">
      <c r="A124" s="3" t="s">
        <v>4267</v>
      </c>
      <c r="B124" s="60" t="s">
        <v>4268</v>
      </c>
      <c r="N124" s="44"/>
      <c r="O124" s="44"/>
    </row>
    <row r="125" spans="1:15" x14ac:dyDescent="0.4">
      <c r="A125" s="3" t="s">
        <v>4269</v>
      </c>
      <c r="N125" s="44"/>
      <c r="O125" s="44"/>
    </row>
    <row r="126" spans="1:15" x14ac:dyDescent="0.4">
      <c r="A126" s="3" t="s">
        <v>4270</v>
      </c>
      <c r="N126" s="44"/>
      <c r="O126" s="44"/>
    </row>
    <row r="127" spans="1:15" x14ac:dyDescent="0.4">
      <c r="A127" s="60" t="s">
        <v>4271</v>
      </c>
    </row>
    <row r="128" spans="1:15" x14ac:dyDescent="0.4">
      <c r="A128" s="3" t="s">
        <v>4272</v>
      </c>
    </row>
    <row r="130" spans="1:17" x14ac:dyDescent="0.4">
      <c r="A130" s="4" t="s">
        <v>4273</v>
      </c>
    </row>
    <row r="131" spans="1:17" ht="32" x14ac:dyDescent="0.4">
      <c r="A131" s="201" t="s">
        <v>4274</v>
      </c>
      <c r="B131" s="202" t="s">
        <v>4275</v>
      </c>
      <c r="E131" s="104"/>
    </row>
    <row r="132" spans="1:17" x14ac:dyDescent="0.4">
      <c r="A132" s="43" t="s">
        <v>4276</v>
      </c>
      <c r="B132" s="8" t="s">
        <v>170</v>
      </c>
    </row>
    <row r="133" spans="1:17" x14ac:dyDescent="0.4">
      <c r="A133" s="8" t="s">
        <v>4277</v>
      </c>
      <c r="B133" s="8">
        <v>103.69</v>
      </c>
    </row>
    <row r="134" spans="1:17" x14ac:dyDescent="0.4">
      <c r="A134" s="8" t="s">
        <v>4278</v>
      </c>
      <c r="B134" s="8">
        <v>93.28</v>
      </c>
    </row>
    <row r="135" spans="1:17" x14ac:dyDescent="0.4">
      <c r="A135" s="8" t="s">
        <v>4279</v>
      </c>
      <c r="B135" s="8">
        <v>97.17</v>
      </c>
    </row>
    <row r="136" spans="1:17" x14ac:dyDescent="0.4">
      <c r="A136" s="8" t="s">
        <v>4280</v>
      </c>
      <c r="B136" s="8">
        <v>97.72</v>
      </c>
    </row>
    <row r="137" spans="1:17" x14ac:dyDescent="0.4">
      <c r="A137" s="8" t="s">
        <v>4281</v>
      </c>
      <c r="B137" s="8">
        <v>113.67</v>
      </c>
    </row>
    <row r="138" spans="1:17" x14ac:dyDescent="0.4">
      <c r="A138" s="8" t="s">
        <v>4282</v>
      </c>
      <c r="B138" s="8">
        <v>94.27</v>
      </c>
    </row>
    <row r="139" spans="1:17" x14ac:dyDescent="0.4">
      <c r="A139" s="8" t="s">
        <v>4283</v>
      </c>
      <c r="B139" s="8">
        <v>93.9</v>
      </c>
    </row>
    <row r="140" spans="1:17" x14ac:dyDescent="0.4">
      <c r="A140" s="8" t="s">
        <v>4284</v>
      </c>
      <c r="B140" s="8">
        <v>94.67</v>
      </c>
    </row>
    <row r="141" spans="1:17" x14ac:dyDescent="0.4">
      <c r="A141" s="8" t="s">
        <v>4285</v>
      </c>
      <c r="B141" s="8">
        <v>95.52</v>
      </c>
    </row>
    <row r="142" spans="1:17" x14ac:dyDescent="0.4">
      <c r="A142" s="43" t="s">
        <v>4039</v>
      </c>
      <c r="B142" s="8">
        <v>53.06</v>
      </c>
    </row>
    <row r="143" spans="1:17" ht="18" x14ac:dyDescent="0.4">
      <c r="A143" s="43" t="s">
        <v>4286</v>
      </c>
      <c r="B143" s="8" t="s">
        <v>170</v>
      </c>
      <c r="O143" s="111"/>
      <c r="P143" s="111"/>
      <c r="Q143" s="111"/>
    </row>
    <row r="144" spans="1:17" ht="18" x14ac:dyDescent="0.4">
      <c r="A144" s="8" t="s">
        <v>4287</v>
      </c>
      <c r="B144" s="8">
        <v>73.25</v>
      </c>
      <c r="F144" s="111"/>
      <c r="G144" s="111"/>
      <c r="H144" s="111"/>
      <c r="I144" s="111"/>
      <c r="J144" s="111"/>
      <c r="K144" s="111"/>
      <c r="L144" s="111"/>
      <c r="M144" s="111"/>
      <c r="N144" s="111"/>
      <c r="O144" s="111"/>
      <c r="P144" s="111"/>
      <c r="Q144" s="111"/>
    </row>
    <row r="145" spans="1:29" ht="18" x14ac:dyDescent="0.4">
      <c r="A145" s="8" t="s">
        <v>4288</v>
      </c>
      <c r="B145" s="8">
        <v>73.959999999999994</v>
      </c>
      <c r="F145" s="111"/>
      <c r="G145" s="111"/>
      <c r="H145" s="111"/>
      <c r="I145" s="111"/>
      <c r="J145" s="111"/>
      <c r="K145" s="111"/>
      <c r="L145" s="111"/>
      <c r="M145" s="111"/>
      <c r="N145" s="111"/>
      <c r="O145" s="111"/>
      <c r="P145" s="111"/>
      <c r="Q145" s="111"/>
    </row>
    <row r="146" spans="1:29" x14ac:dyDescent="0.4">
      <c r="A146" s="8" t="s">
        <v>4289</v>
      </c>
      <c r="B146" s="8">
        <v>75.040000000000006</v>
      </c>
    </row>
    <row r="147" spans="1:29" x14ac:dyDescent="0.4">
      <c r="A147" s="8" t="s">
        <v>4290</v>
      </c>
      <c r="B147" s="8">
        <v>72.930000000000007</v>
      </c>
    </row>
    <row r="148" spans="1:29" x14ac:dyDescent="0.4">
      <c r="A148" s="8" t="s">
        <v>4291</v>
      </c>
      <c r="B148" s="8">
        <v>75.099999999999994</v>
      </c>
      <c r="AC148" s="8"/>
    </row>
    <row r="149" spans="1:29" x14ac:dyDescent="0.4">
      <c r="A149" s="8" t="s">
        <v>4292</v>
      </c>
      <c r="B149" s="8">
        <v>74</v>
      </c>
    </row>
    <row r="150" spans="1:29" x14ac:dyDescent="0.4">
      <c r="A150" s="8" t="s">
        <v>4293</v>
      </c>
      <c r="B150" s="8">
        <v>75.2</v>
      </c>
    </row>
    <row r="151" spans="1:29" x14ac:dyDescent="0.4">
      <c r="A151" s="8" t="s">
        <v>4294</v>
      </c>
      <c r="B151" s="8">
        <v>61.71</v>
      </c>
    </row>
    <row r="152" spans="1:29" x14ac:dyDescent="0.4">
      <c r="A152" s="8" t="s">
        <v>4295</v>
      </c>
      <c r="B152" s="8">
        <v>62.87</v>
      </c>
    </row>
    <row r="153" spans="1:29" x14ac:dyDescent="0.4">
      <c r="A153" s="8" t="s">
        <v>4296</v>
      </c>
      <c r="B153" s="8">
        <v>67.77</v>
      </c>
    </row>
    <row r="154" spans="1:29" x14ac:dyDescent="0.4">
      <c r="A154" s="8" t="s">
        <v>4297</v>
      </c>
      <c r="B154" s="8">
        <v>59.6</v>
      </c>
    </row>
    <row r="155" spans="1:29" x14ac:dyDescent="0.4">
      <c r="A155" s="8" t="s">
        <v>4298</v>
      </c>
      <c r="B155" s="8">
        <v>68.44</v>
      </c>
    </row>
    <row r="156" spans="1:29" x14ac:dyDescent="0.4">
      <c r="A156" s="8" t="s">
        <v>4299</v>
      </c>
      <c r="B156" s="8">
        <v>65.959999999999994</v>
      </c>
    </row>
    <row r="157" spans="1:29" x14ac:dyDescent="0.4">
      <c r="A157" s="8" t="s">
        <v>4300</v>
      </c>
      <c r="B157" s="8">
        <v>64.94</v>
      </c>
    </row>
    <row r="158" spans="1:29" x14ac:dyDescent="0.4">
      <c r="A158" s="8" t="s">
        <v>4301</v>
      </c>
      <c r="B158" s="8">
        <v>68.86</v>
      </c>
    </row>
    <row r="159" spans="1:29" x14ac:dyDescent="0.4">
      <c r="A159" s="8" t="s">
        <v>4302</v>
      </c>
      <c r="B159" s="8">
        <v>64.77</v>
      </c>
    </row>
    <row r="160" spans="1:29" x14ac:dyDescent="0.4">
      <c r="A160" s="8" t="s">
        <v>4303</v>
      </c>
      <c r="B160" s="8">
        <v>68.72</v>
      </c>
    </row>
    <row r="161" spans="1:2" x14ac:dyDescent="0.4">
      <c r="A161" s="8" t="s">
        <v>4304</v>
      </c>
      <c r="B161" s="8">
        <v>68.02</v>
      </c>
    </row>
    <row r="162" spans="1:2" x14ac:dyDescent="0.4">
      <c r="A162" s="8" t="s">
        <v>4305</v>
      </c>
      <c r="B162" s="8">
        <v>66.88</v>
      </c>
    </row>
    <row r="163" spans="1:2" x14ac:dyDescent="0.4">
      <c r="A163" s="8" t="s">
        <v>4306</v>
      </c>
      <c r="B163" s="8">
        <v>76.22</v>
      </c>
    </row>
    <row r="164" spans="1:2" x14ac:dyDescent="0.4">
      <c r="A164" s="8" t="s">
        <v>4307</v>
      </c>
      <c r="B164" s="8">
        <v>70.02</v>
      </c>
    </row>
    <row r="165" spans="1:2" x14ac:dyDescent="0.4">
      <c r="A165" s="8" t="s">
        <v>4308</v>
      </c>
      <c r="B165" s="8">
        <v>71.02</v>
      </c>
    </row>
    <row r="166" spans="1:2" x14ac:dyDescent="0.4">
      <c r="A166" s="8" t="s">
        <v>4309</v>
      </c>
      <c r="B166" s="8">
        <v>102.41</v>
      </c>
    </row>
    <row r="167" spans="1:2" x14ac:dyDescent="0.4">
      <c r="A167" s="8" t="s">
        <v>4310</v>
      </c>
      <c r="B167" s="8">
        <v>72.34</v>
      </c>
    </row>
    <row r="168" spans="1:2" x14ac:dyDescent="0.4">
      <c r="A168" s="8" t="s">
        <v>4311</v>
      </c>
      <c r="B168" s="8">
        <v>74.540000000000006</v>
      </c>
    </row>
    <row r="169" spans="1:2" x14ac:dyDescent="0.4">
      <c r="A169" s="8" t="s">
        <v>4312</v>
      </c>
      <c r="B169" s="8">
        <v>74.92</v>
      </c>
    </row>
    <row r="170" spans="1:2" x14ac:dyDescent="0.4">
      <c r="A170" s="8" t="s">
        <v>4313</v>
      </c>
      <c r="B170" s="8">
        <v>74.27</v>
      </c>
    </row>
    <row r="171" spans="1:2" x14ac:dyDescent="0.4">
      <c r="A171" s="8" t="s">
        <v>4314</v>
      </c>
      <c r="B171" s="8">
        <v>70.22</v>
      </c>
    </row>
    <row r="172" spans="1:2" x14ac:dyDescent="0.4">
      <c r="A172" s="8" t="s">
        <v>4315</v>
      </c>
      <c r="B172" s="8">
        <v>69.25</v>
      </c>
    </row>
    <row r="173" spans="1:2" x14ac:dyDescent="0.4">
      <c r="A173" s="8" t="s">
        <v>4316</v>
      </c>
      <c r="B173" s="8">
        <v>72.22</v>
      </c>
    </row>
    <row r="174" spans="1:2" x14ac:dyDescent="0.4">
      <c r="A174" s="8" t="s">
        <v>4317</v>
      </c>
      <c r="B174" s="8">
        <v>75.36</v>
      </c>
    </row>
    <row r="175" spans="1:2" x14ac:dyDescent="0.4">
      <c r="A175" s="8" t="s">
        <v>4318</v>
      </c>
      <c r="B175" s="8">
        <v>74.540000000000006</v>
      </c>
    </row>
    <row r="176" spans="1:2" x14ac:dyDescent="0.4">
      <c r="A176" s="43" t="s">
        <v>4319</v>
      </c>
      <c r="B176" s="8" t="s">
        <v>170</v>
      </c>
    </row>
    <row r="177" spans="1:2" x14ac:dyDescent="0.4">
      <c r="A177" s="8" t="s">
        <v>4320</v>
      </c>
      <c r="B177" s="8">
        <v>90.7</v>
      </c>
    </row>
    <row r="178" spans="1:2" x14ac:dyDescent="0.4">
      <c r="A178" s="8" t="s">
        <v>4321</v>
      </c>
      <c r="B178" s="8">
        <v>85.97</v>
      </c>
    </row>
    <row r="179" spans="1:2" x14ac:dyDescent="0.4">
      <c r="A179" s="8" t="s">
        <v>4322</v>
      </c>
      <c r="B179" s="8">
        <v>75</v>
      </c>
    </row>
    <row r="180" spans="1:2" x14ac:dyDescent="0.4">
      <c r="A180" s="8" t="s">
        <v>4309</v>
      </c>
      <c r="B180" s="8">
        <v>102.41</v>
      </c>
    </row>
    <row r="181" spans="1:2" x14ac:dyDescent="0.4">
      <c r="A181" s="43" t="s">
        <v>4323</v>
      </c>
      <c r="B181" s="8" t="s">
        <v>170</v>
      </c>
    </row>
    <row r="182" spans="1:2" x14ac:dyDescent="0.4">
      <c r="A182" s="8" t="s">
        <v>4324</v>
      </c>
      <c r="B182" s="8">
        <v>274.32</v>
      </c>
    </row>
    <row r="183" spans="1:2" x14ac:dyDescent="0.4">
      <c r="A183" s="8" t="s">
        <v>4325</v>
      </c>
      <c r="B183" s="8">
        <v>46.85</v>
      </c>
    </row>
    <row r="184" spans="1:2" x14ac:dyDescent="0.4">
      <c r="A184" s="8" t="s">
        <v>4326</v>
      </c>
      <c r="B184" s="8">
        <v>61.46</v>
      </c>
    </row>
    <row r="185" spans="1:2" x14ac:dyDescent="0.4">
      <c r="A185" s="8" t="s">
        <v>4327</v>
      </c>
      <c r="B185" s="8">
        <v>59</v>
      </c>
    </row>
    <row r="186" spans="1:2" x14ac:dyDescent="0.4">
      <c r="A186" s="43" t="s">
        <v>4328</v>
      </c>
      <c r="B186" s="8" t="s">
        <v>170</v>
      </c>
    </row>
    <row r="187" spans="1:2" x14ac:dyDescent="0.4">
      <c r="A187" s="8" t="s">
        <v>4329</v>
      </c>
      <c r="B187" s="8">
        <v>93.8</v>
      </c>
    </row>
    <row r="188" spans="1:2" x14ac:dyDescent="0.4">
      <c r="A188" s="8" t="s">
        <v>4330</v>
      </c>
      <c r="B188" s="8">
        <v>118.17</v>
      </c>
    </row>
    <row r="189" spans="1:2" x14ac:dyDescent="0.4">
      <c r="A189" s="8" t="s">
        <v>4331</v>
      </c>
      <c r="B189" s="8">
        <v>111.84</v>
      </c>
    </row>
    <row r="190" spans="1:2" x14ac:dyDescent="0.4">
      <c r="A190" s="8" t="s">
        <v>4332</v>
      </c>
      <c r="B190" s="8">
        <v>105.51</v>
      </c>
    </row>
    <row r="191" spans="1:2" x14ac:dyDescent="0.4">
      <c r="A191" s="43" t="s">
        <v>4333</v>
      </c>
      <c r="B191" s="8" t="s">
        <v>170</v>
      </c>
    </row>
    <row r="192" spans="1:2" x14ac:dyDescent="0.4">
      <c r="A192" s="8" t="s">
        <v>4334</v>
      </c>
      <c r="B192" s="8">
        <v>52.07</v>
      </c>
    </row>
    <row r="193" spans="1:3" x14ac:dyDescent="0.4">
      <c r="A193" s="8" t="s">
        <v>4335</v>
      </c>
      <c r="B193" s="8">
        <v>52.07</v>
      </c>
    </row>
    <row r="194" spans="1:3" x14ac:dyDescent="0.4">
      <c r="A194" s="43" t="s">
        <v>4336</v>
      </c>
      <c r="B194" s="8" t="s">
        <v>170</v>
      </c>
    </row>
    <row r="195" spans="1:3" x14ac:dyDescent="0.4">
      <c r="A195" s="8" t="s">
        <v>4298</v>
      </c>
      <c r="B195" s="8">
        <v>68.44</v>
      </c>
    </row>
    <row r="196" spans="1:3" x14ac:dyDescent="0.4">
      <c r="A196" s="8" t="s">
        <v>4337</v>
      </c>
      <c r="B196" s="8">
        <v>73.84</v>
      </c>
    </row>
    <row r="197" spans="1:3" x14ac:dyDescent="0.4">
      <c r="A197" s="8" t="s">
        <v>4338</v>
      </c>
      <c r="B197" s="8">
        <v>71.06</v>
      </c>
    </row>
    <row r="198" spans="1:3" x14ac:dyDescent="0.4">
      <c r="A198" s="8" t="s">
        <v>4339</v>
      </c>
      <c r="B198" s="8">
        <v>81.55</v>
      </c>
    </row>
    <row r="199" spans="1:3" x14ac:dyDescent="0.4">
      <c r="A199" s="3" t="s">
        <v>11</v>
      </c>
      <c r="B199" s="8"/>
    </row>
    <row r="201" spans="1:3" x14ac:dyDescent="0.4">
      <c r="A201" s="4" t="s">
        <v>4340</v>
      </c>
    </row>
    <row r="202" spans="1:3" ht="32" x14ac:dyDescent="0.4">
      <c r="A202" s="200" t="s">
        <v>4341</v>
      </c>
      <c r="B202" s="200" t="s">
        <v>4573</v>
      </c>
      <c r="C202" s="200" t="s">
        <v>4574</v>
      </c>
    </row>
    <row r="203" spans="1:3" x14ac:dyDescent="0.4">
      <c r="A203" s="3" t="s">
        <v>4342</v>
      </c>
      <c r="B203" s="3" t="s">
        <v>4343</v>
      </c>
      <c r="C203" s="3" t="s">
        <v>4344</v>
      </c>
    </row>
    <row r="204" spans="1:3" x14ac:dyDescent="0.4">
      <c r="A204" s="3" t="s">
        <v>4345</v>
      </c>
      <c r="B204" s="3" t="s">
        <v>4346</v>
      </c>
      <c r="C204" s="3" t="s">
        <v>4347</v>
      </c>
    </row>
    <row r="205" spans="1:3" x14ac:dyDescent="0.4">
      <c r="A205" s="3" t="s">
        <v>4348</v>
      </c>
      <c r="B205" s="3" t="s">
        <v>4349</v>
      </c>
      <c r="C205" s="3" t="s">
        <v>4350</v>
      </c>
    </row>
    <row r="206" spans="1:3" x14ac:dyDescent="0.4">
      <c r="A206" s="3" t="s">
        <v>4351</v>
      </c>
      <c r="B206" s="3" t="s">
        <v>4349</v>
      </c>
      <c r="C206" s="3" t="s">
        <v>4350</v>
      </c>
    </row>
    <row r="207" spans="1:3" x14ac:dyDescent="0.4">
      <c r="A207" s="3" t="s">
        <v>4320</v>
      </c>
      <c r="B207" s="3" t="s">
        <v>4352</v>
      </c>
      <c r="C207" s="3" t="s">
        <v>4353</v>
      </c>
    </row>
    <row r="208" spans="1:3" x14ac:dyDescent="0.4">
      <c r="A208" s="3" t="s">
        <v>4321</v>
      </c>
      <c r="B208" s="3" t="s">
        <v>4352</v>
      </c>
      <c r="C208" s="3" t="s">
        <v>4353</v>
      </c>
    </row>
    <row r="209" spans="1:9" x14ac:dyDescent="0.4">
      <c r="A209" s="3" t="s">
        <v>4324</v>
      </c>
      <c r="B209" s="3" t="s">
        <v>4354</v>
      </c>
      <c r="C209" s="3" t="s">
        <v>4347</v>
      </c>
    </row>
    <row r="210" spans="1:9" x14ac:dyDescent="0.4">
      <c r="A210" s="3" t="s">
        <v>4325</v>
      </c>
      <c r="B210" s="3" t="s">
        <v>4355</v>
      </c>
      <c r="C210" s="3" t="s">
        <v>4347</v>
      </c>
    </row>
    <row r="211" spans="1:9" x14ac:dyDescent="0.4">
      <c r="A211" s="3" t="s">
        <v>4356</v>
      </c>
      <c r="B211" s="3" t="s">
        <v>4352</v>
      </c>
      <c r="C211" s="3" t="s">
        <v>4353</v>
      </c>
    </row>
    <row r="212" spans="1:9" x14ac:dyDescent="0.4">
      <c r="A212" s="3" t="s">
        <v>4357</v>
      </c>
      <c r="B212" s="3" t="s">
        <v>4358</v>
      </c>
      <c r="C212" s="3" t="s">
        <v>4359</v>
      </c>
    </row>
    <row r="213" spans="1:9" x14ac:dyDescent="0.4">
      <c r="A213" s="3" t="s">
        <v>4360</v>
      </c>
      <c r="B213" s="3" t="s">
        <v>4361</v>
      </c>
      <c r="C213" s="3" t="s">
        <v>4362</v>
      </c>
    </row>
    <row r="214" spans="1:9" x14ac:dyDescent="0.4">
      <c r="A214" s="3" t="s">
        <v>4363</v>
      </c>
      <c r="B214" s="3" t="s">
        <v>4364</v>
      </c>
      <c r="C214" s="3" t="s">
        <v>4365</v>
      </c>
    </row>
    <row r="215" spans="1:9" ht="18" x14ac:dyDescent="0.4">
      <c r="A215" s="3" t="s">
        <v>11</v>
      </c>
      <c r="D215" s="111"/>
      <c r="E215" s="111"/>
      <c r="F215" s="111"/>
      <c r="G215" s="111"/>
      <c r="H215" s="111"/>
      <c r="I215" s="111"/>
    </row>
    <row r="217" spans="1:9" x14ac:dyDescent="0.4">
      <c r="A217" s="4" t="s">
        <v>4366</v>
      </c>
    </row>
    <row r="218" spans="1:9" x14ac:dyDescent="0.4">
      <c r="A218" s="4" t="s">
        <v>4367</v>
      </c>
    </row>
    <row r="219" spans="1:9" x14ac:dyDescent="0.4">
      <c r="A219" s="63" t="s">
        <v>4368</v>
      </c>
    </row>
    <row r="220" spans="1:9" x14ac:dyDescent="0.4">
      <c r="A220" s="8" t="s">
        <v>4369</v>
      </c>
    </row>
    <row r="221" spans="1:9" x14ac:dyDescent="0.4">
      <c r="A221" s="3" t="s">
        <v>4370</v>
      </c>
    </row>
    <row r="222" spans="1:9" ht="16" customHeight="1" x14ac:dyDescent="0.4">
      <c r="A222" s="37" t="s">
        <v>4371</v>
      </c>
      <c r="B222" s="37"/>
      <c r="C222" s="37"/>
      <c r="D222" s="37"/>
      <c r="E222" s="37"/>
    </row>
    <row r="223" spans="1:9" ht="32" x14ac:dyDescent="0.4">
      <c r="A223" s="593" t="s">
        <v>3680</v>
      </c>
      <c r="B223" s="593" t="s">
        <v>4372</v>
      </c>
      <c r="C223" s="594" t="s">
        <v>4373</v>
      </c>
      <c r="D223" s="594" t="s">
        <v>4374</v>
      </c>
      <c r="E223" s="593" t="s">
        <v>190</v>
      </c>
    </row>
    <row r="224" spans="1:9" x14ac:dyDescent="0.4">
      <c r="A224" s="105" t="s">
        <v>4375</v>
      </c>
      <c r="B224" s="105" t="s">
        <v>222</v>
      </c>
      <c r="C224" s="206">
        <v>93.24</v>
      </c>
      <c r="D224" s="207">
        <f t="shared" ref="D224:D235" si="10">C224*2.20462</f>
        <v>205.55876879999997</v>
      </c>
      <c r="E224" s="105" t="s">
        <v>339</v>
      </c>
    </row>
    <row r="225" spans="1:5" x14ac:dyDescent="0.4">
      <c r="A225" s="105" t="s">
        <v>4376</v>
      </c>
      <c r="B225" s="105" t="s">
        <v>226</v>
      </c>
      <c r="C225" s="206">
        <v>74.14</v>
      </c>
      <c r="D225" s="207">
        <f t="shared" si="10"/>
        <v>163.45052679999998</v>
      </c>
      <c r="E225" s="105" t="s">
        <v>339</v>
      </c>
    </row>
    <row r="226" spans="1:5" x14ac:dyDescent="0.4">
      <c r="A226" s="105" t="s">
        <v>4377</v>
      </c>
      <c r="B226" s="105" t="s">
        <v>4378</v>
      </c>
      <c r="C226" s="206">
        <v>11.81</v>
      </c>
      <c r="D226" s="207">
        <f t="shared" si="10"/>
        <v>26.036562199999999</v>
      </c>
      <c r="E226" s="105" t="s">
        <v>339</v>
      </c>
    </row>
    <row r="227" spans="1:5" x14ac:dyDescent="0.4">
      <c r="A227" s="105" t="s">
        <v>4379</v>
      </c>
      <c r="B227" s="105" t="s">
        <v>240</v>
      </c>
      <c r="C227" s="206">
        <v>72.233329999999995</v>
      </c>
      <c r="D227" s="207">
        <f t="shared" si="10"/>
        <v>159.24704398459997</v>
      </c>
      <c r="E227" s="105" t="s">
        <v>339</v>
      </c>
    </row>
    <row r="228" spans="1:5" x14ac:dyDescent="0.4">
      <c r="A228" s="105" t="s">
        <v>4293</v>
      </c>
      <c r="B228" s="105" t="s">
        <v>242</v>
      </c>
      <c r="C228" s="206">
        <v>73.186660000000003</v>
      </c>
      <c r="D228" s="207">
        <f t="shared" si="10"/>
        <v>161.34877436919999</v>
      </c>
      <c r="E228" s="105" t="s">
        <v>339</v>
      </c>
    </row>
    <row r="229" spans="1:5" x14ac:dyDescent="0.4">
      <c r="A229" s="105" t="s">
        <v>4380</v>
      </c>
      <c r="B229" s="105" t="s">
        <v>4381</v>
      </c>
      <c r="C229" s="206">
        <v>98.27</v>
      </c>
      <c r="D229" s="207">
        <f t="shared" si="10"/>
        <v>216.64800739999998</v>
      </c>
      <c r="E229" s="105" t="s">
        <v>339</v>
      </c>
    </row>
    <row r="230" spans="1:5" x14ac:dyDescent="0.4">
      <c r="A230" s="105" t="s">
        <v>4320</v>
      </c>
      <c r="B230" s="105" t="s">
        <v>4382</v>
      </c>
      <c r="C230" s="206">
        <v>49.884999999999998</v>
      </c>
      <c r="D230" s="207">
        <f t="shared" si="10"/>
        <v>109.97746869999999</v>
      </c>
      <c r="E230" s="105" t="s">
        <v>339</v>
      </c>
    </row>
    <row r="231" spans="1:5" x14ac:dyDescent="0.4">
      <c r="A231" s="105" t="s">
        <v>4345</v>
      </c>
      <c r="B231" s="105" t="s">
        <v>228</v>
      </c>
      <c r="C231" s="206">
        <v>52.91</v>
      </c>
      <c r="D231" s="207">
        <f t="shared" si="10"/>
        <v>116.64644419999998</v>
      </c>
      <c r="E231" s="105" t="s">
        <v>339</v>
      </c>
    </row>
    <row r="232" spans="1:5" x14ac:dyDescent="0.4">
      <c r="A232" s="105" t="s">
        <v>4309</v>
      </c>
      <c r="B232" s="105" t="s">
        <v>236</v>
      </c>
      <c r="C232" s="206">
        <v>102.11666</v>
      </c>
      <c r="D232" s="207">
        <f t="shared" si="10"/>
        <v>225.12843096919997</v>
      </c>
      <c r="E232" s="105" t="s">
        <v>339</v>
      </c>
    </row>
    <row r="233" spans="1:5" x14ac:dyDescent="0.4">
      <c r="A233" s="105" t="s">
        <v>4326</v>
      </c>
      <c r="B233" s="105" t="s">
        <v>246</v>
      </c>
      <c r="C233" s="206">
        <v>62.883330000000001</v>
      </c>
      <c r="D233" s="207">
        <f t="shared" si="10"/>
        <v>138.63384698459998</v>
      </c>
      <c r="E233" s="105" t="s">
        <v>339</v>
      </c>
    </row>
    <row r="234" spans="1:5" ht="32" x14ac:dyDescent="0.4">
      <c r="A234" s="105" t="s">
        <v>4383</v>
      </c>
      <c r="B234" s="105" t="s">
        <v>4384</v>
      </c>
      <c r="C234" s="206">
        <v>93.24</v>
      </c>
      <c r="D234" s="207">
        <f t="shared" si="10"/>
        <v>205.55876879999997</v>
      </c>
      <c r="E234" s="105" t="s">
        <v>4385</v>
      </c>
    </row>
    <row r="235" spans="1:5" x14ac:dyDescent="0.4">
      <c r="A235" s="105" t="s">
        <v>4386</v>
      </c>
      <c r="B235" s="105" t="s">
        <v>238</v>
      </c>
      <c r="C235" s="206">
        <v>75.093329999999995</v>
      </c>
      <c r="D235" s="207">
        <f t="shared" si="10"/>
        <v>165.55225718459997</v>
      </c>
      <c r="E235" s="105" t="s">
        <v>339</v>
      </c>
    </row>
    <row r="236" spans="1:5" ht="32" x14ac:dyDescent="0.4">
      <c r="A236" s="105" t="s">
        <v>4387</v>
      </c>
      <c r="B236" s="105" t="s">
        <v>4388</v>
      </c>
      <c r="C236" s="206" t="s">
        <v>4389</v>
      </c>
      <c r="D236" s="207"/>
      <c r="E236" s="105" t="s">
        <v>4390</v>
      </c>
    </row>
    <row r="237" spans="1:5" ht="32" x14ac:dyDescent="0.4">
      <c r="A237" s="105" t="s">
        <v>4391</v>
      </c>
      <c r="B237" s="105" t="s">
        <v>4392</v>
      </c>
      <c r="C237" s="206" t="s">
        <v>4389</v>
      </c>
      <c r="D237" s="207"/>
      <c r="E237" s="105" t="s">
        <v>4390</v>
      </c>
    </row>
    <row r="238" spans="1:5" x14ac:dyDescent="0.4">
      <c r="A238" s="105" t="s">
        <v>4393</v>
      </c>
      <c r="B238" s="105" t="s">
        <v>224</v>
      </c>
      <c r="C238" s="206">
        <v>97.13</v>
      </c>
      <c r="D238" s="207">
        <f>C238*2.20462</f>
        <v>214.13474059999996</v>
      </c>
      <c r="E238" s="105" t="s">
        <v>339</v>
      </c>
    </row>
    <row r="239" spans="1:5" x14ac:dyDescent="0.4">
      <c r="A239" s="105" t="s">
        <v>4394</v>
      </c>
      <c r="B239" s="105" t="s">
        <v>234</v>
      </c>
      <c r="C239" s="206">
        <v>85.97</v>
      </c>
      <c r="D239" s="207">
        <f>C239*2.20462</f>
        <v>189.53118139999998</v>
      </c>
      <c r="E239" s="105" t="s">
        <v>339</v>
      </c>
    </row>
    <row r="240" spans="1:5" ht="32" x14ac:dyDescent="0.4">
      <c r="A240" s="105" t="s">
        <v>4395</v>
      </c>
      <c r="B240" s="105" t="s">
        <v>4396</v>
      </c>
      <c r="C240" s="206">
        <v>93.24</v>
      </c>
      <c r="D240" s="207">
        <f>C240*2.20462</f>
        <v>205.55876879999997</v>
      </c>
      <c r="E240" s="105" t="s">
        <v>4385</v>
      </c>
    </row>
    <row r="241" spans="1:5" x14ac:dyDescent="0.4">
      <c r="A241" s="105" t="s">
        <v>4397</v>
      </c>
      <c r="B241" s="105" t="s">
        <v>244</v>
      </c>
      <c r="C241" s="206">
        <v>74</v>
      </c>
      <c r="D241" s="207">
        <f>C241*2.20462</f>
        <v>163.14187999999999</v>
      </c>
      <c r="E241" s="105" t="s">
        <v>339</v>
      </c>
    </row>
    <row r="242" spans="1:5" x14ac:dyDescent="0.4">
      <c r="A242" s="3" t="s">
        <v>11</v>
      </c>
      <c r="B242" s="114"/>
      <c r="C242" s="208"/>
      <c r="D242" s="208"/>
      <c r="E242" s="114"/>
    </row>
    <row r="243" spans="1:5" x14ac:dyDescent="0.4">
      <c r="A243" s="114"/>
      <c r="B243" s="204"/>
      <c r="C243" s="205"/>
      <c r="D243" s="205"/>
      <c r="E243" s="114"/>
    </row>
    <row r="244" spans="1:5" x14ac:dyDescent="0.4">
      <c r="A244" s="650" t="s">
        <v>4398</v>
      </c>
      <c r="B244" s="650"/>
      <c r="C244" s="650"/>
      <c r="D244" s="650"/>
      <c r="E244" s="650"/>
    </row>
    <row r="245" spans="1:5" x14ac:dyDescent="0.4">
      <c r="A245" s="3" t="s">
        <v>4399</v>
      </c>
    </row>
    <row r="246" spans="1:5" x14ac:dyDescent="0.4">
      <c r="A246" s="112" t="s">
        <v>4400</v>
      </c>
      <c r="B246" s="109"/>
      <c r="C246" s="109"/>
      <c r="D246" s="113"/>
    </row>
    <row r="247" spans="1:5" x14ac:dyDescent="0.4">
      <c r="A247" s="112"/>
      <c r="B247" s="109"/>
      <c r="C247" s="109"/>
      <c r="D247" s="113"/>
    </row>
    <row r="248" spans="1:5" x14ac:dyDescent="0.4">
      <c r="A248" s="4" t="s">
        <v>4548</v>
      </c>
    </row>
    <row r="249" spans="1:5" x14ac:dyDescent="0.4">
      <c r="A249" s="3" t="s">
        <v>4402</v>
      </c>
    </row>
    <row r="250" spans="1:5" x14ac:dyDescent="0.4">
      <c r="A250" s="2" t="s">
        <v>4403</v>
      </c>
    </row>
    <row r="251" spans="1:5" x14ac:dyDescent="0.4">
      <c r="A251" s="3" t="s">
        <v>4404</v>
      </c>
    </row>
    <row r="252" spans="1:5" x14ac:dyDescent="0.4">
      <c r="A252" s="60" t="s">
        <v>4405</v>
      </c>
    </row>
    <row r="253" spans="1:5" x14ac:dyDescent="0.4">
      <c r="A253" s="3" t="s">
        <v>4401</v>
      </c>
    </row>
    <row r="254" spans="1:5" x14ac:dyDescent="0.4">
      <c r="A254" s="4" t="s">
        <v>4406</v>
      </c>
    </row>
    <row r="255" spans="1:5" ht="32" x14ac:dyDescent="0.4">
      <c r="A255" s="19" t="s">
        <v>212</v>
      </c>
      <c r="B255" s="37" t="s">
        <v>4407</v>
      </c>
      <c r="C255" s="37" t="s">
        <v>4408</v>
      </c>
    </row>
    <row r="256" spans="1:5" x14ac:dyDescent="0.4">
      <c r="A256" s="44" t="s">
        <v>221</v>
      </c>
      <c r="B256" s="26">
        <v>94600</v>
      </c>
      <c r="C256" s="33">
        <f>B256*$B$116*$B$117/1000000</f>
        <v>220.03959926905674</v>
      </c>
    </row>
    <row r="257" spans="1:3" x14ac:dyDescent="0.4">
      <c r="A257" s="44" t="s">
        <v>223</v>
      </c>
      <c r="B257" s="26">
        <v>96100</v>
      </c>
      <c r="C257" s="33">
        <f>B257*$B$116*$B$117/1000000</f>
        <v>223.52859925746671</v>
      </c>
    </row>
    <row r="258" spans="1:3" x14ac:dyDescent="0.4">
      <c r="A258" s="44" t="s">
        <v>225</v>
      </c>
      <c r="B258" s="26"/>
      <c r="C258" s="33"/>
    </row>
    <row r="259" spans="1:3" x14ac:dyDescent="0.4">
      <c r="A259" s="44" t="s">
        <v>270</v>
      </c>
      <c r="B259" s="26">
        <v>56100</v>
      </c>
      <c r="C259" s="33">
        <f>B259*$B$116*$B$117/1000000</f>
        <v>130.48859956653362</v>
      </c>
    </row>
    <row r="260" spans="1:3" x14ac:dyDescent="0.4">
      <c r="A260" s="44" t="s">
        <v>259</v>
      </c>
      <c r="B260" s="26"/>
      <c r="C260" s="33"/>
    </row>
    <row r="261" spans="1:3" x14ac:dyDescent="0.4">
      <c r="A261" s="44" t="s">
        <v>229</v>
      </c>
      <c r="B261" s="26">
        <v>91700</v>
      </c>
      <c r="C261" s="33">
        <f>B261*$B$116*$B$117/1000000</f>
        <v>213.29419929146405</v>
      </c>
    </row>
    <row r="262" spans="1:3" x14ac:dyDescent="0.4">
      <c r="A262" s="44" t="s">
        <v>231</v>
      </c>
      <c r="B262" s="26"/>
      <c r="C262" s="33"/>
    </row>
    <row r="263" spans="1:3" x14ac:dyDescent="0.4">
      <c r="A263" s="44" t="s">
        <v>233</v>
      </c>
      <c r="B263" s="26"/>
      <c r="C263" s="33"/>
    </row>
    <row r="264" spans="1:3" x14ac:dyDescent="0.4">
      <c r="A264" s="44" t="s">
        <v>235</v>
      </c>
      <c r="B264" s="26">
        <v>97500</v>
      </c>
      <c r="C264" s="33">
        <f>B264*$B$116*$B$117/1000000</f>
        <v>226.78499924664936</v>
      </c>
    </row>
    <row r="265" spans="1:3" x14ac:dyDescent="0.4">
      <c r="A265" s="44" t="s">
        <v>237</v>
      </c>
      <c r="B265" s="26">
        <v>77400</v>
      </c>
      <c r="C265" s="33">
        <f>B265*$B$116*$B$117/1000000</f>
        <v>180.03239940195547</v>
      </c>
    </row>
    <row r="266" spans="1:3" x14ac:dyDescent="0.4">
      <c r="A266" s="44" t="s">
        <v>239</v>
      </c>
      <c r="B266" s="26">
        <v>71500</v>
      </c>
      <c r="C266" s="33">
        <f>B266*$B$116*$B$117/1000000</f>
        <v>166.30899944754287</v>
      </c>
    </row>
    <row r="267" spans="1:3" x14ac:dyDescent="0.4">
      <c r="A267" s="44" t="s">
        <v>241</v>
      </c>
      <c r="B267" s="26">
        <v>71900</v>
      </c>
      <c r="C267" s="33">
        <f>B267*$B$116*$B$117/1000000</f>
        <v>167.23939944445218</v>
      </c>
    </row>
    <row r="268" spans="1:3" x14ac:dyDescent="0.4">
      <c r="A268" s="44" t="s">
        <v>243</v>
      </c>
      <c r="B268" s="26">
        <v>73300</v>
      </c>
      <c r="C268" s="33">
        <f>B268*$B$116*$B$117/1000000</f>
        <v>170.49579943363486</v>
      </c>
    </row>
    <row r="269" spans="1:3" x14ac:dyDescent="0.4">
      <c r="A269" s="44" t="s">
        <v>245</v>
      </c>
    </row>
    <row r="270" spans="1:3" x14ac:dyDescent="0.4">
      <c r="A270" s="44" t="s">
        <v>251</v>
      </c>
      <c r="B270" s="26">
        <v>54600</v>
      </c>
      <c r="C270" s="33">
        <f t="shared" ref="C270:C275" si="11">B270*$B$116*$B$117/1000000</f>
        <v>126.99959957812365</v>
      </c>
    </row>
    <row r="271" spans="1:3" x14ac:dyDescent="0.4">
      <c r="A271" s="44" t="s">
        <v>253</v>
      </c>
      <c r="B271" s="26">
        <v>100000</v>
      </c>
      <c r="C271" s="33">
        <f t="shared" si="11"/>
        <v>232.59999922733269</v>
      </c>
    </row>
    <row r="272" spans="1:3" x14ac:dyDescent="0.4">
      <c r="A272" s="44" t="s">
        <v>255</v>
      </c>
      <c r="B272" s="26">
        <v>95300</v>
      </c>
      <c r="C272" s="33">
        <f t="shared" si="11"/>
        <v>221.66779926364802</v>
      </c>
    </row>
    <row r="273" spans="1:3" x14ac:dyDescent="0.4">
      <c r="A273" s="44" t="s">
        <v>257</v>
      </c>
      <c r="B273" s="26">
        <v>112000</v>
      </c>
      <c r="C273" s="33">
        <f t="shared" si="11"/>
        <v>260.51199913461261</v>
      </c>
    </row>
    <row r="274" spans="1:3" x14ac:dyDescent="0.4">
      <c r="A274" s="44" t="s">
        <v>261</v>
      </c>
      <c r="B274" s="26">
        <v>100000</v>
      </c>
      <c r="C274" s="33">
        <f t="shared" si="11"/>
        <v>232.59999922733269</v>
      </c>
    </row>
    <row r="275" spans="1:3" x14ac:dyDescent="0.4">
      <c r="A275" s="44" t="s">
        <v>265</v>
      </c>
      <c r="B275" s="26">
        <v>54600</v>
      </c>
      <c r="C275" s="33">
        <f t="shared" si="11"/>
        <v>126.99959957812365</v>
      </c>
    </row>
    <row r="278" spans="1:3" x14ac:dyDescent="0.4">
      <c r="A278" s="4" t="s">
        <v>4409</v>
      </c>
    </row>
    <row r="279" spans="1:3" ht="32" x14ac:dyDescent="0.4">
      <c r="A279" s="19" t="s">
        <v>212</v>
      </c>
      <c r="B279" s="37" t="s">
        <v>4410</v>
      </c>
      <c r="C279" s="37" t="s">
        <v>4411</v>
      </c>
    </row>
    <row r="280" spans="1:3" x14ac:dyDescent="0.4">
      <c r="A280" s="44" t="s">
        <v>221</v>
      </c>
      <c r="B280" s="3">
        <v>1</v>
      </c>
      <c r="C280" s="203">
        <f>B280*$B$116*$B$117/1000000</f>
        <v>2.3259999922733269E-3</v>
      </c>
    </row>
    <row r="281" spans="1:3" x14ac:dyDescent="0.4">
      <c r="A281" s="44" t="s">
        <v>223</v>
      </c>
      <c r="B281" s="3">
        <v>1</v>
      </c>
      <c r="C281" s="203">
        <f>B281*$B$116*$B$117/1000000</f>
        <v>2.3259999922733269E-3</v>
      </c>
    </row>
    <row r="282" spans="1:3" x14ac:dyDescent="0.4">
      <c r="A282" s="44" t="s">
        <v>225</v>
      </c>
      <c r="B282" s="3">
        <v>3</v>
      </c>
      <c r="C282" s="203">
        <f>B282*$B$116*$B$117/1000000</f>
        <v>6.9779999768199794E-3</v>
      </c>
    </row>
    <row r="283" spans="1:3" x14ac:dyDescent="0.4">
      <c r="A283" s="44" t="s">
        <v>270</v>
      </c>
      <c r="B283" s="3">
        <v>1</v>
      </c>
      <c r="C283" s="203">
        <f>B283*$B$116*$B$117/1000000</f>
        <v>2.3259999922733269E-3</v>
      </c>
    </row>
    <row r="284" spans="1:3" x14ac:dyDescent="0.4">
      <c r="A284" s="44" t="s">
        <v>259</v>
      </c>
      <c r="C284" s="203"/>
    </row>
    <row r="285" spans="1:3" x14ac:dyDescent="0.4">
      <c r="A285" s="44" t="s">
        <v>229</v>
      </c>
      <c r="B285" s="3">
        <v>30</v>
      </c>
      <c r="C285" s="203">
        <f>B285*$B$116*$B$117/1000000</f>
        <v>6.9779999768199791E-2</v>
      </c>
    </row>
    <row r="286" spans="1:3" x14ac:dyDescent="0.4">
      <c r="A286" s="44" t="s">
        <v>231</v>
      </c>
      <c r="C286" s="203"/>
    </row>
    <row r="287" spans="1:3" x14ac:dyDescent="0.4">
      <c r="A287" s="44" t="s">
        <v>233</v>
      </c>
      <c r="B287" s="3">
        <v>30</v>
      </c>
      <c r="C287" s="203">
        <f t="shared" ref="C287:C299" si="12">B287*$B$116*$B$117/1000000</f>
        <v>6.9779999768199791E-2</v>
      </c>
    </row>
    <row r="288" spans="1:3" x14ac:dyDescent="0.4">
      <c r="A288" s="44" t="s">
        <v>235</v>
      </c>
      <c r="B288" s="3">
        <v>3</v>
      </c>
      <c r="C288" s="203">
        <f t="shared" si="12"/>
        <v>6.9779999768199794E-3</v>
      </c>
    </row>
    <row r="289" spans="1:3" x14ac:dyDescent="0.4">
      <c r="A289" s="44" t="s">
        <v>237</v>
      </c>
      <c r="B289" s="3">
        <v>3</v>
      </c>
      <c r="C289" s="203">
        <f t="shared" si="12"/>
        <v>6.9779999768199794E-3</v>
      </c>
    </row>
    <row r="290" spans="1:3" x14ac:dyDescent="0.4">
      <c r="A290" s="44" t="s">
        <v>239</v>
      </c>
      <c r="B290" s="3">
        <v>3</v>
      </c>
      <c r="C290" s="203">
        <f t="shared" si="12"/>
        <v>6.9779999768199794E-3</v>
      </c>
    </row>
    <row r="291" spans="1:3" x14ac:dyDescent="0.4">
      <c r="A291" s="44" t="s">
        <v>241</v>
      </c>
      <c r="B291" s="3">
        <v>3</v>
      </c>
      <c r="C291" s="203">
        <f t="shared" si="12"/>
        <v>6.9779999768199794E-3</v>
      </c>
    </row>
    <row r="292" spans="1:3" x14ac:dyDescent="0.4">
      <c r="A292" s="44" t="s">
        <v>243</v>
      </c>
      <c r="B292" s="3">
        <v>30</v>
      </c>
      <c r="C292" s="203">
        <f t="shared" si="12"/>
        <v>6.9779999768199791E-2</v>
      </c>
    </row>
    <row r="293" spans="1:3" x14ac:dyDescent="0.4">
      <c r="A293" s="44" t="s">
        <v>245</v>
      </c>
      <c r="B293" s="3">
        <v>1</v>
      </c>
      <c r="C293" s="203">
        <f t="shared" si="12"/>
        <v>2.3259999922733269E-3</v>
      </c>
    </row>
    <row r="294" spans="1:3" x14ac:dyDescent="0.4">
      <c r="A294" s="44" t="s">
        <v>251</v>
      </c>
      <c r="B294" s="3">
        <v>1</v>
      </c>
      <c r="C294" s="203">
        <f t="shared" si="12"/>
        <v>2.3259999922733269E-3</v>
      </c>
    </row>
    <row r="295" spans="1:3" x14ac:dyDescent="0.4">
      <c r="A295" s="44" t="s">
        <v>253</v>
      </c>
      <c r="B295" s="3">
        <v>30</v>
      </c>
      <c r="C295" s="203">
        <f t="shared" si="12"/>
        <v>6.9779999768199791E-2</v>
      </c>
    </row>
    <row r="296" spans="1:3" x14ac:dyDescent="0.4">
      <c r="A296" s="44" t="s">
        <v>255</v>
      </c>
      <c r="B296" s="3">
        <v>3</v>
      </c>
      <c r="C296" s="203">
        <f t="shared" si="12"/>
        <v>6.9779999768199794E-3</v>
      </c>
    </row>
    <row r="297" spans="1:3" x14ac:dyDescent="0.4">
      <c r="A297" s="44" t="s">
        <v>257</v>
      </c>
      <c r="B297" s="3">
        <v>30</v>
      </c>
      <c r="C297" s="203">
        <f t="shared" si="12"/>
        <v>6.9779999768199791E-2</v>
      </c>
    </row>
    <row r="298" spans="1:3" x14ac:dyDescent="0.4">
      <c r="A298" s="44" t="s">
        <v>261</v>
      </c>
      <c r="B298" s="3">
        <v>30</v>
      </c>
      <c r="C298" s="203">
        <f t="shared" si="12"/>
        <v>6.9779999768199791E-2</v>
      </c>
    </row>
    <row r="299" spans="1:3" x14ac:dyDescent="0.4">
      <c r="A299" s="44" t="s">
        <v>265</v>
      </c>
      <c r="B299" s="3">
        <v>1</v>
      </c>
      <c r="C299" s="203">
        <f t="shared" si="12"/>
        <v>2.3259999922733269E-3</v>
      </c>
    </row>
    <row r="301" spans="1:3" x14ac:dyDescent="0.4">
      <c r="A301" s="4" t="s">
        <v>4412</v>
      </c>
    </row>
    <row r="302" spans="1:3" ht="32" x14ac:dyDescent="0.4">
      <c r="A302" s="19" t="s">
        <v>212</v>
      </c>
      <c r="B302" s="37" t="s">
        <v>4413</v>
      </c>
      <c r="C302" s="37" t="s">
        <v>4414</v>
      </c>
    </row>
    <row r="303" spans="1:3" x14ac:dyDescent="0.4">
      <c r="A303" s="44" t="s">
        <v>221</v>
      </c>
      <c r="B303" s="3">
        <v>1.5</v>
      </c>
      <c r="C303" s="203">
        <f>B303*$B$116*$B$117/1000000</f>
        <v>3.4889999884099897E-3</v>
      </c>
    </row>
    <row r="304" spans="1:3" x14ac:dyDescent="0.4">
      <c r="A304" s="44" t="s">
        <v>223</v>
      </c>
      <c r="B304" s="3">
        <v>1.5</v>
      </c>
      <c r="C304" s="203">
        <f>B304*$B$116*$B$117/1000000</f>
        <v>3.4889999884099897E-3</v>
      </c>
    </row>
    <row r="305" spans="1:3" x14ac:dyDescent="0.4">
      <c r="A305" s="44" t="s">
        <v>225</v>
      </c>
      <c r="B305" s="3">
        <v>0.6</v>
      </c>
      <c r="C305" s="203">
        <f>B305*$B$116*$B$117/1000000</f>
        <v>1.3955999953639961E-3</v>
      </c>
    </row>
    <row r="306" spans="1:3" x14ac:dyDescent="0.4">
      <c r="A306" s="44" t="s">
        <v>270</v>
      </c>
      <c r="B306" s="3">
        <v>0.1</v>
      </c>
      <c r="C306" s="203">
        <f>B306*$B$116*$B$117/1000000</f>
        <v>2.3259999922733269E-4</v>
      </c>
    </row>
    <row r="307" spans="1:3" x14ac:dyDescent="0.4">
      <c r="A307" s="44" t="s">
        <v>259</v>
      </c>
      <c r="C307" s="203"/>
    </row>
    <row r="308" spans="1:3" x14ac:dyDescent="0.4">
      <c r="A308" s="44" t="s">
        <v>229</v>
      </c>
      <c r="B308" s="3">
        <v>4</v>
      </c>
      <c r="C308" s="203">
        <f>B308*$B$116*$B$117/1000000</f>
        <v>9.3039999690933076E-3</v>
      </c>
    </row>
    <row r="309" spans="1:3" x14ac:dyDescent="0.4">
      <c r="A309" s="44" t="s">
        <v>231</v>
      </c>
      <c r="C309" s="203"/>
    </row>
    <row r="310" spans="1:3" x14ac:dyDescent="0.4">
      <c r="A310" s="44" t="s">
        <v>233</v>
      </c>
      <c r="B310" s="3">
        <v>4</v>
      </c>
      <c r="C310" s="203">
        <f t="shared" ref="C310:C322" si="13">B310*$B$116*$B$117/1000000</f>
        <v>9.3039999690933076E-3</v>
      </c>
    </row>
    <row r="311" spans="1:3" x14ac:dyDescent="0.4">
      <c r="A311" s="44" t="s">
        <v>235</v>
      </c>
      <c r="B311" s="3">
        <v>0.6</v>
      </c>
      <c r="C311" s="203">
        <f t="shared" si="13"/>
        <v>1.3955999953639961E-3</v>
      </c>
    </row>
    <row r="312" spans="1:3" x14ac:dyDescent="0.4">
      <c r="A312" s="44" t="s">
        <v>237</v>
      </c>
      <c r="B312" s="3">
        <v>0.6</v>
      </c>
      <c r="C312" s="203">
        <f t="shared" si="13"/>
        <v>1.3955999953639961E-3</v>
      </c>
    </row>
    <row r="313" spans="1:3" x14ac:dyDescent="0.4">
      <c r="A313" s="44" t="s">
        <v>239</v>
      </c>
      <c r="B313" s="3">
        <v>0.6</v>
      </c>
      <c r="C313" s="203">
        <f t="shared" si="13"/>
        <v>1.3955999953639961E-3</v>
      </c>
    </row>
    <row r="314" spans="1:3" x14ac:dyDescent="0.4">
      <c r="A314" s="44" t="s">
        <v>241</v>
      </c>
      <c r="B314" s="3">
        <v>0.6</v>
      </c>
      <c r="C314" s="203">
        <f t="shared" si="13"/>
        <v>1.3955999953639961E-3</v>
      </c>
    </row>
    <row r="315" spans="1:3" x14ac:dyDescent="0.4">
      <c r="A315" s="44" t="s">
        <v>243</v>
      </c>
      <c r="B315" s="3">
        <v>4</v>
      </c>
      <c r="C315" s="203">
        <f t="shared" si="13"/>
        <v>9.3039999690933076E-3</v>
      </c>
    </row>
    <row r="316" spans="1:3" x14ac:dyDescent="0.4">
      <c r="A316" s="44" t="s">
        <v>245</v>
      </c>
      <c r="B316" s="3">
        <v>0.1</v>
      </c>
      <c r="C316" s="203">
        <f t="shared" si="13"/>
        <v>2.3259999922733269E-4</v>
      </c>
    </row>
    <row r="317" spans="1:3" x14ac:dyDescent="0.4">
      <c r="A317" s="44" t="s">
        <v>251</v>
      </c>
      <c r="B317" s="3">
        <v>0.1</v>
      </c>
      <c r="C317" s="203">
        <f t="shared" si="13"/>
        <v>2.3259999922733269E-4</v>
      </c>
    </row>
    <row r="318" spans="1:3" x14ac:dyDescent="0.4">
      <c r="A318" s="44" t="s">
        <v>253</v>
      </c>
      <c r="B318" s="3">
        <v>4</v>
      </c>
      <c r="C318" s="203">
        <f t="shared" si="13"/>
        <v>9.3039999690933076E-3</v>
      </c>
    </row>
    <row r="319" spans="1:3" x14ac:dyDescent="0.4">
      <c r="A319" s="44" t="s">
        <v>255</v>
      </c>
      <c r="B319" s="3">
        <v>2</v>
      </c>
      <c r="C319" s="203">
        <f t="shared" si="13"/>
        <v>4.6519999845466538E-3</v>
      </c>
    </row>
    <row r="320" spans="1:3" x14ac:dyDescent="0.4">
      <c r="A320" s="44" t="s">
        <v>257</v>
      </c>
      <c r="B320" s="3">
        <v>4</v>
      </c>
      <c r="C320" s="203">
        <f t="shared" si="13"/>
        <v>9.3039999690933076E-3</v>
      </c>
    </row>
    <row r="321" spans="1:3" x14ac:dyDescent="0.4">
      <c r="A321" s="44" t="s">
        <v>261</v>
      </c>
      <c r="B321" s="3">
        <v>4</v>
      </c>
      <c r="C321" s="203">
        <f t="shared" si="13"/>
        <v>9.3039999690933076E-3</v>
      </c>
    </row>
    <row r="322" spans="1:3" x14ac:dyDescent="0.4">
      <c r="A322" s="44" t="s">
        <v>265</v>
      </c>
      <c r="B322" s="3">
        <v>0.1</v>
      </c>
      <c r="C322" s="203">
        <f t="shared" si="13"/>
        <v>2.3259999922733269E-4</v>
      </c>
    </row>
    <row r="402" spans="1:1" x14ac:dyDescent="0.4">
      <c r="A402" s="155" t="s">
        <v>150</v>
      </c>
    </row>
    <row r="403" spans="1:1" x14ac:dyDescent="0.4">
      <c r="A403" s="155" t="s">
        <v>4415</v>
      </c>
    </row>
  </sheetData>
  <mergeCells count="1">
    <mergeCell ref="A244:E244"/>
  </mergeCells>
  <dataValidations count="1">
    <dataValidation type="list" allowBlank="1" showInputMessage="1" showErrorMessage="1" sqref="A7" xr:uid="{00000000-0002-0000-0900-000000000000}">
      <formula1>$A$8:$A$13</formula1>
    </dataValidation>
  </dataValidations>
  <hyperlinks>
    <hyperlink ref="A219" r:id="rId1" xr:uid="{00000000-0004-0000-0900-000003000000}"/>
    <hyperlink ref="B124" r:id="rId2" xr:uid="{E1C073C0-220A-4FA2-BBC4-D53E06D03FD1}"/>
    <hyperlink ref="B123" r:id="rId3" xr:uid="{70BE83DD-1333-4F97-BF14-FFBF830EC0A9}"/>
    <hyperlink ref="A122" r:id="rId4" location="h-216" display="https://www.federalregister.gov/documents/2024/05/14/2024-08988/greenhouse-gas-reporting-rule-revisions-and-confidentiality-determinations-for-petroleum-and-natural - h-216" xr:uid="{9EFEEFB7-BC5D-45C4-AFB1-52A7BED4E9B5}"/>
    <hyperlink ref="A60" r:id="rId5" display="https://www.epa.gov/sites/default/files/2015-07/documents/catalog_of_chp_technologies_section_6._technology_characterization_-_fuel_cells.pdf" xr:uid="{8311F4B2-6BF6-4BD7-AFF0-040DDA8949C5}"/>
    <hyperlink ref="A252" r:id="rId6" xr:uid="{00000000-0004-0000-0900-000000000000}"/>
    <hyperlink ref="A250" r:id="rId7" xr:uid="{2AA37F04-308C-40AD-AF5C-254B0466BAB7}"/>
    <hyperlink ref="A39" r:id="rId8" xr:uid="{0C4BD257-C712-4786-BCCE-85DADB59DBE9}"/>
    <hyperlink ref="A127" r:id="rId9" xr:uid="{B2A54B1B-225F-44A9-8D1F-2921BC323C9E}"/>
  </hyperlinks>
  <pageMargins left="0.7" right="0.7" top="0.75" bottom="0.75" header="0.3" footer="0.3"/>
  <pageSetup scale="34" fitToHeight="0" orientation="landscape" r:id="rId10"/>
  <drawing r:id="rId11"/>
  <legacyDrawing r:id="rId12"/>
  <tableParts count="13">
    <tablePart r:id="rId13"/>
    <tablePart r:id="rId14"/>
    <tablePart r:id="rId15"/>
    <tablePart r:id="rId16"/>
    <tablePart r:id="rId17"/>
    <tablePart r:id="rId18"/>
    <tablePart r:id="rId19"/>
    <tablePart r:id="rId20"/>
    <tablePart r:id="rId21"/>
    <tablePart r:id="rId22"/>
    <tablePart r:id="rId23"/>
    <tablePart r:id="rId24"/>
    <tablePart r:id="rId2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CF107"/>
  <sheetViews>
    <sheetView zoomScale="110" zoomScaleNormal="110" workbookViewId="0"/>
  </sheetViews>
  <sheetFormatPr defaultColWidth="9.1796875" defaultRowHeight="16" x14ac:dyDescent="0.4"/>
  <cols>
    <col min="1" max="1" width="33.54296875" style="3" customWidth="1"/>
    <col min="2" max="30" width="25.08984375" style="3" customWidth="1"/>
    <col min="31" max="36" width="20.453125" style="3" customWidth="1"/>
    <col min="37" max="37" width="23.54296875" style="3" customWidth="1"/>
    <col min="38" max="45" width="20.453125" style="3" customWidth="1"/>
    <col min="46" max="46" width="3.54296875" style="3" customWidth="1"/>
    <col min="47" max="54" width="20.453125" style="3" customWidth="1"/>
    <col min="55" max="55" width="3.81640625" style="3" customWidth="1"/>
    <col min="56" max="63" width="20.453125" style="3" customWidth="1"/>
    <col min="64" max="64" width="6.26953125" style="3" customWidth="1"/>
    <col min="65" max="71" width="20.453125" style="3" customWidth="1"/>
    <col min="72" max="72" width="3.81640625" style="3" customWidth="1"/>
    <col min="73" max="77" width="20.453125" style="3" customWidth="1"/>
    <col min="78" max="78" width="3.54296875" style="3" customWidth="1"/>
    <col min="79" max="83" width="20.453125" style="3" customWidth="1"/>
    <col min="84" max="84" width="3.81640625" style="3" customWidth="1"/>
    <col min="85" max="92" width="20.453125" style="3" customWidth="1"/>
    <col min="93" max="93" width="10.453125" style="3" customWidth="1"/>
    <col min="94" max="94" width="10" style="3" customWidth="1"/>
    <col min="95" max="95" width="11" style="3" bestFit="1" customWidth="1"/>
    <col min="96" max="96" width="9.1796875" style="3"/>
    <col min="97" max="97" width="12.453125" style="3" customWidth="1"/>
    <col min="98" max="98" width="11.1796875" style="3" bestFit="1" customWidth="1"/>
    <col min="99" max="99" width="8.1796875" style="3" customWidth="1"/>
    <col min="100" max="100" width="13.81640625" style="3" customWidth="1"/>
    <col min="101" max="16384" width="9.1796875" style="3"/>
  </cols>
  <sheetData>
    <row r="1" spans="1:84" ht="21" x14ac:dyDescent="0.4">
      <c r="A1" s="351" t="s">
        <v>12</v>
      </c>
      <c r="B1" s="6"/>
      <c r="C1" s="6"/>
      <c r="D1" s="6"/>
      <c r="E1" s="6"/>
      <c r="F1" s="6"/>
      <c r="G1" s="7"/>
      <c r="H1" s="7"/>
      <c r="I1" s="7"/>
      <c r="J1" s="7"/>
      <c r="K1" s="7"/>
      <c r="O1" s="5"/>
      <c r="AD1" s="5"/>
      <c r="AU1" s="8"/>
      <c r="AV1" s="8"/>
      <c r="AW1" s="8"/>
      <c r="BA1" s="5"/>
      <c r="BM1" s="8"/>
      <c r="BN1" s="8"/>
      <c r="BV1" s="9"/>
      <c r="BW1" s="9"/>
      <c r="BX1" s="9"/>
      <c r="BY1" s="9"/>
      <c r="BZ1" s="9"/>
      <c r="CA1" s="9"/>
      <c r="CB1" s="9"/>
      <c r="CE1" s="10"/>
      <c r="CF1" s="10"/>
    </row>
    <row r="2" spans="1:84" x14ac:dyDescent="0.4">
      <c r="A2" s="621" t="s">
        <v>4449</v>
      </c>
      <c r="B2" s="6"/>
      <c r="C2" s="6"/>
      <c r="D2" s="6"/>
      <c r="E2" s="6"/>
      <c r="F2" s="6"/>
      <c r="G2" s="7"/>
      <c r="H2" s="7"/>
      <c r="I2" s="7"/>
      <c r="J2" s="7"/>
      <c r="K2" s="7"/>
      <c r="O2" s="5"/>
      <c r="AD2" s="5"/>
      <c r="AU2" s="8"/>
      <c r="AV2" s="8"/>
      <c r="AW2" s="8"/>
      <c r="BA2" s="5"/>
      <c r="BM2" s="8"/>
      <c r="BN2" s="8"/>
      <c r="BV2" s="9"/>
      <c r="BW2" s="9"/>
      <c r="BX2" s="9"/>
      <c r="BY2" s="9"/>
      <c r="BZ2" s="9"/>
      <c r="CA2" s="9"/>
      <c r="CB2" s="9"/>
      <c r="CE2" s="10"/>
      <c r="CF2" s="10"/>
    </row>
    <row r="3" spans="1:84" x14ac:dyDescent="0.4">
      <c r="A3" s="8" t="s">
        <v>18</v>
      </c>
      <c r="B3" s="6"/>
      <c r="C3" s="6"/>
      <c r="D3" s="6"/>
      <c r="E3" s="6"/>
      <c r="F3" s="6"/>
      <c r="G3" s="7"/>
      <c r="H3" s="7"/>
      <c r="I3" s="7"/>
      <c r="J3" s="7"/>
      <c r="K3" s="7"/>
      <c r="O3" s="5"/>
      <c r="AD3" s="5"/>
      <c r="AU3" s="8"/>
      <c r="AV3" s="8"/>
      <c r="AW3" s="8"/>
      <c r="BA3" s="5"/>
      <c r="BM3" s="8"/>
      <c r="BN3" s="8"/>
      <c r="BV3" s="9"/>
      <c r="BW3" s="9"/>
      <c r="BX3" s="9"/>
      <c r="BY3" s="9"/>
      <c r="BZ3" s="9"/>
      <c r="CA3" s="9"/>
      <c r="CB3" s="9"/>
      <c r="CE3" s="10"/>
      <c r="CF3" s="10"/>
    </row>
    <row r="4" spans="1:84" x14ac:dyDescent="0.4">
      <c r="A4" s="108" t="s">
        <v>4442</v>
      </c>
      <c r="B4" s="6"/>
      <c r="C4" s="6"/>
      <c r="D4" s="6"/>
      <c r="E4" s="6"/>
      <c r="F4" s="6"/>
      <c r="G4" s="7"/>
      <c r="H4" s="7"/>
      <c r="I4" s="7"/>
      <c r="J4" s="7"/>
      <c r="K4" s="7"/>
      <c r="O4" s="5"/>
      <c r="AD4" s="5"/>
      <c r="AU4" s="8"/>
      <c r="AV4" s="8"/>
      <c r="AW4" s="8"/>
      <c r="BA4" s="5"/>
      <c r="BM4" s="8"/>
      <c r="BN4" s="8"/>
      <c r="BV4" s="9"/>
      <c r="BW4" s="9"/>
      <c r="BX4" s="9"/>
      <c r="BY4" s="9"/>
      <c r="BZ4" s="9"/>
      <c r="CA4" s="9"/>
      <c r="CB4" s="9"/>
      <c r="CE4" s="10"/>
      <c r="CF4" s="10"/>
    </row>
    <row r="5" spans="1:84" ht="18.5" x14ac:dyDescent="0.4">
      <c r="A5" s="2" t="s">
        <v>4420</v>
      </c>
      <c r="B5" s="619"/>
      <c r="C5" s="6"/>
      <c r="D5" s="6"/>
      <c r="E5" s="6"/>
      <c r="F5" s="6"/>
      <c r="G5" s="7"/>
      <c r="H5" s="7"/>
      <c r="I5" s="7"/>
      <c r="J5" s="7"/>
      <c r="K5" s="7"/>
      <c r="O5" s="5"/>
      <c r="AD5" s="5"/>
      <c r="AU5" s="8"/>
      <c r="AV5" s="8"/>
      <c r="AW5" s="8"/>
      <c r="BA5" s="5"/>
      <c r="BM5" s="8"/>
      <c r="BN5" s="8"/>
      <c r="BV5" s="9"/>
      <c r="BW5" s="9"/>
      <c r="BX5" s="9"/>
      <c r="BY5" s="9"/>
      <c r="BZ5" s="9"/>
      <c r="CA5" s="9"/>
      <c r="CB5" s="9"/>
      <c r="CE5" s="10"/>
      <c r="CF5" s="10"/>
    </row>
    <row r="6" spans="1:84" ht="18.5" x14ac:dyDescent="0.4">
      <c r="A6" s="2" t="s">
        <v>4455</v>
      </c>
      <c r="B6" s="619"/>
      <c r="C6" s="6"/>
      <c r="D6" s="6"/>
      <c r="E6" s="6"/>
      <c r="F6" s="6"/>
      <c r="G6" s="7"/>
      <c r="H6" s="7"/>
      <c r="I6" s="7"/>
      <c r="J6" s="7"/>
      <c r="K6" s="7"/>
      <c r="O6" s="5"/>
      <c r="AD6" s="5"/>
      <c r="AU6" s="8"/>
      <c r="AV6" s="8"/>
      <c r="AW6" s="8"/>
      <c r="BA6" s="5"/>
      <c r="BM6" s="8"/>
      <c r="BN6" s="8"/>
      <c r="BV6" s="9"/>
      <c r="BW6" s="9"/>
      <c r="BX6" s="9"/>
      <c r="BY6" s="9"/>
      <c r="BZ6" s="9"/>
      <c r="CA6" s="9"/>
      <c r="CB6" s="9"/>
      <c r="CE6" s="10"/>
      <c r="CF6" s="10"/>
    </row>
    <row r="7" spans="1:84" x14ac:dyDescent="0.4">
      <c r="A7" s="262" t="s">
        <v>4435</v>
      </c>
      <c r="B7" s="6"/>
      <c r="C7" s="6"/>
      <c r="D7" s="6"/>
      <c r="E7" s="6"/>
      <c r="F7" s="6"/>
      <c r="G7" s="7"/>
      <c r="H7" s="7"/>
      <c r="I7" s="7"/>
      <c r="J7" s="7"/>
      <c r="K7" s="7"/>
      <c r="O7" s="5"/>
      <c r="AD7" s="5"/>
      <c r="AU7" s="8"/>
      <c r="AV7" s="8"/>
      <c r="AW7" s="8"/>
      <c r="BA7" s="5"/>
      <c r="BM7" s="8"/>
      <c r="BN7" s="8"/>
      <c r="BV7" s="9"/>
      <c r="BW7" s="9"/>
      <c r="BX7" s="9"/>
      <c r="BY7" s="9"/>
      <c r="BZ7" s="9"/>
      <c r="CA7" s="9"/>
      <c r="CB7" s="9"/>
      <c r="CE7" s="10"/>
      <c r="CF7" s="10"/>
    </row>
    <row r="8" spans="1:84" x14ac:dyDescent="0.4">
      <c r="A8" s="262" t="s">
        <v>4551</v>
      </c>
      <c r="B8" s="6"/>
      <c r="C8" s="6"/>
      <c r="D8" s="6"/>
      <c r="E8" s="6"/>
      <c r="F8" s="6"/>
      <c r="G8" s="7"/>
      <c r="H8" s="7"/>
      <c r="I8" s="7"/>
      <c r="J8" s="7"/>
      <c r="K8" s="7"/>
      <c r="O8" s="5"/>
      <c r="AD8" s="5"/>
      <c r="AU8" s="8"/>
      <c r="AV8" s="8"/>
      <c r="AW8" s="8"/>
      <c r="BA8" s="5"/>
      <c r="BM8" s="8"/>
      <c r="BN8" s="8"/>
      <c r="BV8" s="9"/>
      <c r="BW8" s="9"/>
      <c r="BX8" s="9"/>
      <c r="BY8" s="9"/>
      <c r="BZ8" s="9"/>
      <c r="CA8" s="9"/>
      <c r="CB8" s="9"/>
      <c r="CE8" s="10"/>
      <c r="CF8" s="10"/>
    </row>
    <row r="9" spans="1:84" x14ac:dyDescent="0.4">
      <c r="A9" s="262" t="s">
        <v>40</v>
      </c>
      <c r="B9" s="6"/>
      <c r="C9" s="6"/>
      <c r="D9" s="6"/>
      <c r="E9" s="6"/>
      <c r="F9" s="6"/>
      <c r="G9" s="7"/>
      <c r="H9" s="7"/>
      <c r="I9" s="7"/>
      <c r="J9" s="7"/>
      <c r="K9" s="7"/>
      <c r="O9" s="5"/>
      <c r="AD9" s="5"/>
      <c r="AU9" s="8"/>
      <c r="AV9" s="8"/>
      <c r="AW9" s="8"/>
      <c r="BA9" s="5"/>
      <c r="BM9" s="8"/>
      <c r="BN9" s="8"/>
      <c r="BV9" s="9"/>
      <c r="BW9" s="9"/>
      <c r="BX9" s="9"/>
      <c r="BY9" s="9"/>
      <c r="BZ9" s="9"/>
      <c r="CA9" s="9"/>
      <c r="CB9" s="9"/>
      <c r="CE9" s="10"/>
      <c r="CF9" s="10"/>
    </row>
    <row r="10" spans="1:84" x14ac:dyDescent="0.4">
      <c r="A10" s="2" t="s">
        <v>4454</v>
      </c>
      <c r="B10" s="6"/>
      <c r="C10" s="6"/>
      <c r="D10" s="6"/>
      <c r="E10" s="6"/>
      <c r="F10" s="6"/>
      <c r="G10" s="7"/>
      <c r="H10" s="7"/>
      <c r="I10" s="7"/>
      <c r="J10" s="7"/>
      <c r="K10" s="7"/>
      <c r="O10" s="5"/>
      <c r="AD10" s="5"/>
      <c r="AU10" s="8"/>
      <c r="AV10" s="8"/>
      <c r="AW10" s="8"/>
      <c r="BA10" s="5"/>
      <c r="BM10" s="8"/>
      <c r="BN10" s="8"/>
      <c r="BV10" s="9"/>
      <c r="BW10" s="9"/>
      <c r="BX10" s="9"/>
      <c r="BY10" s="9"/>
      <c r="BZ10" s="9"/>
      <c r="CA10" s="9"/>
      <c r="CB10" s="9"/>
      <c r="CE10" s="10"/>
      <c r="CF10" s="10"/>
    </row>
    <row r="11" spans="1:84" x14ac:dyDescent="0.4">
      <c r="A11" s="262" t="s">
        <v>4419</v>
      </c>
      <c r="B11" s="6"/>
      <c r="C11" s="6"/>
      <c r="D11" s="6"/>
      <c r="E11" s="6"/>
      <c r="F11" s="6"/>
      <c r="G11" s="7"/>
      <c r="H11" s="7"/>
      <c r="I11" s="7"/>
      <c r="J11" s="7"/>
      <c r="K11" s="7"/>
      <c r="O11" s="5"/>
      <c r="AD11" s="5"/>
      <c r="AU11" s="8"/>
      <c r="AV11" s="8"/>
      <c r="AW11" s="8"/>
      <c r="BA11" s="5"/>
      <c r="BM11" s="8"/>
      <c r="BN11" s="8"/>
      <c r="BV11" s="9"/>
      <c r="BW11" s="9"/>
      <c r="BX11" s="9"/>
      <c r="BY11" s="9"/>
      <c r="BZ11" s="9"/>
      <c r="CA11" s="9"/>
      <c r="CB11" s="9"/>
      <c r="CE11" s="10"/>
      <c r="CF11" s="10"/>
    </row>
    <row r="12" spans="1:84" x14ac:dyDescent="0.4">
      <c r="A12" s="262" t="s">
        <v>48</v>
      </c>
      <c r="B12" s="6"/>
      <c r="C12" s="6"/>
      <c r="D12" s="6"/>
      <c r="E12" s="6"/>
      <c r="F12" s="6"/>
      <c r="G12" s="7"/>
      <c r="H12" s="7"/>
      <c r="I12" s="7"/>
      <c r="J12" s="7"/>
      <c r="K12" s="7"/>
      <c r="O12" s="5"/>
      <c r="AD12" s="5"/>
      <c r="AU12" s="8"/>
      <c r="AV12" s="8"/>
      <c r="AW12" s="8"/>
      <c r="BA12" s="5"/>
      <c r="BM12" s="8"/>
      <c r="BN12" s="8"/>
      <c r="BV12" s="9"/>
      <c r="BW12" s="9"/>
      <c r="BX12" s="9"/>
      <c r="BY12" s="9"/>
      <c r="BZ12" s="9"/>
      <c r="CA12" s="9"/>
      <c r="CB12" s="9"/>
      <c r="CE12" s="10"/>
      <c r="CF12" s="10"/>
    </row>
    <row r="13" spans="1:84" x14ac:dyDescent="0.4">
      <c r="A13" s="6"/>
      <c r="B13" s="6"/>
      <c r="C13" s="6"/>
      <c r="D13" s="6"/>
      <c r="E13" s="6"/>
      <c r="F13" s="6"/>
      <c r="G13" s="7"/>
      <c r="H13" s="7"/>
      <c r="I13" s="7"/>
      <c r="J13" s="7"/>
      <c r="K13" s="7"/>
      <c r="O13" s="5"/>
      <c r="AD13" s="5"/>
      <c r="AU13" s="8"/>
      <c r="AV13" s="8"/>
      <c r="AW13" s="8"/>
      <c r="BA13" s="5"/>
      <c r="BM13" s="8"/>
      <c r="BN13" s="8"/>
      <c r="BV13" s="9"/>
      <c r="BW13" s="9"/>
      <c r="BX13" s="9"/>
      <c r="BY13" s="9"/>
      <c r="BZ13" s="9"/>
      <c r="CA13" s="9"/>
      <c r="CB13" s="9"/>
      <c r="CE13" s="10"/>
      <c r="CF13" s="10"/>
    </row>
    <row r="14" spans="1:84" ht="18.5" x14ac:dyDescent="0.4">
      <c r="A14" s="619" t="s">
        <v>4449</v>
      </c>
      <c r="B14" s="6"/>
      <c r="C14" s="6"/>
      <c r="D14" s="6"/>
      <c r="E14" s="6"/>
      <c r="F14" s="6"/>
      <c r="G14" s="7"/>
      <c r="H14" s="7"/>
      <c r="I14" s="7"/>
      <c r="J14" s="7"/>
      <c r="K14" s="7"/>
      <c r="O14" s="5"/>
      <c r="AD14" s="5"/>
      <c r="AU14" s="8"/>
      <c r="AV14" s="8"/>
      <c r="AW14" s="8"/>
      <c r="BA14" s="5"/>
      <c r="BM14" s="8"/>
      <c r="BN14" s="8"/>
      <c r="BV14" s="9"/>
      <c r="BW14" s="9"/>
      <c r="BX14" s="9"/>
      <c r="BY14" s="9"/>
      <c r="BZ14" s="9"/>
      <c r="CA14" s="9"/>
      <c r="CB14" s="9"/>
      <c r="CE14" s="10"/>
      <c r="CF14" s="10"/>
    </row>
    <row r="15" spans="1:84" x14ac:dyDescent="0.4">
      <c r="A15" s="3" t="s">
        <v>4452</v>
      </c>
      <c r="E15" s="8"/>
      <c r="F15" s="8"/>
      <c r="AD15" s="5"/>
      <c r="AU15" s="8"/>
      <c r="AV15" s="8"/>
      <c r="AW15" s="8"/>
      <c r="BA15" s="5"/>
      <c r="BM15" s="8"/>
      <c r="BN15" s="8"/>
      <c r="BV15" s="9"/>
      <c r="BW15" s="9"/>
      <c r="BX15" s="9"/>
      <c r="BY15" s="9"/>
      <c r="BZ15" s="9"/>
      <c r="CA15" s="9"/>
      <c r="CB15" s="9"/>
      <c r="CE15" s="10"/>
      <c r="CF15" s="10"/>
    </row>
    <row r="16" spans="1:84" x14ac:dyDescent="0.4">
      <c r="A16" s="262" t="s">
        <v>14</v>
      </c>
      <c r="E16" s="8"/>
      <c r="F16" s="8"/>
      <c r="P16" s="15"/>
      <c r="Q16" s="16"/>
      <c r="R16" s="17"/>
      <c r="S16" s="18"/>
    </row>
    <row r="17" spans="1:84" x14ac:dyDescent="0.4">
      <c r="A17" s="262" t="s">
        <v>4453</v>
      </c>
      <c r="E17" s="8"/>
      <c r="F17" s="8"/>
      <c r="P17" s="15"/>
      <c r="Q17" s="16"/>
      <c r="R17" s="17"/>
      <c r="S17" s="18"/>
    </row>
    <row r="18" spans="1:84" x14ac:dyDescent="0.4">
      <c r="A18" s="617" t="s">
        <v>13</v>
      </c>
      <c r="E18" s="8"/>
      <c r="F18" s="8"/>
      <c r="AD18" s="5"/>
      <c r="AU18" s="8"/>
      <c r="AV18" s="8"/>
      <c r="AW18" s="8"/>
      <c r="BA18" s="5"/>
      <c r="BM18" s="8"/>
      <c r="BN18" s="8"/>
      <c r="BV18" s="9"/>
      <c r="BW18" s="9"/>
      <c r="BX18" s="9"/>
      <c r="BY18" s="9"/>
      <c r="BZ18" s="9"/>
      <c r="CA18" s="9"/>
      <c r="CB18" s="9"/>
      <c r="CE18" s="10"/>
      <c r="CF18" s="10"/>
    </row>
    <row r="19" spans="1:84" x14ac:dyDescent="0.4">
      <c r="A19" s="3" t="s">
        <v>4552</v>
      </c>
      <c r="E19" s="8"/>
      <c r="F19" s="8"/>
      <c r="P19" s="21"/>
      <c r="Q19" s="22"/>
      <c r="R19" s="21"/>
      <c r="S19" s="22"/>
      <c r="AB19" s="22"/>
      <c r="AC19" s="21"/>
      <c r="AD19" s="22"/>
      <c r="AE19" s="21"/>
      <c r="AF19" s="22"/>
      <c r="AI19" s="22"/>
      <c r="AJ19" s="21"/>
      <c r="AK19" s="22"/>
      <c r="AP19" s="22"/>
      <c r="AQ19" s="21"/>
      <c r="AR19" s="22"/>
      <c r="AW19" s="22"/>
      <c r="AX19" s="21"/>
      <c r="AY19" s="22"/>
    </row>
    <row r="20" spans="1:84" x14ac:dyDescent="0.4">
      <c r="A20" s="618" t="s">
        <v>15</v>
      </c>
      <c r="E20" s="8"/>
      <c r="F20" s="8"/>
      <c r="P20" s="24"/>
      <c r="Q20" s="24"/>
      <c r="R20" s="24"/>
      <c r="S20" s="22"/>
      <c r="AB20" s="352"/>
      <c r="AD20" s="22"/>
      <c r="AE20" s="352"/>
      <c r="AF20" s="352"/>
      <c r="AW20" s="21"/>
      <c r="AX20" s="321"/>
      <c r="AY20" s="321"/>
    </row>
    <row r="21" spans="1:84" x14ac:dyDescent="0.4">
      <c r="A21" s="8" t="s">
        <v>16</v>
      </c>
      <c r="E21" s="8"/>
      <c r="F21" s="8"/>
      <c r="P21" s="352"/>
      <c r="Q21" s="352"/>
      <c r="R21" s="353"/>
      <c r="S21" s="22"/>
      <c r="AB21" s="352"/>
      <c r="AD21" s="22"/>
      <c r="AE21" s="352"/>
      <c r="AF21" s="352"/>
      <c r="AP21" s="21"/>
      <c r="AQ21" s="321"/>
      <c r="AR21" s="321"/>
      <c r="AW21" s="21"/>
      <c r="AX21" s="321"/>
      <c r="AY21" s="321"/>
    </row>
    <row r="22" spans="1:84" x14ac:dyDescent="0.4">
      <c r="A22" s="613" t="s">
        <v>17</v>
      </c>
      <c r="E22" s="8"/>
      <c r="F22" s="8"/>
      <c r="P22" s="352"/>
      <c r="Q22" s="352"/>
      <c r="R22" s="353"/>
      <c r="S22" s="22"/>
      <c r="Z22" s="22"/>
      <c r="AA22" s="352"/>
      <c r="AB22" s="352"/>
      <c r="AD22" s="22"/>
      <c r="AE22" s="352"/>
      <c r="AF22" s="352"/>
      <c r="AI22" s="21"/>
      <c r="AJ22" s="321"/>
      <c r="AK22" s="321"/>
      <c r="AP22" s="21"/>
      <c r="AQ22" s="321"/>
      <c r="AR22" s="321"/>
      <c r="AW22" s="21"/>
      <c r="AX22" s="321"/>
      <c r="AY22" s="321"/>
    </row>
    <row r="23" spans="1:84" x14ac:dyDescent="0.4">
      <c r="E23" s="8"/>
      <c r="F23" s="8"/>
      <c r="P23" s="352"/>
      <c r="Q23" s="352"/>
      <c r="R23" s="353"/>
      <c r="S23" s="22"/>
      <c r="Z23" s="22"/>
      <c r="AA23" s="352"/>
      <c r="AB23" s="352"/>
      <c r="AD23" s="22"/>
      <c r="AE23" s="352"/>
      <c r="AF23" s="352"/>
      <c r="AI23" s="21"/>
      <c r="AJ23" s="321"/>
      <c r="AK23" s="321"/>
      <c r="AP23" s="21"/>
      <c r="AQ23" s="321"/>
      <c r="AR23" s="321"/>
      <c r="AW23" s="21"/>
      <c r="AX23" s="321"/>
      <c r="AY23" s="321"/>
    </row>
    <row r="24" spans="1:84" x14ac:dyDescent="0.4">
      <c r="A24" s="616" t="s">
        <v>18</v>
      </c>
      <c r="H24" s="12"/>
      <c r="I24" s="12"/>
      <c r="J24" s="12"/>
      <c r="L24" s="13"/>
      <c r="M24" s="14"/>
      <c r="N24" s="15"/>
      <c r="P24" s="352"/>
      <c r="Q24" s="352"/>
      <c r="R24" s="353"/>
      <c r="S24" s="22"/>
      <c r="Z24" s="22"/>
      <c r="AA24" s="352"/>
      <c r="AB24" s="352"/>
      <c r="AD24" s="22"/>
      <c r="AE24" s="352"/>
      <c r="AF24" s="352"/>
      <c r="AI24" s="21"/>
      <c r="AJ24" s="321"/>
      <c r="AK24" s="321"/>
      <c r="AP24" s="21"/>
      <c r="AQ24" s="321"/>
      <c r="AR24" s="321"/>
      <c r="AW24" s="21"/>
      <c r="AX24" s="321"/>
      <c r="AY24" s="321"/>
    </row>
    <row r="25" spans="1:84" ht="64" x14ac:dyDescent="0.4">
      <c r="A25" s="623" t="s">
        <v>4450</v>
      </c>
      <c r="B25" s="623" t="s">
        <v>19</v>
      </c>
      <c r="C25" s="624" t="s">
        <v>4553</v>
      </c>
      <c r="D25" s="625" t="s">
        <v>20</v>
      </c>
      <c r="H25" s="12"/>
      <c r="I25" s="12"/>
      <c r="J25" s="12"/>
      <c r="L25" s="13"/>
      <c r="M25" s="14"/>
      <c r="N25" s="15"/>
      <c r="P25" s="352"/>
      <c r="Q25" s="352"/>
      <c r="R25" s="353"/>
      <c r="S25" s="22"/>
      <c r="Z25" s="22"/>
      <c r="AA25" s="352"/>
      <c r="AB25" s="352"/>
      <c r="AD25" s="22"/>
      <c r="AE25" s="352"/>
      <c r="AF25" s="352"/>
      <c r="AI25" s="21"/>
      <c r="AJ25" s="321"/>
      <c r="AK25" s="321"/>
      <c r="AP25" s="21"/>
      <c r="AQ25" s="321"/>
      <c r="AR25" s="321"/>
      <c r="AW25" s="21"/>
      <c r="AX25" s="321"/>
      <c r="AY25" s="321"/>
    </row>
    <row r="26" spans="1:84" x14ac:dyDescent="0.4">
      <c r="A26" s="626" t="s">
        <v>21</v>
      </c>
      <c r="B26" s="354">
        <f>SUM(C26:D26)</f>
        <v>24319601</v>
      </c>
      <c r="C26" s="402">
        <v>3427775</v>
      </c>
      <c r="D26" s="403">
        <v>20891826</v>
      </c>
      <c r="H26" s="12"/>
      <c r="I26" s="12"/>
      <c r="J26" s="12"/>
      <c r="L26" s="13"/>
      <c r="M26" s="14"/>
      <c r="N26" s="15"/>
      <c r="P26" s="352"/>
      <c r="Q26" s="352"/>
      <c r="R26" s="353"/>
      <c r="S26" s="22"/>
      <c r="Z26" s="22"/>
      <c r="AA26" s="352"/>
      <c r="AB26" s="352"/>
      <c r="AD26" s="22"/>
      <c r="AE26" s="352"/>
      <c r="AF26" s="352"/>
      <c r="AI26" s="21"/>
      <c r="AJ26" s="321"/>
      <c r="AK26" s="321"/>
      <c r="AP26" s="21"/>
      <c r="AQ26" s="321"/>
      <c r="AR26" s="321"/>
      <c r="AW26" s="21"/>
      <c r="AX26" s="321"/>
      <c r="AY26" s="321"/>
    </row>
    <row r="27" spans="1:84" x14ac:dyDescent="0.4">
      <c r="A27" s="614" t="s">
        <v>22</v>
      </c>
      <c r="B27" s="355">
        <f>SUM(C27:D27)</f>
        <v>3197566522.0261192</v>
      </c>
      <c r="C27" s="404">
        <v>58000</v>
      </c>
      <c r="D27" s="356">
        <v>3197508522.0261192</v>
      </c>
      <c r="H27" s="12"/>
      <c r="I27" s="12"/>
      <c r="J27" s="12"/>
      <c r="L27" s="13"/>
      <c r="M27" s="14"/>
      <c r="N27" s="15"/>
      <c r="P27" s="352"/>
      <c r="Q27" s="352"/>
      <c r="R27" s="353"/>
      <c r="S27" s="22"/>
      <c r="Z27" s="22"/>
      <c r="AA27" s="352"/>
      <c r="AB27" s="352"/>
      <c r="AD27" s="22"/>
      <c r="AE27" s="352"/>
      <c r="AF27" s="352"/>
      <c r="AI27" s="21"/>
      <c r="AJ27" s="321"/>
      <c r="AK27" s="321"/>
      <c r="AP27" s="21"/>
      <c r="AQ27" s="321"/>
      <c r="AR27" s="321"/>
      <c r="AW27" s="21"/>
      <c r="AX27" s="321"/>
      <c r="AY27" s="321"/>
    </row>
    <row r="28" spans="1:84" ht="16.5" thickBot="1" x14ac:dyDescent="0.45">
      <c r="A28" s="615" t="s">
        <v>4451</v>
      </c>
      <c r="B28" s="357">
        <f>SUM(C28:D28)</f>
        <v>3485044377.921474</v>
      </c>
      <c r="C28" s="405">
        <v>11362000</v>
      </c>
      <c r="D28" s="358">
        <v>3473682377.921474</v>
      </c>
      <c r="H28" s="12"/>
      <c r="I28" s="12"/>
      <c r="J28" s="12"/>
      <c r="L28" s="13"/>
      <c r="M28" s="14"/>
      <c r="N28" s="15"/>
      <c r="P28" s="352"/>
      <c r="Q28" s="352"/>
      <c r="R28" s="353"/>
      <c r="S28" s="22"/>
      <c r="Z28" s="22"/>
      <c r="AA28" s="352"/>
      <c r="AB28" s="352"/>
      <c r="AD28" s="22"/>
      <c r="AE28" s="352"/>
      <c r="AF28" s="352"/>
      <c r="AI28" s="21"/>
      <c r="AJ28" s="321"/>
      <c r="AK28" s="321"/>
      <c r="AP28" s="21"/>
      <c r="AQ28" s="321"/>
      <c r="AR28" s="321"/>
      <c r="AW28" s="21"/>
      <c r="AX28" s="321"/>
      <c r="AY28" s="321"/>
    </row>
    <row r="29" spans="1:84" x14ac:dyDescent="0.4">
      <c r="A29" s="622" t="s">
        <v>11</v>
      </c>
      <c r="H29" s="12"/>
      <c r="I29" s="12"/>
      <c r="J29" s="12"/>
      <c r="L29" s="13"/>
      <c r="M29" s="14"/>
      <c r="N29" s="15"/>
      <c r="P29" s="352"/>
      <c r="Q29" s="352"/>
      <c r="R29" s="353"/>
      <c r="S29" s="22"/>
      <c r="Z29" s="22"/>
      <c r="AA29" s="352"/>
      <c r="AB29" s="352"/>
      <c r="AD29" s="22"/>
      <c r="AE29" s="352"/>
      <c r="AF29" s="352"/>
      <c r="AI29" s="21"/>
      <c r="AJ29" s="321"/>
      <c r="AK29" s="321"/>
      <c r="AP29" s="21"/>
      <c r="AQ29" s="321"/>
      <c r="AR29" s="321"/>
      <c r="AW29" s="21"/>
      <c r="AX29" s="321"/>
      <c r="AY29" s="321"/>
    </row>
    <row r="30" spans="1:84" x14ac:dyDescent="0.4">
      <c r="A30" s="11"/>
      <c r="H30" s="12"/>
      <c r="I30" s="12"/>
      <c r="J30" s="12"/>
      <c r="L30" s="13"/>
      <c r="M30" s="14"/>
      <c r="N30" s="15"/>
      <c r="P30" s="352"/>
      <c r="Q30" s="352"/>
      <c r="R30" s="353"/>
      <c r="S30" s="22"/>
      <c r="Z30" s="22"/>
      <c r="AA30" s="352"/>
      <c r="AB30" s="352"/>
      <c r="AD30" s="22"/>
      <c r="AE30" s="352"/>
      <c r="AF30" s="352"/>
      <c r="AI30" s="21"/>
      <c r="AJ30" s="321"/>
      <c r="AK30" s="321"/>
      <c r="AP30" s="21"/>
      <c r="AQ30" s="321"/>
      <c r="AR30" s="321"/>
      <c r="AW30" s="21"/>
      <c r="AX30" s="321"/>
      <c r="AY30" s="321"/>
    </row>
    <row r="31" spans="1:84" x14ac:dyDescent="0.4">
      <c r="A31" s="6" t="s">
        <v>4442</v>
      </c>
      <c r="K31" s="20"/>
      <c r="P31" s="352"/>
      <c r="Q31" s="352"/>
      <c r="R31" s="353"/>
      <c r="S31" s="22"/>
      <c r="Z31" s="22"/>
      <c r="AA31" s="352"/>
      <c r="AB31" s="352"/>
      <c r="AD31" s="22"/>
      <c r="AE31" s="352"/>
      <c r="AF31" s="352"/>
      <c r="AI31" s="21"/>
      <c r="AJ31" s="321"/>
      <c r="AK31" s="321"/>
      <c r="AP31" s="21"/>
      <c r="AQ31" s="321"/>
      <c r="AR31" s="321"/>
      <c r="AW31" s="21"/>
      <c r="AX31" s="321"/>
      <c r="AY31" s="321"/>
    </row>
    <row r="32" spans="1:84" x14ac:dyDescent="0.4">
      <c r="A32" s="108" t="s">
        <v>23</v>
      </c>
      <c r="K32" s="20"/>
      <c r="P32" s="352"/>
      <c r="Q32" s="352"/>
      <c r="R32" s="353"/>
      <c r="S32" s="22"/>
      <c r="Z32" s="22"/>
      <c r="AA32" s="352"/>
      <c r="AB32" s="352"/>
      <c r="AD32" s="22"/>
      <c r="AE32" s="352"/>
      <c r="AF32" s="352"/>
      <c r="AI32" s="21"/>
      <c r="AJ32" s="321"/>
      <c r="AK32" s="321"/>
      <c r="AP32" s="21"/>
      <c r="AQ32" s="321"/>
      <c r="AR32" s="321"/>
      <c r="AW32" s="21"/>
      <c r="AX32" s="321"/>
      <c r="AY32" s="321"/>
    </row>
    <row r="33" spans="1:51" ht="16.5" thickBot="1" x14ac:dyDescent="0.45">
      <c r="A33" s="108" t="s">
        <v>24</v>
      </c>
      <c r="K33" s="20"/>
      <c r="P33" s="352"/>
      <c r="Q33" s="352"/>
      <c r="R33" s="353"/>
      <c r="S33" s="22"/>
      <c r="Z33" s="22"/>
      <c r="AA33" s="352"/>
      <c r="AB33" s="352"/>
      <c r="AD33" s="22"/>
      <c r="AE33" s="352"/>
      <c r="AF33" s="352"/>
      <c r="AI33" s="21"/>
      <c r="AJ33" s="321"/>
      <c r="AK33" s="321"/>
      <c r="AP33" s="21"/>
      <c r="AQ33" s="321"/>
      <c r="AR33" s="321"/>
      <c r="AW33" s="21"/>
      <c r="AX33" s="321"/>
      <c r="AY33" s="321"/>
    </row>
    <row r="34" spans="1:51" ht="32" x14ac:dyDescent="0.4">
      <c r="A34" s="414" t="s">
        <v>25</v>
      </c>
      <c r="B34" s="365" t="s">
        <v>26</v>
      </c>
      <c r="C34" s="366" t="s">
        <v>27</v>
      </c>
      <c r="D34" s="365" t="s">
        <v>28</v>
      </c>
      <c r="E34" s="366" t="s">
        <v>29</v>
      </c>
      <c r="P34" s="352"/>
      <c r="Q34" s="352"/>
      <c r="R34" s="353"/>
      <c r="S34" s="22"/>
      <c r="Z34" s="22"/>
      <c r="AA34" s="352"/>
      <c r="AB34" s="352"/>
      <c r="AD34" s="22"/>
      <c r="AE34" s="352"/>
      <c r="AF34" s="352"/>
      <c r="AI34" s="21"/>
      <c r="AJ34" s="321"/>
      <c r="AK34" s="321"/>
      <c r="AP34" s="21"/>
      <c r="AQ34" s="321"/>
      <c r="AR34" s="321"/>
      <c r="AW34" s="21"/>
      <c r="AX34" s="321"/>
      <c r="AY34" s="321"/>
    </row>
    <row r="35" spans="1:51" x14ac:dyDescent="0.4">
      <c r="A35" s="414" t="s">
        <v>30</v>
      </c>
      <c r="B35" s="368">
        <f>F43</f>
        <v>430.65220388438723</v>
      </c>
      <c r="C35" s="369">
        <f>G103</f>
        <v>461.19016829689633</v>
      </c>
      <c r="D35" s="368">
        <f>(E43-B27)/(E50-B26)</f>
        <v>640.25609140877998</v>
      </c>
      <c r="E35" s="369">
        <f>(F103-B27)/(E56-B26)</f>
        <v>538.43748786553181</v>
      </c>
      <c r="P35" s="352"/>
      <c r="Q35" s="352"/>
      <c r="R35" s="353"/>
      <c r="S35" s="22"/>
      <c r="Z35" s="22"/>
      <c r="AA35" s="352"/>
      <c r="AB35" s="352"/>
      <c r="AD35" s="22"/>
      <c r="AE35" s="352"/>
      <c r="AF35" s="352"/>
      <c r="AI35" s="21"/>
      <c r="AJ35" s="321"/>
      <c r="AK35" s="321"/>
      <c r="AP35" s="21"/>
      <c r="AQ35" s="321"/>
      <c r="AR35" s="321"/>
      <c r="AW35" s="21"/>
      <c r="AX35" s="321"/>
      <c r="AY35" s="321"/>
    </row>
    <row r="36" spans="1:51" ht="16.5" thickBot="1" x14ac:dyDescent="0.45">
      <c r="A36" s="414" t="s">
        <v>31</v>
      </c>
      <c r="B36" s="370">
        <f>F44</f>
        <v>44.358693758119827</v>
      </c>
      <c r="C36" s="371">
        <f>G104</f>
        <v>83.190531576394804</v>
      </c>
      <c r="D36" s="370">
        <f>IF((E44-B28)/(E50-B26)&lt;0,0,(E44-B28)/(E50-B26))</f>
        <v>0</v>
      </c>
      <c r="E36" s="371">
        <f>IF((F104-B28)/(E56-B26)&lt;0,0,(F104-B28)/(B56-B26))</f>
        <v>68.923090905115004</v>
      </c>
      <c r="P36" s="352"/>
      <c r="Q36" s="352"/>
      <c r="R36" s="353"/>
      <c r="S36" s="22"/>
      <c r="Z36" s="22"/>
      <c r="AA36" s="352"/>
      <c r="AB36" s="352"/>
      <c r="AD36" s="22"/>
      <c r="AE36" s="352"/>
      <c r="AF36" s="352"/>
      <c r="AI36" s="21"/>
      <c r="AJ36" s="321"/>
      <c r="AK36" s="321"/>
      <c r="AP36" s="21"/>
      <c r="AQ36" s="321"/>
      <c r="AR36" s="321"/>
      <c r="AW36" s="21"/>
      <c r="AX36" s="321"/>
      <c r="AY36" s="321"/>
    </row>
    <row r="37" spans="1:51" x14ac:dyDescent="0.4">
      <c r="A37" s="627" t="s">
        <v>11</v>
      </c>
      <c r="C37" s="348"/>
      <c r="D37" s="349"/>
      <c r="E37" s="350"/>
      <c r="L37" s="359"/>
      <c r="M37" s="359"/>
      <c r="N37" s="360"/>
      <c r="O37" s="360"/>
      <c r="P37" s="352"/>
      <c r="Q37" s="352"/>
      <c r="R37" s="353"/>
      <c r="S37" s="22"/>
      <c r="Z37" s="22"/>
      <c r="AA37" s="352"/>
      <c r="AB37" s="352"/>
      <c r="AD37" s="22"/>
      <c r="AE37" s="352"/>
      <c r="AF37" s="352"/>
      <c r="AI37" s="21"/>
      <c r="AJ37" s="321"/>
      <c r="AK37" s="321"/>
      <c r="AP37" s="21"/>
      <c r="AQ37" s="321"/>
      <c r="AR37" s="321"/>
      <c r="AW37" s="21"/>
      <c r="AX37" s="321"/>
      <c r="AY37" s="321"/>
    </row>
    <row r="38" spans="1:51" x14ac:dyDescent="0.4">
      <c r="A38" s="201"/>
      <c r="Q38" s="20"/>
    </row>
    <row r="39" spans="1:51" s="24" customFormat="1" ht="18.5" x14ac:dyDescent="0.45">
      <c r="A39" s="620" t="s">
        <v>4420</v>
      </c>
      <c r="D39" s="362"/>
      <c r="E39" s="362"/>
      <c r="F39" s="362"/>
      <c r="I39" s="364"/>
      <c r="J39" s="364"/>
    </row>
    <row r="40" spans="1:51" s="24" customFormat="1" x14ac:dyDescent="0.4">
      <c r="A40" s="401" t="s">
        <v>4554</v>
      </c>
      <c r="D40" s="362"/>
      <c r="E40" s="362"/>
      <c r="F40" s="362"/>
      <c r="I40" s="364"/>
      <c r="J40" s="364"/>
    </row>
    <row r="41" spans="1:51" s="24" customFormat="1" x14ac:dyDescent="0.4">
      <c r="A41" s="401" t="s">
        <v>4459</v>
      </c>
      <c r="D41" s="362"/>
      <c r="E41" s="362"/>
      <c r="F41" s="362"/>
      <c r="I41" s="364"/>
      <c r="J41" s="364"/>
    </row>
    <row r="42" spans="1:51" s="24" customFormat="1" ht="112" x14ac:dyDescent="0.4">
      <c r="A42" s="629" t="s">
        <v>33</v>
      </c>
      <c r="B42" s="268" t="s">
        <v>4432</v>
      </c>
      <c r="C42" s="268" t="s">
        <v>4446</v>
      </c>
      <c r="D42" s="268" t="s">
        <v>4444</v>
      </c>
      <c r="E42" s="268" t="s">
        <v>4555</v>
      </c>
      <c r="F42" s="268" t="s">
        <v>4433</v>
      </c>
      <c r="I42" s="364"/>
      <c r="J42" s="364"/>
    </row>
    <row r="43" spans="1:51" s="24" customFormat="1" x14ac:dyDescent="0.4">
      <c r="A43" s="406" t="s">
        <v>49</v>
      </c>
      <c r="B43" s="28">
        <f>$C$84*H50</f>
        <v>8486682689.0249891</v>
      </c>
      <c r="C43" s="28">
        <f>$E$103*H50</f>
        <v>1888708.5769291988</v>
      </c>
      <c r="D43" s="28">
        <f>B43+C43</f>
        <v>8488571397.6019182</v>
      </c>
      <c r="E43" s="28">
        <f>B78-C78+D43</f>
        <v>25421992713.788002</v>
      </c>
      <c r="F43" s="409">
        <f>E43/E50</f>
        <v>430.65220388438723</v>
      </c>
      <c r="I43" s="364"/>
      <c r="J43" s="364"/>
    </row>
    <row r="44" spans="1:51" s="24" customFormat="1" x14ac:dyDescent="0.4">
      <c r="A44" s="406" t="s">
        <v>50</v>
      </c>
      <c r="B44" s="28">
        <f>$C$95*H50</f>
        <v>61678568.373489574</v>
      </c>
      <c r="C44" s="28">
        <f>$E$104*H50</f>
        <v>5524726.96917604</v>
      </c>
      <c r="D44" s="28">
        <f>B44+C44</f>
        <v>67203295.342665613</v>
      </c>
      <c r="E44" s="28">
        <f>B89-C89+D44</f>
        <v>2618554785.8355184</v>
      </c>
      <c r="F44" s="409">
        <f>E44/E50</f>
        <v>44.358693758119827</v>
      </c>
      <c r="I44" s="364"/>
      <c r="J44" s="364"/>
    </row>
    <row r="45" spans="1:51" s="24" customFormat="1" x14ac:dyDescent="0.4">
      <c r="A45" s="628" t="s">
        <v>11</v>
      </c>
      <c r="D45" s="362"/>
      <c r="E45" s="362"/>
      <c r="F45" s="362"/>
      <c r="I45" s="364"/>
      <c r="J45" s="364"/>
    </row>
    <row r="46" spans="1:51" s="24" customFormat="1" x14ac:dyDescent="0.4">
      <c r="A46" s="362"/>
      <c r="D46" s="362"/>
      <c r="E46" s="362"/>
      <c r="F46" s="362"/>
      <c r="I46" s="364"/>
      <c r="J46" s="364"/>
    </row>
    <row r="47" spans="1:51" ht="18.5" x14ac:dyDescent="0.45">
      <c r="A47" s="92" t="s">
        <v>4455</v>
      </c>
    </row>
    <row r="48" spans="1:51" x14ac:dyDescent="0.4">
      <c r="A48" s="23" t="s">
        <v>4435</v>
      </c>
    </row>
    <row r="49" spans="1:61" ht="80" x14ac:dyDescent="0.4">
      <c r="A49" s="630" t="s">
        <v>32</v>
      </c>
      <c r="B49" s="631" t="s">
        <v>4436</v>
      </c>
      <c r="C49" s="268" t="s">
        <v>4437</v>
      </c>
      <c r="D49" s="268" t="s">
        <v>4431</v>
      </c>
      <c r="E49" s="268" t="s">
        <v>4438</v>
      </c>
      <c r="F49" s="268" t="s">
        <v>4439</v>
      </c>
      <c r="G49" s="268" t="s">
        <v>4440</v>
      </c>
      <c r="H49" s="323" t="s">
        <v>4441</v>
      </c>
    </row>
    <row r="50" spans="1:61" x14ac:dyDescent="0.4">
      <c r="A50" s="36" t="s">
        <v>33</v>
      </c>
      <c r="B50" s="416">
        <f>'State and Province Summary'!B67+'State and Province Summary'!C70</f>
        <v>48539944.673999995</v>
      </c>
      <c r="C50" s="416">
        <f>'Generation Load Imports'!I10*1000+'State and Province Summary'!C67</f>
        <v>57551182</v>
      </c>
      <c r="D50" s="416">
        <f t="shared" ref="D50:D55" si="0">(C50/$C$56)*$D$56</f>
        <v>1480195.2563736406</v>
      </c>
      <c r="E50" s="416">
        <f>C50+D50</f>
        <v>59031377.256373644</v>
      </c>
      <c r="F50" s="416">
        <f t="shared" ref="F50:F55" si="1">IF(B50&gt;E50,0,E50-B50)</f>
        <v>10491432.582373649</v>
      </c>
      <c r="G50" s="416">
        <f t="shared" ref="G50:G55" si="2">IF(B50&gt;E50,B50-E50,0)</f>
        <v>0</v>
      </c>
      <c r="H50" s="417">
        <f>IF(F50&gt;0,F50/($F$56+$C$64),0)</f>
        <v>0.51074650564387392</v>
      </c>
    </row>
    <row r="51" spans="1:61" x14ac:dyDescent="0.4">
      <c r="A51" s="36" t="s">
        <v>34</v>
      </c>
      <c r="B51" s="418">
        <f>'State and Province Summary'!B71+'State and Province Summary'!C74</f>
        <v>10663325.376000002</v>
      </c>
      <c r="C51" s="416">
        <f>'Generation Load Imports'!D10*1000+'State and Province Summary'!C71</f>
        <v>12582973</v>
      </c>
      <c r="D51" s="416">
        <f t="shared" si="0"/>
        <v>323629.44249655196</v>
      </c>
      <c r="E51" s="416">
        <f t="shared" ref="E51:E55" si="3">C51+D51</f>
        <v>12906602.442496551</v>
      </c>
      <c r="F51" s="416">
        <f t="shared" si="1"/>
        <v>2243277.0664965492</v>
      </c>
      <c r="G51" s="416">
        <f t="shared" si="2"/>
        <v>0</v>
      </c>
      <c r="H51" s="89" t="s">
        <v>170</v>
      </c>
      <c r="Y51" s="32"/>
      <c r="AH51" s="32"/>
      <c r="AJ51" s="26"/>
      <c r="AQ51" s="32"/>
      <c r="AZ51" s="32"/>
      <c r="BB51" s="26"/>
      <c r="BI51" s="32"/>
    </row>
    <row r="52" spans="1:61" x14ac:dyDescent="0.4">
      <c r="A52" s="36" t="s">
        <v>35</v>
      </c>
      <c r="B52" s="418">
        <f>'State and Province Summary'!B75+'State and Province Summary'!C78</f>
        <v>6689038.2059999965</v>
      </c>
      <c r="C52" s="416">
        <f>'Generation Load Imports'!E10*1000+'State and Province Summary'!C75</f>
        <v>11950877</v>
      </c>
      <c r="D52" s="416">
        <f t="shared" si="0"/>
        <v>307372.16561259929</v>
      </c>
      <c r="E52" s="416">
        <f t="shared" si="3"/>
        <v>12258249.165612599</v>
      </c>
      <c r="F52" s="416">
        <f t="shared" si="1"/>
        <v>5569210.9596126024</v>
      </c>
      <c r="G52" s="416">
        <f t="shared" si="2"/>
        <v>0</v>
      </c>
      <c r="H52" s="89" t="s">
        <v>170</v>
      </c>
      <c r="Y52" s="32"/>
      <c r="AH52" s="32"/>
      <c r="AJ52" s="26"/>
      <c r="AQ52" s="32"/>
      <c r="AZ52" s="32"/>
      <c r="BB52" s="26"/>
      <c r="BI52" s="32"/>
    </row>
    <row r="53" spans="1:61" x14ac:dyDescent="0.4">
      <c r="A53" s="36" t="s">
        <v>36</v>
      </c>
      <c r="B53" s="418">
        <f>'State and Province Summary'!B83+'State and Province Summary'!C86</f>
        <v>4703440.6409999998</v>
      </c>
      <c r="C53" s="416">
        <f>'Generation Load Imports'!F10*1000+'State and Province Summary'!C83</f>
        <v>5730654</v>
      </c>
      <c r="D53" s="416">
        <f t="shared" si="0"/>
        <v>147390.31540166505</v>
      </c>
      <c r="E53" s="416">
        <f t="shared" si="3"/>
        <v>5878044.3154016649</v>
      </c>
      <c r="F53" s="416">
        <f t="shared" si="1"/>
        <v>1174603.6744016651</v>
      </c>
      <c r="G53" s="416">
        <f t="shared" si="2"/>
        <v>0</v>
      </c>
      <c r="H53" s="89" t="s">
        <v>170</v>
      </c>
      <c r="AZ53" s="32"/>
      <c r="BB53" s="26"/>
      <c r="BI53" s="32"/>
    </row>
    <row r="54" spans="1:61" x14ac:dyDescent="0.4">
      <c r="A54" s="36" t="s">
        <v>37</v>
      </c>
      <c r="B54" s="418">
        <f>'State and Province Summary'!B63+'State and Province Summary'!C66</f>
        <v>46738248.964000002</v>
      </c>
      <c r="C54" s="416">
        <f>'Generation Load Imports'!G10*1000+'State and Province Summary'!C63</f>
        <v>28984685</v>
      </c>
      <c r="D54" s="416">
        <f t="shared" si="0"/>
        <v>745475.44904436916</v>
      </c>
      <c r="E54" s="416">
        <f t="shared" si="3"/>
        <v>29730160.449044369</v>
      </c>
      <c r="F54" s="416">
        <f t="shared" si="1"/>
        <v>0</v>
      </c>
      <c r="G54" s="416">
        <f t="shared" si="2"/>
        <v>17008088.514955632</v>
      </c>
      <c r="H54" s="89" t="s">
        <v>170</v>
      </c>
      <c r="AZ54" s="32"/>
      <c r="BB54" s="26"/>
      <c r="BI54" s="32"/>
    </row>
    <row r="55" spans="1:61" x14ac:dyDescent="0.4">
      <c r="A55" s="36" t="s">
        <v>38</v>
      </c>
      <c r="B55" s="418">
        <f>'State and Province Summary'!B79+'State and Province Summary'!C82</f>
        <v>11064298.052999998</v>
      </c>
      <c r="C55" s="416">
        <f>'Generation Load Imports'!H10*1000+'State and Province Summary'!C79</f>
        <v>8108214</v>
      </c>
      <c r="D55" s="416">
        <f t="shared" si="0"/>
        <v>208540.28507116225</v>
      </c>
      <c r="E55" s="416">
        <f t="shared" si="3"/>
        <v>8316754.2850711625</v>
      </c>
      <c r="F55" s="416">
        <f t="shared" si="1"/>
        <v>0</v>
      </c>
      <c r="G55" s="416">
        <f t="shared" si="2"/>
        <v>2747543.767928835</v>
      </c>
      <c r="H55" s="89" t="s">
        <v>170</v>
      </c>
      <c r="AZ55" s="32"/>
      <c r="BB55" s="26"/>
      <c r="BI55" s="32"/>
    </row>
    <row r="56" spans="1:61" x14ac:dyDescent="0.4">
      <c r="A56" s="36" t="s">
        <v>39</v>
      </c>
      <c r="B56" s="416">
        <f t="shared" ref="B56:C56" si="4">SUM(B50:B55)</f>
        <v>128398295.914</v>
      </c>
      <c r="C56" s="416">
        <f t="shared" si="4"/>
        <v>124908585</v>
      </c>
      <c r="D56" s="420">
        <f>'Generation Load Imports'!C22*1000</f>
        <v>3212602.9139999882</v>
      </c>
      <c r="E56" s="416">
        <f t="shared" ref="E56:G56" si="5">SUM(E50:E55)</f>
        <v>128121187.91399997</v>
      </c>
      <c r="F56" s="416">
        <f t="shared" si="5"/>
        <v>19478524.282884464</v>
      </c>
      <c r="G56" s="416">
        <f t="shared" si="5"/>
        <v>19755632.282884467</v>
      </c>
      <c r="H56" s="89" t="s">
        <v>170</v>
      </c>
      <c r="AZ56" s="32"/>
      <c r="BB56" s="26"/>
      <c r="BI56" s="32"/>
    </row>
    <row r="57" spans="1:61" x14ac:dyDescent="0.4">
      <c r="A57" s="627" t="s">
        <v>11</v>
      </c>
      <c r="B57" s="23"/>
      <c r="C57" s="23"/>
      <c r="D57" s="23"/>
      <c r="E57" s="23"/>
      <c r="F57" s="23"/>
      <c r="G57" s="23"/>
      <c r="H57" s="23"/>
      <c r="I57" s="23"/>
      <c r="J57" s="23"/>
      <c r="AZ57" s="32"/>
      <c r="BB57" s="26"/>
      <c r="BI57" s="32"/>
    </row>
    <row r="58" spans="1:61" x14ac:dyDescent="0.4">
      <c r="A58" s="23"/>
      <c r="E58" s="72"/>
      <c r="F58" s="411"/>
      <c r="H58" s="26"/>
      <c r="I58" s="407"/>
      <c r="J58" s="410"/>
      <c r="AZ58" s="32"/>
      <c r="BB58" s="26"/>
      <c r="BI58" s="32"/>
    </row>
    <row r="59" spans="1:61" x14ac:dyDescent="0.4">
      <c r="A59" s="23" t="s">
        <v>4551</v>
      </c>
      <c r="E59" s="72"/>
      <c r="F59" s="411"/>
      <c r="H59" s="26"/>
      <c r="I59" s="407"/>
      <c r="J59" s="410"/>
      <c r="AZ59" s="32"/>
      <c r="BB59" s="26"/>
      <c r="BI59" s="32"/>
    </row>
    <row r="60" spans="1:61" ht="64" x14ac:dyDescent="0.4">
      <c r="A60" s="322" t="s">
        <v>4418</v>
      </c>
      <c r="B60" s="268" t="s">
        <v>4447</v>
      </c>
      <c r="C60" s="268" t="s">
        <v>4448</v>
      </c>
      <c r="D60" s="602"/>
      <c r="F60" s="602"/>
      <c r="G60" s="602"/>
      <c r="H60" s="602"/>
      <c r="I60" s="602"/>
      <c r="J60" s="602"/>
      <c r="K60" s="602"/>
      <c r="AZ60" s="32"/>
      <c r="BB60" s="26"/>
      <c r="BI60" s="32"/>
    </row>
    <row r="61" spans="1:61" x14ac:dyDescent="0.4">
      <c r="A61" s="36" t="s">
        <v>52</v>
      </c>
      <c r="B61" s="416">
        <f>'State and Province Summary'!B88+'State and Province Summary'!C90</f>
        <v>-454525</v>
      </c>
      <c r="C61" s="416">
        <f>IF(B61&lt;0,-B61,0)</f>
        <v>454525</v>
      </c>
      <c r="D61" s="603"/>
      <c r="F61" s="603"/>
      <c r="G61" s="604"/>
      <c r="H61" s="605"/>
      <c r="I61" s="606"/>
      <c r="J61" s="606"/>
      <c r="K61" s="607"/>
      <c r="AZ61" s="32"/>
      <c r="BB61" s="26"/>
      <c r="BI61" s="32"/>
    </row>
    <row r="62" spans="1:61" x14ac:dyDescent="0.4">
      <c r="A62" s="36" t="s">
        <v>53</v>
      </c>
      <c r="B62" s="416">
        <f>'State and Province Summary'!C94 + 'State and Province Summary'!B92</f>
        <v>-608320</v>
      </c>
      <c r="C62" s="416">
        <f>IF(B62&lt;0,-B62,0)</f>
        <v>608320</v>
      </c>
      <c r="D62" s="20"/>
      <c r="F62" s="20"/>
      <c r="G62" s="606"/>
      <c r="H62" s="605"/>
      <c r="I62" s="606"/>
      <c r="J62" s="606"/>
      <c r="K62" s="607"/>
      <c r="AZ62" s="32"/>
      <c r="BB62" s="26"/>
      <c r="BI62" s="32"/>
    </row>
    <row r="63" spans="1:61" x14ac:dyDescent="0.4">
      <c r="A63" s="36" t="s">
        <v>54</v>
      </c>
      <c r="B63" s="416">
        <f>'State and Province Summary'!B96+'State and Province Summary'!C98</f>
        <v>785737</v>
      </c>
      <c r="C63" s="416">
        <f>IF(B63&lt;0,-B63,0)</f>
        <v>0</v>
      </c>
      <c r="D63" s="603"/>
      <c r="F63" s="603"/>
      <c r="G63" s="603"/>
      <c r="H63" s="608"/>
      <c r="I63" s="607"/>
      <c r="J63" s="607"/>
      <c r="K63" s="607"/>
      <c r="AZ63" s="32"/>
      <c r="BB63" s="26"/>
      <c r="BI63" s="32"/>
    </row>
    <row r="64" spans="1:61" x14ac:dyDescent="0.4">
      <c r="A64" s="36" t="s">
        <v>55</v>
      </c>
      <c r="B64" s="416">
        <f>SUM(B61:B63)</f>
        <v>-277108</v>
      </c>
      <c r="C64" s="416">
        <f>SUM(C61:C63)</f>
        <v>1062845</v>
      </c>
      <c r="D64" s="411"/>
      <c r="F64" s="411"/>
      <c r="H64" s="26"/>
      <c r="I64" s="26"/>
      <c r="J64" s="26"/>
      <c r="K64" s="26"/>
      <c r="L64" s="26"/>
      <c r="AZ64" s="32"/>
      <c r="BB64" s="26"/>
      <c r="BI64" s="32"/>
    </row>
    <row r="65" spans="1:61" x14ac:dyDescent="0.4">
      <c r="A65" s="628" t="s">
        <v>11</v>
      </c>
      <c r="D65" s="411"/>
      <c r="E65" s="72"/>
      <c r="F65" s="411"/>
      <c r="H65" s="26"/>
      <c r="I65" s="26"/>
      <c r="J65" s="26"/>
      <c r="K65" s="26"/>
      <c r="L65" s="26"/>
      <c r="AZ65" s="32"/>
      <c r="BB65" s="26"/>
      <c r="BI65" s="32"/>
    </row>
    <row r="66" spans="1:61" x14ac:dyDescent="0.4">
      <c r="Y66" s="32"/>
      <c r="AH66" s="32"/>
      <c r="AJ66" s="26"/>
      <c r="AQ66" s="32"/>
      <c r="AZ66" s="32"/>
      <c r="BB66" s="26"/>
      <c r="BI66" s="32"/>
    </row>
    <row r="67" spans="1:61" x14ac:dyDescent="0.4">
      <c r="A67" s="23" t="s">
        <v>40</v>
      </c>
      <c r="B67" s="23"/>
      <c r="C67" s="23"/>
      <c r="D67" s="23"/>
      <c r="AZ67" s="32"/>
      <c r="BB67" s="26"/>
      <c r="BI67" s="32"/>
    </row>
    <row r="68" spans="1:61" ht="32" x14ac:dyDescent="0.4">
      <c r="A68" s="322" t="s">
        <v>34</v>
      </c>
      <c r="B68" s="632" t="s">
        <v>41</v>
      </c>
      <c r="C68" s="632" t="s">
        <v>42</v>
      </c>
      <c r="D68" s="632" t="s">
        <v>43</v>
      </c>
      <c r="E68" s="632" t="s">
        <v>44</v>
      </c>
      <c r="H68" s="16"/>
      <c r="I68" s="14"/>
      <c r="L68" s="16"/>
      <c r="M68" s="14"/>
      <c r="AZ68" s="32"/>
      <c r="BB68" s="26"/>
      <c r="BI68" s="32"/>
    </row>
    <row r="69" spans="1:61" x14ac:dyDescent="0.4">
      <c r="A69" s="406" t="s">
        <v>4259</v>
      </c>
      <c r="B69" s="416">
        <f>'Generation Load Imports'!C29</f>
        <v>282643</v>
      </c>
      <c r="C69" s="416">
        <f>'Generation Load Imports'!D9*1000</f>
        <v>13235928.376000002</v>
      </c>
      <c r="D69" s="416">
        <f>B69+C69</f>
        <v>13518571.376000002</v>
      </c>
      <c r="E69" s="419">
        <f>(C69/D69)</f>
        <v>0.97909224339327849</v>
      </c>
      <c r="H69" s="16"/>
      <c r="I69" s="14"/>
      <c r="L69" s="16"/>
      <c r="M69" s="14"/>
      <c r="AZ69" s="32"/>
      <c r="BB69" s="26"/>
      <c r="BI69" s="32"/>
    </row>
    <row r="70" spans="1:61" x14ac:dyDescent="0.4">
      <c r="A70" s="627" t="s">
        <v>11</v>
      </c>
      <c r="B70" s="4"/>
      <c r="C70" s="4"/>
      <c r="D70" s="4"/>
      <c r="E70" s="4"/>
      <c r="F70" s="4"/>
      <c r="H70" s="16"/>
      <c r="I70" s="14"/>
      <c r="L70" s="16"/>
      <c r="M70" s="14"/>
      <c r="AZ70" s="32"/>
      <c r="BB70" s="26"/>
      <c r="BI70" s="32"/>
    </row>
    <row r="71" spans="1:61" x14ac:dyDescent="0.4">
      <c r="A71" s="50"/>
      <c r="B71" s="4"/>
      <c r="C71" s="4"/>
      <c r="D71" s="4"/>
      <c r="E71" s="4"/>
      <c r="F71" s="4"/>
      <c r="H71" s="16"/>
      <c r="I71" s="14"/>
      <c r="L71" s="16"/>
      <c r="M71" s="14"/>
      <c r="AZ71" s="32"/>
      <c r="BB71" s="26"/>
      <c r="BI71" s="32"/>
    </row>
    <row r="72" spans="1:61" ht="18.5" x14ac:dyDescent="0.45">
      <c r="A72" s="92" t="s">
        <v>4458</v>
      </c>
      <c r="AZ72" s="32"/>
      <c r="BB72" s="26"/>
      <c r="BI72" s="32"/>
    </row>
    <row r="73" spans="1:61" x14ac:dyDescent="0.4">
      <c r="A73" s="23" t="s">
        <v>4457</v>
      </c>
      <c r="X73" s="32"/>
      <c r="AG73" s="32"/>
      <c r="AI73" s="26"/>
      <c r="AP73" s="32"/>
      <c r="AY73" s="32"/>
      <c r="BA73" s="26"/>
      <c r="BH73" s="32"/>
    </row>
    <row r="74" spans="1:61" x14ac:dyDescent="0.4">
      <c r="A74" s="262" t="s">
        <v>4424</v>
      </c>
      <c r="AJ74" s="26"/>
      <c r="AZ74" s="26"/>
      <c r="BB74" s="26"/>
    </row>
    <row r="75" spans="1:61" x14ac:dyDescent="0.4">
      <c r="A75" s="3" t="s">
        <v>45</v>
      </c>
      <c r="AJ75" s="26"/>
      <c r="AZ75" s="26"/>
      <c r="BB75" s="26"/>
    </row>
    <row r="76" spans="1:61" x14ac:dyDescent="0.4">
      <c r="A76" s="23" t="s">
        <v>4417</v>
      </c>
      <c r="AJ76" s="26"/>
      <c r="AZ76" s="26"/>
      <c r="BB76" s="26"/>
    </row>
    <row r="77" spans="1:61" ht="80" x14ac:dyDescent="0.4">
      <c r="A77" s="322" t="s">
        <v>32</v>
      </c>
      <c r="B77" s="268" t="s">
        <v>4456</v>
      </c>
      <c r="C77" s="268" t="s">
        <v>46</v>
      </c>
      <c r="AJ77" s="26"/>
      <c r="AZ77" s="32"/>
      <c r="BB77" s="26"/>
      <c r="BI77" s="32"/>
    </row>
    <row r="78" spans="1:61" x14ac:dyDescent="0.4">
      <c r="A78" s="406" t="s">
        <v>33</v>
      </c>
      <c r="B78" s="27">
        <f>'State and Province Summary'!B27+'State and Province Summary'!C27</f>
        <v>16933421316.186085</v>
      </c>
      <c r="C78" s="25">
        <f>G50*'State and Province Summary'!G27</f>
        <v>0</v>
      </c>
      <c r="AJ78" s="26"/>
      <c r="AZ78" s="32"/>
      <c r="BB78" s="26"/>
      <c r="BI78" s="32"/>
    </row>
    <row r="79" spans="1:61" x14ac:dyDescent="0.4">
      <c r="A79" s="406" t="s">
        <v>34</v>
      </c>
      <c r="B79" s="27">
        <f>(('State and Province Summary'!B28+'State and Province Summary'!C28)*E$69)</f>
        <v>6175124451.5921679</v>
      </c>
      <c r="C79" s="28">
        <f>G51*'State and Province Summary'!G28</f>
        <v>0</v>
      </c>
      <c r="AJ79" s="26"/>
      <c r="AZ79" s="32"/>
      <c r="BB79" s="26"/>
      <c r="BI79" s="32"/>
    </row>
    <row r="80" spans="1:61" x14ac:dyDescent="0.4">
      <c r="A80" s="406" t="s">
        <v>35</v>
      </c>
      <c r="B80" s="27">
        <f>'State and Province Summary'!B29+'State and Province Summary'!C29</f>
        <v>5579532982.2657118</v>
      </c>
      <c r="C80" s="28">
        <f>G52*'State and Province Summary'!G29</f>
        <v>0</v>
      </c>
      <c r="AJ80" s="26"/>
      <c r="AZ80" s="32"/>
      <c r="BB80" s="26"/>
      <c r="BI80" s="32"/>
    </row>
    <row r="81" spans="1:61" x14ac:dyDescent="0.4">
      <c r="A81" s="406" t="s">
        <v>36</v>
      </c>
      <c r="B81" s="27">
        <f>'State and Province Summary'!B31+'State and Province Summary'!C31</f>
        <v>21266002.906181283</v>
      </c>
      <c r="C81" s="28">
        <f>G53*'State and Province Summary'!G31</f>
        <v>0</v>
      </c>
      <c r="AJ81" s="26"/>
      <c r="AZ81" s="32"/>
      <c r="BB81" s="26"/>
      <c r="BI81" s="32"/>
    </row>
    <row r="82" spans="1:61" x14ac:dyDescent="0.4">
      <c r="A82" s="406" t="s">
        <v>37</v>
      </c>
      <c r="B82" s="27">
        <f>'State and Province Summary'!B26+'State and Province Summary'!C26</f>
        <v>22516364568.929089</v>
      </c>
      <c r="C82" s="28">
        <f>G54*'State and Province Summary'!G26</f>
        <v>14206365272.441236</v>
      </c>
      <c r="AJ82" s="26"/>
      <c r="AZ82" s="32"/>
      <c r="BB82" s="26"/>
      <c r="BI82" s="32"/>
    </row>
    <row r="83" spans="1:61" x14ac:dyDescent="0.4">
      <c r="A83" s="281" t="s">
        <v>38</v>
      </c>
      <c r="B83" s="27">
        <f>'State and Province Summary'!B30+'State and Province Summary'!C30</f>
        <v>7858824957.2319298</v>
      </c>
      <c r="C83" s="28">
        <f>G55*'State and Province Summary'!G30</f>
        <v>2409867232.8134599</v>
      </c>
      <c r="AJ83" s="26"/>
      <c r="AZ83" s="32"/>
      <c r="BB83" s="26"/>
      <c r="BI83" s="32"/>
    </row>
    <row r="84" spans="1:61" x14ac:dyDescent="0.4">
      <c r="A84" s="36" t="s">
        <v>39</v>
      </c>
      <c r="B84" s="28">
        <f t="shared" ref="B84:C84" si="6">SUM(B78:B83)</f>
        <v>59084534279.11116</v>
      </c>
      <c r="C84" s="28">
        <f t="shared" si="6"/>
        <v>16616232505.254696</v>
      </c>
      <c r="AJ84" s="26"/>
      <c r="AZ84" s="32"/>
      <c r="BB84" s="26"/>
      <c r="BI84" s="32"/>
    </row>
    <row r="85" spans="1:61" x14ac:dyDescent="0.4">
      <c r="A85" s="627" t="s">
        <v>11</v>
      </c>
      <c r="B85" s="232"/>
      <c r="C85" s="26"/>
      <c r="AJ85" s="26"/>
      <c r="AZ85" s="32"/>
      <c r="BB85" s="26"/>
      <c r="BI85" s="32"/>
    </row>
    <row r="86" spans="1:61" x14ac:dyDescent="0.4">
      <c r="A86" s="4"/>
      <c r="B86" s="232"/>
      <c r="C86" s="26"/>
      <c r="AJ86" s="26"/>
      <c r="AZ86" s="32"/>
      <c r="BB86" s="26"/>
      <c r="BI86" s="32"/>
    </row>
    <row r="87" spans="1:61" x14ac:dyDescent="0.4">
      <c r="A87" s="23" t="s">
        <v>4416</v>
      </c>
      <c r="B87" s="232"/>
      <c r="C87" s="26"/>
      <c r="AJ87" s="26"/>
      <c r="AZ87" s="32"/>
      <c r="BB87" s="26"/>
      <c r="BI87" s="32"/>
    </row>
    <row r="88" spans="1:61" ht="80" x14ac:dyDescent="0.4">
      <c r="A88" s="322" t="s">
        <v>32</v>
      </c>
      <c r="B88" s="268" t="s">
        <v>4434</v>
      </c>
      <c r="C88" s="268" t="s">
        <v>47</v>
      </c>
      <c r="AJ88" s="26"/>
      <c r="AZ88" s="32"/>
      <c r="BB88" s="26"/>
      <c r="BI88" s="32"/>
    </row>
    <row r="89" spans="1:61" x14ac:dyDescent="0.4">
      <c r="A89" s="406" t="s">
        <v>33</v>
      </c>
      <c r="B89" s="27">
        <f>'State and Province Summary'!B40+'State and Province Summary'!C40</f>
        <v>2551351490.4928527</v>
      </c>
      <c r="C89" s="25">
        <f>G50*'State and Province Summary'!G40</f>
        <v>0</v>
      </c>
      <c r="AJ89" s="26"/>
      <c r="AZ89" s="32"/>
      <c r="BB89" s="26"/>
      <c r="BI89" s="32"/>
    </row>
    <row r="90" spans="1:61" x14ac:dyDescent="0.4">
      <c r="A90" s="4" t="s">
        <v>34</v>
      </c>
      <c r="B90" s="27">
        <f>(('State and Province Summary'!B41+'State and Province Summary'!C41)*E$69)</f>
        <v>1457786335.6508386</v>
      </c>
      <c r="C90" s="28">
        <f>G51*'State and Province Summary'!G41</f>
        <v>0</v>
      </c>
      <c r="AJ90" s="26"/>
      <c r="AZ90" s="32"/>
      <c r="BB90" s="26"/>
      <c r="BI90" s="32"/>
    </row>
    <row r="91" spans="1:61" x14ac:dyDescent="0.4">
      <c r="A91" s="406" t="s">
        <v>35</v>
      </c>
      <c r="B91" s="27">
        <f>'State and Province Summary'!B42+'State and Province Summary'!C42</f>
        <v>917863867.62454844</v>
      </c>
      <c r="C91" s="28">
        <f>G52*'State and Province Summary'!G42</f>
        <v>0</v>
      </c>
      <c r="AJ91" s="26"/>
      <c r="AZ91" s="32"/>
      <c r="BB91" s="26"/>
      <c r="BI91" s="32"/>
    </row>
    <row r="92" spans="1:61" x14ac:dyDescent="0.4">
      <c r="A92" s="406" t="s">
        <v>36</v>
      </c>
      <c r="B92" s="27">
        <f>'State and Province Summary'!B44+'State and Province Summary'!C44</f>
        <v>231816080.79087734</v>
      </c>
      <c r="C92" s="28">
        <f>G53*'State and Province Summary'!G44</f>
        <v>0</v>
      </c>
      <c r="AJ92" s="26"/>
      <c r="AZ92" s="32"/>
      <c r="BB92" s="26"/>
      <c r="BI92" s="32"/>
    </row>
    <row r="93" spans="1:61" x14ac:dyDescent="0.4">
      <c r="A93" s="406" t="s">
        <v>37</v>
      </c>
      <c r="B93" s="27">
        <f>'State and Province Summary'!B39+'State and Province Summary'!C39</f>
        <v>4660589286.5965462</v>
      </c>
      <c r="C93" s="28">
        <f>G54*'State and Province Summary'!G39</f>
        <v>120723184.88747226</v>
      </c>
      <c r="AJ93" s="26"/>
      <c r="AZ93" s="32"/>
      <c r="BB93" s="26"/>
      <c r="BI93" s="32"/>
    </row>
    <row r="94" spans="1:61" x14ac:dyDescent="0.4">
      <c r="A94" s="281" t="s">
        <v>38</v>
      </c>
      <c r="B94" s="27">
        <f>'State and Province Summary'!B43+'State and Province Summary'!C43</f>
        <v>828245702.81718612</v>
      </c>
      <c r="C94" s="28">
        <f>G55*'State and Province Summary'!G43</f>
        <v>38421.294706765431</v>
      </c>
      <c r="AJ94" s="26"/>
      <c r="AZ94" s="32"/>
      <c r="BB94" s="26"/>
      <c r="BI94" s="32"/>
    </row>
    <row r="95" spans="1:61" x14ac:dyDescent="0.4">
      <c r="A95" s="36" t="s">
        <v>39</v>
      </c>
      <c r="B95" s="28">
        <f t="shared" ref="B95:C95" si="7">SUM(B89:B94)</f>
        <v>10647652763.972849</v>
      </c>
      <c r="C95" s="28">
        <f t="shared" si="7"/>
        <v>120761606.18217902</v>
      </c>
      <c r="AJ95" s="26"/>
      <c r="AZ95" s="32"/>
      <c r="BB95" s="26"/>
      <c r="BI95" s="32"/>
    </row>
    <row r="96" spans="1:61" x14ac:dyDescent="0.4">
      <c r="A96" s="627" t="s">
        <v>11</v>
      </c>
      <c r="B96" s="609"/>
      <c r="C96" s="46"/>
      <c r="D96" s="46"/>
      <c r="E96" s="46"/>
      <c r="F96" s="46"/>
      <c r="H96" s="610"/>
      <c r="I96" s="363"/>
      <c r="J96" s="363"/>
      <c r="K96" s="363"/>
      <c r="L96" s="363"/>
      <c r="M96" s="611"/>
      <c r="N96" s="611"/>
      <c r="O96" s="611"/>
      <c r="AJ96" s="26"/>
      <c r="AZ96" s="32"/>
      <c r="BB96" s="26"/>
      <c r="BI96" s="32"/>
    </row>
    <row r="98" spans="1:18" x14ac:dyDescent="0.4">
      <c r="A98" s="23" t="s">
        <v>4425</v>
      </c>
      <c r="D98" s="349"/>
      <c r="E98" s="10"/>
      <c r="F98" s="46"/>
      <c r="H98" s="22"/>
      <c r="I98" s="46"/>
      <c r="J98" s="46"/>
      <c r="L98" s="22"/>
      <c r="M98" s="612"/>
      <c r="N98" s="612"/>
      <c r="O98" s="612"/>
      <c r="P98" s="612"/>
      <c r="Q98" s="612"/>
      <c r="R98" s="612"/>
    </row>
    <row r="99" spans="1:18" x14ac:dyDescent="0.4">
      <c r="A99" s="262" t="s">
        <v>4429</v>
      </c>
      <c r="J99" s="46"/>
      <c r="L99" s="22"/>
      <c r="M99" s="612"/>
      <c r="N99" s="612"/>
      <c r="P99" s="20"/>
    </row>
    <row r="100" spans="1:18" x14ac:dyDescent="0.4">
      <c r="A100" s="262" t="s">
        <v>4426</v>
      </c>
      <c r="J100" s="612"/>
      <c r="O100" s="26"/>
    </row>
    <row r="101" spans="1:18" x14ac:dyDescent="0.4">
      <c r="A101" s="262" t="s">
        <v>4550</v>
      </c>
      <c r="J101" s="612"/>
      <c r="M101" s="26"/>
      <c r="O101" s="35"/>
    </row>
    <row r="102" spans="1:18" ht="80" x14ac:dyDescent="0.4">
      <c r="A102" s="338" t="s">
        <v>25</v>
      </c>
      <c r="B102" s="633" t="s">
        <v>4421</v>
      </c>
      <c r="C102" s="633" t="s">
        <v>4422</v>
      </c>
      <c r="D102" s="633" t="s">
        <v>4423</v>
      </c>
      <c r="E102" s="633" t="s">
        <v>4445</v>
      </c>
      <c r="F102" s="268" t="s">
        <v>4427</v>
      </c>
      <c r="G102" s="323" t="s">
        <v>4428</v>
      </c>
      <c r="H102" s="268" t="s">
        <v>4430</v>
      </c>
    </row>
    <row r="103" spans="1:18" x14ac:dyDescent="0.4">
      <c r="A103" s="406" t="s">
        <v>49</v>
      </c>
      <c r="B103" s="28">
        <f>IF((B61&gt;0),B61*(('State and Province Summary'!B32+'State and Province Summary'!C32)/('State and Province Summary'!B87+'State and Province Summary'!C90)),0)</f>
        <v>0</v>
      </c>
      <c r="C103" s="28">
        <f>IF((B62&gt;0),B62*(('State and Province Summary'!B33+'State and Province Summary'!C33)/('State and Province Summary'!B91+'State and Province Summary'!C94)),0)</f>
        <v>0</v>
      </c>
      <c r="D103" s="28">
        <f>IF((B63&gt;0),B63*(('State and Province Summary'!B34+'State and Province Summary'!C34)/('State and Province Summary'!B95+'State and Province Summary'!C98)),0)</f>
        <v>3697937.3447659588</v>
      </c>
      <c r="E103" s="28">
        <f>B103+C103+D103</f>
        <v>3697937.3447659588</v>
      </c>
      <c r="F103" s="28">
        <f>B84+E103</f>
        <v>59088232216.455925</v>
      </c>
      <c r="G103" s="421">
        <f>F103/E56</f>
        <v>461.19016829689633</v>
      </c>
      <c r="H103" s="28">
        <f>G103*E50</f>
        <v>27224690811.664539</v>
      </c>
      <c r="J103" s="26"/>
      <c r="P103" s="20"/>
    </row>
    <row r="104" spans="1:18" x14ac:dyDescent="0.4">
      <c r="A104" s="406" t="s">
        <v>50</v>
      </c>
      <c r="B104" s="28">
        <f>IF((B61&gt;0),B61*(('State and Province Summary'!B45+'State and Province Summary'!C45)/('State and Province Summary'!B87+'State and Province Summary'!C90)),0)</f>
        <v>0</v>
      </c>
      <c r="C104" s="28">
        <f>IF((B62&gt;0),B62*(('State and Province Summary'!B46+'State and Province Summary'!C46)/('State and Province Summary'!B91+'State and Province Summary'!C94)),0)</f>
        <v>0</v>
      </c>
      <c r="D104" s="28">
        <f>IF((B63&gt;0),B63*(('State and Province Summary'!B47+'State and Province Summary'!C47)/('State and Province Summary'!B95+'State and Province Summary'!C98)),0)</f>
        <v>10816964.791978907</v>
      </c>
      <c r="E104" s="28">
        <f>B104+C104+D104</f>
        <v>10816964.791978907</v>
      </c>
      <c r="F104" s="28">
        <f>B95+E104</f>
        <v>10658469728.764828</v>
      </c>
      <c r="G104" s="421">
        <f>F104/E56</f>
        <v>83.190531576394804</v>
      </c>
      <c r="H104" s="28">
        <f>G104*E50</f>
        <v>4910851653.6444254</v>
      </c>
      <c r="J104" s="26"/>
      <c r="P104" s="20"/>
    </row>
    <row r="105" spans="1:18" x14ac:dyDescent="0.4">
      <c r="A105" s="627" t="s">
        <v>11</v>
      </c>
      <c r="P105" s="20"/>
    </row>
    <row r="106" spans="1:18" x14ac:dyDescent="0.4">
      <c r="F106" s="72"/>
      <c r="G106" s="20"/>
    </row>
    <row r="107" spans="1:18" x14ac:dyDescent="0.4">
      <c r="A107" s="155" t="s">
        <v>150</v>
      </c>
    </row>
  </sheetData>
  <phoneticPr fontId="11" type="noConversion"/>
  <hyperlinks>
    <hyperlink ref="A2" location="'Emission Factors'!A14" display="Retail Seller and RSEF Summary Tables" xr:uid="{47669A26-EFA6-450D-8D34-7E7EC84FE5B7}"/>
    <hyperlink ref="A5" location="'Emission Factors'!A39" display="Massachusetts-Based Emission Factor Table" xr:uid="{D605EECA-4CE8-4A08-8456-39C1501B4123}"/>
    <hyperlink ref="A6" location="'Emission Factors'!A47" display="Electricity Generation and Load (MWh) Tables" xr:uid="{549989CF-5CEA-4154-9C4B-B6ED626F37B3}"/>
    <hyperlink ref="A10" location="'Emission Factors'!A72" display="Emissions Tables" xr:uid="{638CF6CA-9FBD-4D58-B9CC-7AB47CD1427B}"/>
  </hyperlinks>
  <pageMargins left="0" right="0" top="1" bottom="1" header="0.5" footer="0.5"/>
  <pageSetup scale="35" fitToWidth="4" fitToHeight="0" orientation="landscape" r:id="rId1"/>
  <headerFooter alignWithMargins="0">
    <oddFooter>&amp;R&amp;A Page &amp;P of &amp;N</oddFooter>
  </headerFooter>
  <tableParts count="9">
    <tablePart r:id="rId2"/>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09"/>
  <sheetViews>
    <sheetView zoomScale="110" zoomScaleNormal="110" workbookViewId="0"/>
  </sheetViews>
  <sheetFormatPr defaultColWidth="9.1796875" defaultRowHeight="16" x14ac:dyDescent="0.4"/>
  <cols>
    <col min="1" max="1" width="44.81640625" style="3" customWidth="1"/>
    <col min="2" max="2" width="38.1796875" style="3" customWidth="1"/>
    <col min="3" max="3" width="44.90625" style="3" customWidth="1"/>
    <col min="4" max="4" width="44.1796875" style="3" customWidth="1"/>
    <col min="5" max="5" width="33.7265625" style="3" customWidth="1"/>
    <col min="6" max="6" width="46" style="3" customWidth="1"/>
    <col min="7" max="7" width="63.7265625" style="3" customWidth="1"/>
    <col min="8" max="8" width="70.1796875" style="3" customWidth="1"/>
    <col min="9" max="9" width="15.7265625" style="3" bestFit="1" customWidth="1"/>
    <col min="10" max="16384" width="9.1796875" style="3"/>
  </cols>
  <sheetData>
    <row r="1" spans="1:10" ht="20.25" customHeight="1" x14ac:dyDescent="0.5">
      <c r="A1" s="49" t="s">
        <v>4483</v>
      </c>
    </row>
    <row r="2" spans="1:10" ht="20.25" customHeight="1" x14ac:dyDescent="0.4">
      <c r="A2" s="2" t="s">
        <v>4458</v>
      </c>
    </row>
    <row r="3" spans="1:10" x14ac:dyDescent="0.4">
      <c r="A3" s="3" t="s">
        <v>4472</v>
      </c>
    </row>
    <row r="4" spans="1:10" x14ac:dyDescent="0.4">
      <c r="A4" s="3" t="s">
        <v>4473</v>
      </c>
    </row>
    <row r="5" spans="1:10" x14ac:dyDescent="0.4">
      <c r="A5" s="2" t="s">
        <v>4477</v>
      </c>
    </row>
    <row r="6" spans="1:10" x14ac:dyDescent="0.4">
      <c r="A6" s="3" t="s">
        <v>4471</v>
      </c>
      <c r="G6" s="20"/>
    </row>
    <row r="7" spans="1:10" x14ac:dyDescent="0.4">
      <c r="G7" s="20"/>
    </row>
    <row r="8" spans="1:10" x14ac:dyDescent="0.4">
      <c r="A8" s="4" t="s">
        <v>4474</v>
      </c>
    </row>
    <row r="9" spans="1:10" x14ac:dyDescent="0.4">
      <c r="A9" s="3" t="s">
        <v>4460</v>
      </c>
    </row>
    <row r="10" spans="1:10" x14ac:dyDescent="0.4">
      <c r="A10" s="3" t="s">
        <v>4475</v>
      </c>
    </row>
    <row r="11" spans="1:10" x14ac:dyDescent="0.4">
      <c r="A11" s="3" t="s">
        <v>4461</v>
      </c>
    </row>
    <row r="13" spans="1:10" ht="18.5" x14ac:dyDescent="0.45">
      <c r="A13" s="92" t="s">
        <v>4454</v>
      </c>
    </row>
    <row r="14" spans="1:10" x14ac:dyDescent="0.4">
      <c r="A14" s="4" t="s">
        <v>4540</v>
      </c>
      <c r="F14" s="38"/>
    </row>
    <row r="15" spans="1:10" ht="32.5" thickBot="1" x14ac:dyDescent="0.45">
      <c r="A15" s="40" t="s">
        <v>56</v>
      </c>
      <c r="B15" s="19" t="s">
        <v>57</v>
      </c>
      <c r="C15" s="19" t="s">
        <v>58</v>
      </c>
      <c r="D15" s="19" t="s">
        <v>59</v>
      </c>
      <c r="E15" s="280" t="s">
        <v>60</v>
      </c>
      <c r="F15" s="286" t="s">
        <v>4462</v>
      </c>
      <c r="G15" s="280" t="s">
        <v>61</v>
      </c>
    </row>
    <row r="16" spans="1:10" x14ac:dyDescent="0.4">
      <c r="A16" s="288" t="s">
        <v>62</v>
      </c>
      <c r="B16" s="289" t="s">
        <v>63</v>
      </c>
      <c r="C16" s="289" t="s">
        <v>64</v>
      </c>
      <c r="D16" s="289" t="s">
        <v>65</v>
      </c>
      <c r="E16" s="290" t="s">
        <v>65</v>
      </c>
      <c r="F16" s="291" t="s">
        <v>57</v>
      </c>
      <c r="G16" s="292" t="s">
        <v>66</v>
      </c>
      <c r="I16" s="8"/>
      <c r="J16" s="8"/>
    </row>
    <row r="17" spans="1:12" ht="32" x14ac:dyDescent="0.4">
      <c r="A17" s="293" t="s">
        <v>67</v>
      </c>
      <c r="B17" s="39" t="s">
        <v>4557</v>
      </c>
      <c r="C17" s="39" t="s">
        <v>4466</v>
      </c>
      <c r="D17" s="39" t="s">
        <v>4467</v>
      </c>
      <c r="E17" s="41" t="s">
        <v>4468</v>
      </c>
      <c r="F17" s="287" t="s">
        <v>4465</v>
      </c>
      <c r="G17" s="294" t="s">
        <v>4469</v>
      </c>
    </row>
    <row r="18" spans="1:12" ht="16.5" thickBot="1" x14ac:dyDescent="0.45">
      <c r="A18" s="295" t="s">
        <v>68</v>
      </c>
      <c r="B18" s="296" t="s">
        <v>5</v>
      </c>
      <c r="C18" s="297" t="s">
        <v>8</v>
      </c>
      <c r="D18" s="297" t="s">
        <v>8</v>
      </c>
      <c r="E18" s="298" t="s">
        <v>8</v>
      </c>
      <c r="F18" s="303" t="s">
        <v>3</v>
      </c>
      <c r="G18" s="305" t="s">
        <v>3</v>
      </c>
    </row>
    <row r="19" spans="1:12" ht="32" x14ac:dyDescent="0.4">
      <c r="A19" s="288" t="s">
        <v>69</v>
      </c>
      <c r="B19" s="289" t="s">
        <v>70</v>
      </c>
      <c r="C19" s="289" t="s">
        <v>71</v>
      </c>
      <c r="D19" s="289" t="s">
        <v>4463</v>
      </c>
      <c r="E19" s="290" t="s">
        <v>4463</v>
      </c>
      <c r="F19" s="291" t="s">
        <v>72</v>
      </c>
      <c r="G19" s="299" t="s">
        <v>73</v>
      </c>
    </row>
    <row r="20" spans="1:12" ht="64" x14ac:dyDescent="0.4">
      <c r="A20" s="301" t="s">
        <v>4484</v>
      </c>
      <c r="B20" s="39" t="s">
        <v>4560</v>
      </c>
      <c r="C20" s="39" t="s">
        <v>74</v>
      </c>
      <c r="D20" s="39" t="s">
        <v>75</v>
      </c>
      <c r="E20" s="41" t="s">
        <v>76</v>
      </c>
      <c r="F20" s="287" t="s">
        <v>4561</v>
      </c>
      <c r="G20" s="294" t="s">
        <v>4464</v>
      </c>
    </row>
    <row r="21" spans="1:12" ht="32.5" thickBot="1" x14ac:dyDescent="0.45">
      <c r="A21" s="295" t="s">
        <v>77</v>
      </c>
      <c r="B21" s="304" t="s">
        <v>4556</v>
      </c>
      <c r="C21" s="303" t="s">
        <v>2</v>
      </c>
      <c r="D21" s="304" t="s">
        <v>3</v>
      </c>
      <c r="E21" s="304" t="s">
        <v>3</v>
      </c>
      <c r="F21" s="300" t="s">
        <v>8</v>
      </c>
      <c r="G21" s="634" t="s">
        <v>2</v>
      </c>
    </row>
    <row r="22" spans="1:12" x14ac:dyDescent="0.4">
      <c r="A22" s="422" t="s">
        <v>11</v>
      </c>
      <c r="B22" s="39"/>
      <c r="C22" s="39"/>
      <c r="D22" s="39"/>
      <c r="E22" s="39"/>
      <c r="F22" s="39"/>
      <c r="G22" s="39"/>
    </row>
    <row r="23" spans="1:12" x14ac:dyDescent="0.4">
      <c r="B23" s="209"/>
      <c r="C23" s="39"/>
      <c r="D23" s="39"/>
      <c r="E23" s="39"/>
      <c r="F23" s="39"/>
      <c r="G23" s="39"/>
      <c r="H23" s="39"/>
    </row>
    <row r="24" spans="1:12" x14ac:dyDescent="0.4">
      <c r="A24" s="43" t="s">
        <v>4541</v>
      </c>
      <c r="B24" s="39"/>
      <c r="C24" s="39"/>
      <c r="D24" s="39"/>
      <c r="E24" s="39"/>
      <c r="F24" s="39"/>
      <c r="G24" s="39"/>
    </row>
    <row r="25" spans="1:12" ht="63.65" customHeight="1" x14ac:dyDescent="0.4">
      <c r="A25" s="367" t="s">
        <v>51</v>
      </c>
      <c r="B25" s="284" t="s">
        <v>78</v>
      </c>
      <c r="C25" s="284" t="s">
        <v>79</v>
      </c>
      <c r="D25" s="284" t="s">
        <v>80</v>
      </c>
      <c r="E25" s="284" t="s">
        <v>81</v>
      </c>
      <c r="F25" s="284" t="s">
        <v>82</v>
      </c>
      <c r="G25" s="284" t="s">
        <v>83</v>
      </c>
    </row>
    <row r="26" spans="1:12" x14ac:dyDescent="0.4">
      <c r="A26" s="415" t="s">
        <v>37</v>
      </c>
      <c r="B26" s="423">
        <f>'EIA and EPA CO2e'!C9</f>
        <v>22453359135.266613</v>
      </c>
      <c r="C26" s="423">
        <f>'GIS CO2e'!C25</f>
        <v>63005433.662473753</v>
      </c>
      <c r="D26" s="423">
        <f>'GIS CO2e'!C320</f>
        <v>1683268822.2621293</v>
      </c>
      <c r="E26" s="423">
        <f>'GIS CO2e'!C198</f>
        <v>28776357.177111909</v>
      </c>
      <c r="F26" s="645">
        <f>B26/B63</f>
        <v>514.4073838738758</v>
      </c>
      <c r="G26" s="424">
        <f>IF(D26+E26&gt;B26,0,(B26-D26-E26)/(B63-D64-E65))</f>
        <v>835.27112761373678</v>
      </c>
    </row>
    <row r="27" spans="1:12" x14ac:dyDescent="0.4">
      <c r="A27" s="415" t="s">
        <v>33</v>
      </c>
      <c r="B27" s="423">
        <f>'EIA and EPA CO2e'!B9</f>
        <v>17197949376.245518</v>
      </c>
      <c r="C27" s="423">
        <f>'GIS CO2e'!B25</f>
        <v>-264528060.05943277</v>
      </c>
      <c r="D27" s="423">
        <f>'GIS CO2e'!B320</f>
        <v>3294247634.762392</v>
      </c>
      <c r="E27" s="423">
        <f>'GIS CO2e'!B198</f>
        <v>276209419.77027482</v>
      </c>
      <c r="F27" s="645">
        <f>B27/B67</f>
        <v>734.54784581011006</v>
      </c>
      <c r="G27" s="424">
        <f>IF(D27+E27&gt;B27,0,(B27-D27-E27)/(B67-D68-E69))</f>
        <v>721.54001884370223</v>
      </c>
      <c r="L27" s="8"/>
    </row>
    <row r="28" spans="1:12" x14ac:dyDescent="0.4">
      <c r="A28" s="415" t="s">
        <v>34</v>
      </c>
      <c r="B28" s="423">
        <f>'EIA and EPA CO2e'!D9</f>
        <v>5581700093.2785225</v>
      </c>
      <c r="C28" s="423">
        <f>'GIS CO2e'!D25</f>
        <v>725289358.69670308</v>
      </c>
      <c r="D28" s="423">
        <f>'GIS CO2e'!D320</f>
        <v>204800453.76085722</v>
      </c>
      <c r="E28" s="423">
        <f>'GIS CO2e'!D198</f>
        <v>16698978.204675283</v>
      </c>
      <c r="F28" s="645">
        <f>B28/B71</f>
        <v>421.70824249846498</v>
      </c>
      <c r="G28" s="424">
        <f>IF(D28+E28&gt;B28,0,(B28-D28-E28)/(B71-D72-E73))</f>
        <v>769.01882062487493</v>
      </c>
      <c r="H28" s="279"/>
      <c r="L28" s="8"/>
    </row>
    <row r="29" spans="1:12" x14ac:dyDescent="0.4">
      <c r="A29" s="415" t="s">
        <v>35</v>
      </c>
      <c r="B29" s="423">
        <f>'EIA and EPA CO2e'!E9</f>
        <v>5802272985.583704</v>
      </c>
      <c r="C29" s="423">
        <f>'GIS CO2e'!E25</f>
        <v>-222740003.31799197</v>
      </c>
      <c r="D29" s="423">
        <f>'GIS CO2e'!E320</f>
        <v>11939337.860002883</v>
      </c>
      <c r="E29" s="423">
        <f>'GIS CO2e'!E198</f>
        <v>223524166.37947938</v>
      </c>
      <c r="F29" s="645">
        <f>B29/B75</f>
        <v>333.87072657120223</v>
      </c>
      <c r="G29" s="424">
        <f>IF(D29+E29&gt;B29,0,(B29-D29-E29)/(B75-D76-E77))</f>
        <v>1060.5442058185654</v>
      </c>
      <c r="H29" s="279"/>
      <c r="L29" s="8"/>
    </row>
    <row r="30" spans="1:12" x14ac:dyDescent="0.4">
      <c r="A30" s="415" t="s">
        <v>38</v>
      </c>
      <c r="B30" s="423">
        <f>'EIA and EPA CO2e'!G9</f>
        <v>7848960370.7056999</v>
      </c>
      <c r="C30" s="423">
        <f>'GIS CO2e'!G25</f>
        <v>9864586.526229756</v>
      </c>
      <c r="D30" s="423">
        <f>'GIS CO2e'!F320</f>
        <v>1210086.8215037913</v>
      </c>
      <c r="E30" s="423">
        <f>'GIS CO2e'!F198</f>
        <v>9068.5692471534367</v>
      </c>
      <c r="F30" s="645">
        <f>B30/B79</f>
        <v>802.96055766488928</v>
      </c>
      <c r="G30" s="424">
        <f>IF(D30+E30&gt;B30,0,(B30-D30-E30)/(B79-D80-E81))</f>
        <v>877.09876033388036</v>
      </c>
      <c r="H30" s="279"/>
    </row>
    <row r="31" spans="1:12" x14ac:dyDescent="0.4">
      <c r="A31" s="415" t="s">
        <v>36</v>
      </c>
      <c r="B31" s="423">
        <f>'EIA and EPA CO2e'!H9</f>
        <v>27478073.108064614</v>
      </c>
      <c r="C31" s="423">
        <f>'GIS CO2e'!H25</f>
        <v>-6212070.2018833291</v>
      </c>
      <c r="D31" s="423">
        <f>'GIS CO2e'!G320</f>
        <v>17885.601493825972</v>
      </c>
      <c r="E31" s="423">
        <f>'GIS CO2e'!G198</f>
        <v>12450488.351789137</v>
      </c>
      <c r="F31" s="645">
        <f>B31/B83</f>
        <v>12.164410533792024</v>
      </c>
      <c r="G31" s="424">
        <f>IF(D31+E31&gt;B31,0,(B31-D31-E31)/(B83-D84-E85))</f>
        <v>32.162195516083223</v>
      </c>
    </row>
    <row r="32" spans="1:12" x14ac:dyDescent="0.4">
      <c r="A32" s="415" t="s">
        <v>52</v>
      </c>
      <c r="B32" s="423">
        <f>'EIA and EPA CO2e'!F9</f>
        <v>63325810007.737244</v>
      </c>
      <c r="C32" s="423">
        <f>'GIS CO2e'!F25</f>
        <v>-3368423.8109755293</v>
      </c>
      <c r="D32" s="423"/>
      <c r="E32" s="423"/>
      <c r="F32" s="424">
        <f>B32/B87</f>
        <v>490.83880304153791</v>
      </c>
      <c r="G32" s="424"/>
      <c r="H32" s="279"/>
    </row>
    <row r="33" spans="1:12" x14ac:dyDescent="0.4">
      <c r="A33" s="415" t="s">
        <v>53</v>
      </c>
      <c r="B33" s="423">
        <f>'EIA and EPA CO2e'!J9</f>
        <v>8881584574.7617817</v>
      </c>
      <c r="C33" s="423">
        <f>'GIS CO2e'!J25</f>
        <v>0</v>
      </c>
      <c r="D33" s="423"/>
      <c r="E33" s="423"/>
      <c r="F33" s="424">
        <f>B33/B91</f>
        <v>797.50438008255765</v>
      </c>
      <c r="G33" s="424"/>
    </row>
    <row r="34" spans="1:12" x14ac:dyDescent="0.4">
      <c r="A34" s="415" t="s">
        <v>54</v>
      </c>
      <c r="B34" s="423">
        <f>'EIA and EPA CO2e'!I9</f>
        <v>770048225.69456005</v>
      </c>
      <c r="C34" s="423">
        <f>'GIS CO2e'!I25</f>
        <v>-10755895.700408772</v>
      </c>
      <c r="D34" s="423"/>
      <c r="E34" s="423"/>
      <c r="F34" s="424">
        <f>B34/B95</f>
        <v>4.6209580622504651</v>
      </c>
      <c r="G34" s="424"/>
    </row>
    <row r="35" spans="1:12" x14ac:dyDescent="0.4">
      <c r="A35" s="3" t="s">
        <v>11</v>
      </c>
      <c r="B35" s="42"/>
      <c r="C35" s="42"/>
      <c r="D35" s="42"/>
      <c r="E35" s="42"/>
      <c r="F35" s="646"/>
      <c r="G35" s="279"/>
      <c r="H35" s="283"/>
    </row>
    <row r="36" spans="1:12" x14ac:dyDescent="0.4">
      <c r="A36" s="37"/>
    </row>
    <row r="37" spans="1:12" x14ac:dyDescent="0.4">
      <c r="A37" s="43" t="s">
        <v>4542</v>
      </c>
      <c r="B37" s="39"/>
      <c r="C37" s="39"/>
      <c r="D37" s="39"/>
      <c r="E37" s="39"/>
      <c r="F37" s="39"/>
      <c r="G37" s="39"/>
    </row>
    <row r="38" spans="1:12" ht="64" customHeight="1" x14ac:dyDescent="0.4">
      <c r="A38" s="643" t="s">
        <v>51</v>
      </c>
      <c r="B38" s="481" t="s">
        <v>78</v>
      </c>
      <c r="C38" s="481" t="s">
        <v>79</v>
      </c>
      <c r="D38" s="481" t="s">
        <v>80</v>
      </c>
      <c r="E38" s="481" t="s">
        <v>81</v>
      </c>
      <c r="F38" s="481" t="s">
        <v>84</v>
      </c>
      <c r="G38" s="481" t="s">
        <v>85</v>
      </c>
    </row>
    <row r="39" spans="1:12" x14ac:dyDescent="0.4">
      <c r="A39" s="426" t="s">
        <v>37</v>
      </c>
      <c r="B39" s="423">
        <f>'EIA and EPA CO2e'!C16</f>
        <v>1542656356.9969101</v>
      </c>
      <c r="C39" s="423">
        <f>'GIS CO2e'!C31</f>
        <v>3117932929.5996356</v>
      </c>
      <c r="D39" s="423">
        <f>'GIS CO2e'!C326</f>
        <v>1122384381.1967781</v>
      </c>
      <c r="E39" s="423">
        <f>'GIS CO2e'!C204</f>
        <v>244015950.31584761</v>
      </c>
      <c r="F39" s="645">
        <f>B39/B63</f>
        <v>35.342320765394092</v>
      </c>
      <c r="G39" s="424">
        <f>IF(D39+E39&gt;B39,0,(B39-D39-E39)/(B63-D64-E65))</f>
        <v>7.0979866303798556</v>
      </c>
      <c r="L39" s="43"/>
    </row>
    <row r="40" spans="1:12" x14ac:dyDescent="0.4">
      <c r="A40" s="427" t="s">
        <v>33</v>
      </c>
      <c r="B40" s="423">
        <f>'EIA and EPA CO2e'!B16</f>
        <v>2552781148.1682935</v>
      </c>
      <c r="C40" s="423">
        <f>'GIS CO2e'!B31</f>
        <v>-1429657.6754406095</v>
      </c>
      <c r="D40" s="423">
        <f>'GIS CO2e'!B326</f>
        <v>2139568575.7888746</v>
      </c>
      <c r="E40" s="423">
        <f>'GIS CO2e'!B204</f>
        <v>308177289.46288329</v>
      </c>
      <c r="F40" s="645">
        <f>B40/B67</f>
        <v>109.0327603709368</v>
      </c>
      <c r="G40" s="424">
        <f>IF(D40+E40&gt;B40,0,(B40-D40-E40)/(B67-D68-E69))</f>
        <v>5.5613430722025097</v>
      </c>
      <c r="L40" s="8"/>
    </row>
    <row r="41" spans="1:12" x14ac:dyDescent="0.4">
      <c r="A41" s="426" t="s">
        <v>34</v>
      </c>
      <c r="B41" s="423">
        <f>'EIA and EPA CO2e'!D16</f>
        <v>2210965044.4889917</v>
      </c>
      <c r="C41" s="423">
        <f>'GIS CO2e'!D31</f>
        <v>-722048810.61246634</v>
      </c>
      <c r="D41" s="423">
        <f>'GIS CO2e'!D326</f>
        <v>552039591.05844057</v>
      </c>
      <c r="E41" s="423">
        <f>'GIS CO2e'!D204</f>
        <v>1234715505.4105997</v>
      </c>
      <c r="F41" s="645">
        <f>B41/B71</f>
        <v>167.04268727367972</v>
      </c>
      <c r="G41" s="424">
        <f>IF(D41+E41&gt;B41,0,(B41-D41-E41)/(B71-D72-E73))</f>
        <v>60.860675660551308</v>
      </c>
      <c r="H41" s="279"/>
      <c r="L41" s="8"/>
    </row>
    <row r="42" spans="1:12" x14ac:dyDescent="0.4">
      <c r="A42" s="427" t="s">
        <v>35</v>
      </c>
      <c r="B42" s="423">
        <f>'EIA and EPA CO2e'!E16</f>
        <v>1806795595.090663</v>
      </c>
      <c r="C42" s="423">
        <f>'GIS CO2e'!E31</f>
        <v>-888931727.46611452</v>
      </c>
      <c r="D42" s="423">
        <f>'GIS CO2e'!E326</f>
        <v>875372804.14111125</v>
      </c>
      <c r="E42" s="423">
        <f>'GIS CO2e'!E204</f>
        <v>982108739.05013931</v>
      </c>
      <c r="F42" s="645">
        <f>B42/B75</f>
        <v>103.96549069603664</v>
      </c>
      <c r="G42" s="424">
        <f>IF(D42+E42&gt;B42,0,(B42-D42-E42)/(B75-D76-E77))</f>
        <v>0</v>
      </c>
      <c r="H42" s="279"/>
      <c r="L42" s="8"/>
    </row>
    <row r="43" spans="1:12" x14ac:dyDescent="0.4">
      <c r="A43" s="426" t="s">
        <v>38</v>
      </c>
      <c r="B43" s="423">
        <f>'EIA and EPA CO2e'!G16</f>
        <v>237226117.05255169</v>
      </c>
      <c r="C43" s="423">
        <f>'GIS CO2e'!G31</f>
        <v>591019585.76463437</v>
      </c>
      <c r="D43" s="423">
        <f>'GIS CO2e'!F326</f>
        <v>235337345.1695765</v>
      </c>
      <c r="E43" s="423">
        <f>'GIS CO2e'!F204</f>
        <v>1763652.8001018877</v>
      </c>
      <c r="F43" s="645">
        <f>B43/B79</f>
        <v>24.268591793650103</v>
      </c>
      <c r="G43" s="424">
        <f>IF(D43+E43&gt;B43,0,(B43-D43-E43)/(B79-D80-E81))</f>
        <v>1.3983869940579085E-2</v>
      </c>
      <c r="H43" s="279"/>
    </row>
    <row r="44" spans="1:12" x14ac:dyDescent="0.4">
      <c r="A44" s="427" t="s">
        <v>36</v>
      </c>
      <c r="B44" s="423">
        <f>'EIA and EPA CO2e'!H16</f>
        <v>1130593870.4831975</v>
      </c>
      <c r="C44" s="423">
        <f>'GIS CO2e'!H31</f>
        <v>-898777789.69232011</v>
      </c>
      <c r="D44" s="423">
        <f>'GIS CO2e'!G326</f>
        <v>3478386.7549993219</v>
      </c>
      <c r="E44" s="423">
        <f>'GIS CO2e'!G204</f>
        <v>919950242.0085907</v>
      </c>
      <c r="F44" s="645">
        <f>B44/B83</f>
        <v>500.50845754210087</v>
      </c>
      <c r="G44" s="424">
        <f>IF(D44+E44&gt;B44,0,(B44-D44-E44)/(B83-D84-E85))</f>
        <v>443.90556663489497</v>
      </c>
    </row>
    <row r="45" spans="1:12" x14ac:dyDescent="0.4">
      <c r="A45" s="426" t="s">
        <v>52</v>
      </c>
      <c r="B45" s="423">
        <f>'EIA and EPA CO2e'!F16</f>
        <v>1178351235.233037</v>
      </c>
      <c r="C45" s="423">
        <f>'GIS CO2e'!F31</f>
        <v>-655090116.67100847</v>
      </c>
      <c r="D45" s="423"/>
      <c r="E45" s="423"/>
      <c r="F45" s="424">
        <f>B45/B87</f>
        <v>9.1334087916701598</v>
      </c>
      <c r="G45" s="424"/>
    </row>
    <row r="46" spans="1:12" x14ac:dyDescent="0.4">
      <c r="A46" s="427" t="s">
        <v>53</v>
      </c>
      <c r="B46" s="423">
        <f>'EIA and EPA CO2e'!J16</f>
        <v>0</v>
      </c>
      <c r="C46" s="423">
        <f>'GIS CO2e'!J31</f>
        <v>0</v>
      </c>
      <c r="D46" s="423"/>
      <c r="E46" s="423"/>
      <c r="F46" s="424">
        <f>B46/B91</f>
        <v>0</v>
      </c>
      <c r="G46" s="424"/>
      <c r="H46" s="282"/>
    </row>
    <row r="47" spans="1:12" x14ac:dyDescent="0.4">
      <c r="A47" s="426" t="s">
        <v>54</v>
      </c>
      <c r="B47" s="423">
        <f>'EIA and EPA CO2e'!I16</f>
        <v>2613452472.7222738</v>
      </c>
      <c r="C47" s="423">
        <f>'GIS CO2e'!I31</f>
        <v>-392420141.82263339</v>
      </c>
      <c r="D47" s="423"/>
      <c r="E47" s="423"/>
      <c r="F47" s="424">
        <f>B47/B95</f>
        <v>15.682984352365242</v>
      </c>
      <c r="G47" s="424"/>
    </row>
    <row r="48" spans="1:12" x14ac:dyDescent="0.4">
      <c r="A48" s="3" t="s">
        <v>11</v>
      </c>
    </row>
    <row r="49" spans="1:8" x14ac:dyDescent="0.4">
      <c r="A49" s="37"/>
    </row>
    <row r="50" spans="1:8" ht="18.5" x14ac:dyDescent="0.45">
      <c r="A50" s="92" t="s">
        <v>4476</v>
      </c>
    </row>
    <row r="51" spans="1:8" x14ac:dyDescent="0.4">
      <c r="A51" s="4" t="s">
        <v>4478</v>
      </c>
      <c r="F51" s="42"/>
      <c r="G51" s="279"/>
      <c r="H51" s="283"/>
    </row>
    <row r="52" spans="1:8" ht="16.5" thickBot="1" x14ac:dyDescent="0.45">
      <c r="A52" s="40" t="s">
        <v>86</v>
      </c>
      <c r="B52" s="19" t="s">
        <v>87</v>
      </c>
      <c r="C52" s="19" t="s">
        <v>88</v>
      </c>
      <c r="D52" s="19" t="s">
        <v>59</v>
      </c>
      <c r="E52" s="280" t="s">
        <v>60</v>
      </c>
    </row>
    <row r="53" spans="1:8" x14ac:dyDescent="0.4">
      <c r="A53" s="288" t="s">
        <v>89</v>
      </c>
      <c r="B53" s="289" t="s">
        <v>90</v>
      </c>
      <c r="C53" s="289" t="s">
        <v>91</v>
      </c>
      <c r="D53" s="289" t="s">
        <v>92</v>
      </c>
      <c r="E53" s="292" t="s">
        <v>91</v>
      </c>
    </row>
    <row r="54" spans="1:8" ht="48" x14ac:dyDescent="0.4">
      <c r="A54" s="301" t="s">
        <v>93</v>
      </c>
      <c r="B54" s="39" t="s">
        <v>94</v>
      </c>
      <c r="C54" s="39" t="s">
        <v>95</v>
      </c>
      <c r="D54" s="39" t="s">
        <v>96</v>
      </c>
      <c r="E54" s="294" t="s">
        <v>97</v>
      </c>
      <c r="F54" s="44"/>
      <c r="G54" s="44"/>
      <c r="H54" s="44"/>
    </row>
    <row r="55" spans="1:8" ht="16.5" thickBot="1" x14ac:dyDescent="0.45">
      <c r="A55" s="295" t="s">
        <v>98</v>
      </c>
      <c r="B55" s="304" t="s">
        <v>4</v>
      </c>
      <c r="C55" s="297" t="s">
        <v>10</v>
      </c>
      <c r="D55" s="297" t="s">
        <v>99</v>
      </c>
      <c r="E55" s="302" t="s">
        <v>10</v>
      </c>
      <c r="F55" s="44"/>
      <c r="G55" s="44"/>
      <c r="H55" s="44"/>
    </row>
    <row r="56" spans="1:8" ht="32" x14ac:dyDescent="0.4">
      <c r="A56" s="288" t="s">
        <v>100</v>
      </c>
      <c r="B56" s="291" t="s">
        <v>101</v>
      </c>
      <c r="C56" s="289" t="s">
        <v>102</v>
      </c>
      <c r="D56" s="289" t="s">
        <v>4558</v>
      </c>
      <c r="E56" s="292" t="s">
        <v>4559</v>
      </c>
    </row>
    <row r="57" spans="1:8" x14ac:dyDescent="0.4">
      <c r="A57" s="301" t="s">
        <v>77</v>
      </c>
      <c r="B57" s="287" t="s">
        <v>2</v>
      </c>
      <c r="C57" s="287" t="s">
        <v>2</v>
      </c>
      <c r="D57" s="39" t="s">
        <v>3</v>
      </c>
      <c r="E57" s="39" t="s">
        <v>3</v>
      </c>
    </row>
    <row r="58" spans="1:8" ht="48.5" thickBot="1" x14ac:dyDescent="0.45">
      <c r="A58" s="295" t="s">
        <v>4485</v>
      </c>
      <c r="B58" s="303" t="s">
        <v>4470</v>
      </c>
      <c r="C58" s="304" t="s">
        <v>103</v>
      </c>
      <c r="D58" s="304" t="s">
        <v>104</v>
      </c>
      <c r="E58" s="305" t="s">
        <v>104</v>
      </c>
    </row>
    <row r="59" spans="1:8" x14ac:dyDescent="0.4">
      <c r="A59" s="422" t="s">
        <v>11</v>
      </c>
      <c r="G59" s="39"/>
      <c r="H59" s="8"/>
    </row>
    <row r="61" spans="1:8" x14ac:dyDescent="0.4">
      <c r="A61" s="43" t="s">
        <v>4543</v>
      </c>
    </row>
    <row r="62" spans="1:8" ht="16.5" thickBot="1" x14ac:dyDescent="0.45">
      <c r="A62" s="310" t="s">
        <v>105</v>
      </c>
      <c r="B62" s="19" t="s">
        <v>106</v>
      </c>
      <c r="C62" s="19" t="s">
        <v>88</v>
      </c>
      <c r="D62" s="19" t="s">
        <v>59</v>
      </c>
      <c r="E62" s="280" t="s">
        <v>60</v>
      </c>
    </row>
    <row r="63" spans="1:8" x14ac:dyDescent="0.4">
      <c r="A63" s="285" t="s">
        <v>107</v>
      </c>
      <c r="B63" s="378">
        <f>'Generation Load Imports'!G$9*1000</f>
        <v>43648982.964000002</v>
      </c>
      <c r="C63" s="379">
        <f>GIS!B$23</f>
        <v>1776685</v>
      </c>
      <c r="D63" s="379"/>
      <c r="E63" s="380"/>
    </row>
    <row r="64" spans="1:8" x14ac:dyDescent="0.4">
      <c r="A64" s="372" t="s">
        <v>108</v>
      </c>
      <c r="B64" s="381"/>
      <c r="C64" s="428">
        <f>GIS!B$21</f>
        <v>4961932</v>
      </c>
      <c r="D64" s="428">
        <f>GIS!B62</f>
        <v>15179645</v>
      </c>
      <c r="E64" s="429"/>
    </row>
    <row r="65" spans="1:10" x14ac:dyDescent="0.4">
      <c r="A65" s="373" t="s">
        <v>109</v>
      </c>
      <c r="B65" s="381"/>
      <c r="C65" s="428">
        <f>GIS!B$22</f>
        <v>3649351</v>
      </c>
      <c r="D65" s="428"/>
      <c r="E65" s="429">
        <f>GIS!B$25</f>
        <v>3637504</v>
      </c>
      <c r="F65" s="39"/>
    </row>
    <row r="66" spans="1:10" ht="16.5" thickBot="1" x14ac:dyDescent="0.45">
      <c r="A66" s="374" t="s">
        <v>110</v>
      </c>
      <c r="B66" s="382"/>
      <c r="C66" s="383">
        <f>C63+C64-C65</f>
        <v>3089266</v>
      </c>
      <c r="D66" s="384"/>
      <c r="E66" s="385"/>
      <c r="H66" s="35"/>
    </row>
    <row r="67" spans="1:10" x14ac:dyDescent="0.4">
      <c r="A67" s="373" t="s">
        <v>111</v>
      </c>
      <c r="B67" s="386">
        <f>'Generation Load Imports'!I$9*1000</f>
        <v>23412973.673999999</v>
      </c>
      <c r="C67" s="387">
        <f>GIS!C$23</f>
        <v>3476182</v>
      </c>
      <c r="D67" s="387"/>
      <c r="E67" s="388"/>
      <c r="H67" s="35"/>
      <c r="I67" s="47"/>
    </row>
    <row r="68" spans="1:10" x14ac:dyDescent="0.4">
      <c r="A68" s="373" t="s">
        <v>112</v>
      </c>
      <c r="B68" s="381"/>
      <c r="C68" s="428">
        <f>GIS!C$21</f>
        <v>22459666</v>
      </c>
      <c r="D68" s="428">
        <f>GIS!E85</f>
        <v>3794705</v>
      </c>
      <c r="E68" s="429"/>
      <c r="H68" s="35"/>
      <c r="I68" s="48"/>
      <c r="J68" s="4"/>
    </row>
    <row r="69" spans="1:10" x14ac:dyDescent="0.4">
      <c r="A69" s="373" t="s">
        <v>113</v>
      </c>
      <c r="B69" s="381"/>
      <c r="C69" s="428">
        <f>GIS!C$22</f>
        <v>808877</v>
      </c>
      <c r="D69" s="428"/>
      <c r="E69" s="429">
        <f>GIS!C$25</f>
        <v>731593</v>
      </c>
    </row>
    <row r="70" spans="1:10" ht="16.5" thickBot="1" x14ac:dyDescent="0.45">
      <c r="A70" s="374" t="s">
        <v>114</v>
      </c>
      <c r="B70" s="389"/>
      <c r="C70" s="390">
        <f>C67+C68-C69</f>
        <v>25126971</v>
      </c>
      <c r="D70" s="391"/>
      <c r="E70" s="392"/>
    </row>
    <row r="71" spans="1:10" x14ac:dyDescent="0.4">
      <c r="A71" s="375" t="s">
        <v>115</v>
      </c>
      <c r="B71" s="386">
        <f>'Generation Load Imports'!D$9*1000</f>
        <v>13235928.376000002</v>
      </c>
      <c r="C71" s="387">
        <f>GIS!D$23</f>
        <v>1345973</v>
      </c>
      <c r="D71" s="387"/>
      <c r="E71" s="388"/>
      <c r="F71" s="37"/>
      <c r="H71" s="35"/>
    </row>
    <row r="72" spans="1:10" x14ac:dyDescent="0.4">
      <c r="A72" s="373" t="s">
        <v>116</v>
      </c>
      <c r="B72" s="381"/>
      <c r="C72" s="428">
        <f>GIS!D$21</f>
        <v>1418160</v>
      </c>
      <c r="D72" s="428">
        <f>GIS!J108</f>
        <v>1369625</v>
      </c>
      <c r="E72" s="429"/>
      <c r="H72" s="35"/>
    </row>
    <row r="73" spans="1:10" x14ac:dyDescent="0.4">
      <c r="A73" s="373" t="s">
        <v>117</v>
      </c>
      <c r="B73" s="381"/>
      <c r="C73" s="428">
        <f>GIS!D$22</f>
        <v>5336736</v>
      </c>
      <c r="D73" s="428"/>
      <c r="E73" s="429">
        <f>GIS!D$25</f>
        <v>4896122</v>
      </c>
      <c r="H73" s="35"/>
      <c r="I73" s="47"/>
    </row>
    <row r="74" spans="1:10" ht="16.5" thickBot="1" x14ac:dyDescent="0.45">
      <c r="A74" s="376" t="s">
        <v>118</v>
      </c>
      <c r="B74" s="382"/>
      <c r="C74" s="383">
        <f>C71+C72-C73</f>
        <v>-2572603</v>
      </c>
      <c r="D74" s="384"/>
      <c r="E74" s="385"/>
      <c r="H74" s="48"/>
      <c r="I74" s="48"/>
      <c r="J74" s="4"/>
    </row>
    <row r="75" spans="1:10" x14ac:dyDescent="0.4">
      <c r="A75" s="375" t="s">
        <v>119</v>
      </c>
      <c r="B75" s="386">
        <f>'Generation Load Imports'!E$9*1000</f>
        <v>17378801.205999997</v>
      </c>
      <c r="C75" s="387">
        <f>GIS!E$23</f>
        <v>336877</v>
      </c>
      <c r="D75" s="387"/>
      <c r="E75" s="388"/>
    </row>
    <row r="76" spans="1:10" x14ac:dyDescent="0.4">
      <c r="A76" s="373" t="s">
        <v>120</v>
      </c>
      <c r="B76" s="381"/>
      <c r="C76" s="428">
        <f>GIS!E$21</f>
        <v>719977</v>
      </c>
      <c r="D76" s="428">
        <f>GIS!K131</f>
        <v>681143</v>
      </c>
      <c r="E76" s="429"/>
      <c r="F76" s="46"/>
      <c r="H76" s="35"/>
    </row>
    <row r="77" spans="1:10" x14ac:dyDescent="0.4">
      <c r="A77" s="373" t="s">
        <v>121</v>
      </c>
      <c r="B77" s="381"/>
      <c r="C77" s="428">
        <f>GIS!E$22</f>
        <v>11746617</v>
      </c>
      <c r="D77" s="428"/>
      <c r="E77" s="429">
        <f>GIS!E$25</f>
        <v>11448646</v>
      </c>
      <c r="H77" s="35"/>
    </row>
    <row r="78" spans="1:10" ht="16.5" thickBot="1" x14ac:dyDescent="0.45">
      <c r="A78" s="376" t="s">
        <v>122</v>
      </c>
      <c r="B78" s="382"/>
      <c r="C78" s="383">
        <f>C75+C76-C77</f>
        <v>-10689763</v>
      </c>
      <c r="D78" s="384"/>
      <c r="E78" s="385"/>
      <c r="H78" s="35"/>
    </row>
    <row r="79" spans="1:10" x14ac:dyDescent="0.4">
      <c r="A79" s="375" t="s">
        <v>123</v>
      </c>
      <c r="B79" s="386">
        <f>'Generation Load Imports'!H$9*1000</f>
        <v>9775026.0529999975</v>
      </c>
      <c r="C79" s="387">
        <f>GIS!F$23</f>
        <v>320214</v>
      </c>
      <c r="D79" s="387"/>
      <c r="E79" s="388"/>
      <c r="H79" s="47"/>
      <c r="I79" s="47"/>
    </row>
    <row r="80" spans="1:10" x14ac:dyDescent="0.4">
      <c r="A80" s="373" t="s">
        <v>123</v>
      </c>
      <c r="B80" s="381"/>
      <c r="C80" s="428">
        <f>GIS!F$21</f>
        <v>1253664</v>
      </c>
      <c r="D80" s="428">
        <f>GIS!N154</f>
        <v>680807</v>
      </c>
      <c r="E80" s="429"/>
      <c r="H80" s="48"/>
      <c r="I80" s="48"/>
      <c r="J80" s="4"/>
    </row>
    <row r="81" spans="1:10" x14ac:dyDescent="0.4">
      <c r="A81" s="373" t="s">
        <v>124</v>
      </c>
      <c r="B81" s="381"/>
      <c r="C81" s="428">
        <f>GIS!F$22</f>
        <v>284606</v>
      </c>
      <c r="D81" s="428"/>
      <c r="E81" s="429">
        <f>GIS!F$25</f>
        <v>146833</v>
      </c>
      <c r="F81" s="46"/>
      <c r="H81" s="35"/>
      <c r="I81" s="307"/>
      <c r="J81" s="33"/>
    </row>
    <row r="82" spans="1:10" ht="16.5" thickBot="1" x14ac:dyDescent="0.45">
      <c r="A82" s="376" t="s">
        <v>125</v>
      </c>
      <c r="B82" s="382"/>
      <c r="C82" s="383">
        <f>C79+C80-C81</f>
        <v>1289272</v>
      </c>
      <c r="D82" s="384"/>
      <c r="E82" s="385"/>
      <c r="H82" s="35"/>
    </row>
    <row r="83" spans="1:10" x14ac:dyDescent="0.4">
      <c r="A83" s="372" t="s">
        <v>126</v>
      </c>
      <c r="B83" s="393">
        <f>'Generation Load Imports'!C27</f>
        <v>2258890.6409999998</v>
      </c>
      <c r="C83" s="379">
        <f>GIS!G$23</f>
        <v>839654</v>
      </c>
      <c r="D83" s="379"/>
      <c r="E83" s="380"/>
      <c r="G83" s="35"/>
      <c r="H83" s="35"/>
    </row>
    <row r="84" spans="1:10" x14ac:dyDescent="0.4">
      <c r="A84" s="373" t="s">
        <v>127</v>
      </c>
      <c r="B84" s="381"/>
      <c r="C84" s="428">
        <f>GIS!G$21</f>
        <v>3213288</v>
      </c>
      <c r="D84" s="428">
        <f>GIS!Q177</f>
        <v>626245</v>
      </c>
      <c r="E84" s="429"/>
      <c r="G84" s="35"/>
    </row>
    <row r="85" spans="1:10" x14ac:dyDescent="0.4">
      <c r="A85" s="373" t="s">
        <v>128</v>
      </c>
      <c r="B85" s="381"/>
      <c r="C85" s="428">
        <f>GIS!G$22</f>
        <v>1608392</v>
      </c>
      <c r="D85" s="428"/>
      <c r="E85" s="429">
        <f>GIS!G$25</f>
        <v>1165958</v>
      </c>
    </row>
    <row r="86" spans="1:10" ht="16.5" thickBot="1" x14ac:dyDescent="0.45">
      <c r="A86" s="374" t="s">
        <v>129</v>
      </c>
      <c r="B86" s="389"/>
      <c r="C86" s="390">
        <f>C83+C84-C85</f>
        <v>2444550</v>
      </c>
      <c r="D86" s="391"/>
      <c r="E86" s="392"/>
      <c r="F86" s="46"/>
      <c r="H86" s="35"/>
    </row>
    <row r="87" spans="1:10" x14ac:dyDescent="0.4">
      <c r="A87" s="375" t="s">
        <v>130</v>
      </c>
      <c r="B87" s="386">
        <f>'Generation Load Imports'!C28</f>
        <v>129015492.69400001</v>
      </c>
      <c r="C87" s="388"/>
      <c r="D87" s="387"/>
      <c r="E87" s="388"/>
      <c r="H87" s="35"/>
    </row>
    <row r="88" spans="1:10" x14ac:dyDescent="0.4">
      <c r="A88" s="373" t="s">
        <v>131</v>
      </c>
      <c r="B88" s="394">
        <f>'Generation Load Imports'!C17*1000</f>
        <v>4232000</v>
      </c>
      <c r="C88" s="429"/>
      <c r="D88" s="428"/>
      <c r="E88" s="429"/>
      <c r="H88" s="35"/>
    </row>
    <row r="89" spans="1:10" x14ac:dyDescent="0.4">
      <c r="A89" s="373" t="s">
        <v>132</v>
      </c>
      <c r="B89" s="381"/>
      <c r="C89" s="429">
        <f>GIS!H$22</f>
        <v>4686525</v>
      </c>
      <c r="D89" s="428"/>
      <c r="E89" s="429"/>
    </row>
    <row r="90" spans="1:10" ht="16.5" thickBot="1" x14ac:dyDescent="0.45">
      <c r="A90" s="376" t="s">
        <v>133</v>
      </c>
      <c r="B90" s="382"/>
      <c r="C90" s="395">
        <f>C87+C88-C89</f>
        <v>-4686525</v>
      </c>
      <c r="D90" s="384"/>
      <c r="E90" s="385"/>
    </row>
    <row r="91" spans="1:10" x14ac:dyDescent="0.4">
      <c r="A91" s="375" t="s">
        <v>134</v>
      </c>
      <c r="B91" s="386">
        <f>'Generation Load Imports'!C30</f>
        <v>11136722</v>
      </c>
      <c r="C91" s="387"/>
      <c r="D91" s="387"/>
      <c r="E91" s="388"/>
      <c r="F91" s="46"/>
      <c r="H91" s="35"/>
    </row>
    <row r="92" spans="1:10" x14ac:dyDescent="0.4">
      <c r="A92" s="373" t="s">
        <v>135</v>
      </c>
      <c r="B92" s="394">
        <f>'Generation Load Imports'!C18*1000</f>
        <v>-11000</v>
      </c>
      <c r="C92" s="428"/>
      <c r="D92" s="428"/>
      <c r="E92" s="429"/>
      <c r="H92" s="35"/>
    </row>
    <row r="93" spans="1:10" x14ac:dyDescent="0.4">
      <c r="A93" s="373" t="s">
        <v>136</v>
      </c>
      <c r="B93" s="381"/>
      <c r="C93" s="428">
        <f>GIS!I$22</f>
        <v>597320</v>
      </c>
      <c r="D93" s="428"/>
      <c r="E93" s="429"/>
      <c r="H93" s="35"/>
    </row>
    <row r="94" spans="1:10" ht="16.5" thickBot="1" x14ac:dyDescent="0.45">
      <c r="A94" s="376" t="s">
        <v>137</v>
      </c>
      <c r="B94" s="382"/>
      <c r="C94" s="383">
        <f>C91+C92-C93</f>
        <v>-597320</v>
      </c>
      <c r="D94" s="384"/>
      <c r="E94" s="385"/>
    </row>
    <row r="95" spans="1:10" x14ac:dyDescent="0.4">
      <c r="A95" s="306" t="s">
        <v>138</v>
      </c>
      <c r="B95" s="386">
        <f>'Generation Load Imports'!C31</f>
        <v>166642548</v>
      </c>
      <c r="C95" s="388"/>
      <c r="D95" s="387"/>
      <c r="E95" s="388"/>
    </row>
    <row r="96" spans="1:10" x14ac:dyDescent="0.4">
      <c r="A96" s="308" t="s">
        <v>139</v>
      </c>
      <c r="B96" s="394">
        <f>'Generation Load Imports'!C19*1000</f>
        <v>6094000</v>
      </c>
      <c r="C96" s="429"/>
      <c r="D96" s="428"/>
      <c r="E96" s="429"/>
    </row>
    <row r="97" spans="1:5" x14ac:dyDescent="0.4">
      <c r="A97" s="308" t="s">
        <v>140</v>
      </c>
      <c r="B97" s="381"/>
      <c r="C97" s="429">
        <f>GIS!J$22</f>
        <v>5308263</v>
      </c>
      <c r="D97" s="428"/>
      <c r="E97" s="429"/>
    </row>
    <row r="98" spans="1:5" ht="16.5" thickBot="1" x14ac:dyDescent="0.45">
      <c r="A98" s="309" t="s">
        <v>141</v>
      </c>
      <c r="B98" s="382"/>
      <c r="C98" s="395">
        <f>C95+C96-C97</f>
        <v>-5308263</v>
      </c>
      <c r="D98" s="384"/>
      <c r="E98" s="385"/>
    </row>
    <row r="99" spans="1:5" x14ac:dyDescent="0.4">
      <c r="A99" s="306" t="s">
        <v>142</v>
      </c>
      <c r="B99" s="386">
        <f>B63+B67+B71+B75+B79+B83</f>
        <v>109710602.914</v>
      </c>
      <c r="C99" s="387">
        <f>C63+C67+C71+C75+C79+C83</f>
        <v>8095585</v>
      </c>
      <c r="D99" s="387"/>
      <c r="E99" s="388"/>
    </row>
    <row r="100" spans="1:5" x14ac:dyDescent="0.4">
      <c r="A100" s="308" t="s">
        <v>143</v>
      </c>
      <c r="B100" s="394"/>
      <c r="C100" s="428">
        <f>C64+C68+C72+C76+C80+C84</f>
        <v>34026687</v>
      </c>
      <c r="D100" s="428"/>
      <c r="E100" s="429"/>
    </row>
    <row r="101" spans="1:5" x14ac:dyDescent="0.4">
      <c r="A101" s="308" t="s">
        <v>144</v>
      </c>
      <c r="B101" s="394"/>
      <c r="C101" s="428">
        <f>C65+C69+C73+C77+C81+C85</f>
        <v>23434579</v>
      </c>
      <c r="D101" s="428"/>
      <c r="E101" s="429"/>
    </row>
    <row r="102" spans="1:5" ht="16.5" thickBot="1" x14ac:dyDescent="0.45">
      <c r="A102" s="309" t="s">
        <v>145</v>
      </c>
      <c r="B102" s="396"/>
      <c r="C102" s="383">
        <f>C99+C100-C101</f>
        <v>18687693</v>
      </c>
      <c r="D102" s="384"/>
      <c r="E102" s="385"/>
    </row>
    <row r="103" spans="1:5" x14ac:dyDescent="0.4">
      <c r="A103" s="306" t="s">
        <v>146</v>
      </c>
      <c r="B103" s="386">
        <f>B87+B91+B95</f>
        <v>306794762.69400001</v>
      </c>
      <c r="C103" s="387"/>
      <c r="D103" s="397"/>
      <c r="E103" s="398"/>
    </row>
    <row r="104" spans="1:5" ht="32" x14ac:dyDescent="0.4">
      <c r="A104" s="308" t="s">
        <v>147</v>
      </c>
      <c r="B104" s="394">
        <f>B88+B92+B96</f>
        <v>10315000</v>
      </c>
      <c r="C104" s="428"/>
      <c r="D104" s="430"/>
      <c r="E104" s="429"/>
    </row>
    <row r="105" spans="1:5" ht="32" x14ac:dyDescent="0.4">
      <c r="A105" s="308" t="s">
        <v>148</v>
      </c>
      <c r="B105" s="381"/>
      <c r="C105" s="428">
        <f>C89+C93+C97</f>
        <v>10592108</v>
      </c>
      <c r="D105" s="430"/>
      <c r="E105" s="429"/>
    </row>
    <row r="106" spans="1:5" ht="16.5" thickBot="1" x14ac:dyDescent="0.45">
      <c r="A106" s="309" t="s">
        <v>149</v>
      </c>
      <c r="B106" s="382"/>
      <c r="C106" s="395">
        <f>C103+C104-C105</f>
        <v>-10592108</v>
      </c>
      <c r="D106" s="384"/>
      <c r="E106" s="385"/>
    </row>
    <row r="107" spans="1:5" x14ac:dyDescent="0.4">
      <c r="A107" s="377" t="s">
        <v>11</v>
      </c>
      <c r="B107" s="308"/>
      <c r="C107" s="37"/>
      <c r="D107" s="37"/>
      <c r="E107" s="37"/>
    </row>
    <row r="108" spans="1:5" x14ac:dyDescent="0.4">
      <c r="A108" s="37"/>
    </row>
    <row r="109" spans="1:5" x14ac:dyDescent="0.4">
      <c r="A109" s="155" t="s">
        <v>150</v>
      </c>
      <c r="C109" s="35"/>
      <c r="D109" s="35"/>
    </row>
  </sheetData>
  <hyperlinks>
    <hyperlink ref="A2" location="'State and Province Summary'!A13" display="Emissions Tables (3 Tables)" xr:uid="{879E87B6-42F1-4632-A6FC-364290DC4243}"/>
    <hyperlink ref="A5" location="'State and Province Summary'!A50" display="Generation Tables (2 Tables)" xr:uid="{E5A91700-5ACF-4121-B8CE-F7990D52B2A0}"/>
  </hyperlinks>
  <pageMargins left="0.7" right="0.7" top="0.75" bottom="0.75" header="0.3" footer="0.3"/>
  <pageSetup scale="36" fitToHeight="0" orientation="portrait" r:id="rId1"/>
  <legacyDrawing r:id="rId2"/>
  <tableParts count="5">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Q50"/>
  <sheetViews>
    <sheetView zoomScaleNormal="100" workbookViewId="0"/>
  </sheetViews>
  <sheetFormatPr defaultColWidth="9.1796875" defaultRowHeight="14" x14ac:dyDescent="0.3"/>
  <cols>
    <col min="1" max="1" width="43.54296875" style="1" customWidth="1"/>
    <col min="2" max="2" width="15.54296875" style="1" customWidth="1"/>
    <col min="3" max="3" width="17.81640625" style="1" customWidth="1"/>
    <col min="4" max="4" width="18.453125" style="1" customWidth="1"/>
    <col min="5" max="5" width="21" style="1" customWidth="1"/>
    <col min="6" max="6" width="26.08984375" style="1" customWidth="1"/>
    <col min="7" max="8" width="21" style="1" customWidth="1"/>
    <col min="9" max="9" width="21.81640625" style="1" customWidth="1"/>
    <col min="10" max="10" width="18.81640625" style="1" customWidth="1"/>
    <col min="11" max="11" width="20.26953125" style="1" customWidth="1"/>
    <col min="12" max="12" width="61.1796875" style="1" customWidth="1"/>
    <col min="13" max="13" width="65.7265625" style="1" customWidth="1"/>
    <col min="14" max="14" width="12.81640625" style="1" bestFit="1" customWidth="1"/>
    <col min="15" max="15" width="9.1796875" style="1"/>
    <col min="16" max="16" width="16.1796875" style="1" customWidth="1"/>
    <col min="17" max="17" width="19.81640625" style="1" customWidth="1"/>
    <col min="18" max="18" width="13.26953125" style="1" customWidth="1"/>
    <col min="19" max="16384" width="9.1796875" style="1"/>
  </cols>
  <sheetData>
    <row r="1" spans="1:17" s="50" customFormat="1" ht="21" x14ac:dyDescent="0.5">
      <c r="A1" s="70" t="s">
        <v>151</v>
      </c>
    </row>
    <row r="2" spans="1:17" s="50" customFormat="1" ht="16" x14ac:dyDescent="0.4">
      <c r="A2" s="134" t="s">
        <v>152</v>
      </c>
    </row>
    <row r="3" spans="1:17" s="50" customFormat="1" ht="16" x14ac:dyDescent="0.4">
      <c r="A3" s="60" t="s">
        <v>4580</v>
      </c>
    </row>
    <row r="4" spans="1:17" s="50" customFormat="1" ht="16" x14ac:dyDescent="0.4">
      <c r="A4" s="154" t="s">
        <v>153</v>
      </c>
      <c r="B4" s="147"/>
      <c r="C4" s="148"/>
      <c r="D4" s="148"/>
      <c r="E4" s="148"/>
      <c r="F4" s="148"/>
      <c r="G4" s="148"/>
      <c r="H4" s="148"/>
      <c r="I4" s="51"/>
      <c r="J4" s="51"/>
      <c r="K4" s="51"/>
      <c r="L4" s="149"/>
      <c r="M4" s="150"/>
      <c r="N4" s="151"/>
    </row>
    <row r="5" spans="1:17" s="50" customFormat="1" ht="16" x14ac:dyDescent="0.4">
      <c r="A5" s="68" t="s">
        <v>154</v>
      </c>
      <c r="B5" s="147"/>
      <c r="C5" s="148"/>
      <c r="D5" s="148"/>
      <c r="E5" s="148"/>
      <c r="F5" s="148"/>
      <c r="G5" s="148"/>
      <c r="H5" s="148"/>
      <c r="I5" s="51"/>
      <c r="J5" s="51"/>
      <c r="K5" s="51"/>
      <c r="L5" s="149"/>
      <c r="M5" s="150"/>
      <c r="N5" s="151"/>
    </row>
    <row r="6" spans="1:17" s="50" customFormat="1" ht="16" x14ac:dyDescent="0.4">
      <c r="A6" s="146"/>
      <c r="B6" s="147"/>
      <c r="C6" s="148"/>
      <c r="D6" s="148"/>
      <c r="E6" s="148"/>
      <c r="F6" s="148"/>
      <c r="G6" s="148"/>
      <c r="H6" s="148"/>
      <c r="I6" s="51"/>
      <c r="J6" s="51"/>
      <c r="K6" s="51"/>
      <c r="L6" s="149"/>
      <c r="M6" s="150"/>
      <c r="N6" s="151"/>
    </row>
    <row r="7" spans="1:17" s="50" customFormat="1" ht="16.5" thickBot="1" x14ac:dyDescent="0.45">
      <c r="A7" s="64" t="s">
        <v>155</v>
      </c>
      <c r="B7" s="52"/>
      <c r="C7" s="52"/>
      <c r="D7" s="52"/>
      <c r="E7" s="52"/>
      <c r="F7" s="52"/>
      <c r="G7" s="52"/>
      <c r="H7" s="52"/>
      <c r="I7" s="52"/>
      <c r="J7" s="142"/>
      <c r="K7" s="53"/>
    </row>
    <row r="8" spans="1:17" s="50" customFormat="1" ht="16" x14ac:dyDescent="0.4">
      <c r="A8" s="152" t="s">
        <v>156</v>
      </c>
      <c r="B8" s="145" t="s">
        <v>157</v>
      </c>
      <c r="C8" s="141" t="s">
        <v>158</v>
      </c>
      <c r="D8" s="145" t="s">
        <v>159</v>
      </c>
      <c r="E8" s="145" t="s">
        <v>160</v>
      </c>
      <c r="F8" s="145" t="s">
        <v>161</v>
      </c>
      <c r="G8" s="145" t="s">
        <v>162</v>
      </c>
      <c r="H8" s="145" t="s">
        <v>163</v>
      </c>
      <c r="I8" s="145" t="s">
        <v>164</v>
      </c>
      <c r="J8" s="141" t="s">
        <v>165</v>
      </c>
      <c r="K8" s="145" t="s">
        <v>166</v>
      </c>
      <c r="L8" s="141" t="s">
        <v>167</v>
      </c>
      <c r="M8" s="141" t="s">
        <v>168</v>
      </c>
      <c r="N8" s="56"/>
      <c r="O8" s="57"/>
      <c r="P8" s="57"/>
      <c r="Q8" s="57"/>
    </row>
    <row r="9" spans="1:17" s="50" customFormat="1" ht="16" x14ac:dyDescent="0.4">
      <c r="A9" s="50" t="s">
        <v>169</v>
      </c>
      <c r="B9" s="431">
        <v>2024</v>
      </c>
      <c r="C9" s="58">
        <f>D9+E9+(C27/1000)+G9+H9+I9</f>
        <v>109710.60291399999</v>
      </c>
      <c r="D9" s="432">
        <v>13235.928376000002</v>
      </c>
      <c r="E9" s="432">
        <v>17378.801205999996</v>
      </c>
      <c r="F9" s="432">
        <v>1146.863231</v>
      </c>
      <c r="G9" s="432">
        <v>43648.982964000003</v>
      </c>
      <c r="H9" s="432">
        <v>9775.0260529999978</v>
      </c>
      <c r="I9" s="432">
        <v>23412.973673999997</v>
      </c>
      <c r="J9" s="51" t="s">
        <v>170</v>
      </c>
      <c r="K9" s="433">
        <v>46007</v>
      </c>
      <c r="L9" s="61" t="s">
        <v>171</v>
      </c>
      <c r="M9" s="60" t="s">
        <v>4579</v>
      </c>
    </row>
    <row r="10" spans="1:17" s="50" customFormat="1" ht="16" x14ac:dyDescent="0.4">
      <c r="A10" s="50" t="s">
        <v>172</v>
      </c>
      <c r="B10" s="431">
        <v>2024</v>
      </c>
      <c r="C10" s="434">
        <v>116813</v>
      </c>
      <c r="D10" s="432">
        <v>11237</v>
      </c>
      <c r="E10" s="432">
        <v>11614</v>
      </c>
      <c r="F10" s="435">
        <v>4891</v>
      </c>
      <c r="G10" s="432">
        <v>27208</v>
      </c>
      <c r="H10" s="432">
        <v>7788</v>
      </c>
      <c r="I10" s="435">
        <v>54075</v>
      </c>
      <c r="J10" s="144">
        <f>I9/I10</f>
        <v>0.43297223622746178</v>
      </c>
      <c r="K10" s="433">
        <v>45912</v>
      </c>
      <c r="L10" s="61" t="s">
        <v>173</v>
      </c>
      <c r="M10" s="60" t="s">
        <v>174</v>
      </c>
    </row>
    <row r="11" spans="1:17" s="50" customFormat="1" ht="16" x14ac:dyDescent="0.4">
      <c r="A11" s="50" t="s">
        <v>175</v>
      </c>
      <c r="C11" s="59">
        <f>C10+C22</f>
        <v>120025.60291399999</v>
      </c>
      <c r="D11" s="59">
        <f t="shared" ref="D11:I11" si="0">D10+D10*$C22/$C10</f>
        <v>11546.041107964164</v>
      </c>
      <c r="E11" s="59">
        <f t="shared" si="0"/>
        <v>11933.409400008526</v>
      </c>
      <c r="F11" s="67">
        <f t="shared" si="0"/>
        <v>5025.5127755675649</v>
      </c>
      <c r="G11" s="59">
        <f t="shared" si="0"/>
        <v>27956.277161652484</v>
      </c>
      <c r="H11" s="59">
        <f t="shared" si="0"/>
        <v>8002.1863619137584</v>
      </c>
      <c r="I11" s="67">
        <f t="shared" si="0"/>
        <v>55562.176106893494</v>
      </c>
      <c r="J11" s="144">
        <f>I9/I11</f>
        <v>0.4213833099149476</v>
      </c>
      <c r="K11" s="51" t="s">
        <v>170</v>
      </c>
      <c r="L11" s="65" t="s">
        <v>176</v>
      </c>
      <c r="M11" s="60"/>
      <c r="N11" s="60"/>
    </row>
    <row r="12" spans="1:17" s="50" customFormat="1" ht="16" x14ac:dyDescent="0.4">
      <c r="A12" s="595" t="s">
        <v>11</v>
      </c>
      <c r="B12" s="595"/>
      <c r="C12" s="595"/>
      <c r="D12" s="595"/>
      <c r="E12" s="596"/>
      <c r="F12" s="596"/>
      <c r="G12" s="596"/>
      <c r="H12" s="597"/>
      <c r="I12" s="598"/>
      <c r="J12" s="598"/>
      <c r="K12" s="595"/>
      <c r="L12" s="599"/>
      <c r="M12" s="595"/>
    </row>
    <row r="13" spans="1:17" s="50" customFormat="1" ht="16" x14ac:dyDescent="0.4">
      <c r="E13" s="124"/>
      <c r="F13" s="124"/>
      <c r="G13" s="124"/>
      <c r="H13" s="125"/>
      <c r="I13" s="126"/>
      <c r="J13" s="126"/>
      <c r="L13" s="55"/>
    </row>
    <row r="14" spans="1:17" s="50" customFormat="1" ht="16.5" thickBot="1" x14ac:dyDescent="0.45">
      <c r="A14" s="52" t="s">
        <v>177</v>
      </c>
      <c r="B14" s="69"/>
      <c r="C14" s="69"/>
      <c r="D14" s="69"/>
      <c r="E14" s="69"/>
      <c r="F14" s="69"/>
      <c r="I14" s="55"/>
      <c r="J14" s="55"/>
      <c r="K14" s="60"/>
    </row>
    <row r="15" spans="1:17" s="50" customFormat="1" ht="16" x14ac:dyDescent="0.4">
      <c r="A15" s="50" t="s">
        <v>178</v>
      </c>
      <c r="B15" s="50" t="s">
        <v>157</v>
      </c>
      <c r="C15" s="50" t="s">
        <v>179</v>
      </c>
      <c r="D15" s="50" t="s">
        <v>166</v>
      </c>
      <c r="E15" s="141" t="s">
        <v>167</v>
      </c>
      <c r="F15" s="50" t="s">
        <v>168</v>
      </c>
      <c r="I15" s="55"/>
      <c r="J15" s="55"/>
      <c r="K15" s="60"/>
    </row>
    <row r="16" spans="1:17" s="50" customFormat="1" ht="16" x14ac:dyDescent="0.4">
      <c r="A16" s="50" t="s">
        <v>180</v>
      </c>
      <c r="B16" s="431">
        <v>2024</v>
      </c>
      <c r="C16" s="436">
        <v>2114</v>
      </c>
      <c r="D16" s="433">
        <v>45777</v>
      </c>
      <c r="E16" s="437" t="s">
        <v>181</v>
      </c>
      <c r="F16" s="134" t="s">
        <v>4583</v>
      </c>
      <c r="I16" s="55"/>
      <c r="J16" s="55"/>
      <c r="K16" s="60"/>
    </row>
    <row r="17" spans="1:11" s="50" customFormat="1" ht="16" x14ac:dyDescent="0.4">
      <c r="A17" s="50" t="s">
        <v>182</v>
      </c>
      <c r="B17" s="431">
        <v>2024</v>
      </c>
      <c r="C17" s="436">
        <v>4232</v>
      </c>
      <c r="D17" s="433">
        <v>45777</v>
      </c>
      <c r="E17" s="437" t="s">
        <v>181</v>
      </c>
      <c r="F17" s="134" t="s">
        <v>4583</v>
      </c>
      <c r="G17" s="62"/>
      <c r="I17" s="55"/>
      <c r="J17" s="55"/>
      <c r="K17" s="60"/>
    </row>
    <row r="18" spans="1:11" s="50" customFormat="1" ht="16" x14ac:dyDescent="0.4">
      <c r="A18" s="50" t="s">
        <v>183</v>
      </c>
      <c r="B18" s="431">
        <v>2024</v>
      </c>
      <c r="C18" s="436">
        <v>-11</v>
      </c>
      <c r="D18" s="433">
        <v>45777</v>
      </c>
      <c r="E18" s="437" t="s">
        <v>181</v>
      </c>
      <c r="F18" s="134" t="s">
        <v>4583</v>
      </c>
      <c r="I18" s="55"/>
      <c r="J18" s="55"/>
      <c r="K18" s="60"/>
    </row>
    <row r="19" spans="1:11" s="50" customFormat="1" ht="16" x14ac:dyDescent="0.4">
      <c r="A19" s="50" t="s">
        <v>184</v>
      </c>
      <c r="B19" s="431">
        <v>2024</v>
      </c>
      <c r="C19" s="436">
        <v>6094</v>
      </c>
      <c r="D19" s="433">
        <v>45777</v>
      </c>
      <c r="E19" s="437" t="s">
        <v>181</v>
      </c>
      <c r="F19" s="134" t="s">
        <v>4583</v>
      </c>
      <c r="I19" s="55"/>
      <c r="J19" s="55"/>
      <c r="K19" s="60"/>
    </row>
    <row r="20" spans="1:11" s="50" customFormat="1" ht="16" x14ac:dyDescent="0.4">
      <c r="A20" s="50" t="s">
        <v>185</v>
      </c>
      <c r="B20" s="431">
        <v>2024</v>
      </c>
      <c r="C20" s="436">
        <f>C18+C17+C19</f>
        <v>10315</v>
      </c>
      <c r="D20" s="433">
        <v>45777</v>
      </c>
      <c r="E20" s="437" t="s">
        <v>181</v>
      </c>
      <c r="F20" s="134" t="s">
        <v>4583</v>
      </c>
      <c r="I20" s="55"/>
      <c r="J20" s="55"/>
      <c r="K20" s="60"/>
    </row>
    <row r="21" spans="1:11" s="50" customFormat="1" ht="16" x14ac:dyDescent="0.4">
      <c r="A21" s="50" t="s">
        <v>186</v>
      </c>
      <c r="B21" s="50" t="s">
        <v>170</v>
      </c>
      <c r="C21" s="66">
        <f>C10-C9</f>
        <v>7102.3970860000118</v>
      </c>
      <c r="D21" s="143" t="s">
        <v>170</v>
      </c>
      <c r="E21" s="50" t="s">
        <v>187</v>
      </c>
      <c r="F21" s="50" t="s">
        <v>170</v>
      </c>
      <c r="I21" s="55"/>
      <c r="J21" s="55"/>
      <c r="K21" s="60"/>
    </row>
    <row r="22" spans="1:11" s="50" customFormat="1" ht="16" x14ac:dyDescent="0.4">
      <c r="A22" s="65" t="s">
        <v>188</v>
      </c>
      <c r="B22" s="50" t="s">
        <v>170</v>
      </c>
      <c r="C22" s="66">
        <f>C20-C21</f>
        <v>3212.6029139999882</v>
      </c>
      <c r="D22" s="143" t="s">
        <v>170</v>
      </c>
      <c r="E22" s="50" t="s">
        <v>187</v>
      </c>
      <c r="F22" s="50" t="s">
        <v>170</v>
      </c>
      <c r="I22" s="55"/>
      <c r="J22" s="55"/>
      <c r="K22" s="60"/>
    </row>
    <row r="23" spans="1:11" s="50" customFormat="1" ht="16" x14ac:dyDescent="0.4">
      <c r="A23" s="595" t="s">
        <v>11</v>
      </c>
      <c r="B23" s="595"/>
      <c r="C23" s="595"/>
      <c r="D23" s="595"/>
      <c r="E23" s="595"/>
      <c r="F23" s="595"/>
      <c r="I23" s="55"/>
      <c r="J23" s="55"/>
      <c r="K23" s="60"/>
    </row>
    <row r="24" spans="1:11" s="50" customFormat="1" ht="16" x14ac:dyDescent="0.4">
      <c r="A24" s="54"/>
      <c r="B24" s="65"/>
      <c r="C24" s="124"/>
      <c r="D24" s="124"/>
      <c r="E24" s="124"/>
      <c r="F24" s="124"/>
      <c r="G24" s="125"/>
      <c r="H24" s="126"/>
      <c r="I24" s="55"/>
      <c r="J24" s="55"/>
      <c r="K24" s="60"/>
    </row>
    <row r="25" spans="1:11" s="50" customFormat="1" ht="16.5" thickBot="1" x14ac:dyDescent="0.45">
      <c r="A25" s="153" t="s">
        <v>189</v>
      </c>
      <c r="B25" s="69"/>
      <c r="C25" s="69"/>
      <c r="D25" s="69"/>
      <c r="E25" s="69"/>
      <c r="F25" s="69"/>
    </row>
    <row r="26" spans="1:11" s="50" customFormat="1" ht="16" x14ac:dyDescent="0.4">
      <c r="A26" s="50" t="s">
        <v>51</v>
      </c>
      <c r="B26" s="50" t="s">
        <v>157</v>
      </c>
      <c r="C26" s="50" t="s">
        <v>21</v>
      </c>
      <c r="D26" s="50" t="s">
        <v>166</v>
      </c>
      <c r="E26" s="50" t="s">
        <v>167</v>
      </c>
      <c r="F26" s="50" t="s">
        <v>190</v>
      </c>
    </row>
    <row r="27" spans="1:11" s="50" customFormat="1" ht="16" x14ac:dyDescent="0.4">
      <c r="A27" s="50" t="s">
        <v>191</v>
      </c>
      <c r="B27" s="431">
        <v>2024</v>
      </c>
      <c r="C27" s="438">
        <v>2258890.6409999998</v>
      </c>
      <c r="D27" s="439">
        <v>45918</v>
      </c>
      <c r="E27" s="50" t="s">
        <v>192</v>
      </c>
      <c r="F27" s="50" t="s">
        <v>193</v>
      </c>
    </row>
    <row r="28" spans="1:11" s="50" customFormat="1" ht="16" x14ac:dyDescent="0.4">
      <c r="A28" s="50" t="s">
        <v>182</v>
      </c>
      <c r="B28" s="431">
        <v>2024</v>
      </c>
      <c r="C28" s="440">
        <v>129015492.69400001</v>
      </c>
      <c r="D28" s="439">
        <v>45918</v>
      </c>
      <c r="E28" s="50" t="s">
        <v>192</v>
      </c>
      <c r="F28" s="50" t="s">
        <v>193</v>
      </c>
    </row>
    <row r="29" spans="1:11" s="50" customFormat="1" ht="16" x14ac:dyDescent="0.4">
      <c r="A29" s="50" t="s">
        <v>194</v>
      </c>
      <c r="B29" s="431">
        <v>2024</v>
      </c>
      <c r="C29" s="432">
        <v>282643</v>
      </c>
      <c r="D29" s="439">
        <v>45882</v>
      </c>
      <c r="E29" s="50" t="s">
        <v>195</v>
      </c>
      <c r="F29" s="61" t="s">
        <v>196</v>
      </c>
    </row>
    <row r="30" spans="1:11" s="50" customFormat="1" ht="16" x14ac:dyDescent="0.4">
      <c r="A30" s="50" t="s">
        <v>183</v>
      </c>
      <c r="B30" s="431">
        <v>2024</v>
      </c>
      <c r="C30" s="432">
        <v>11136722</v>
      </c>
      <c r="D30" s="433">
        <v>46007</v>
      </c>
      <c r="E30" s="8" t="s">
        <v>197</v>
      </c>
      <c r="F30" s="8" t="s">
        <v>198</v>
      </c>
    </row>
    <row r="31" spans="1:11" s="50" customFormat="1" ht="16" x14ac:dyDescent="0.4">
      <c r="A31" s="50" t="s">
        <v>184</v>
      </c>
      <c r="B31" s="431">
        <v>2024</v>
      </c>
      <c r="C31" s="432">
        <v>166642548</v>
      </c>
      <c r="D31" s="433">
        <v>46007</v>
      </c>
      <c r="E31" s="8" t="s">
        <v>197</v>
      </c>
      <c r="F31" s="8" t="s">
        <v>198</v>
      </c>
      <c r="I31" s="57"/>
      <c r="J31" s="57"/>
    </row>
    <row r="32" spans="1:11" s="50" customFormat="1" ht="16" x14ac:dyDescent="0.4">
      <c r="A32" s="595" t="s">
        <v>11</v>
      </c>
      <c r="B32" s="595"/>
      <c r="C32" s="595"/>
      <c r="D32" s="595"/>
      <c r="E32" s="595"/>
      <c r="F32" s="595"/>
    </row>
    <row r="33" spans="1:6" s="50" customFormat="1" ht="16" x14ac:dyDescent="0.4">
      <c r="A33" s="57"/>
      <c r="B33" s="140"/>
    </row>
    <row r="34" spans="1:6" s="50" customFormat="1" ht="16" x14ac:dyDescent="0.4">
      <c r="A34" s="155" t="s">
        <v>150</v>
      </c>
      <c r="C34" s="61"/>
    </row>
    <row r="35" spans="1:6" s="50" customFormat="1" ht="16" x14ac:dyDescent="0.4">
      <c r="A35" s="57"/>
      <c r="C35" s="61"/>
      <c r="F35" s="57"/>
    </row>
    <row r="36" spans="1:6" s="50" customFormat="1" ht="16" x14ac:dyDescent="0.4"/>
    <row r="37" spans="1:6" s="50" customFormat="1" ht="16" x14ac:dyDescent="0.4"/>
    <row r="38" spans="1:6" s="50" customFormat="1" ht="16" x14ac:dyDescent="0.4"/>
    <row r="39" spans="1:6" s="50" customFormat="1" ht="16" x14ac:dyDescent="0.4"/>
    <row r="40" spans="1:6" s="50" customFormat="1" ht="16" x14ac:dyDescent="0.4"/>
    <row r="41" spans="1:6" s="50" customFormat="1" ht="16" x14ac:dyDescent="0.4"/>
    <row r="42" spans="1:6" s="50" customFormat="1" ht="16" x14ac:dyDescent="0.4"/>
    <row r="43" spans="1:6" s="50" customFormat="1" ht="16" x14ac:dyDescent="0.4"/>
    <row r="44" spans="1:6" s="50" customFormat="1" ht="16" x14ac:dyDescent="0.4"/>
    <row r="45" spans="1:6" s="50" customFormat="1" ht="16" x14ac:dyDescent="0.4"/>
    <row r="46" spans="1:6" s="50" customFormat="1" ht="16" x14ac:dyDescent="0.4"/>
    <row r="47" spans="1:6" s="50" customFormat="1" ht="16" x14ac:dyDescent="0.4"/>
    <row r="48" spans="1:6" s="50" customFormat="1" ht="16" x14ac:dyDescent="0.4"/>
    <row r="49" s="50" customFormat="1" ht="16" x14ac:dyDescent="0.4"/>
    <row r="50" s="50" customFormat="1" ht="16" x14ac:dyDescent="0.4"/>
  </sheetData>
  <phoneticPr fontId="11" type="noConversion"/>
  <hyperlinks>
    <hyperlink ref="M10" r:id="rId1" display="https://www.iso-ne.com/isoexpress/web/reports/load-and-demand/-/tree/net-ener-peak-load" xr:uid="{00000000-0004-0000-0200-000003000000}"/>
    <hyperlink ref="A3" r:id="rId2" xr:uid="{E25D18B9-DDF7-408E-AC96-CE7C02611FB0}"/>
    <hyperlink ref="F16" r:id="rId3" xr:uid="{14D68989-ED7D-432E-911E-0B2D41DF0D2B}"/>
    <hyperlink ref="A2" r:id="rId4" display="https://www.iso-ne.com/isoexpress/web/reports/load-and-demand/-/tree/net-ener-peak-load" xr:uid="{365D28BF-D9D5-4560-9625-8601AC22BFE9}"/>
    <hyperlink ref="M9" r:id="rId5" xr:uid="{3CC4380B-211D-43A5-A246-4BB7F27CFCF8}"/>
    <hyperlink ref="F17:F20" r:id="rId6" display="ISO New England Net Energy and Peak Load" xr:uid="{480EF216-6D3F-4356-ABAC-2BE29D252310}"/>
    <hyperlink ref="F17" r:id="rId7" display="ISO New England Net Energy and Peak Load" xr:uid="{9457B1C5-E2F9-4E99-A57E-418B07D79C31}"/>
    <hyperlink ref="F18" r:id="rId8" display="ISO New England Net Energy and Peak Load" xr:uid="{3A14972E-2918-4074-BFC1-78CF1A76ADBA}"/>
    <hyperlink ref="F19" r:id="rId9" display="ISO New England Net Energy and Peak Load" xr:uid="{F8571EA0-09B9-419E-94E7-FC1C1B2BD1F4}"/>
    <hyperlink ref="F20" r:id="rId10" display="ISO New England Net Energy and Peak Load" xr:uid="{F55D6150-EF58-4D77-A432-2A3724645B40}"/>
  </hyperlinks>
  <pageMargins left="0.7" right="0.7" top="0.75" bottom="0.75" header="0.3" footer="0.3"/>
  <pageSetup scale="68" orientation="landscape" r:id="rId11"/>
  <headerFooter>
    <oddFooter>&amp;R&amp;A Page &amp;P of &amp;N</oddFooter>
  </headerFooter>
  <tableParts count="3">
    <tablePart r:id="rId12"/>
    <tablePart r:id="rId13"/>
    <tablePart r:id="rId1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7" tint="0.79998168889431442"/>
    <pageSetUpPr fitToPage="1"/>
  </sheetPr>
  <dimension ref="A1:K261"/>
  <sheetViews>
    <sheetView zoomScaleNormal="100" workbookViewId="0"/>
  </sheetViews>
  <sheetFormatPr defaultColWidth="8.81640625" defaultRowHeight="16" x14ac:dyDescent="0.4"/>
  <cols>
    <col min="1" max="1" width="61.7265625" style="3" customWidth="1"/>
    <col min="2" max="2" width="39.453125" style="3" customWidth="1"/>
    <col min="3" max="4" width="70.1796875" style="3" customWidth="1"/>
    <col min="5" max="6" width="25.453125" style="3" customWidth="1"/>
    <col min="7" max="7" width="22" style="3" customWidth="1"/>
    <col min="8" max="8" width="17.54296875" style="3" customWidth="1"/>
    <col min="9" max="9" width="22.1796875" style="3" customWidth="1"/>
    <col min="10" max="10" width="19.54296875" style="3" customWidth="1"/>
    <col min="11" max="11" width="14.1796875" style="3" customWidth="1"/>
    <col min="12" max="16384" width="8.81640625" style="3"/>
  </cols>
  <sheetData>
    <row r="1" spans="1:10" ht="21.75" customHeight="1" x14ac:dyDescent="0.5">
      <c r="A1" s="49" t="s">
        <v>4575</v>
      </c>
    </row>
    <row r="2" spans="1:10" ht="14.25" customHeight="1" x14ac:dyDescent="0.4">
      <c r="A2" s="3" t="s">
        <v>4479</v>
      </c>
    </row>
    <row r="3" spans="1:10" ht="15" customHeight="1" x14ac:dyDescent="0.4">
      <c r="A3" s="3" t="s">
        <v>199</v>
      </c>
    </row>
    <row r="4" spans="1:10" ht="15" customHeight="1" x14ac:dyDescent="0.4">
      <c r="A4" s="3" t="s">
        <v>200</v>
      </c>
    </row>
    <row r="5" spans="1:10" ht="15" customHeight="1" x14ac:dyDescent="0.4">
      <c r="A5" s="3" t="s">
        <v>4504</v>
      </c>
    </row>
    <row r="6" spans="1:10" ht="15" customHeight="1" x14ac:dyDescent="0.4"/>
    <row r="7" spans="1:10" ht="15" customHeight="1" x14ac:dyDescent="0.4">
      <c r="A7" s="4" t="s">
        <v>201</v>
      </c>
    </row>
    <row r="8" spans="1:10" ht="15" customHeight="1" x14ac:dyDescent="0.4">
      <c r="A8" s="4" t="s">
        <v>202</v>
      </c>
      <c r="B8" s="19" t="s">
        <v>33</v>
      </c>
      <c r="C8" s="412" t="s">
        <v>37</v>
      </c>
      <c r="D8" s="412" t="s">
        <v>34</v>
      </c>
      <c r="E8" s="412" t="s">
        <v>35</v>
      </c>
      <c r="F8" s="412" t="s">
        <v>52</v>
      </c>
      <c r="G8" s="412" t="s">
        <v>38</v>
      </c>
      <c r="H8" s="412" t="s">
        <v>36</v>
      </c>
      <c r="I8" s="412" t="s">
        <v>54</v>
      </c>
      <c r="J8" s="412" t="s">
        <v>53</v>
      </c>
    </row>
    <row r="9" spans="1:10" ht="15" customHeight="1" x14ac:dyDescent="0.4">
      <c r="A9" s="37" t="s">
        <v>203</v>
      </c>
      <c r="B9" s="78">
        <f t="shared" ref="B9:H9" si="0">SUM(B10:B15)</f>
        <v>17197949376.245518</v>
      </c>
      <c r="C9" s="78">
        <f t="shared" si="0"/>
        <v>22453359135.266613</v>
      </c>
      <c r="D9" s="74">
        <f t="shared" si="0"/>
        <v>5581700093.2785225</v>
      </c>
      <c r="E9" s="74">
        <f t="shared" si="0"/>
        <v>5802272985.583704</v>
      </c>
      <c r="F9" s="74">
        <f t="shared" si="0"/>
        <v>63325810007.737244</v>
      </c>
      <c r="G9" s="74">
        <f t="shared" si="0"/>
        <v>7848960370.7056999</v>
      </c>
      <c r="H9" s="74">
        <f t="shared" si="0"/>
        <v>27478073.108064614</v>
      </c>
      <c r="I9" s="79">
        <f>D243*2204622.62</f>
        <v>770048225.69456005</v>
      </c>
      <c r="J9" s="78">
        <f>D255*2204622.62</f>
        <v>8881584574.7617817</v>
      </c>
    </row>
    <row r="10" spans="1:10" ht="15" customHeight="1" x14ac:dyDescent="0.4">
      <c r="A10" s="3" t="s">
        <v>204</v>
      </c>
      <c r="B10" s="214">
        <f>E36</f>
        <v>4482230444.6425037</v>
      </c>
      <c r="C10" s="214">
        <f>E68</f>
        <v>2114687792.8721871</v>
      </c>
      <c r="D10" s="75">
        <f>E99</f>
        <v>306770125.76474845</v>
      </c>
      <c r="E10" s="75">
        <f>E130</f>
        <v>1218396072.4404192</v>
      </c>
      <c r="F10" s="75">
        <f>E162</f>
        <v>17769170629.026226</v>
      </c>
      <c r="G10" s="75">
        <f>E193</f>
        <v>194833.02794559998</v>
      </c>
      <c r="H10" s="76">
        <f>E224</f>
        <v>8360424.845966599</v>
      </c>
      <c r="I10" s="47" t="s">
        <v>170</v>
      </c>
      <c r="J10" s="441" t="s">
        <v>170</v>
      </c>
    </row>
    <row r="11" spans="1:10" ht="15" customHeight="1" x14ac:dyDescent="0.4">
      <c r="A11" s="3" t="s">
        <v>205</v>
      </c>
      <c r="B11" s="77">
        <f>'EPA Part 75'!B368*2000</f>
        <v>12560501452</v>
      </c>
      <c r="C11" s="77">
        <f>'EPA Part 75'!B367*2000</f>
        <v>20246104099.999996</v>
      </c>
      <c r="D11" s="76">
        <f>'EPA Part 75'!B369*2000</f>
        <v>5232667466</v>
      </c>
      <c r="E11" s="76">
        <f>'EPA Part 75'!B370*2000</f>
        <v>4544858552</v>
      </c>
      <c r="F11" s="76">
        <f>'EPA Part 75'!B371*2000</f>
        <v>45467031489.999992</v>
      </c>
      <c r="G11" s="76">
        <f>'EPA Part 75'!B372*2000</f>
        <v>7839448489.999999</v>
      </c>
      <c r="H11" s="75">
        <f>'EPA Part 75'!B373*2000</f>
        <v>4036400.0000000005</v>
      </c>
      <c r="I11" s="47" t="s">
        <v>170</v>
      </c>
      <c r="J11" s="441" t="s">
        <v>170</v>
      </c>
    </row>
    <row r="12" spans="1:10" ht="15" customHeight="1" x14ac:dyDescent="0.4">
      <c r="A12" s="3" t="s">
        <v>206</v>
      </c>
      <c r="B12" s="214">
        <f>G36</f>
        <v>35938672.780870862</v>
      </c>
      <c r="C12" s="214">
        <f>G68</f>
        <v>23517361.4495643</v>
      </c>
      <c r="D12" s="75">
        <f>G99</f>
        <v>4996574.5634112218</v>
      </c>
      <c r="E12" s="75">
        <f>G130</f>
        <v>5246264.1137557831</v>
      </c>
      <c r="F12" s="75">
        <f>G162</f>
        <v>33045092.750194114</v>
      </c>
      <c r="G12" s="75">
        <f>G193</f>
        <v>3688782.669772129</v>
      </c>
      <c r="H12" s="75">
        <f>G224</f>
        <v>11569.087891843001</v>
      </c>
      <c r="I12" s="47" t="s">
        <v>170</v>
      </c>
      <c r="J12" s="441" t="s">
        <v>170</v>
      </c>
    </row>
    <row r="13" spans="1:10" ht="15" customHeight="1" x14ac:dyDescent="0.4">
      <c r="A13" s="3" t="s">
        <v>207</v>
      </c>
      <c r="B13" s="214">
        <f>I36</f>
        <v>54070671.267315827</v>
      </c>
      <c r="C13" s="214">
        <f>I68</f>
        <v>33339698.848810662</v>
      </c>
      <c r="D13" s="75">
        <f>I99</f>
        <v>6989320.3453607783</v>
      </c>
      <c r="E13" s="75">
        <f>I130</f>
        <v>7846313.5815433422</v>
      </c>
      <c r="F13" s="75">
        <f>I162</f>
        <v>41913862.080301039</v>
      </c>
      <c r="G13" s="75">
        <f>I193</f>
        <v>4408466.2643754678</v>
      </c>
      <c r="H13" s="75">
        <f>I224</f>
        <v>27064.386884870422</v>
      </c>
      <c r="I13" s="47" t="s">
        <v>170</v>
      </c>
      <c r="J13" s="441" t="s">
        <v>170</v>
      </c>
    </row>
    <row r="14" spans="1:10" ht="15" customHeight="1" x14ac:dyDescent="0.4">
      <c r="A14" s="3" t="s">
        <v>208</v>
      </c>
      <c r="B14" s="214">
        <f>G49</f>
        <v>24584321.66892194</v>
      </c>
      <c r="C14" s="214">
        <f>G81</f>
        <v>12229600.550709981</v>
      </c>
      <c r="D14" s="75">
        <f>G112</f>
        <v>5094078.9903411344</v>
      </c>
      <c r="E14" s="75">
        <f>G143</f>
        <v>4742087.6550375232</v>
      </c>
      <c r="F14" s="75">
        <f>G175</f>
        <v>5337760.5050314935</v>
      </c>
      <c r="G14" s="75">
        <f>G206</f>
        <v>364472.62078363996</v>
      </c>
      <c r="H14" s="75">
        <f>G237</f>
        <v>2214078.1582322754</v>
      </c>
      <c r="I14" s="47" t="s">
        <v>170</v>
      </c>
      <c r="J14" s="441" t="s">
        <v>170</v>
      </c>
    </row>
    <row r="15" spans="1:10" ht="15" customHeight="1" x14ac:dyDescent="0.4">
      <c r="A15" s="3" t="s">
        <v>209</v>
      </c>
      <c r="B15" s="214">
        <f>I49</f>
        <v>40623813.885907255</v>
      </c>
      <c r="C15" s="214">
        <f>I81</f>
        <v>23480581.54534252</v>
      </c>
      <c r="D15" s="75">
        <f>I112</f>
        <v>25182527.614660762</v>
      </c>
      <c r="E15" s="75">
        <f>I143</f>
        <v>21183695.79294771</v>
      </c>
      <c r="F15" s="75">
        <f>I175</f>
        <v>9311173.3755094483</v>
      </c>
      <c r="G15" s="75">
        <f>I206</f>
        <v>855326.12282400706</v>
      </c>
      <c r="H15" s="75">
        <f>I237</f>
        <v>12828536.629089028</v>
      </c>
      <c r="I15" s="47" t="s">
        <v>170</v>
      </c>
      <c r="J15" s="441" t="s">
        <v>170</v>
      </c>
    </row>
    <row r="16" spans="1:10" ht="15" customHeight="1" x14ac:dyDescent="0.4">
      <c r="A16" s="4" t="s">
        <v>50</v>
      </c>
      <c r="B16" s="78">
        <f>E49</f>
        <v>2552781148.1682935</v>
      </c>
      <c r="C16" s="78">
        <f>E81</f>
        <v>1542656356.9969101</v>
      </c>
      <c r="D16" s="74">
        <f>E112</f>
        <v>2210965044.4889917</v>
      </c>
      <c r="E16" s="74">
        <f>E143</f>
        <v>1806795595.090663</v>
      </c>
      <c r="F16" s="74">
        <f>E175</f>
        <v>1178351235.233037</v>
      </c>
      <c r="G16" s="74">
        <f>E206</f>
        <v>237226117.05255169</v>
      </c>
      <c r="H16" s="74">
        <f>E237</f>
        <v>1130593870.4831975</v>
      </c>
      <c r="I16" s="79">
        <f>E244</f>
        <v>2613452472.7222738</v>
      </c>
      <c r="J16" s="223">
        <f>E256</f>
        <v>0</v>
      </c>
    </row>
    <row r="17" spans="1:10" ht="15" customHeight="1" x14ac:dyDescent="0.4">
      <c r="A17" s="3" t="s">
        <v>11</v>
      </c>
      <c r="B17" s="79"/>
      <c r="C17" s="79"/>
      <c r="D17" s="79"/>
      <c r="E17" s="79"/>
      <c r="F17" s="79"/>
      <c r="G17" s="79"/>
      <c r="H17" s="79"/>
      <c r="I17" s="79"/>
      <c r="J17" s="79"/>
    </row>
    <row r="18" spans="1:10" ht="15" customHeight="1" x14ac:dyDescent="0.4"/>
    <row r="19" spans="1:10" x14ac:dyDescent="0.4">
      <c r="A19" s="4" t="s">
        <v>210</v>
      </c>
      <c r="B19" s="4"/>
      <c r="C19" s="4"/>
      <c r="D19" s="412"/>
      <c r="E19" s="412"/>
      <c r="F19" s="4"/>
      <c r="G19" s="4"/>
      <c r="H19" s="4"/>
      <c r="I19" s="4"/>
    </row>
    <row r="20" spans="1:10" x14ac:dyDescent="0.4">
      <c r="A20" s="16" t="s">
        <v>211</v>
      </c>
      <c r="B20" s="4"/>
      <c r="C20" s="4"/>
      <c r="D20" s="4"/>
      <c r="E20" s="4"/>
      <c r="F20" s="4"/>
      <c r="G20" s="4"/>
      <c r="H20" s="4"/>
      <c r="I20" s="4"/>
      <c r="J20" s="4"/>
    </row>
    <row r="21" spans="1:10" s="24" customFormat="1" ht="32" x14ac:dyDescent="0.4">
      <c r="A21" s="442" t="s">
        <v>212</v>
      </c>
      <c r="B21" s="443" t="s">
        <v>213</v>
      </c>
      <c r="C21" s="443" t="s">
        <v>214</v>
      </c>
      <c r="D21" s="443" t="s">
        <v>215</v>
      </c>
      <c r="E21" s="443" t="s">
        <v>216</v>
      </c>
      <c r="F21" s="443" t="s">
        <v>217</v>
      </c>
      <c r="G21" s="443" t="s">
        <v>218</v>
      </c>
      <c r="H21" s="443" t="s">
        <v>219</v>
      </c>
      <c r="I21" s="443" t="s">
        <v>220</v>
      </c>
    </row>
    <row r="22" spans="1:10" x14ac:dyDescent="0.4">
      <c r="A22" s="444" t="s">
        <v>221</v>
      </c>
      <c r="B22" s="218" t="s">
        <v>222</v>
      </c>
      <c r="C22" s="445">
        <f>'EIA Form 923'!G3100-'EIA Form 923'!I3100</f>
        <v>0</v>
      </c>
      <c r="D22" s="211">
        <f>'EIA Form 923'!G3100</f>
        <v>0</v>
      </c>
      <c r="E22" s="212">
        <f>C22*'GWPs and Fuel EFs'!$B23</f>
        <v>0</v>
      </c>
      <c r="F22" s="445">
        <f>D22*'GWPs and Fuel EFs'!$B66</f>
        <v>0</v>
      </c>
      <c r="G22" s="211">
        <f>F22*'GWPs and Fuel EFs'!$B$7</f>
        <v>0</v>
      </c>
      <c r="H22" s="445">
        <f>D22*'GWPs and Fuel EFs'!$B91</f>
        <v>0</v>
      </c>
      <c r="I22" s="211">
        <f>H22*'GWPs and Fuel EFs'!$C$7</f>
        <v>0</v>
      </c>
    </row>
    <row r="23" spans="1:10" x14ac:dyDescent="0.4">
      <c r="A23" s="444" t="s">
        <v>223</v>
      </c>
      <c r="B23" s="219" t="s">
        <v>224</v>
      </c>
      <c r="C23" s="445">
        <f>'EIA Form 923'!G3101-'EIA Form 923'!I3101</f>
        <v>0</v>
      </c>
      <c r="D23" s="211">
        <f>'EIA Form 923'!G3101</f>
        <v>0</v>
      </c>
      <c r="E23" s="212">
        <f>C23*'GWPs and Fuel EFs'!$B24</f>
        <v>0</v>
      </c>
      <c r="F23" s="445">
        <f>D23*'GWPs and Fuel EFs'!$B67</f>
        <v>0</v>
      </c>
      <c r="G23" s="211">
        <f>F23*'GWPs and Fuel EFs'!$B$7</f>
        <v>0</v>
      </c>
      <c r="H23" s="445">
        <f>D23*'GWPs and Fuel EFs'!$B92</f>
        <v>0</v>
      </c>
      <c r="I23" s="211">
        <f>H23*'GWPs and Fuel EFs'!$C$7</f>
        <v>0</v>
      </c>
    </row>
    <row r="24" spans="1:10" x14ac:dyDescent="0.4">
      <c r="A24" s="444" t="s">
        <v>225</v>
      </c>
      <c r="B24" s="219" t="s">
        <v>226</v>
      </c>
      <c r="C24" s="445">
        <f>'EIA Form 923'!G3102-'EIA Form 923'!I3102</f>
        <v>116608</v>
      </c>
      <c r="D24" s="211">
        <f>'EIA Form 923'!G3102</f>
        <v>881927</v>
      </c>
      <c r="E24" s="212">
        <f>C24*'GWPs and Fuel EFs'!$B25</f>
        <v>19059639.029094398</v>
      </c>
      <c r="F24" s="445">
        <f>D24*'GWPs and Fuel EFs'!$B68</f>
        <v>5832.9486401662198</v>
      </c>
      <c r="G24" s="211">
        <f>F24*'GWPs and Fuel EFs'!$B$7</f>
        <v>145823.71600415549</v>
      </c>
      <c r="H24" s="445">
        <f>D24*'GWPs and Fuel EFs'!$B93</f>
        <v>1166.5897280332438</v>
      </c>
      <c r="I24" s="211">
        <f>H24*'GWPs and Fuel EFs'!$C$7</f>
        <v>347643.73895390664</v>
      </c>
    </row>
    <row r="25" spans="1:10" x14ac:dyDescent="0.4">
      <c r="A25" s="444" t="s">
        <v>227</v>
      </c>
      <c r="B25" s="219" t="s">
        <v>228</v>
      </c>
      <c r="C25" s="445">
        <f>'EIA Form 923'!G3103-'EIA Form 923'!I3103</f>
        <v>9679906</v>
      </c>
      <c r="D25" s="211">
        <f>'EIA Form 923'!G3103</f>
        <v>115881457</v>
      </c>
      <c r="E25" s="212">
        <f>C25*'GWPs and Fuel EFs'!$B26</f>
        <v>1129126615.090245</v>
      </c>
      <c r="F25" s="445">
        <f>D25*'GWPs and Fuel EFs'!$B69</f>
        <v>255474.88134075733</v>
      </c>
      <c r="G25" s="211">
        <f>F25*'GWPs and Fuel EFs'!$B$7</f>
        <v>6386872.0335189337</v>
      </c>
      <c r="H25" s="445">
        <f>D25*'GWPs and Fuel EFs'!$B94</f>
        <v>25547.488134075735</v>
      </c>
      <c r="I25" s="211">
        <f>H25*'GWPs and Fuel EFs'!$C$7</f>
        <v>7613151.4639545688</v>
      </c>
    </row>
    <row r="26" spans="1:10" x14ac:dyDescent="0.4">
      <c r="A26" s="444" t="s">
        <v>229</v>
      </c>
      <c r="B26" s="219" t="s">
        <v>230</v>
      </c>
      <c r="C26" s="445">
        <f>'EIA Form 923'!G3105-'EIA Form 923'!I3105</f>
        <v>16600798</v>
      </c>
      <c r="D26" s="211">
        <f>'EIA Form 923'!G3105</f>
        <v>16600798</v>
      </c>
      <c r="E26" s="212">
        <f>C26*'GWPs and Fuel EFs'!$B27</f>
        <v>3319483476.6231642</v>
      </c>
      <c r="F26" s="445">
        <f>D26*'GWPs and Fuel EFs'!$B70</f>
        <v>1171151.8329872242</v>
      </c>
      <c r="G26" s="211">
        <f>F26*'GWPs and Fuel EFs'!$B$7</f>
        <v>29278795.824680604</v>
      </c>
      <c r="H26" s="445">
        <f>D26*'GWPs and Fuel EFs'!$B95</f>
        <v>153713.67807957318</v>
      </c>
      <c r="I26" s="211">
        <f>H26*'GWPs and Fuel EFs'!$C$7</f>
        <v>45806676.067712806</v>
      </c>
    </row>
    <row r="27" spans="1:10" x14ac:dyDescent="0.4">
      <c r="A27" s="444" t="s">
        <v>231</v>
      </c>
      <c r="B27" s="219" t="s">
        <v>232</v>
      </c>
      <c r="C27" s="445">
        <f>'EIA Form 923'!G3106-'EIA Form 923'!I3106</f>
        <v>0</v>
      </c>
      <c r="D27" s="211">
        <f>'EIA Form 923'!G3106</f>
        <v>0</v>
      </c>
      <c r="E27" s="212">
        <f>C27*'GWPs and Fuel EFs'!$B28</f>
        <v>0</v>
      </c>
      <c r="F27" s="445">
        <f>D27*'GWPs and Fuel EFs'!$B71</f>
        <v>0</v>
      </c>
      <c r="G27" s="211">
        <f>F27*'GWPs and Fuel EFs'!$B$7</f>
        <v>0</v>
      </c>
      <c r="H27" s="445">
        <f>D27*'GWPs and Fuel EFs'!$B96</f>
        <v>0</v>
      </c>
      <c r="I27" s="211">
        <f>H27*'GWPs and Fuel EFs'!$C$7</f>
        <v>0</v>
      </c>
    </row>
    <row r="28" spans="1:10" x14ac:dyDescent="0.4">
      <c r="A28" s="444" t="s">
        <v>233</v>
      </c>
      <c r="B28" s="219" t="s">
        <v>234</v>
      </c>
      <c r="C28" s="445">
        <f>'EIA Form 923'!G3107-'EIA Form 923'!I3107</f>
        <v>0</v>
      </c>
      <c r="D28" s="211">
        <f>'EIA Form 923'!G3107</f>
        <v>0</v>
      </c>
      <c r="E28" s="212">
        <f>C28*'GWPs and Fuel EFs'!$B29</f>
        <v>0</v>
      </c>
      <c r="F28" s="445">
        <f>D28*'GWPs and Fuel EFs'!$B72</f>
        <v>0</v>
      </c>
      <c r="G28" s="211">
        <f>F28*'GWPs and Fuel EFs'!$B$7</f>
        <v>0</v>
      </c>
      <c r="H28" s="445">
        <f>D28*'GWPs and Fuel EFs'!$B97</f>
        <v>0</v>
      </c>
      <c r="I28" s="211">
        <f>H28*'GWPs and Fuel EFs'!$C$7</f>
        <v>0</v>
      </c>
    </row>
    <row r="29" spans="1:10" x14ac:dyDescent="0.4">
      <c r="A29" s="444" t="s">
        <v>235</v>
      </c>
      <c r="B29" s="219" t="s">
        <v>236</v>
      </c>
      <c r="C29" s="445">
        <f>'EIA Form 923'!G3108-'EIA Form 923'!I3108</f>
        <v>0</v>
      </c>
      <c r="D29" s="211">
        <f>'EIA Form 923'!G3108</f>
        <v>0</v>
      </c>
      <c r="E29" s="212">
        <f>C29*'GWPs and Fuel EFs'!$B30</f>
        <v>0</v>
      </c>
      <c r="F29" s="445">
        <f>D29*'GWPs and Fuel EFs'!$B73</f>
        <v>0</v>
      </c>
      <c r="G29" s="211">
        <f>F29*'GWPs and Fuel EFs'!$B$7</f>
        <v>0</v>
      </c>
      <c r="H29" s="445">
        <f>D29*'GWPs and Fuel EFs'!$B98</f>
        <v>0</v>
      </c>
      <c r="I29" s="211">
        <f>H29*'GWPs and Fuel EFs'!$C$7</f>
        <v>0</v>
      </c>
    </row>
    <row r="30" spans="1:10" x14ac:dyDescent="0.4">
      <c r="A30" s="444" t="s">
        <v>237</v>
      </c>
      <c r="B30" s="219" t="s">
        <v>238</v>
      </c>
      <c r="C30" s="445">
        <f>'EIA Form 923'!G3109-'EIA Form 923'!I3109</f>
        <v>0</v>
      </c>
      <c r="D30" s="211">
        <f>'EIA Form 923'!G3109</f>
        <v>745233</v>
      </c>
      <c r="E30" s="212">
        <f>C30*'GWPs and Fuel EFs'!$B31</f>
        <v>0</v>
      </c>
      <c r="F30" s="445">
        <f>D30*'GWPs and Fuel EFs'!$B74</f>
        <v>4928.8725869113796</v>
      </c>
      <c r="G30" s="211">
        <f>F30*'GWPs and Fuel EFs'!$B$7</f>
        <v>123221.81467278449</v>
      </c>
      <c r="H30" s="445">
        <f>D30*'GWPs and Fuel EFs'!$B99</f>
        <v>985.77451738227592</v>
      </c>
      <c r="I30" s="211">
        <f>H30*'GWPs and Fuel EFs'!$C$7</f>
        <v>293760.80617991823</v>
      </c>
    </row>
    <row r="31" spans="1:10" x14ac:dyDescent="0.4">
      <c r="A31" s="444" t="s">
        <v>239</v>
      </c>
      <c r="B31" s="219" t="s">
        <v>240</v>
      </c>
      <c r="C31" s="445">
        <f>'EIA Form 923'!G3110-'EIA Form 923'!I3110</f>
        <v>0</v>
      </c>
      <c r="D31" s="211">
        <f>'EIA Form 923'!G3110</f>
        <v>0</v>
      </c>
      <c r="E31" s="212">
        <f>C31*'GWPs and Fuel EFs'!$B32</f>
        <v>0</v>
      </c>
      <c r="F31" s="445">
        <f>D31*'GWPs and Fuel EFs'!$B75</f>
        <v>0</v>
      </c>
      <c r="G31" s="211">
        <f>F31*'GWPs and Fuel EFs'!$B$7</f>
        <v>0</v>
      </c>
      <c r="H31" s="445">
        <f>D31*'GWPs and Fuel EFs'!$B100</f>
        <v>0</v>
      </c>
      <c r="I31" s="211">
        <f>H31*'GWPs and Fuel EFs'!$C$7</f>
        <v>0</v>
      </c>
    </row>
    <row r="32" spans="1:10" x14ac:dyDescent="0.4">
      <c r="A32" s="444" t="s">
        <v>241</v>
      </c>
      <c r="B32" s="219" t="s">
        <v>242</v>
      </c>
      <c r="C32" s="445">
        <f>'EIA Form 923'!G3111-'EIA Form 923'!I3111</f>
        <v>0</v>
      </c>
      <c r="D32" s="211">
        <f>'EIA Form 923'!G3111</f>
        <v>23946</v>
      </c>
      <c r="E32" s="212">
        <f>C32*'GWPs and Fuel EFs'!$B33</f>
        <v>0</v>
      </c>
      <c r="F32" s="445">
        <f>D32*'GWPs and Fuel EFs'!$B76</f>
        <v>158.37567977556</v>
      </c>
      <c r="G32" s="211">
        <f>F32*'GWPs and Fuel EFs'!$B$7</f>
        <v>3959.391994389</v>
      </c>
      <c r="H32" s="445">
        <f>D32*'GWPs and Fuel EFs'!$B101</f>
        <v>31.675135955111998</v>
      </c>
      <c r="I32" s="211">
        <f>H32*'GWPs and Fuel EFs'!$C$7</f>
        <v>9439.1905146233748</v>
      </c>
    </row>
    <row r="33" spans="1:11" x14ac:dyDescent="0.4">
      <c r="A33" s="444" t="s">
        <v>243</v>
      </c>
      <c r="B33" s="219" t="s">
        <v>244</v>
      </c>
      <c r="C33" s="445">
        <f>'EIA Form 923'!G3112-'EIA Form 923'!I3112</f>
        <v>0</v>
      </c>
      <c r="D33" s="211">
        <f>'EIA Form 923'!G3112</f>
        <v>0</v>
      </c>
      <c r="E33" s="212">
        <f>C33*'GWPs and Fuel EFs'!$B34</f>
        <v>0</v>
      </c>
      <c r="F33" s="445">
        <f>D33*'GWPs and Fuel EFs'!$B77</f>
        <v>0</v>
      </c>
      <c r="G33" s="211">
        <f>F33*'GWPs and Fuel EFs'!$B$7</f>
        <v>0</v>
      </c>
      <c r="H33" s="445">
        <f>D33*'GWPs and Fuel EFs'!$B102</f>
        <v>0</v>
      </c>
      <c r="I33" s="211">
        <f>H33*'GWPs and Fuel EFs'!$C$7</f>
        <v>0</v>
      </c>
    </row>
    <row r="34" spans="1:11" x14ac:dyDescent="0.4">
      <c r="A34" s="444" t="s">
        <v>245</v>
      </c>
      <c r="B34" s="219" t="s">
        <v>246</v>
      </c>
      <c r="C34" s="445">
        <f>'EIA Form 923'!G3113-'EIA Form 923'!I3113</f>
        <v>0</v>
      </c>
      <c r="D34" s="211">
        <f>'EIA Form 923'!G3113</f>
        <v>0</v>
      </c>
      <c r="E34" s="212">
        <f>C34*'GWPs and Fuel EFs'!$B35</f>
        <v>0</v>
      </c>
      <c r="F34" s="445">
        <f>D34*'GWPs and Fuel EFs'!$B78</f>
        <v>0</v>
      </c>
      <c r="G34" s="211">
        <f>F34*'GWPs and Fuel EFs'!$B$7</f>
        <v>0</v>
      </c>
      <c r="H34" s="445">
        <f>D34*'GWPs and Fuel EFs'!$B103</f>
        <v>0</v>
      </c>
      <c r="I34" s="211">
        <f>H34*'GWPs and Fuel EFs'!$C$7</f>
        <v>0</v>
      </c>
    </row>
    <row r="35" spans="1:11" x14ac:dyDescent="0.4">
      <c r="A35" s="444" t="s">
        <v>247</v>
      </c>
      <c r="B35" s="219" t="s">
        <v>248</v>
      </c>
      <c r="C35" s="441" t="s">
        <v>170</v>
      </c>
      <c r="D35" s="211" t="s">
        <v>170</v>
      </c>
      <c r="E35" s="212">
        <f>'EIA Form 923'!H3104*'GWPs and Fuel EFs'!$B$56</f>
        <v>14560713.9</v>
      </c>
      <c r="F35" s="445" t="s">
        <v>170</v>
      </c>
      <c r="G35" s="213" t="s">
        <v>170</v>
      </c>
      <c r="H35" s="445" t="s">
        <v>170</v>
      </c>
      <c r="I35" s="213" t="s">
        <v>170</v>
      </c>
    </row>
    <row r="36" spans="1:11" x14ac:dyDescent="0.4">
      <c r="A36" s="446" t="s">
        <v>249</v>
      </c>
      <c r="B36" s="447" t="s">
        <v>170</v>
      </c>
      <c r="C36" s="448" t="s">
        <v>170</v>
      </c>
      <c r="D36" s="449" t="s">
        <v>170</v>
      </c>
      <c r="E36" s="450">
        <f>SUM(E22:E34)+E35</f>
        <v>4482230444.6425037</v>
      </c>
      <c r="F36" s="449" t="s">
        <v>170</v>
      </c>
      <c r="G36" s="451">
        <f>SUM(G22:G34)</f>
        <v>35938672.780870862</v>
      </c>
      <c r="H36" s="449" t="s">
        <v>170</v>
      </c>
      <c r="I36" s="451">
        <f>SUM(I22:I34)</f>
        <v>54070671.267315827</v>
      </c>
    </row>
    <row r="37" spans="1:11" x14ac:dyDescent="0.4">
      <c r="A37" s="444" t="s">
        <v>11</v>
      </c>
      <c r="B37" s="47"/>
      <c r="C37" s="210"/>
      <c r="D37" s="210"/>
      <c r="E37" s="210"/>
      <c r="F37" s="210"/>
      <c r="G37" s="210"/>
      <c r="H37" s="210"/>
      <c r="I37" s="210"/>
    </row>
    <row r="38" spans="1:11" x14ac:dyDescent="0.4">
      <c r="A38" s="165"/>
    </row>
    <row r="39" spans="1:11" x14ac:dyDescent="0.4">
      <c r="A39" s="16" t="s">
        <v>250</v>
      </c>
      <c r="C39" s="26"/>
      <c r="D39" s="26"/>
      <c r="E39" s="26"/>
      <c r="F39" s="26"/>
      <c r="G39" s="26"/>
      <c r="H39" s="26"/>
      <c r="I39" s="26"/>
      <c r="J39" s="26"/>
      <c r="K39" s="26"/>
    </row>
    <row r="40" spans="1:11" s="24" customFormat="1" ht="32" x14ac:dyDescent="0.4">
      <c r="A40" s="442" t="s">
        <v>212</v>
      </c>
      <c r="B40" s="443" t="s">
        <v>213</v>
      </c>
      <c r="C40" s="443" t="s">
        <v>214</v>
      </c>
      <c r="D40" s="443" t="s">
        <v>215</v>
      </c>
      <c r="E40" s="443" t="s">
        <v>216</v>
      </c>
      <c r="F40" s="443" t="s">
        <v>217</v>
      </c>
      <c r="G40" s="443" t="s">
        <v>218</v>
      </c>
      <c r="H40" s="443" t="s">
        <v>219</v>
      </c>
      <c r="I40" s="443" t="s">
        <v>220</v>
      </c>
    </row>
    <row r="41" spans="1:11" x14ac:dyDescent="0.4">
      <c r="A41" s="444" t="s">
        <v>251</v>
      </c>
      <c r="B41" s="218" t="s">
        <v>252</v>
      </c>
      <c r="C41" s="445">
        <f>'EIA Form 923'!G3114-'EIA Form 923'!I3114</f>
        <v>949040</v>
      </c>
      <c r="D41" s="211">
        <f>'EIA Form 923'!G3114</f>
        <v>949040</v>
      </c>
      <c r="E41" s="212">
        <f>C41*'GWPs and Fuel EFs'!$B44</f>
        <v>108944761.92039953</v>
      </c>
      <c r="F41" s="445">
        <f>D41*'GWPs and Fuel EFs'!$B79</f>
        <v>6695.2801641113601</v>
      </c>
      <c r="G41" s="211">
        <f>F41*'GWPs and Fuel EFs'!$B$7</f>
        <v>167382.00410278401</v>
      </c>
      <c r="H41" s="445">
        <f>D41*'GWPs and Fuel EFs'!$B104</f>
        <v>1318.133282309424</v>
      </c>
      <c r="I41" s="211">
        <f>H41*'GWPs and Fuel EFs'!$C$7</f>
        <v>392803.71812820836</v>
      </c>
    </row>
    <row r="42" spans="1:11" x14ac:dyDescent="0.4">
      <c r="A42" s="444" t="s">
        <v>253</v>
      </c>
      <c r="B42" s="219" t="s">
        <v>254</v>
      </c>
      <c r="C42" s="445">
        <f>'EIA Form 923'!G3115-'EIA Form 923'!I3115</f>
        <v>13582224</v>
      </c>
      <c r="D42" s="211">
        <f>'EIA Form 923'!G3115</f>
        <v>13582224</v>
      </c>
      <c r="E42" s="212">
        <f>C42*'GWPs and Fuel EFs'!$B45</f>
        <v>2211041202.7410598</v>
      </c>
      <c r="F42" s="445">
        <f>D42*'GWPs and Fuel EFs'!$B80</f>
        <v>958197.70432982012</v>
      </c>
      <c r="G42" s="211">
        <f>F42*'GWPs and Fuel EFs'!$B$7</f>
        <v>23954942.608245503</v>
      </c>
      <c r="H42" s="445">
        <f>D42*'GWPs and Fuel EFs'!$B105</f>
        <v>125763.44869328887</v>
      </c>
      <c r="I42" s="211">
        <f>H42*'GWPs and Fuel EFs'!$C$7</f>
        <v>37477507.710600086</v>
      </c>
    </row>
    <row r="43" spans="1:11" x14ac:dyDescent="0.4">
      <c r="A43" s="444" t="s">
        <v>255</v>
      </c>
      <c r="B43" s="219" t="s">
        <v>256</v>
      </c>
      <c r="C43" s="445">
        <f>'EIA Form 923'!G3116-'EIA Form 923'!I3116</f>
        <v>0</v>
      </c>
      <c r="D43" s="211">
        <f>'EIA Form 923'!G3116</f>
        <v>0</v>
      </c>
      <c r="E43" s="212">
        <f>C43*'GWPs and Fuel EFs'!$B46</f>
        <v>0</v>
      </c>
      <c r="F43" s="445">
        <f>D43*'GWPs and Fuel EFs'!$B81</f>
        <v>0</v>
      </c>
      <c r="G43" s="211">
        <f>F43*'GWPs and Fuel EFs'!$B$7</f>
        <v>0</v>
      </c>
      <c r="H43" s="445">
        <f>D43*'GWPs and Fuel EFs'!$B106</f>
        <v>0</v>
      </c>
      <c r="I43" s="211">
        <f>H43*'GWPs and Fuel EFs'!$C$7</f>
        <v>0</v>
      </c>
    </row>
    <row r="44" spans="1:11" x14ac:dyDescent="0.4">
      <c r="A44" s="444" t="s">
        <v>257</v>
      </c>
      <c r="B44" s="219" t="s">
        <v>258</v>
      </c>
      <c r="C44" s="445">
        <f>'EIA Form 923'!G3117-'EIA Form 923'!I3117</f>
        <v>1164213</v>
      </c>
      <c r="D44" s="211">
        <f>'EIA Form 923'!G3117</f>
        <v>1164213</v>
      </c>
      <c r="E44" s="212">
        <f>C44*'GWPs and Fuel EFs'!$B47</f>
        <v>232795183.50683406</v>
      </c>
      <c r="F44" s="445">
        <f>D44*'GWPs and Fuel EFs'!$B82</f>
        <v>18479.88226294603</v>
      </c>
      <c r="G44" s="211">
        <f>F44*'GWPs and Fuel EFs'!$B$7</f>
        <v>461997.05657365074</v>
      </c>
      <c r="H44" s="445">
        <f>D44*'GWPs and Fuel EFs'!$B107</f>
        <v>9239.941131473015</v>
      </c>
      <c r="I44" s="211">
        <f>H44*'GWPs and Fuel EFs'!$C$7</f>
        <v>2753502.4571789587</v>
      </c>
    </row>
    <row r="45" spans="1:11" x14ac:dyDescent="0.4">
      <c r="A45" s="444" t="s">
        <v>259</v>
      </c>
      <c r="B45" s="219" t="s">
        <v>260</v>
      </c>
      <c r="C45" s="445">
        <f>'EIA Form 923'!G3118-'EIA Form 923'!I3118</f>
        <v>0</v>
      </c>
      <c r="D45" s="211">
        <f>'EIA Form 923'!G3118</f>
        <v>0</v>
      </c>
      <c r="E45" s="212">
        <f>C45*'GWPs and Fuel EFs'!$B48</f>
        <v>0</v>
      </c>
      <c r="F45" s="445">
        <f>D45*'GWPs and Fuel EFs'!$B83</f>
        <v>0</v>
      </c>
      <c r="G45" s="211">
        <f>F45*'GWPs and Fuel EFs'!$B$7</f>
        <v>0</v>
      </c>
      <c r="H45" s="445">
        <f>D45*'GWPs and Fuel EFs'!$B108</f>
        <v>0</v>
      </c>
      <c r="I45" s="211">
        <f>H45*'GWPs and Fuel EFs'!$C$7</f>
        <v>0</v>
      </c>
    </row>
    <row r="46" spans="1:11" x14ac:dyDescent="0.4">
      <c r="A46" s="444" t="s">
        <v>261</v>
      </c>
      <c r="B46" s="219" t="s">
        <v>262</v>
      </c>
      <c r="C46" s="445">
        <f>'EIA Form 923'!G3119-'EIA Form 923'!I3119</f>
        <v>0</v>
      </c>
      <c r="D46" s="211">
        <f>'EIA Form 923'!G3119</f>
        <v>0</v>
      </c>
      <c r="E46" s="212">
        <f>C46*'GWPs and Fuel EFs'!$B49</f>
        <v>0</v>
      </c>
      <c r="F46" s="445">
        <f>D46*'GWPs and Fuel EFs'!$B84</f>
        <v>0</v>
      </c>
      <c r="G46" s="211">
        <f>F46*'GWPs and Fuel EFs'!$B$7</f>
        <v>0</v>
      </c>
      <c r="H46" s="445">
        <f>D46*'GWPs and Fuel EFs'!$B109</f>
        <v>0</v>
      </c>
      <c r="I46" s="211">
        <f>H46*'GWPs and Fuel EFs'!$C$7</f>
        <v>0</v>
      </c>
    </row>
    <row r="47" spans="1:11" x14ac:dyDescent="0.4">
      <c r="A47" s="444" t="s">
        <v>263</v>
      </c>
      <c r="B47" s="219" t="s">
        <v>264</v>
      </c>
      <c r="C47" s="445">
        <f>'EIA Form 923'!G3120-'EIA Form 923'!I3120</f>
        <v>0</v>
      </c>
      <c r="D47" s="211">
        <f>'EIA Form 923'!G3120</f>
        <v>0</v>
      </c>
      <c r="E47" s="212">
        <f>C47*'GWPs and Fuel EFs'!$B50</f>
        <v>0</v>
      </c>
      <c r="F47" s="445">
        <f>D47*'GWPs and Fuel EFs'!$B85</f>
        <v>0</v>
      </c>
      <c r="G47" s="211">
        <f>F47*'GWPs and Fuel EFs'!$B$7</f>
        <v>0</v>
      </c>
      <c r="H47" s="445">
        <f>D47*'GWPs and Fuel EFs'!$B110</f>
        <v>0</v>
      </c>
      <c r="I47" s="211">
        <f>H47*'GWPs and Fuel EFs'!$C$7</f>
        <v>0</v>
      </c>
    </row>
    <row r="48" spans="1:11" x14ac:dyDescent="0.4">
      <c r="A48" s="444" t="s">
        <v>265</v>
      </c>
      <c r="B48" s="219" t="s">
        <v>266</v>
      </c>
      <c r="C48" s="445">
        <f>'EIA Form 923'!G3121-'EIA Form 923'!I3121</f>
        <v>0</v>
      </c>
      <c r="D48" s="211">
        <f>'EIA Form 923'!G3121</f>
        <v>0</v>
      </c>
      <c r="E48" s="212">
        <f>C48*'GWPs and Fuel EFs'!$B51</f>
        <v>0</v>
      </c>
      <c r="F48" s="445">
        <f>D48*'GWPs and Fuel EFs'!$B86</f>
        <v>0</v>
      </c>
      <c r="G48" s="211">
        <f>F48*'GWPs and Fuel EFs'!$B$7</f>
        <v>0</v>
      </c>
      <c r="H48" s="445">
        <f>D48*'GWPs and Fuel EFs'!$B111</f>
        <v>0</v>
      </c>
      <c r="I48" s="211">
        <f>H48*'GWPs and Fuel EFs'!$C$7</f>
        <v>0</v>
      </c>
    </row>
    <row r="49" spans="1:9" x14ac:dyDescent="0.4">
      <c r="A49" s="446" t="s">
        <v>249</v>
      </c>
      <c r="B49" s="447" t="s">
        <v>170</v>
      </c>
      <c r="C49" s="448" t="s">
        <v>170</v>
      </c>
      <c r="D49" s="449" t="s">
        <v>170</v>
      </c>
      <c r="E49" s="450">
        <f>SUM(E41:E48)</f>
        <v>2552781148.1682935</v>
      </c>
      <c r="F49" s="449" t="s">
        <v>170</v>
      </c>
      <c r="G49" s="451">
        <f>SUM(G41:G48)</f>
        <v>24584321.66892194</v>
      </c>
      <c r="H49" s="449" t="s">
        <v>170</v>
      </c>
      <c r="I49" s="451">
        <f>SUM(I41:I48)</f>
        <v>40623813.885907255</v>
      </c>
    </row>
    <row r="50" spans="1:9" x14ac:dyDescent="0.4">
      <c r="A50" s="444" t="s">
        <v>11</v>
      </c>
    </row>
    <row r="51" spans="1:9" x14ac:dyDescent="0.4">
      <c r="B51" s="4"/>
      <c r="C51" s="4"/>
      <c r="D51" s="412"/>
      <c r="E51" s="412"/>
      <c r="F51" s="4"/>
      <c r="G51" s="4"/>
      <c r="H51" s="4"/>
      <c r="I51" s="4"/>
    </row>
    <row r="52" spans="1:9" x14ac:dyDescent="0.4">
      <c r="A52" s="16" t="s">
        <v>267</v>
      </c>
      <c r="B52" s="4"/>
      <c r="C52" s="4"/>
      <c r="D52" s="412"/>
      <c r="E52" s="412"/>
      <c r="F52" s="412"/>
      <c r="G52" s="412"/>
      <c r="H52" s="412"/>
      <c r="I52" s="412"/>
    </row>
    <row r="53" spans="1:9" s="24" customFormat="1" ht="32" x14ac:dyDescent="0.4">
      <c r="A53" s="442" t="s">
        <v>212</v>
      </c>
      <c r="B53" s="443" t="s">
        <v>213</v>
      </c>
      <c r="C53" s="443" t="s">
        <v>214</v>
      </c>
      <c r="D53" s="443" t="s">
        <v>215</v>
      </c>
      <c r="E53" s="443" t="s">
        <v>216</v>
      </c>
      <c r="F53" s="443" t="s">
        <v>217</v>
      </c>
      <c r="G53" s="443" t="s">
        <v>218</v>
      </c>
      <c r="H53" s="443" t="s">
        <v>219</v>
      </c>
      <c r="I53" s="443" t="s">
        <v>220</v>
      </c>
    </row>
    <row r="54" spans="1:9" x14ac:dyDescent="0.4">
      <c r="A54" s="444" t="s">
        <v>221</v>
      </c>
      <c r="B54" s="218" t="s">
        <v>222</v>
      </c>
      <c r="C54" s="445">
        <f>'EIA Form 923'!G3129-'EIA Form 923'!I3129</f>
        <v>0</v>
      </c>
      <c r="D54" s="211">
        <f>'EIA Form 923'!G3129</f>
        <v>0</v>
      </c>
      <c r="E54" s="212">
        <f>C54*'GWPs and Fuel EFs'!$B23</f>
        <v>0</v>
      </c>
      <c r="F54" s="445">
        <f>D54*'GWPs and Fuel EFs'!$B66</f>
        <v>0</v>
      </c>
      <c r="G54" s="211">
        <f>F54*'GWPs and Fuel EFs'!$B$7</f>
        <v>0</v>
      </c>
      <c r="H54" s="445">
        <f>D54*'GWPs and Fuel EFs'!$B91</f>
        <v>0</v>
      </c>
      <c r="I54" s="211">
        <f>H54*'GWPs and Fuel EFs'!$C$7</f>
        <v>0</v>
      </c>
    </row>
    <row r="55" spans="1:9" x14ac:dyDescent="0.4">
      <c r="A55" s="444" t="s">
        <v>223</v>
      </c>
      <c r="B55" s="219" t="s">
        <v>224</v>
      </c>
      <c r="C55" s="445">
        <f>'EIA Form 923'!G3130-'EIA Form 923'!I3130</f>
        <v>0</v>
      </c>
      <c r="D55" s="211">
        <f>'EIA Form 923'!G3130</f>
        <v>0</v>
      </c>
      <c r="E55" s="212">
        <f>C55*'GWPs and Fuel EFs'!$B24</f>
        <v>0</v>
      </c>
      <c r="F55" s="445">
        <f>D55*'GWPs and Fuel EFs'!$B67</f>
        <v>0</v>
      </c>
      <c r="G55" s="211">
        <f>F55*'GWPs and Fuel EFs'!$B$7</f>
        <v>0</v>
      </c>
      <c r="H55" s="445">
        <f>D55*'GWPs and Fuel EFs'!$B92</f>
        <v>0</v>
      </c>
      <c r="I55" s="211">
        <f>H55*'GWPs and Fuel EFs'!$C$7</f>
        <v>0</v>
      </c>
    </row>
    <row r="56" spans="1:9" x14ac:dyDescent="0.4">
      <c r="A56" s="444" t="s">
        <v>225</v>
      </c>
      <c r="B56" s="219" t="s">
        <v>226</v>
      </c>
      <c r="C56" s="445">
        <f>'EIA Form 923'!G3131-'EIA Form 923'!I3131</f>
        <v>109644</v>
      </c>
      <c r="D56" s="211">
        <f>'EIA Form 923'!G3131</f>
        <v>244418</v>
      </c>
      <c r="E56" s="212">
        <f>C56*'GWPs and Fuel EFs'!$B25</f>
        <v>17921369.560459197</v>
      </c>
      <c r="F56" s="445">
        <f>D56*'GWPs and Fuel EFs'!$B68</f>
        <v>1616.54835460548</v>
      </c>
      <c r="G56" s="211">
        <f>F56*'GWPs and Fuel EFs'!$B$7</f>
        <v>40413.708865137</v>
      </c>
      <c r="H56" s="445">
        <f>D56*'GWPs and Fuel EFs'!$B93</f>
        <v>323.30967092109597</v>
      </c>
      <c r="I56" s="211">
        <f>H56*'GWPs and Fuel EFs'!$C$7</f>
        <v>96346.2819344866</v>
      </c>
    </row>
    <row r="57" spans="1:9" x14ac:dyDescent="0.4">
      <c r="A57" s="444" t="s">
        <v>227</v>
      </c>
      <c r="B57" s="219" t="s">
        <v>228</v>
      </c>
      <c r="C57" s="445">
        <f>'EIA Form 923'!G3132-'EIA Form 923'!I3132</f>
        <v>835670</v>
      </c>
      <c r="D57" s="211">
        <f>'EIA Form 923'!G3132</f>
        <v>174662529</v>
      </c>
      <c r="E57" s="212">
        <f>C57*'GWPs and Fuel EFs'!$B26</f>
        <v>97477934.024613976</v>
      </c>
      <c r="F57" s="445">
        <f>D57*'GWPs and Fuel EFs'!$B69</f>
        <v>385064.96229980595</v>
      </c>
      <c r="G57" s="211">
        <f>F57*'GWPs and Fuel EFs'!$B$7</f>
        <v>9626624.0574951489</v>
      </c>
      <c r="H57" s="445">
        <f>D57*'GWPs and Fuel EFs'!$B94</f>
        <v>38506.496229980599</v>
      </c>
      <c r="I57" s="211">
        <f>H57*'GWPs and Fuel EFs'!$C$7</f>
        <v>11474935.876534218</v>
      </c>
    </row>
    <row r="58" spans="1:9" x14ac:dyDescent="0.4">
      <c r="A58" s="444" t="s">
        <v>229</v>
      </c>
      <c r="B58" s="219" t="s">
        <v>230</v>
      </c>
      <c r="C58" s="445">
        <f>'EIA Form 923'!G3134-'EIA Form 923'!I3134</f>
        <v>7784101</v>
      </c>
      <c r="D58" s="211">
        <f>'EIA Form 923'!G3134</f>
        <v>7784101</v>
      </c>
      <c r="E58" s="212">
        <f>C58*'GWPs and Fuel EFs'!$B27</f>
        <v>1556503166.285491</v>
      </c>
      <c r="F58" s="445">
        <f>D58*'GWPs and Fuel EFs'!$B70</f>
        <v>549152.16451086779</v>
      </c>
      <c r="G58" s="211">
        <f>F58*'GWPs and Fuel EFs'!$B$7</f>
        <v>13728804.112771695</v>
      </c>
      <c r="H58" s="445">
        <f>D58*'GWPs and Fuel EFs'!$B95</f>
        <v>72076.221592051385</v>
      </c>
      <c r="I58" s="211">
        <f>H58*'GWPs and Fuel EFs'!$C$7</f>
        <v>21478714.034431312</v>
      </c>
    </row>
    <row r="59" spans="1:9" x14ac:dyDescent="0.4">
      <c r="A59" s="444" t="s">
        <v>231</v>
      </c>
      <c r="B59" s="219" t="s">
        <v>232</v>
      </c>
      <c r="C59" s="445">
        <f>'EIA Form 923'!G3135-'EIA Form 923'!I3135</f>
        <v>0</v>
      </c>
      <c r="D59" s="211">
        <f>'EIA Form 923'!G3135</f>
        <v>0</v>
      </c>
      <c r="E59" s="212">
        <f>C59*'GWPs and Fuel EFs'!$B28</f>
        <v>0</v>
      </c>
      <c r="F59" s="445">
        <f>D59*'GWPs and Fuel EFs'!$B71</f>
        <v>0</v>
      </c>
      <c r="G59" s="211">
        <f>F59*'GWPs and Fuel EFs'!$B$7</f>
        <v>0</v>
      </c>
      <c r="H59" s="445">
        <f>D59*'GWPs and Fuel EFs'!$B96</f>
        <v>0</v>
      </c>
      <c r="I59" s="211">
        <f>H59*'GWPs and Fuel EFs'!$C$7</f>
        <v>0</v>
      </c>
    </row>
    <row r="60" spans="1:9" x14ac:dyDescent="0.4">
      <c r="A60" s="444" t="s">
        <v>233</v>
      </c>
      <c r="B60" s="219" t="s">
        <v>234</v>
      </c>
      <c r="C60" s="445">
        <f>'EIA Form 923'!G3136-'EIA Form 923'!I3136</f>
        <v>0</v>
      </c>
      <c r="D60" s="211">
        <f>'EIA Form 923'!G3136</f>
        <v>0</v>
      </c>
      <c r="E60" s="212">
        <f>C60*'GWPs and Fuel EFs'!$B29</f>
        <v>0</v>
      </c>
      <c r="F60" s="445">
        <f>D60*'GWPs and Fuel EFs'!$B72</f>
        <v>0</v>
      </c>
      <c r="G60" s="211">
        <f>F60*'GWPs and Fuel EFs'!$B$7</f>
        <v>0</v>
      </c>
      <c r="H60" s="445">
        <f>D60*'GWPs and Fuel EFs'!$B97</f>
        <v>0</v>
      </c>
      <c r="I60" s="211">
        <f>H60*'GWPs and Fuel EFs'!$C$7</f>
        <v>0</v>
      </c>
    </row>
    <row r="61" spans="1:9" x14ac:dyDescent="0.4">
      <c r="A61" s="444" t="s">
        <v>235</v>
      </c>
      <c r="B61" s="219" t="s">
        <v>236</v>
      </c>
      <c r="C61" s="445">
        <f>'EIA Form 923'!G3137-'EIA Form 923'!I3137</f>
        <v>0</v>
      </c>
      <c r="D61" s="211">
        <f>'EIA Form 923'!G3137</f>
        <v>0</v>
      </c>
      <c r="E61" s="212">
        <f>C61*'GWPs and Fuel EFs'!$B30</f>
        <v>0</v>
      </c>
      <c r="F61" s="445">
        <f>D61*'GWPs and Fuel EFs'!$B73</f>
        <v>0</v>
      </c>
      <c r="G61" s="211">
        <f>F61*'GWPs and Fuel EFs'!$B$7</f>
        <v>0</v>
      </c>
      <c r="H61" s="445">
        <f>D61*'GWPs and Fuel EFs'!$B98</f>
        <v>0</v>
      </c>
      <c r="I61" s="211">
        <f>H61*'GWPs and Fuel EFs'!$C$7</f>
        <v>0</v>
      </c>
    </row>
    <row r="62" spans="1:9" x14ac:dyDescent="0.4">
      <c r="A62" s="444" t="s">
        <v>237</v>
      </c>
      <c r="B62" s="219" t="s">
        <v>238</v>
      </c>
      <c r="C62" s="445">
        <f>'EIA Form 923'!G3138-'EIA Form 923'!I3138</f>
        <v>25706</v>
      </c>
      <c r="D62" s="211">
        <f>'EIA Form 923'!G3138</f>
        <v>584338</v>
      </c>
      <c r="E62" s="212">
        <f>C62*'GWPs and Fuel EFs'!$B31</f>
        <v>4255686.323187327</v>
      </c>
      <c r="F62" s="445">
        <f>D62*'GWPs and Fuel EFs'!$B74</f>
        <v>3864.73431757668</v>
      </c>
      <c r="G62" s="211">
        <f>F62*'GWPs and Fuel EFs'!$B$7</f>
        <v>96618.357939417008</v>
      </c>
      <c r="H62" s="445">
        <f>D62*'GWPs and Fuel EFs'!$B99</f>
        <v>772.94686351533596</v>
      </c>
      <c r="I62" s="211">
        <f>H62*'GWPs and Fuel EFs'!$C$7</f>
        <v>230338.16532757011</v>
      </c>
    </row>
    <row r="63" spans="1:9" x14ac:dyDescent="0.4">
      <c r="A63" s="444" t="s">
        <v>239</v>
      </c>
      <c r="B63" s="219" t="s">
        <v>240</v>
      </c>
      <c r="C63" s="445">
        <f>'EIA Form 923'!G3139-'EIA Form 923'!I3139</f>
        <v>0</v>
      </c>
      <c r="D63" s="211">
        <f>'EIA Form 923'!G3139</f>
        <v>0</v>
      </c>
      <c r="E63" s="212">
        <f>C63*'GWPs and Fuel EFs'!$B32</f>
        <v>0</v>
      </c>
      <c r="F63" s="445">
        <f>D63*'GWPs and Fuel EFs'!$B75</f>
        <v>0</v>
      </c>
      <c r="G63" s="211">
        <f>F63*'GWPs and Fuel EFs'!$B$7</f>
        <v>0</v>
      </c>
      <c r="H63" s="445">
        <f>D63*'GWPs and Fuel EFs'!$B100</f>
        <v>0</v>
      </c>
      <c r="I63" s="211">
        <f>H63*'GWPs and Fuel EFs'!$C$7</f>
        <v>0</v>
      </c>
    </row>
    <row r="64" spans="1:9" x14ac:dyDescent="0.4">
      <c r="A64" s="444" t="s">
        <v>241</v>
      </c>
      <c r="B64" s="219" t="s">
        <v>242</v>
      </c>
      <c r="C64" s="445">
        <f>'EIA Form 923'!G3140-'EIA Form 923'!I3140</f>
        <v>80714</v>
      </c>
      <c r="D64" s="211">
        <f>'EIA Form 923'!G3140</f>
        <v>150600</v>
      </c>
      <c r="E64" s="212">
        <f>C64*'GWPs and Fuel EFs'!$B33</f>
        <v>13023104.974435607</v>
      </c>
      <c r="F64" s="445">
        <f>D64*'GWPs and Fuel EFs'!$B76</f>
        <v>996.04849971599992</v>
      </c>
      <c r="G64" s="211">
        <f>F64*'GWPs and Fuel EFs'!$B$7</f>
        <v>24901.212492899998</v>
      </c>
      <c r="H64" s="445">
        <f>D64*'GWPs and Fuel EFs'!$B101</f>
        <v>199.20969994319998</v>
      </c>
      <c r="I64" s="211">
        <f>H64*'GWPs and Fuel EFs'!$C$7</f>
        <v>59364.490583073595</v>
      </c>
    </row>
    <row r="65" spans="1:10" x14ac:dyDescent="0.4">
      <c r="A65" s="444" t="s">
        <v>243</v>
      </c>
      <c r="B65" s="219" t="s">
        <v>244</v>
      </c>
      <c r="C65" s="445">
        <f>'EIA Form 923'!G3141-'EIA Form 923'!I3141</f>
        <v>0</v>
      </c>
      <c r="D65" s="211">
        <f>'EIA Form 923'!G3141</f>
        <v>0</v>
      </c>
      <c r="E65" s="212">
        <f>C65*'GWPs and Fuel EFs'!$B34</f>
        <v>0</v>
      </c>
      <c r="F65" s="445">
        <f>D65*'GWPs and Fuel EFs'!$B77</f>
        <v>0</v>
      </c>
      <c r="G65" s="211">
        <f>F65*'GWPs and Fuel EFs'!$B$7</f>
        <v>0</v>
      </c>
      <c r="H65" s="445">
        <f>D65*'GWPs and Fuel EFs'!$B102</f>
        <v>0</v>
      </c>
      <c r="I65" s="211">
        <f>H65*'GWPs and Fuel EFs'!$C$7</f>
        <v>0</v>
      </c>
    </row>
    <row r="66" spans="1:10" x14ac:dyDescent="0.4">
      <c r="A66" s="444" t="s">
        <v>245</v>
      </c>
      <c r="B66" s="219" t="s">
        <v>246</v>
      </c>
      <c r="C66" s="445">
        <f>'EIA Form 923'!G3142-'EIA Form 923'!I3142</f>
        <v>0</v>
      </c>
      <c r="D66" s="211">
        <f>'EIA Form 923'!G3142</f>
        <v>0</v>
      </c>
      <c r="E66" s="212">
        <f>C66*'GWPs and Fuel EFs'!$B35</f>
        <v>0</v>
      </c>
      <c r="F66" s="445">
        <f>D66*'GWPs and Fuel EFs'!$B78</f>
        <v>0</v>
      </c>
      <c r="G66" s="211">
        <f>F66*'GWPs and Fuel EFs'!$B$7</f>
        <v>0</v>
      </c>
      <c r="H66" s="445">
        <f>D66*'GWPs and Fuel EFs'!$B103</f>
        <v>0</v>
      </c>
      <c r="I66" s="211">
        <f>H66*'GWPs and Fuel EFs'!$C$7</f>
        <v>0</v>
      </c>
    </row>
    <row r="67" spans="1:10" x14ac:dyDescent="0.4">
      <c r="A67" s="444" t="s">
        <v>247</v>
      </c>
      <c r="B67" s="219" t="s">
        <v>248</v>
      </c>
      <c r="C67" s="441" t="s">
        <v>170</v>
      </c>
      <c r="D67" s="211" t="s">
        <v>170</v>
      </c>
      <c r="E67" s="212">
        <f>'EIA Form 923'!H3133*'GWPs and Fuel EFs'!$B$56</f>
        <v>425506531.70400006</v>
      </c>
      <c r="F67" s="445" t="s">
        <v>170</v>
      </c>
      <c r="G67" s="213" t="s">
        <v>170</v>
      </c>
      <c r="H67" s="445" t="s">
        <v>170</v>
      </c>
      <c r="I67" s="213" t="s">
        <v>170</v>
      </c>
    </row>
    <row r="68" spans="1:10" x14ac:dyDescent="0.4">
      <c r="A68" s="452" t="s">
        <v>249</v>
      </c>
      <c r="B68" s="453" t="s">
        <v>170</v>
      </c>
      <c r="C68" s="454" t="s">
        <v>170</v>
      </c>
      <c r="D68" s="455" t="s">
        <v>170</v>
      </c>
      <c r="E68" s="450">
        <f>SUM(E54:E66)+E67</f>
        <v>2114687792.8721871</v>
      </c>
      <c r="F68" s="456" t="s">
        <v>170</v>
      </c>
      <c r="G68" s="451">
        <f>SUM(G54:G66)</f>
        <v>23517361.4495643</v>
      </c>
      <c r="H68" s="456" t="s">
        <v>170</v>
      </c>
      <c r="I68" s="451">
        <f>SUM(I54:I66)</f>
        <v>33339698.848810662</v>
      </c>
    </row>
    <row r="69" spans="1:10" x14ac:dyDescent="0.4">
      <c r="A69" s="457" t="s">
        <v>11</v>
      </c>
      <c r="B69" s="458"/>
      <c r="C69" s="458"/>
      <c r="D69" s="458"/>
      <c r="E69" s="26"/>
      <c r="F69" s="26"/>
      <c r="G69" s="26"/>
      <c r="H69" s="26"/>
      <c r="I69" s="26"/>
    </row>
    <row r="70" spans="1:10" x14ac:dyDescent="0.4">
      <c r="A70" s="437"/>
      <c r="B70" s="459"/>
      <c r="C70" s="459"/>
      <c r="D70" s="459"/>
      <c r="E70" s="26"/>
      <c r="F70" s="26"/>
      <c r="G70" s="26"/>
      <c r="H70" s="26"/>
      <c r="I70" s="26"/>
    </row>
    <row r="71" spans="1:10" x14ac:dyDescent="0.4">
      <c r="A71" s="16" t="s">
        <v>268</v>
      </c>
      <c r="C71" s="26"/>
      <c r="D71" s="26"/>
      <c r="E71" s="26"/>
      <c r="F71" s="26"/>
      <c r="G71" s="26"/>
      <c r="H71" s="26"/>
      <c r="I71" s="26"/>
      <c r="J71" s="26"/>
    </row>
    <row r="72" spans="1:10" s="24" customFormat="1" ht="32" x14ac:dyDescent="0.4">
      <c r="A72" s="442" t="s">
        <v>212</v>
      </c>
      <c r="B72" s="443" t="s">
        <v>213</v>
      </c>
      <c r="C72" s="443" t="s">
        <v>214</v>
      </c>
      <c r="D72" s="443" t="s">
        <v>215</v>
      </c>
      <c r="E72" s="443" t="s">
        <v>216</v>
      </c>
      <c r="F72" s="443" t="s">
        <v>217</v>
      </c>
      <c r="G72" s="443" t="s">
        <v>218</v>
      </c>
      <c r="H72" s="443" t="s">
        <v>219</v>
      </c>
      <c r="I72" s="443" t="s">
        <v>220</v>
      </c>
    </row>
    <row r="73" spans="1:10" x14ac:dyDescent="0.4">
      <c r="A73" s="444" t="s">
        <v>251</v>
      </c>
      <c r="B73" s="218" t="s">
        <v>252</v>
      </c>
      <c r="C73" s="445">
        <f>'EIA Form 923'!G3143-'EIA Form 923'!I3143</f>
        <v>62458</v>
      </c>
      <c r="D73" s="211">
        <f>'EIA Form 923'!G3143</f>
        <v>62458</v>
      </c>
      <c r="E73" s="212">
        <f>C73*'GWPs and Fuel EFs'!$B44</f>
        <v>7169847.3615699168</v>
      </c>
      <c r="F73" s="445">
        <f>D73*'GWPs and Fuel EFs'!$B79</f>
        <v>440.62822271987199</v>
      </c>
      <c r="G73" s="211">
        <f>F73*'GWPs and Fuel EFs'!$B$7</f>
        <v>11015.7055679968</v>
      </c>
      <c r="H73" s="445">
        <f>D73*'GWPs and Fuel EFs'!$B104</f>
        <v>86.748681347974795</v>
      </c>
      <c r="I73" s="210">
        <f>H73*'GWPs and Fuel EFs'!$C$7</f>
        <v>25851.10704169649</v>
      </c>
    </row>
    <row r="74" spans="1:10" x14ac:dyDescent="0.4">
      <c r="A74" s="444" t="s">
        <v>253</v>
      </c>
      <c r="B74" s="219" t="s">
        <v>254</v>
      </c>
      <c r="C74" s="445">
        <f>'EIA Form 923'!G3144-'EIA Form 923'!I3144</f>
        <v>6368784</v>
      </c>
      <c r="D74" s="211">
        <f>'EIA Form 923'!G3144</f>
        <v>6368784</v>
      </c>
      <c r="E74" s="212">
        <f>C74*'GWPs and Fuel EFs'!$B45</f>
        <v>1036770107.4108348</v>
      </c>
      <c r="F74" s="445">
        <f>D74*'GWPs and Fuel EFs'!$B80</f>
        <v>449304.48858541052</v>
      </c>
      <c r="G74" s="211">
        <f>F74*'GWPs and Fuel EFs'!$B$7</f>
        <v>11232612.214635262</v>
      </c>
      <c r="H74" s="445">
        <f>D74*'GWPs and Fuel EFs'!$B105</f>
        <v>58971.214126835126</v>
      </c>
      <c r="I74" s="210">
        <f>H74*'GWPs and Fuel EFs'!$C$7</f>
        <v>17573421.809796866</v>
      </c>
    </row>
    <row r="75" spans="1:10" x14ac:dyDescent="0.4">
      <c r="A75" s="444" t="s">
        <v>255</v>
      </c>
      <c r="B75" s="219" t="s">
        <v>256</v>
      </c>
      <c r="C75" s="445">
        <f>'EIA Form 923'!G3145-'EIA Form 923'!I3145</f>
        <v>0</v>
      </c>
      <c r="D75" s="211">
        <f>'EIA Form 923'!G3145</f>
        <v>0</v>
      </c>
      <c r="E75" s="212">
        <f>C75*'GWPs and Fuel EFs'!$B46</f>
        <v>0</v>
      </c>
      <c r="F75" s="445">
        <f>D75*'GWPs and Fuel EFs'!$B81</f>
        <v>0</v>
      </c>
      <c r="G75" s="211">
        <f>F75*'GWPs and Fuel EFs'!$B$7</f>
        <v>0</v>
      </c>
      <c r="H75" s="445">
        <f>D75*'GWPs and Fuel EFs'!$B106</f>
        <v>0</v>
      </c>
      <c r="I75" s="210">
        <f>H75*'GWPs and Fuel EFs'!$C$7</f>
        <v>0</v>
      </c>
    </row>
    <row r="76" spans="1:10" x14ac:dyDescent="0.4">
      <c r="A76" s="444" t="s">
        <v>257</v>
      </c>
      <c r="B76" s="219" t="s">
        <v>258</v>
      </c>
      <c r="C76" s="445">
        <f>'EIA Form 923'!G3146-'EIA Form 923'!I3146</f>
        <v>2478379</v>
      </c>
      <c r="D76" s="211">
        <f>'EIA Form 923'!G3146</f>
        <v>2478379</v>
      </c>
      <c r="E76" s="212">
        <f>C76*'GWPs and Fuel EFs'!$B47</f>
        <v>495574859.67300129</v>
      </c>
      <c r="F76" s="445">
        <f>D76*'GWPs and Fuel EFs'!$B82</f>
        <v>39340.010911197453</v>
      </c>
      <c r="G76" s="211">
        <f>F76*'GWPs and Fuel EFs'!$B$7</f>
        <v>983500.27277993632</v>
      </c>
      <c r="H76" s="445">
        <f>D76*'GWPs and Fuel EFs'!$B107</f>
        <v>19670.005455598726</v>
      </c>
      <c r="I76" s="210">
        <f>H76*'GWPs and Fuel EFs'!$C$7</f>
        <v>5861661.6257684203</v>
      </c>
    </row>
    <row r="77" spans="1:10" x14ac:dyDescent="0.4">
      <c r="A77" s="444" t="s">
        <v>259</v>
      </c>
      <c r="B77" s="219" t="s">
        <v>260</v>
      </c>
      <c r="C77" s="445">
        <f>'EIA Form 923'!G3147-'EIA Form 923'!I3147</f>
        <v>0</v>
      </c>
      <c r="D77" s="211">
        <f>'EIA Form 923'!G3147</f>
        <v>0</v>
      </c>
      <c r="E77" s="212">
        <f>C77*'GWPs and Fuel EFs'!$B48</f>
        <v>0</v>
      </c>
      <c r="F77" s="445">
        <f>D77*'GWPs and Fuel EFs'!$B83</f>
        <v>0</v>
      </c>
      <c r="G77" s="211">
        <f>F77*'GWPs and Fuel EFs'!$B$7</f>
        <v>0</v>
      </c>
      <c r="H77" s="445">
        <f>D77*'GWPs and Fuel EFs'!$B108</f>
        <v>0</v>
      </c>
      <c r="I77" s="210">
        <f>H77*'GWPs and Fuel EFs'!$C$7</f>
        <v>0</v>
      </c>
    </row>
    <row r="78" spans="1:10" x14ac:dyDescent="0.4">
      <c r="A78" s="444" t="s">
        <v>261</v>
      </c>
      <c r="B78" s="219" t="s">
        <v>262</v>
      </c>
      <c r="C78" s="445">
        <f>'EIA Form 923'!G3148-'EIA Form 923'!I3148</f>
        <v>0</v>
      </c>
      <c r="D78" s="211">
        <f>'EIA Form 923'!G3148</f>
        <v>0</v>
      </c>
      <c r="E78" s="212">
        <f>C78*'GWPs and Fuel EFs'!$B49</f>
        <v>0</v>
      </c>
      <c r="F78" s="445">
        <f>D78*'GWPs and Fuel EFs'!$B84</f>
        <v>0</v>
      </c>
      <c r="G78" s="211">
        <f>F78*'GWPs and Fuel EFs'!$B$7</f>
        <v>0</v>
      </c>
      <c r="H78" s="445">
        <f>D78*'GWPs and Fuel EFs'!$B109</f>
        <v>0</v>
      </c>
      <c r="I78" s="210">
        <f>H78*'GWPs and Fuel EFs'!$C$7</f>
        <v>0</v>
      </c>
    </row>
    <row r="79" spans="1:10" x14ac:dyDescent="0.4">
      <c r="A79" s="444" t="s">
        <v>263</v>
      </c>
      <c r="B79" s="219" t="s">
        <v>264</v>
      </c>
      <c r="C79" s="445">
        <f>'EIA Form 923'!G3149-'EIA Form 923'!I3149</f>
        <v>15747</v>
      </c>
      <c r="D79" s="211">
        <f>'EIA Form 923'!G3149</f>
        <v>15747</v>
      </c>
      <c r="E79" s="212">
        <f>C79*'GWPs and Fuel EFs'!$B50</f>
        <v>3141542.5515041989</v>
      </c>
      <c r="F79" s="445">
        <f>D79*'GWPs and Fuel EFs'!$B85</f>
        <v>98.894309071485793</v>
      </c>
      <c r="G79" s="211">
        <f>F79*'GWPs and Fuel EFs'!$B$7</f>
        <v>2472.3577267871447</v>
      </c>
      <c r="H79" s="445">
        <f>D79*'GWPs and Fuel EFs'!$B110</f>
        <v>65.929539380990533</v>
      </c>
      <c r="I79" s="210">
        <f>H79*'GWPs and Fuel EFs'!$C$7</f>
        <v>19647.002735535178</v>
      </c>
    </row>
    <row r="80" spans="1:10" x14ac:dyDescent="0.4">
      <c r="A80" s="444" t="s">
        <v>265</v>
      </c>
      <c r="B80" s="219" t="s">
        <v>266</v>
      </c>
      <c r="C80" s="445">
        <f>'EIA Form 923'!G3150-'EIA Form 923'!I3150</f>
        <v>0</v>
      </c>
      <c r="D80" s="211">
        <f>'EIA Form 923'!G3150</f>
        <v>0</v>
      </c>
      <c r="E80" s="212">
        <f>C80*'GWPs and Fuel EFs'!$B51</f>
        <v>0</v>
      </c>
      <c r="F80" s="445">
        <f>D80*'GWPs and Fuel EFs'!$B86</f>
        <v>0</v>
      </c>
      <c r="G80" s="211">
        <f>F80*'GWPs and Fuel EFs'!$B$7</f>
        <v>0</v>
      </c>
      <c r="H80" s="445">
        <f>D80*'GWPs and Fuel EFs'!$B111</f>
        <v>0</v>
      </c>
      <c r="I80" s="210">
        <f>H80*'GWPs and Fuel EFs'!$C$7</f>
        <v>0</v>
      </c>
    </row>
    <row r="81" spans="1:9" x14ac:dyDescent="0.4">
      <c r="A81" s="452" t="s">
        <v>249</v>
      </c>
      <c r="B81" s="453" t="s">
        <v>170</v>
      </c>
      <c r="C81" s="454" t="s">
        <v>170</v>
      </c>
      <c r="D81" s="455" t="s">
        <v>170</v>
      </c>
      <c r="E81" s="450">
        <f>SUM(E73:E80)</f>
        <v>1542656356.9969101</v>
      </c>
      <c r="F81" s="448" t="s">
        <v>170</v>
      </c>
      <c r="G81" s="451">
        <f>SUM(G73:G80)</f>
        <v>12229600.550709981</v>
      </c>
      <c r="H81" s="448" t="s">
        <v>170</v>
      </c>
      <c r="I81" s="460">
        <f>SUM(I73:I80)</f>
        <v>23480581.54534252</v>
      </c>
    </row>
    <row r="82" spans="1:9" x14ac:dyDescent="0.4">
      <c r="A82" s="461" t="s">
        <v>11</v>
      </c>
      <c r="B82" s="459"/>
      <c r="C82" s="459"/>
      <c r="D82" s="459"/>
      <c r="E82" s="459"/>
      <c r="F82" s="459"/>
      <c r="G82" s="459"/>
      <c r="H82" s="459"/>
    </row>
    <row r="83" spans="1:9" x14ac:dyDescent="0.4">
      <c r="G83" s="119"/>
    </row>
    <row r="84" spans="1:9" x14ac:dyDescent="0.4">
      <c r="A84" s="16" t="s">
        <v>269</v>
      </c>
      <c r="B84" s="4"/>
      <c r="C84" s="4"/>
      <c r="D84" s="4"/>
      <c r="E84" s="4"/>
      <c r="F84" s="4"/>
      <c r="G84" s="4"/>
      <c r="H84" s="4"/>
      <c r="I84" s="4"/>
    </row>
    <row r="85" spans="1:9" ht="32" x14ac:dyDescent="0.4">
      <c r="A85" s="442" t="s">
        <v>212</v>
      </c>
      <c r="B85" s="443" t="s">
        <v>213</v>
      </c>
      <c r="C85" s="443" t="s">
        <v>214</v>
      </c>
      <c r="D85" s="443" t="s">
        <v>215</v>
      </c>
      <c r="E85" s="443" t="s">
        <v>216</v>
      </c>
      <c r="F85" s="443" t="s">
        <v>217</v>
      </c>
      <c r="G85" s="443" t="s">
        <v>218</v>
      </c>
      <c r="H85" s="443" t="s">
        <v>219</v>
      </c>
      <c r="I85" s="443" t="s">
        <v>220</v>
      </c>
    </row>
    <row r="86" spans="1:9" x14ac:dyDescent="0.4">
      <c r="A86" s="462" t="s">
        <v>221</v>
      </c>
      <c r="B86" s="218" t="s">
        <v>222</v>
      </c>
      <c r="C86" s="445">
        <f>'EIA Form 923'!G3158-'EIA Form 923'!I3158</f>
        <v>153833</v>
      </c>
      <c r="D86" s="211">
        <f>'EIA Form 923'!G3158</f>
        <v>153833</v>
      </c>
      <c r="E86" s="212">
        <f>C86*'GWPs and Fuel EFs'!$B23</f>
        <v>31621722.080810394</v>
      </c>
      <c r="F86" s="445">
        <f>D86*'GWPs and Fuel EFs'!$B66</f>
        <v>3730.5808265270593</v>
      </c>
      <c r="G86" s="211">
        <f>F86*'GWPs and Fuel EFs'!$B$7</f>
        <v>93264.520663176489</v>
      </c>
      <c r="H86" s="445">
        <f>D86*'GWPs and Fuel EFs'!$B91</f>
        <v>542.62993840393597</v>
      </c>
      <c r="I86" s="211">
        <f>H86*'GWPs and Fuel EFs'!$C$7</f>
        <v>161703.72164437291</v>
      </c>
    </row>
    <row r="87" spans="1:9" x14ac:dyDescent="0.4">
      <c r="A87" s="462" t="s">
        <v>223</v>
      </c>
      <c r="B87" s="219" t="s">
        <v>224</v>
      </c>
      <c r="C87" s="445">
        <f>'EIA Form 923'!G3159-'EIA Form 923'!I3159</f>
        <v>0</v>
      </c>
      <c r="D87" s="211">
        <f>'EIA Form 923'!G3159</f>
        <v>0</v>
      </c>
      <c r="E87" s="212">
        <f>C87*'GWPs and Fuel EFs'!$B24</f>
        <v>0</v>
      </c>
      <c r="F87" s="445">
        <f>D87*'GWPs and Fuel EFs'!$B67</f>
        <v>0</v>
      </c>
      <c r="G87" s="211">
        <f>F87*'GWPs and Fuel EFs'!$B$7</f>
        <v>0</v>
      </c>
      <c r="H87" s="445">
        <f>D87*'GWPs and Fuel EFs'!$B92</f>
        <v>0</v>
      </c>
      <c r="I87" s="211">
        <f>H87*'GWPs and Fuel EFs'!$C$7</f>
        <v>0</v>
      </c>
    </row>
    <row r="88" spans="1:9" x14ac:dyDescent="0.4">
      <c r="A88" s="462" t="s">
        <v>225</v>
      </c>
      <c r="B88" s="219" t="s">
        <v>226</v>
      </c>
      <c r="C88" s="445">
        <f>'EIA Form 923'!G3160-'EIA Form 923'!I3160</f>
        <v>4040</v>
      </c>
      <c r="D88" s="211">
        <f>'EIA Form 923'!G3160</f>
        <v>11700</v>
      </c>
      <c r="E88" s="212">
        <f>C88*'GWPs and Fuel EFs'!$B25</f>
        <v>660340.12827199989</v>
      </c>
      <c r="F88" s="445">
        <f>D88*'GWPs and Fuel EFs'!$B68</f>
        <v>77.382253961999993</v>
      </c>
      <c r="G88" s="211">
        <f>F88*'GWPs and Fuel EFs'!$B$7</f>
        <v>1934.5563490499999</v>
      </c>
      <c r="H88" s="445">
        <f>D88*'GWPs and Fuel EFs'!$B93</f>
        <v>15.476450792399998</v>
      </c>
      <c r="I88" s="211">
        <f>H88*'GWPs and Fuel EFs'!$C$7</f>
        <v>4611.9823361351991</v>
      </c>
    </row>
    <row r="89" spans="1:9" x14ac:dyDescent="0.4">
      <c r="A89" s="462" t="s">
        <v>270</v>
      </c>
      <c r="B89" s="219" t="s">
        <v>228</v>
      </c>
      <c r="C89" s="445">
        <f>'EIA Form 923'!G3161-'EIA Form 923'!I3161</f>
        <v>16703</v>
      </c>
      <c r="D89" s="211">
        <f>'EIA Form 923'!G3161</f>
        <v>44480727</v>
      </c>
      <c r="E89" s="212">
        <f>C89*'GWPs and Fuel EFs'!$B26</f>
        <v>1948345.5574725997</v>
      </c>
      <c r="F89" s="445">
        <f>D89*'GWPs and Fuel EFs'!$B69</f>
        <v>98063.216898244733</v>
      </c>
      <c r="G89" s="211">
        <f>F89*'GWPs and Fuel EFs'!$B$7</f>
        <v>2451580.4224561183</v>
      </c>
      <c r="H89" s="445">
        <f>D89*'GWPs and Fuel EFs'!$B94</f>
        <v>9806.3216898244737</v>
      </c>
      <c r="I89" s="211">
        <f>H89*'GWPs and Fuel EFs'!$C$7</f>
        <v>2922283.8635676932</v>
      </c>
    </row>
    <row r="90" spans="1:9" x14ac:dyDescent="0.4">
      <c r="A90" s="462" t="s">
        <v>229</v>
      </c>
      <c r="B90" s="219" t="s">
        <v>230</v>
      </c>
      <c r="C90" s="445">
        <f>'EIA Form 923'!G3162-'EIA Form 923'!I3162</f>
        <v>845474</v>
      </c>
      <c r="D90" s="211">
        <f>'EIA Form 923'!G3162</f>
        <v>845474</v>
      </c>
      <c r="E90" s="212">
        <f>C90*'GWPs and Fuel EFs'!$B27</f>
        <v>169060365.22548452</v>
      </c>
      <c r="F90" s="445">
        <f>D90*'GWPs and Fuel EFs'!$B70</f>
        <v>59646.435360700161</v>
      </c>
      <c r="G90" s="211">
        <f>F90*'GWPs and Fuel EFs'!$B$7</f>
        <v>1491160.8840175041</v>
      </c>
      <c r="H90" s="445">
        <f>D90*'GWPs and Fuel EFs'!$B95</f>
        <v>7828.5946410918941</v>
      </c>
      <c r="I90" s="211">
        <f>H90*'GWPs and Fuel EFs'!$C$7</f>
        <v>2332921.2030453845</v>
      </c>
    </row>
    <row r="91" spans="1:9" x14ac:dyDescent="0.4">
      <c r="A91" s="462" t="s">
        <v>231</v>
      </c>
      <c r="B91" s="219" t="s">
        <v>232</v>
      </c>
      <c r="C91" s="445">
        <f>'EIA Form 923'!G3163-'EIA Form 923'!I3163</f>
        <v>0</v>
      </c>
      <c r="D91" s="211">
        <f>'EIA Form 923'!G3163</f>
        <v>0</v>
      </c>
      <c r="E91" s="212">
        <f>C91*'GWPs and Fuel EFs'!$B28</f>
        <v>0</v>
      </c>
      <c r="F91" s="445">
        <f>D91*'GWPs and Fuel EFs'!$B71</f>
        <v>0</v>
      </c>
      <c r="G91" s="211">
        <f>F91*'GWPs and Fuel EFs'!$B$7</f>
        <v>0</v>
      </c>
      <c r="H91" s="445">
        <f>D91*'GWPs and Fuel EFs'!$B96</f>
        <v>0</v>
      </c>
      <c r="I91" s="211">
        <f>H91*'GWPs and Fuel EFs'!$C$7</f>
        <v>0</v>
      </c>
    </row>
    <row r="92" spans="1:9" x14ac:dyDescent="0.4">
      <c r="A92" s="462" t="s">
        <v>233</v>
      </c>
      <c r="B92" s="219" t="s">
        <v>234</v>
      </c>
      <c r="C92" s="445">
        <f>'EIA Form 923'!G3164-'EIA Form 923'!I3164</f>
        <v>496451</v>
      </c>
      <c r="D92" s="211">
        <f>'EIA Form 923'!G3164</f>
        <v>496451</v>
      </c>
      <c r="E92" s="212">
        <f>C92*'GWPs and Fuel EFs'!$B29</f>
        <v>94092944.537211388</v>
      </c>
      <c r="F92" s="445">
        <f>D92*'GWPs and Fuel EFs'!$B72</f>
        <v>35023.587338291836</v>
      </c>
      <c r="G92" s="211">
        <f>F92*'GWPs and Fuel EFs'!$B$7</f>
        <v>875589.68345729588</v>
      </c>
      <c r="H92" s="445">
        <f>D92*'GWPs and Fuel EFs'!$B97</f>
        <v>4596.8458381508035</v>
      </c>
      <c r="I92" s="211">
        <f>H92*'GWPs and Fuel EFs'!$C$7</f>
        <v>1369860.0597689394</v>
      </c>
    </row>
    <row r="93" spans="1:9" x14ac:dyDescent="0.4">
      <c r="A93" s="462" t="s">
        <v>235</v>
      </c>
      <c r="B93" s="219" t="s">
        <v>236</v>
      </c>
      <c r="C93" s="445">
        <f>'EIA Form 923'!G3165-'EIA Form 923'!I3165</f>
        <v>0</v>
      </c>
      <c r="D93" s="211">
        <f>'EIA Form 923'!G3165</f>
        <v>0</v>
      </c>
      <c r="E93" s="212">
        <f>C93*'GWPs and Fuel EFs'!$B30</f>
        <v>0</v>
      </c>
      <c r="F93" s="445">
        <f>D93*'GWPs and Fuel EFs'!$B73</f>
        <v>0</v>
      </c>
      <c r="G93" s="211">
        <f>F93*'GWPs and Fuel EFs'!$B$7</f>
        <v>0</v>
      </c>
      <c r="H93" s="445">
        <f>D93*'GWPs and Fuel EFs'!$B98</f>
        <v>0</v>
      </c>
      <c r="I93" s="211">
        <f>H93*'GWPs and Fuel EFs'!$C$7</f>
        <v>0</v>
      </c>
    </row>
    <row r="94" spans="1:9" x14ac:dyDescent="0.4">
      <c r="A94" s="462" t="s">
        <v>237</v>
      </c>
      <c r="B94" s="219" t="s">
        <v>238</v>
      </c>
      <c r="C94" s="445">
        <f>'EIA Form 923'!G3166-'EIA Form 923'!I3166</f>
        <v>56206</v>
      </c>
      <c r="D94" s="211">
        <f>'EIA Form 923'!G3166</f>
        <v>502049</v>
      </c>
      <c r="E94" s="212">
        <f>C94*'GWPs and Fuel EFs'!$B31</f>
        <v>9305030.1673176251</v>
      </c>
      <c r="F94" s="445">
        <f>D94*'GWPs and Fuel EFs'!$B74</f>
        <v>3320.4857452451402</v>
      </c>
      <c r="G94" s="211">
        <f>F94*'GWPs and Fuel EFs'!$B$7</f>
        <v>83012.143631128507</v>
      </c>
      <c r="H94" s="445">
        <f>D94*'GWPs and Fuel EFs'!$B99</f>
        <v>664.09714904902796</v>
      </c>
      <c r="I94" s="211">
        <f>H94*'GWPs and Fuel EFs'!$C$7</f>
        <v>197900.95041661034</v>
      </c>
    </row>
    <row r="95" spans="1:9" x14ac:dyDescent="0.4">
      <c r="A95" s="462" t="s">
        <v>239</v>
      </c>
      <c r="B95" s="219" t="s">
        <v>240</v>
      </c>
      <c r="C95" s="445">
        <f>'EIA Form 923'!G3167-'EIA Form 923'!I3167</f>
        <v>0</v>
      </c>
      <c r="D95" s="211">
        <f>'EIA Form 923'!G3167</f>
        <v>0</v>
      </c>
      <c r="E95" s="212">
        <f>C95*'GWPs and Fuel EFs'!$B32</f>
        <v>0</v>
      </c>
      <c r="F95" s="445">
        <f>D95*'GWPs and Fuel EFs'!$B75</f>
        <v>0</v>
      </c>
      <c r="G95" s="211">
        <f>F95*'GWPs and Fuel EFs'!$B$7</f>
        <v>0</v>
      </c>
      <c r="H95" s="445">
        <f>D95*'GWPs and Fuel EFs'!$B100</f>
        <v>0</v>
      </c>
      <c r="I95" s="211">
        <f>H95*'GWPs and Fuel EFs'!$C$7</f>
        <v>0</v>
      </c>
    </row>
    <row r="96" spans="1:9" x14ac:dyDescent="0.4">
      <c r="A96" s="462" t="s">
        <v>241</v>
      </c>
      <c r="B96" s="219" t="s">
        <v>242</v>
      </c>
      <c r="C96" s="445">
        <f>'EIA Form 923'!G3168-'EIA Form 923'!I3168</f>
        <v>0</v>
      </c>
      <c r="D96" s="211">
        <f>'EIA Form 923'!G3168</f>
        <v>0</v>
      </c>
      <c r="E96" s="212">
        <f>C96*'GWPs and Fuel EFs'!$B33</f>
        <v>0</v>
      </c>
      <c r="F96" s="445">
        <f>D96*'GWPs and Fuel EFs'!$B76</f>
        <v>0</v>
      </c>
      <c r="G96" s="211">
        <f>F96*'GWPs and Fuel EFs'!$B$7</f>
        <v>0</v>
      </c>
      <c r="H96" s="445">
        <f>D96*'GWPs and Fuel EFs'!$B101</f>
        <v>0</v>
      </c>
      <c r="I96" s="211">
        <f>H96*'GWPs and Fuel EFs'!$C$7</f>
        <v>0</v>
      </c>
    </row>
    <row r="97" spans="1:9" x14ac:dyDescent="0.4">
      <c r="A97" s="462" t="s">
        <v>243</v>
      </c>
      <c r="B97" s="219" t="s">
        <v>244</v>
      </c>
      <c r="C97" s="445">
        <f>'EIA Form 923'!G3169-'EIA Form 923'!I3169</f>
        <v>0</v>
      </c>
      <c r="D97" s="211">
        <f>'EIA Form 923'!G3169</f>
        <v>0</v>
      </c>
      <c r="E97" s="212">
        <f>C97*'GWPs and Fuel EFs'!$B34</f>
        <v>0</v>
      </c>
      <c r="F97" s="445">
        <f>D97*'GWPs and Fuel EFs'!$B77</f>
        <v>0</v>
      </c>
      <c r="G97" s="211">
        <f>F97*'GWPs and Fuel EFs'!$B$7</f>
        <v>0</v>
      </c>
      <c r="H97" s="445">
        <f>D97*'GWPs and Fuel EFs'!$B102</f>
        <v>0</v>
      </c>
      <c r="I97" s="211">
        <f>H97*'GWPs and Fuel EFs'!$C$7</f>
        <v>0</v>
      </c>
    </row>
    <row r="98" spans="1:9" x14ac:dyDescent="0.4">
      <c r="A98" s="462" t="s">
        <v>245</v>
      </c>
      <c r="B98" s="219" t="s">
        <v>246</v>
      </c>
      <c r="C98" s="445">
        <f>'EIA Form 923'!G3170-'EIA Form 923'!I3170</f>
        <v>587</v>
      </c>
      <c r="D98" s="211">
        <f>'EIA Form 923'!G3170</f>
        <v>587</v>
      </c>
      <c r="E98" s="212">
        <f>C98*'GWPs and Fuel EFs'!$B35</f>
        <v>81378.068179960188</v>
      </c>
      <c r="F98" s="445">
        <f>D98*'GWPs and Fuel EFs'!$B78</f>
        <v>1.2941134779399999</v>
      </c>
      <c r="G98" s="211">
        <f>F98*'GWPs and Fuel EFs'!$B$7</f>
        <v>32.352836948499998</v>
      </c>
      <c r="H98" s="445">
        <f>D98*'GWPs and Fuel EFs'!$B103</f>
        <v>0.12941134779399999</v>
      </c>
      <c r="I98" s="211">
        <f>H98*'GWPs and Fuel EFs'!$C$7</f>
        <v>38.564581642611998</v>
      </c>
    </row>
    <row r="99" spans="1:9" x14ac:dyDescent="0.4">
      <c r="A99" s="463" t="s">
        <v>249</v>
      </c>
      <c r="B99" s="447" t="s">
        <v>170</v>
      </c>
      <c r="C99" s="456" t="s">
        <v>170</v>
      </c>
      <c r="D99" s="464" t="s">
        <v>170</v>
      </c>
      <c r="E99" s="450">
        <f>SUM(E86:E98)</f>
        <v>306770125.76474845</v>
      </c>
      <c r="F99" s="456" t="s">
        <v>170</v>
      </c>
      <c r="G99" s="451">
        <f>SUM(G86:G98)</f>
        <v>4996574.5634112218</v>
      </c>
      <c r="H99" s="456" t="s">
        <v>170</v>
      </c>
      <c r="I99" s="451">
        <f>SUM(I86:I98)</f>
        <v>6989320.3453607783</v>
      </c>
    </row>
    <row r="100" spans="1:9" x14ac:dyDescent="0.4">
      <c r="A100" s="465" t="s">
        <v>11</v>
      </c>
      <c r="C100" s="26"/>
    </row>
    <row r="101" spans="1:9" x14ac:dyDescent="0.4">
      <c r="A101" s="437"/>
    </row>
    <row r="102" spans="1:9" x14ac:dyDescent="0.4">
      <c r="A102" s="16" t="s">
        <v>271</v>
      </c>
    </row>
    <row r="103" spans="1:9" ht="32" x14ac:dyDescent="0.4">
      <c r="A103" s="442" t="s">
        <v>212</v>
      </c>
      <c r="B103" s="443" t="s">
        <v>213</v>
      </c>
      <c r="C103" s="443" t="s">
        <v>214</v>
      </c>
      <c r="D103" s="443" t="s">
        <v>215</v>
      </c>
      <c r="E103" s="443" t="s">
        <v>216</v>
      </c>
      <c r="F103" s="443" t="s">
        <v>217</v>
      </c>
      <c r="G103" s="443" t="s">
        <v>218</v>
      </c>
      <c r="H103" s="443" t="s">
        <v>219</v>
      </c>
      <c r="I103" s="443" t="s">
        <v>220</v>
      </c>
    </row>
    <row r="104" spans="1:9" x14ac:dyDescent="0.4">
      <c r="A104" s="444" t="s">
        <v>251</v>
      </c>
      <c r="B104" s="219" t="s">
        <v>252</v>
      </c>
      <c r="C104" s="445">
        <f>'EIA Form 923'!G3171-'EIA Form 923'!I3171</f>
        <v>208155</v>
      </c>
      <c r="D104" s="211">
        <f>'EIA Form 923'!G3171</f>
        <v>208155</v>
      </c>
      <c r="E104" s="212">
        <f>C104*'GWPs and Fuel EFs'!$B44</f>
        <v>23895090.741739824</v>
      </c>
      <c r="F104" s="445">
        <f>D104*'GWPs and Fuel EFs'!$B79</f>
        <v>1468.4903086915201</v>
      </c>
      <c r="G104" s="211">
        <f>F104*'GWPs and Fuel EFs'!$B$7</f>
        <v>36712.257717288005</v>
      </c>
      <c r="H104" s="445">
        <f>D104*'GWPs and Fuel EFs'!$B104</f>
        <v>289.10902952364296</v>
      </c>
      <c r="I104" s="211">
        <f>H104*'GWPs and Fuel EFs'!$C$7</f>
        <v>86154.490798045605</v>
      </c>
    </row>
    <row r="105" spans="1:9" x14ac:dyDescent="0.4">
      <c r="A105" s="444" t="s">
        <v>253</v>
      </c>
      <c r="B105" s="219" t="s">
        <v>254</v>
      </c>
      <c r="C105" s="445">
        <f>'EIA Form 923'!G3172-'EIA Form 923'!I3172</f>
        <v>691759</v>
      </c>
      <c r="D105" s="211">
        <f>'EIA Form 923'!G3172</f>
        <v>691759</v>
      </c>
      <c r="E105" s="212">
        <f>C105*'GWPs and Fuel EFs'!$B45</f>
        <v>112610987.07891674</v>
      </c>
      <c r="F105" s="445">
        <f>D105*'GWPs and Fuel EFs'!$B80</f>
        <v>48802.161247634562</v>
      </c>
      <c r="G105" s="211">
        <f>F105*'GWPs and Fuel EFs'!$B$7</f>
        <v>1220054.031190864</v>
      </c>
      <c r="H105" s="445">
        <f>D105*'GWPs and Fuel EFs'!$B105</f>
        <v>6405.283663752035</v>
      </c>
      <c r="I105" s="211">
        <f>H105*'GWPs and Fuel EFs'!$C$7</f>
        <v>1908774.5317981064</v>
      </c>
    </row>
    <row r="106" spans="1:9" x14ac:dyDescent="0.4">
      <c r="A106" s="444" t="s">
        <v>255</v>
      </c>
      <c r="B106" s="219" t="s">
        <v>256</v>
      </c>
      <c r="C106" s="445">
        <f>'EIA Form 923'!G3173-'EIA Form 923'!I3173</f>
        <v>1196254</v>
      </c>
      <c r="D106" s="211">
        <f>'EIA Form 923'!G3173</f>
        <v>1196254</v>
      </c>
      <c r="E106" s="212">
        <f>C106*'GWPs and Fuel EFs'!$B46</f>
        <v>238653892.38630241</v>
      </c>
      <c r="F106" s="445">
        <f>D106*'GWPs and Fuel EFs'!$B81</f>
        <v>7512.7143458437276</v>
      </c>
      <c r="G106" s="211">
        <f>F106*'GWPs and Fuel EFs'!$B$7</f>
        <v>187817.8586460932</v>
      </c>
      <c r="H106" s="445">
        <f>D106*'GWPs and Fuel EFs'!$B106</f>
        <v>5008.4762305624854</v>
      </c>
      <c r="I106" s="211">
        <f>H106*'GWPs and Fuel EFs'!$C$7</f>
        <v>1492525.9167076207</v>
      </c>
    </row>
    <row r="107" spans="1:9" x14ac:dyDescent="0.4">
      <c r="A107" s="444" t="s">
        <v>257</v>
      </c>
      <c r="B107" s="219" t="s">
        <v>258</v>
      </c>
      <c r="C107" s="445">
        <f>'EIA Form 923'!G3174-'EIA Form 923'!I3174</f>
        <v>9161204</v>
      </c>
      <c r="D107" s="211">
        <f>'EIA Form 923'!G3174</f>
        <v>9161204</v>
      </c>
      <c r="E107" s="212">
        <f>C107*'GWPs and Fuel EFs'!$B47</f>
        <v>1831867679.1304874</v>
      </c>
      <c r="F107" s="445">
        <f>D107*'GWPs and Fuel EFs'!$B82</f>
        <v>145418.38246680825</v>
      </c>
      <c r="G107" s="211">
        <f>F107*'GWPs and Fuel EFs'!$B$7</f>
        <v>3635459.5616702065</v>
      </c>
      <c r="H107" s="445">
        <f>D107*'GWPs and Fuel EFs'!$B107</f>
        <v>72709.191233404126</v>
      </c>
      <c r="I107" s="211">
        <f>H107*'GWPs and Fuel EFs'!$C$7</f>
        <v>21667338.987554431</v>
      </c>
    </row>
    <row r="108" spans="1:9" x14ac:dyDescent="0.4">
      <c r="A108" s="444" t="s">
        <v>259</v>
      </c>
      <c r="B108" s="219" t="s">
        <v>260</v>
      </c>
      <c r="C108" s="445">
        <f>'EIA Form 923'!G3175-'EIA Form 923'!I3175</f>
        <v>22362</v>
      </c>
      <c r="D108" s="211">
        <f>'EIA Form 923'!G3175</f>
        <v>22362</v>
      </c>
      <c r="E108" s="212">
        <f>C108*'GWPs and Fuel EFs'!$B48</f>
        <v>3937395.1515452974</v>
      </c>
      <c r="F108" s="445">
        <f>D108*'GWPs and Fuel EFs'!$B83</f>
        <v>561.41124466731003</v>
      </c>
      <c r="G108" s="211">
        <f>F108*'GWPs and Fuel EFs'!$B$7</f>
        <v>14035.281116682751</v>
      </c>
      <c r="H108" s="445">
        <f>D108*'GWPs and Fuel EFs'!$B108</f>
        <v>93.066066451548735</v>
      </c>
      <c r="I108" s="211">
        <f>H108*'GWPs and Fuel EFs'!$C$7</f>
        <v>27733.687802561522</v>
      </c>
    </row>
    <row r="109" spans="1:9" x14ac:dyDescent="0.4">
      <c r="A109" s="444" t="s">
        <v>261</v>
      </c>
      <c r="B109" s="219" t="s">
        <v>262</v>
      </c>
      <c r="C109" s="445">
        <f>'EIA Form 923'!G3176-'EIA Form 923'!I3176</f>
        <v>0</v>
      </c>
      <c r="D109" s="211">
        <f>'EIA Form 923'!G3176</f>
        <v>0</v>
      </c>
      <c r="E109" s="212">
        <f>C109*'GWPs and Fuel EFs'!$B49</f>
        <v>0</v>
      </c>
      <c r="F109" s="445">
        <f>D109*'GWPs and Fuel EFs'!$B84</f>
        <v>0</v>
      </c>
      <c r="G109" s="211">
        <f>F109*'GWPs and Fuel EFs'!$B$7</f>
        <v>0</v>
      </c>
      <c r="H109" s="445">
        <f>D109*'GWPs and Fuel EFs'!$B109</f>
        <v>0</v>
      </c>
      <c r="I109" s="211">
        <f>H109*'GWPs and Fuel EFs'!$C$7</f>
        <v>0</v>
      </c>
    </row>
    <row r="110" spans="1:9" x14ac:dyDescent="0.4">
      <c r="A110" s="444" t="s">
        <v>263</v>
      </c>
      <c r="B110" s="219" t="s">
        <v>264</v>
      </c>
      <c r="C110" s="445">
        <f>'EIA Form 923'!G3177-'EIA Form 923'!I3177</f>
        <v>0</v>
      </c>
      <c r="D110" s="211">
        <f>'EIA Form 923'!G3177</f>
        <v>0</v>
      </c>
      <c r="E110" s="212">
        <f>C110*'GWPs and Fuel EFs'!$B50</f>
        <v>0</v>
      </c>
      <c r="F110" s="445">
        <f>D110*'GWPs and Fuel EFs'!$B85</f>
        <v>0</v>
      </c>
      <c r="G110" s="211">
        <f>F110*'GWPs and Fuel EFs'!$B$7</f>
        <v>0</v>
      </c>
      <c r="H110" s="445">
        <f>D110*'GWPs and Fuel EFs'!$B110</f>
        <v>0</v>
      </c>
      <c r="I110" s="211">
        <f>H110*'GWPs and Fuel EFs'!$C$7</f>
        <v>0</v>
      </c>
    </row>
    <row r="111" spans="1:9" x14ac:dyDescent="0.4">
      <c r="A111" s="444" t="s">
        <v>265</v>
      </c>
      <c r="B111" s="219" t="s">
        <v>266</v>
      </c>
      <c r="C111" s="445">
        <f>'EIA Form 923'!G3178-'EIA Form 923'!I3178</f>
        <v>0</v>
      </c>
      <c r="D111" s="211">
        <f>'EIA Form 923'!G3178</f>
        <v>0</v>
      </c>
      <c r="E111" s="212">
        <f>C111*'GWPs and Fuel EFs'!$B51</f>
        <v>0</v>
      </c>
      <c r="F111" s="445">
        <f>D111*'GWPs and Fuel EFs'!$B86</f>
        <v>0</v>
      </c>
      <c r="G111" s="211">
        <f>F111*'GWPs and Fuel EFs'!$B$7</f>
        <v>0</v>
      </c>
      <c r="H111" s="445">
        <f>D111*'GWPs and Fuel EFs'!$B111</f>
        <v>0</v>
      </c>
      <c r="I111" s="211">
        <f>H111*'GWPs and Fuel EFs'!$C$7</f>
        <v>0</v>
      </c>
    </row>
    <row r="112" spans="1:9" x14ac:dyDescent="0.4">
      <c r="A112" s="466" t="s">
        <v>249</v>
      </c>
      <c r="B112" s="447" t="s">
        <v>170</v>
      </c>
      <c r="C112" s="456" t="s">
        <v>170</v>
      </c>
      <c r="D112" s="464" t="s">
        <v>170</v>
      </c>
      <c r="E112" s="450">
        <f>SUM(E104:E111)</f>
        <v>2210965044.4889917</v>
      </c>
      <c r="F112" s="448" t="s">
        <v>170</v>
      </c>
      <c r="G112" s="451">
        <f>SUM(G104:G111)</f>
        <v>5094078.9903411344</v>
      </c>
      <c r="H112" s="448" t="s">
        <v>170</v>
      </c>
      <c r="I112" s="451">
        <f>SUM(I104:I111)</f>
        <v>25182527.614660762</v>
      </c>
    </row>
    <row r="113" spans="1:9" x14ac:dyDescent="0.4">
      <c r="A113" s="461" t="s">
        <v>11</v>
      </c>
    </row>
    <row r="115" spans="1:9" x14ac:dyDescent="0.4">
      <c r="A115" s="16" t="s">
        <v>272</v>
      </c>
      <c r="B115" s="4"/>
      <c r="C115" s="4"/>
      <c r="D115" s="4"/>
      <c r="E115" s="4"/>
      <c r="F115" s="4"/>
      <c r="G115" s="4"/>
      <c r="H115" s="4"/>
      <c r="I115" s="4"/>
    </row>
    <row r="116" spans="1:9" ht="32" x14ac:dyDescent="0.4">
      <c r="A116" s="217" t="s">
        <v>212</v>
      </c>
      <c r="B116" s="467" t="s">
        <v>213</v>
      </c>
      <c r="C116" s="324" t="s">
        <v>214</v>
      </c>
      <c r="D116" s="324" t="s">
        <v>215</v>
      </c>
      <c r="E116" s="324" t="s">
        <v>216</v>
      </c>
      <c r="F116" s="324" t="s">
        <v>217</v>
      </c>
      <c r="G116" s="324" t="s">
        <v>218</v>
      </c>
      <c r="H116" s="324" t="s">
        <v>219</v>
      </c>
      <c r="I116" s="324" t="s">
        <v>220</v>
      </c>
    </row>
    <row r="117" spans="1:9" x14ac:dyDescent="0.4">
      <c r="A117" s="3" t="s">
        <v>221</v>
      </c>
      <c r="B117" s="218" t="s">
        <v>222</v>
      </c>
      <c r="C117" s="445">
        <f>'EIA Form 923'!G3185-'EIA Form 923'!I3185</f>
        <v>0</v>
      </c>
      <c r="D117" s="211">
        <f>'EIA Form 923'!G3185</f>
        <v>2602559</v>
      </c>
      <c r="E117" s="212">
        <f>C117*'GWPs and Fuel EFs'!$B23</f>
        <v>0</v>
      </c>
      <c r="F117" s="445">
        <f>D117*'GWPs and Fuel EFs'!$B66</f>
        <v>63114.264854130372</v>
      </c>
      <c r="G117" s="211">
        <f>F117*'GWPs and Fuel EFs'!$B$7</f>
        <v>1577856.6213532593</v>
      </c>
      <c r="H117" s="445">
        <f>D117*'GWPs and Fuel EFs'!$B91</f>
        <v>9180.2567060553283</v>
      </c>
      <c r="I117" s="211">
        <f>H117*'GWPs and Fuel EFs'!$C$7</f>
        <v>2735716.498404488</v>
      </c>
    </row>
    <row r="118" spans="1:9" x14ac:dyDescent="0.4">
      <c r="A118" s="3" t="s">
        <v>223</v>
      </c>
      <c r="B118" s="219" t="s">
        <v>224</v>
      </c>
      <c r="C118" s="445">
        <f>'EIA Form 923'!G3186-'EIA Form 923'!I3186</f>
        <v>0</v>
      </c>
      <c r="D118" s="211">
        <f>'EIA Form 923'!G3186</f>
        <v>0</v>
      </c>
      <c r="E118" s="212">
        <f>C118*'GWPs and Fuel EFs'!$B24</f>
        <v>0</v>
      </c>
      <c r="F118" s="445">
        <f>D118*'GWPs and Fuel EFs'!$B67</f>
        <v>0</v>
      </c>
      <c r="G118" s="211">
        <f>F118*'GWPs and Fuel EFs'!$B$7</f>
        <v>0</v>
      </c>
      <c r="H118" s="445">
        <f>D118*'GWPs and Fuel EFs'!$B92</f>
        <v>0</v>
      </c>
      <c r="I118" s="211">
        <f>H118*'GWPs and Fuel EFs'!$C$7</f>
        <v>0</v>
      </c>
    </row>
    <row r="119" spans="1:9" x14ac:dyDescent="0.4">
      <c r="A119" s="3" t="s">
        <v>225</v>
      </c>
      <c r="B119" s="219" t="s">
        <v>226</v>
      </c>
      <c r="C119" s="445">
        <f>'EIA Form 923'!G3187-'EIA Form 923'!I3187</f>
        <v>15913</v>
      </c>
      <c r="D119" s="211">
        <f>'EIA Form 923'!G3187</f>
        <v>228665</v>
      </c>
      <c r="E119" s="212">
        <f>C119*'GWPs and Fuel EFs'!$B25</f>
        <v>2600988.2329683998</v>
      </c>
      <c r="F119" s="445">
        <f>D119*'GWPs and Fuel EFs'!$B68</f>
        <v>1512.3600942068999</v>
      </c>
      <c r="G119" s="211">
        <f>F119*'GWPs and Fuel EFs'!$B$7</f>
        <v>37809.002355172495</v>
      </c>
      <c r="H119" s="445">
        <f>D119*'GWPs and Fuel EFs'!$B93</f>
        <v>302.47201884137996</v>
      </c>
      <c r="I119" s="211">
        <f>H119*'GWPs and Fuel EFs'!$C$7</f>
        <v>90136.661614731231</v>
      </c>
    </row>
    <row r="120" spans="1:9" x14ac:dyDescent="0.4">
      <c r="A120" s="3" t="s">
        <v>270</v>
      </c>
      <c r="B120" s="219" t="s">
        <v>228</v>
      </c>
      <c r="C120" s="445">
        <f>'EIA Form 923'!G3188-'EIA Form 923'!I3188</f>
        <v>8542065</v>
      </c>
      <c r="D120" s="211">
        <f>'EIA Form 923'!G3188</f>
        <v>32843891</v>
      </c>
      <c r="E120" s="212">
        <f>C120*'GWPs and Fuel EFs'!$B26</f>
        <v>996401508.37527275</v>
      </c>
      <c r="F120" s="445">
        <f>D120*'GWPs and Fuel EFs'!$B69</f>
        <v>72408.385027414421</v>
      </c>
      <c r="G120" s="211">
        <f>F120*'GWPs and Fuel EFs'!$B$7</f>
        <v>1810209.6256853605</v>
      </c>
      <c r="H120" s="445">
        <f>D120*'GWPs and Fuel EFs'!$B94</f>
        <v>7240.8385027414424</v>
      </c>
      <c r="I120" s="211">
        <f>H120*'GWPs and Fuel EFs'!$C$7</f>
        <v>2157769.8738169498</v>
      </c>
    </row>
    <row r="121" spans="1:9" x14ac:dyDescent="0.4">
      <c r="A121" s="3" t="s">
        <v>229</v>
      </c>
      <c r="B121" s="219" t="s">
        <v>230</v>
      </c>
      <c r="C121" s="445">
        <f>'EIA Form 923'!G3189-'EIA Form 923'!I3189</f>
        <v>1021978</v>
      </c>
      <c r="D121" s="211">
        <f>'EIA Form 923'!G3189</f>
        <v>1021978</v>
      </c>
      <c r="E121" s="212">
        <f>C121*'GWPs and Fuel EFs'!$B27</f>
        <v>204353976.50597206</v>
      </c>
      <c r="F121" s="445">
        <f>D121*'GWPs and Fuel EFs'!$B70</f>
        <v>72098.426110155517</v>
      </c>
      <c r="G121" s="211">
        <f>F121*'GWPs and Fuel EFs'!$B$7</f>
        <v>1802460.6527538879</v>
      </c>
      <c r="H121" s="445">
        <f>D121*'GWPs and Fuel EFs'!$B95</f>
        <v>9462.9184269579109</v>
      </c>
      <c r="I121" s="211">
        <f>H121*'GWPs and Fuel EFs'!$C$7</f>
        <v>2819949.6912334575</v>
      </c>
    </row>
    <row r="122" spans="1:9" x14ac:dyDescent="0.4">
      <c r="A122" s="3" t="s">
        <v>231</v>
      </c>
      <c r="B122" s="219" t="s">
        <v>232</v>
      </c>
      <c r="C122" s="445">
        <f>'EIA Form 923'!G3190-'EIA Form 923'!I3190</f>
        <v>0</v>
      </c>
      <c r="D122" s="211">
        <f>'EIA Form 923'!G3190</f>
        <v>0</v>
      </c>
      <c r="E122" s="212">
        <f>C122*'GWPs and Fuel EFs'!$B28</f>
        <v>0</v>
      </c>
      <c r="F122" s="445">
        <f>D122*'GWPs and Fuel EFs'!$B71</f>
        <v>0</v>
      </c>
      <c r="G122" s="211">
        <f>F122*'GWPs and Fuel EFs'!$B$7</f>
        <v>0</v>
      </c>
      <c r="H122" s="445">
        <f>D122*'GWPs and Fuel EFs'!$B96</f>
        <v>0</v>
      </c>
      <c r="I122" s="211">
        <f>H122*'GWPs and Fuel EFs'!$C$7</f>
        <v>0</v>
      </c>
    </row>
    <row r="123" spans="1:9" x14ac:dyDescent="0.4">
      <c r="A123" s="3" t="s">
        <v>233</v>
      </c>
      <c r="B123" s="219" t="s">
        <v>234</v>
      </c>
      <c r="C123" s="445">
        <f>'EIA Form 923'!G3191-'EIA Form 923'!I3191</f>
        <v>0</v>
      </c>
      <c r="D123" s="211">
        <f>'EIA Form 923'!G3191</f>
        <v>0</v>
      </c>
      <c r="E123" s="212">
        <f>C123*'GWPs and Fuel EFs'!$B29</f>
        <v>0</v>
      </c>
      <c r="F123" s="445">
        <f>D123*'GWPs and Fuel EFs'!$B72</f>
        <v>0</v>
      </c>
      <c r="G123" s="211">
        <f>F123*'GWPs and Fuel EFs'!$B$7</f>
        <v>0</v>
      </c>
      <c r="H123" s="445">
        <f>D123*'GWPs and Fuel EFs'!$B97</f>
        <v>0</v>
      </c>
      <c r="I123" s="211">
        <f>H123*'GWPs and Fuel EFs'!$C$7</f>
        <v>0</v>
      </c>
    </row>
    <row r="124" spans="1:9" x14ac:dyDescent="0.4">
      <c r="A124" s="3" t="s">
        <v>235</v>
      </c>
      <c r="B124" s="219" t="s">
        <v>236</v>
      </c>
      <c r="C124" s="445">
        <f>'EIA Form 923'!G3192-'EIA Form 923'!I3192</f>
        <v>0</v>
      </c>
      <c r="D124" s="211">
        <f>'EIA Form 923'!G3192</f>
        <v>0</v>
      </c>
      <c r="E124" s="212">
        <f>C124*'GWPs and Fuel EFs'!$B30</f>
        <v>0</v>
      </c>
      <c r="F124" s="445">
        <f>D124*'GWPs and Fuel EFs'!$B73</f>
        <v>0</v>
      </c>
      <c r="G124" s="211">
        <f>F124*'GWPs and Fuel EFs'!$B$7</f>
        <v>0</v>
      </c>
      <c r="H124" s="445">
        <f>D124*'GWPs and Fuel EFs'!$B98</f>
        <v>0</v>
      </c>
      <c r="I124" s="211">
        <f>H124*'GWPs and Fuel EFs'!$C$7</f>
        <v>0</v>
      </c>
    </row>
    <row r="125" spans="1:9" x14ac:dyDescent="0.4">
      <c r="A125" s="3" t="s">
        <v>237</v>
      </c>
      <c r="B125" s="219" t="s">
        <v>238</v>
      </c>
      <c r="C125" s="445">
        <f>'EIA Form 923'!G3193-'EIA Form 923'!I3193</f>
        <v>75212</v>
      </c>
      <c r="D125" s="211">
        <f>'EIA Form 923'!G3193</f>
        <v>75212</v>
      </c>
      <c r="E125" s="212">
        <f>C125*'GWPs and Fuel EFs'!$B31</f>
        <v>12451516.367368132</v>
      </c>
      <c r="F125" s="445">
        <f>D125*'GWPs and Fuel EFs'!$B74</f>
        <v>497.44222948632</v>
      </c>
      <c r="G125" s="211">
        <f>F125*'GWPs and Fuel EFs'!$B$7</f>
        <v>12436.055737158</v>
      </c>
      <c r="H125" s="445">
        <f>D125*'GWPs and Fuel EFs'!$B99</f>
        <v>99.488445897263986</v>
      </c>
      <c r="I125" s="211">
        <f>H125*'GWPs and Fuel EFs'!$C$7</f>
        <v>29647.556877384668</v>
      </c>
    </row>
    <row r="126" spans="1:9" x14ac:dyDescent="0.4">
      <c r="A126" s="3" t="s">
        <v>239</v>
      </c>
      <c r="B126" s="219" t="s">
        <v>240</v>
      </c>
      <c r="C126" s="445">
        <f>'EIA Form 923'!G3194-'EIA Form 923'!I3194</f>
        <v>16252</v>
      </c>
      <c r="D126" s="211">
        <f>'EIA Form 923'!G3194</f>
        <v>33216</v>
      </c>
      <c r="E126" s="212">
        <f>C126*'GWPs and Fuel EFs'!$B32</f>
        <v>2588082.9588377187</v>
      </c>
      <c r="F126" s="445">
        <f>D126*'GWPs and Fuel EFs'!$B75</f>
        <v>219.68623483776</v>
      </c>
      <c r="G126" s="211">
        <f>F126*'GWPs and Fuel EFs'!$B$7</f>
        <v>5492.1558709439996</v>
      </c>
      <c r="H126" s="445">
        <f>D126*'GWPs and Fuel EFs'!$B100</f>
        <v>43.937246967551992</v>
      </c>
      <c r="I126" s="211">
        <f>H126*'GWPs and Fuel EFs'!$C$7</f>
        <v>13093.299596330493</v>
      </c>
    </row>
    <row r="127" spans="1:9" x14ac:dyDescent="0.4">
      <c r="A127" s="3" t="s">
        <v>241</v>
      </c>
      <c r="B127" s="219" t="s">
        <v>242</v>
      </c>
      <c r="C127" s="445">
        <f>'EIA Form 923'!G3195-'EIA Form 923'!I3195</f>
        <v>0</v>
      </c>
      <c r="D127" s="211">
        <f>'EIA Form 923'!G3195</f>
        <v>0</v>
      </c>
      <c r="E127" s="212">
        <f>C127*'GWPs and Fuel EFs'!$B33</f>
        <v>0</v>
      </c>
      <c r="F127" s="445">
        <f>D127*'GWPs and Fuel EFs'!$B76</f>
        <v>0</v>
      </c>
      <c r="G127" s="211">
        <f>F127*'GWPs and Fuel EFs'!$B$7</f>
        <v>0</v>
      </c>
      <c r="H127" s="445">
        <f>D127*'GWPs and Fuel EFs'!$B101</f>
        <v>0</v>
      </c>
      <c r="I127" s="211">
        <f>H127*'GWPs and Fuel EFs'!$C$7</f>
        <v>0</v>
      </c>
    </row>
    <row r="128" spans="1:9" x14ac:dyDescent="0.4">
      <c r="A128" s="3" t="s">
        <v>243</v>
      </c>
      <c r="B128" s="219" t="s">
        <v>244</v>
      </c>
      <c r="C128" s="445">
        <f>'EIA Form 923'!G3196-'EIA Form 923'!I3196</f>
        <v>0</v>
      </c>
      <c r="D128" s="211">
        <f>'EIA Form 923'!G3196</f>
        <v>0</v>
      </c>
      <c r="E128" s="212">
        <f>C128*'GWPs and Fuel EFs'!$B34</f>
        <v>0</v>
      </c>
      <c r="F128" s="445">
        <f>D128*'GWPs and Fuel EFs'!$B77</f>
        <v>0</v>
      </c>
      <c r="G128" s="211">
        <f>F128*'GWPs and Fuel EFs'!$B$7</f>
        <v>0</v>
      </c>
      <c r="H128" s="445">
        <f>D128*'GWPs and Fuel EFs'!$B102</f>
        <v>0</v>
      </c>
      <c r="I128" s="211">
        <f>H128*'GWPs and Fuel EFs'!$C$7</f>
        <v>0</v>
      </c>
    </row>
    <row r="129" spans="1:11" x14ac:dyDescent="0.4">
      <c r="A129" s="3" t="s">
        <v>245</v>
      </c>
      <c r="B129" s="219" t="s">
        <v>246</v>
      </c>
      <c r="C129" s="445">
        <f>'EIA Form 923'!G3197-'EIA Form 923'!I3197</f>
        <v>0</v>
      </c>
      <c r="D129" s="211">
        <f>'EIA Form 923'!G3197</f>
        <v>0</v>
      </c>
      <c r="E129" s="212">
        <f>C129*'GWPs and Fuel EFs'!$B35</f>
        <v>0</v>
      </c>
      <c r="F129" s="445">
        <f>D129*'GWPs and Fuel EFs'!$B78</f>
        <v>0</v>
      </c>
      <c r="G129" s="211">
        <f>F129*'GWPs and Fuel EFs'!$B$7</f>
        <v>0</v>
      </c>
      <c r="H129" s="445">
        <f>D129*'GWPs and Fuel EFs'!$B103</f>
        <v>0</v>
      </c>
      <c r="I129" s="211">
        <f>H129*'GWPs and Fuel EFs'!$C$7</f>
        <v>0</v>
      </c>
    </row>
    <row r="130" spans="1:11" x14ac:dyDescent="0.4">
      <c r="A130" s="468" t="s">
        <v>249</v>
      </c>
      <c r="B130" s="447" t="s">
        <v>170</v>
      </c>
      <c r="C130" s="456" t="s">
        <v>170</v>
      </c>
      <c r="D130" s="464" t="s">
        <v>170</v>
      </c>
      <c r="E130" s="450">
        <f>SUM(E117:E129)</f>
        <v>1218396072.4404192</v>
      </c>
      <c r="F130" s="456" t="s">
        <v>170</v>
      </c>
      <c r="G130" s="451">
        <f>SUM(G117:G129)</f>
        <v>5246264.1137557831</v>
      </c>
      <c r="H130" s="456" t="s">
        <v>170</v>
      </c>
      <c r="I130" s="451">
        <f>SUM(I117:I129)</f>
        <v>7846313.5815433422</v>
      </c>
    </row>
    <row r="131" spans="1:11" x14ac:dyDescent="0.4">
      <c r="A131" s="458" t="s">
        <v>11</v>
      </c>
      <c r="C131" s="469"/>
      <c r="D131" s="26"/>
      <c r="E131" s="26"/>
      <c r="F131" s="26"/>
      <c r="G131" s="26"/>
      <c r="H131" s="26"/>
      <c r="I131" s="26"/>
      <c r="J131" s="26"/>
      <c r="K131" s="26"/>
    </row>
    <row r="132" spans="1:11" x14ac:dyDescent="0.4">
      <c r="A132" s="470"/>
      <c r="C132" s="26"/>
      <c r="D132" s="26"/>
      <c r="E132" s="26"/>
      <c r="F132" s="26"/>
      <c r="G132" s="26"/>
      <c r="H132" s="26"/>
      <c r="I132" s="26"/>
      <c r="J132" s="26"/>
      <c r="K132" s="26"/>
    </row>
    <row r="133" spans="1:11" x14ac:dyDescent="0.4">
      <c r="A133" s="16" t="s">
        <v>273</v>
      </c>
      <c r="C133" s="26"/>
      <c r="D133" s="26"/>
      <c r="E133" s="26"/>
      <c r="F133" s="26"/>
      <c r="G133" s="26"/>
      <c r="H133" s="26"/>
      <c r="I133" s="26"/>
      <c r="J133" s="26"/>
      <c r="K133" s="26"/>
    </row>
    <row r="134" spans="1:11" ht="32" x14ac:dyDescent="0.4">
      <c r="A134" s="217" t="s">
        <v>212</v>
      </c>
      <c r="B134" s="467" t="s">
        <v>213</v>
      </c>
      <c r="C134" s="324" t="s">
        <v>214</v>
      </c>
      <c r="D134" s="324" t="s">
        <v>215</v>
      </c>
      <c r="E134" s="324" t="s">
        <v>216</v>
      </c>
      <c r="F134" s="324" t="s">
        <v>217</v>
      </c>
      <c r="G134" s="324" t="s">
        <v>218</v>
      </c>
      <c r="H134" s="324" t="s">
        <v>219</v>
      </c>
      <c r="I134" s="467" t="s">
        <v>220</v>
      </c>
    </row>
    <row r="135" spans="1:11" x14ac:dyDescent="0.4">
      <c r="A135" s="3" t="s">
        <v>251</v>
      </c>
      <c r="B135" s="218" t="s">
        <v>252</v>
      </c>
      <c r="C135" s="445">
        <f>'EIA Form 923'!G3198-'EIA Form 923'!I3198</f>
        <v>936861</v>
      </c>
      <c r="D135" s="211">
        <f>'EIA Form 923'!G3198</f>
        <v>936861</v>
      </c>
      <c r="E135" s="212">
        <f>C135*'GWPs and Fuel EFs'!$B44</f>
        <v>107546677.27125034</v>
      </c>
      <c r="F135" s="445">
        <f>D135*'GWPs and Fuel EFs'!$B79</f>
        <v>6609.3598476666239</v>
      </c>
      <c r="G135" s="211">
        <f>F135*'GWPs and Fuel EFs'!$B$7</f>
        <v>165233.99619166559</v>
      </c>
      <c r="H135" s="445">
        <f>D135*'GWPs and Fuel EFs'!$B104</f>
        <v>1301.2177200093665</v>
      </c>
      <c r="I135" s="210">
        <f>H135*'GWPs and Fuel EFs'!$C$7</f>
        <v>387762.88056279125</v>
      </c>
    </row>
    <row r="136" spans="1:11" x14ac:dyDescent="0.4">
      <c r="A136" s="3" t="s">
        <v>253</v>
      </c>
      <c r="B136" s="219" t="s">
        <v>254</v>
      </c>
      <c r="C136" s="445">
        <f>'EIA Form 923'!G3199-'EIA Form 923'!I3199</f>
        <v>836150</v>
      </c>
      <c r="D136" s="211">
        <f>'EIA Form 923'!G3199</f>
        <v>836150</v>
      </c>
      <c r="E136" s="212">
        <f>C136*'GWPs and Fuel EFs'!$B45</f>
        <v>136116301.84216791</v>
      </c>
      <c r="F136" s="445">
        <f>D136*'GWPs and Fuel EFs'!$B80</f>
        <v>58988.646518816</v>
      </c>
      <c r="G136" s="211">
        <f>F136*'GWPs and Fuel EFs'!$B$7</f>
        <v>1474716.1629703999</v>
      </c>
      <c r="H136" s="445">
        <f>D136*'GWPs and Fuel EFs'!$B105</f>
        <v>7742.2598555945988</v>
      </c>
      <c r="I136" s="210">
        <f>H136*'GWPs and Fuel EFs'!$C$7</f>
        <v>2307193.4369671904</v>
      </c>
    </row>
    <row r="137" spans="1:11" x14ac:dyDescent="0.4">
      <c r="A137" s="3" t="s">
        <v>255</v>
      </c>
      <c r="B137" s="219" t="s">
        <v>256</v>
      </c>
      <c r="C137" s="445">
        <f>'EIA Form 923'!G3200-'EIA Form 923'!I3200</f>
        <v>0</v>
      </c>
      <c r="D137" s="211">
        <f>'EIA Form 923'!G3200</f>
        <v>0</v>
      </c>
      <c r="E137" s="212">
        <f>C137*'GWPs and Fuel EFs'!$B46</f>
        <v>0</v>
      </c>
      <c r="F137" s="445">
        <f>D137*'GWPs and Fuel EFs'!$B81</f>
        <v>0</v>
      </c>
      <c r="G137" s="211">
        <f>F137*'GWPs and Fuel EFs'!$B$7</f>
        <v>0</v>
      </c>
      <c r="H137" s="445">
        <f>D137*'GWPs and Fuel EFs'!$B106</f>
        <v>0</v>
      </c>
      <c r="I137" s="210">
        <f>H137*'GWPs and Fuel EFs'!$C$7</f>
        <v>0</v>
      </c>
    </row>
    <row r="138" spans="1:11" x14ac:dyDescent="0.4">
      <c r="A138" s="3" t="s">
        <v>257</v>
      </c>
      <c r="B138" s="219" t="s">
        <v>258</v>
      </c>
      <c r="C138" s="445">
        <f>'EIA Form 923'!G3201-'EIA Form 923'!I3201</f>
        <v>7817255</v>
      </c>
      <c r="D138" s="211">
        <f>'EIA Form 923'!G3201</f>
        <v>7817255</v>
      </c>
      <c r="E138" s="212">
        <f>C138*'GWPs and Fuel EFs'!$B47</f>
        <v>1563132615.9772446</v>
      </c>
      <c r="F138" s="445">
        <f>D138*'GWPs and Fuel EFs'!$B82</f>
        <v>124085.49983501832</v>
      </c>
      <c r="G138" s="211">
        <f>F138*'GWPs and Fuel EFs'!$B$7</f>
        <v>3102137.4958754578</v>
      </c>
      <c r="H138" s="445">
        <f>D138*'GWPs and Fuel EFs'!$B107</f>
        <v>62042.749917509158</v>
      </c>
      <c r="I138" s="210">
        <f>H138*'GWPs and Fuel EFs'!$C$7</f>
        <v>18488739.475417729</v>
      </c>
    </row>
    <row r="139" spans="1:11" x14ac:dyDescent="0.4">
      <c r="A139" s="3" t="s">
        <v>259</v>
      </c>
      <c r="B139" s="219" t="s">
        <v>260</v>
      </c>
      <c r="C139" s="445">
        <f>'EIA Form 923'!G3202-'EIA Form 923'!I3202</f>
        <v>0</v>
      </c>
      <c r="D139" s="211">
        <f>'EIA Form 923'!G3202</f>
        <v>0</v>
      </c>
      <c r="E139" s="212">
        <f>C139*'GWPs and Fuel EFs'!$B48</f>
        <v>0</v>
      </c>
      <c r="F139" s="445">
        <f>D139*'GWPs and Fuel EFs'!$B83</f>
        <v>0</v>
      </c>
      <c r="G139" s="211">
        <f>F139*'GWPs and Fuel EFs'!$B$7</f>
        <v>0</v>
      </c>
      <c r="H139" s="445">
        <f>D139*'GWPs and Fuel EFs'!$B108</f>
        <v>0</v>
      </c>
      <c r="I139" s="210">
        <f>H139*'GWPs and Fuel EFs'!$C$7</f>
        <v>0</v>
      </c>
    </row>
    <row r="140" spans="1:11" x14ac:dyDescent="0.4">
      <c r="A140" s="3" t="s">
        <v>261</v>
      </c>
      <c r="B140" s="219" t="s">
        <v>262</v>
      </c>
      <c r="C140" s="445">
        <f>'EIA Form 923'!G3203-'EIA Form 923'!I3203</f>
        <v>0</v>
      </c>
      <c r="D140" s="211">
        <f>'EIA Form 923'!G3203</f>
        <v>0</v>
      </c>
      <c r="E140" s="212">
        <f>C140*'GWPs and Fuel EFs'!$B49</f>
        <v>0</v>
      </c>
      <c r="F140" s="445">
        <f>D140*'GWPs and Fuel EFs'!$B84</f>
        <v>0</v>
      </c>
      <c r="G140" s="211">
        <f>F140*'GWPs and Fuel EFs'!$B$7</f>
        <v>0</v>
      </c>
      <c r="H140" s="445">
        <f>D140*'GWPs and Fuel EFs'!$B109</f>
        <v>0</v>
      </c>
      <c r="I140" s="210">
        <f>H140*'GWPs and Fuel EFs'!$C$7</f>
        <v>0</v>
      </c>
    </row>
    <row r="141" spans="1:11" x14ac:dyDescent="0.4">
      <c r="A141" s="3" t="s">
        <v>263</v>
      </c>
      <c r="B141" s="219" t="s">
        <v>264</v>
      </c>
      <c r="C141" s="445">
        <f>'EIA Form 923'!G3204-'EIA Form 923'!I3204</f>
        <v>0</v>
      </c>
      <c r="D141" s="211">
        <f>'EIA Form 923'!G3204</f>
        <v>0</v>
      </c>
      <c r="E141" s="212">
        <f>C141*'GWPs and Fuel EFs'!$B50</f>
        <v>0</v>
      </c>
      <c r="F141" s="445">
        <f>D141*'GWPs and Fuel EFs'!$B85</f>
        <v>0</v>
      </c>
      <c r="G141" s="211">
        <f>F141*'GWPs and Fuel EFs'!$B$7</f>
        <v>0</v>
      </c>
      <c r="H141" s="445">
        <f>D141*'GWPs and Fuel EFs'!$B110</f>
        <v>0</v>
      </c>
      <c r="I141" s="210">
        <f>H141*'GWPs and Fuel EFs'!$C$7</f>
        <v>0</v>
      </c>
    </row>
    <row r="142" spans="1:11" x14ac:dyDescent="0.4">
      <c r="A142" s="3" t="s">
        <v>265</v>
      </c>
      <c r="B142" s="219" t="s">
        <v>266</v>
      </c>
      <c r="C142" s="445">
        <f>'EIA Form 923'!G3205-'EIA Form 923'!I3205</f>
        <v>0</v>
      </c>
      <c r="D142" s="211">
        <f>'EIA Form 923'!G3205</f>
        <v>0</v>
      </c>
      <c r="E142" s="212">
        <f>C142*'GWPs and Fuel EFs'!$B51</f>
        <v>0</v>
      </c>
      <c r="F142" s="445">
        <f>D142*'GWPs and Fuel EFs'!$B86</f>
        <v>0</v>
      </c>
      <c r="G142" s="211">
        <f>F142*'GWPs and Fuel EFs'!$B$7</f>
        <v>0</v>
      </c>
      <c r="H142" s="445">
        <f>D142*'GWPs and Fuel EFs'!$B111</f>
        <v>0</v>
      </c>
      <c r="I142" s="210">
        <f>H142*'GWPs and Fuel EFs'!$C$7</f>
        <v>0</v>
      </c>
    </row>
    <row r="143" spans="1:11" x14ac:dyDescent="0.4">
      <c r="A143" s="468" t="s">
        <v>249</v>
      </c>
      <c r="B143" s="447" t="s">
        <v>170</v>
      </c>
      <c r="C143" s="456" t="s">
        <v>170</v>
      </c>
      <c r="D143" s="464" t="s">
        <v>170</v>
      </c>
      <c r="E143" s="450">
        <f>SUM(E135:E142)</f>
        <v>1806795595.090663</v>
      </c>
      <c r="F143" s="448" t="s">
        <v>170</v>
      </c>
      <c r="G143" s="451">
        <f>SUM(G135:G142)</f>
        <v>4742087.6550375232</v>
      </c>
      <c r="H143" s="448" t="s">
        <v>170</v>
      </c>
      <c r="I143" s="460">
        <f>SUM(I135:I142)</f>
        <v>21183695.79294771</v>
      </c>
    </row>
    <row r="144" spans="1:11" x14ac:dyDescent="0.4">
      <c r="A144" s="459" t="s">
        <v>11</v>
      </c>
    </row>
    <row r="146" spans="1:9" x14ac:dyDescent="0.4">
      <c r="A146" s="16" t="s">
        <v>274</v>
      </c>
      <c r="B146" s="4"/>
      <c r="C146" s="4"/>
      <c r="D146" s="412"/>
      <c r="E146" s="412"/>
      <c r="F146" s="4"/>
      <c r="G146" s="4"/>
      <c r="H146" s="4"/>
      <c r="I146" s="4"/>
    </row>
    <row r="147" spans="1:9" ht="32" x14ac:dyDescent="0.4">
      <c r="A147" s="217" t="s">
        <v>212</v>
      </c>
      <c r="B147" s="467" t="s">
        <v>213</v>
      </c>
      <c r="C147" s="324" t="s">
        <v>214</v>
      </c>
      <c r="D147" s="324" t="s">
        <v>215</v>
      </c>
      <c r="E147" s="324" t="s">
        <v>216</v>
      </c>
      <c r="F147" s="324" t="s">
        <v>217</v>
      </c>
      <c r="G147" s="324" t="s">
        <v>218</v>
      </c>
      <c r="H147" s="324" t="s">
        <v>219</v>
      </c>
      <c r="I147" s="324" t="s">
        <v>220</v>
      </c>
    </row>
    <row r="148" spans="1:9" x14ac:dyDescent="0.4">
      <c r="A148" s="3" t="s">
        <v>221</v>
      </c>
      <c r="B148" s="218" t="s">
        <v>222</v>
      </c>
      <c r="C148" s="445">
        <f>'EIA Form 923'!G3212-'EIA Form 923'!I3212</f>
        <v>0</v>
      </c>
      <c r="D148" s="211">
        <f>'EIA Form 923'!G3212</f>
        <v>0</v>
      </c>
      <c r="E148" s="212">
        <f>C148*'GWPs and Fuel EFs'!$B23</f>
        <v>0</v>
      </c>
      <c r="F148" s="445">
        <f>D148*'GWPs and Fuel EFs'!$B66</f>
        <v>0</v>
      </c>
      <c r="G148" s="211">
        <f>F148*'GWPs and Fuel EFs'!$B$7</f>
        <v>0</v>
      </c>
      <c r="H148" s="445">
        <f>D148*'GWPs and Fuel EFs'!$B91</f>
        <v>0</v>
      </c>
      <c r="I148" s="211">
        <f>H148*'GWPs and Fuel EFs'!$C$7</f>
        <v>0</v>
      </c>
    </row>
    <row r="149" spans="1:9" x14ac:dyDescent="0.4">
      <c r="A149" s="3" t="s">
        <v>223</v>
      </c>
      <c r="B149" s="219" t="s">
        <v>224</v>
      </c>
      <c r="C149" s="445">
        <f>'EIA Form 923'!G3213-'EIA Form 923'!I3213</f>
        <v>0</v>
      </c>
      <c r="D149" s="211">
        <f>'EIA Form 923'!G3213</f>
        <v>0</v>
      </c>
      <c r="E149" s="212">
        <f>C149*'GWPs and Fuel EFs'!$B24</f>
        <v>0</v>
      </c>
      <c r="F149" s="445">
        <f>D149*'GWPs and Fuel EFs'!$B67</f>
        <v>0</v>
      </c>
      <c r="G149" s="211">
        <f>F149*'GWPs and Fuel EFs'!$B$7</f>
        <v>0</v>
      </c>
      <c r="H149" s="445">
        <f>D149*'GWPs and Fuel EFs'!$B92</f>
        <v>0</v>
      </c>
      <c r="I149" s="211">
        <f>H149*'GWPs and Fuel EFs'!$C$7</f>
        <v>0</v>
      </c>
    </row>
    <row r="150" spans="1:9" x14ac:dyDescent="0.4">
      <c r="A150" s="3" t="s">
        <v>225</v>
      </c>
      <c r="B150" s="219" t="s">
        <v>226</v>
      </c>
      <c r="C150" s="445">
        <f>'EIA Form 923'!G3214-'EIA Form 923'!I3214</f>
        <v>326909</v>
      </c>
      <c r="D150" s="211">
        <f>'EIA Form 923'!G3214</f>
        <v>850448</v>
      </c>
      <c r="E150" s="212">
        <f>C150*'GWPs and Fuel EFs'!$B25</f>
        <v>53433448.265661195</v>
      </c>
      <c r="F150" s="445">
        <f>D150*'GWPs and Fuel EFs'!$B68</f>
        <v>5624.7506938012802</v>
      </c>
      <c r="G150" s="211">
        <f>F150*'GWPs and Fuel EFs'!$B$7</f>
        <v>140618.76734503201</v>
      </c>
      <c r="H150" s="445">
        <f>D150*'GWPs and Fuel EFs'!$B93</f>
        <v>1124.9501387602559</v>
      </c>
      <c r="I150" s="211">
        <f>H150*'GWPs and Fuel EFs'!$C$7</f>
        <v>335235.14135055622</v>
      </c>
    </row>
    <row r="151" spans="1:9" x14ac:dyDescent="0.4">
      <c r="A151" s="3" t="s">
        <v>227</v>
      </c>
      <c r="B151" s="219" t="s">
        <v>228</v>
      </c>
      <c r="C151" s="445">
        <f>'EIA Form 923'!G3215-'EIA Form 923'!I3215</f>
        <v>144370874</v>
      </c>
      <c r="D151" s="211">
        <f>'EIA Form 923'!G3215</f>
        <v>498475792</v>
      </c>
      <c r="E151" s="212">
        <f>C151*'GWPs and Fuel EFs'!$B26</f>
        <v>16840349098.146227</v>
      </c>
      <c r="F151" s="445">
        <f>D151*'GWPs and Fuel EFs'!$B69</f>
        <v>1098951.0065656151</v>
      </c>
      <c r="G151" s="211">
        <f>F151*'GWPs and Fuel EFs'!$B$7</f>
        <v>27473775.164140377</v>
      </c>
      <c r="H151" s="445">
        <f>D151*'GWPs and Fuel EFs'!$B94</f>
        <v>109895.10065656151</v>
      </c>
      <c r="I151" s="211">
        <f>H151*'GWPs and Fuel EFs'!$C$7</f>
        <v>32748739.995655332</v>
      </c>
    </row>
    <row r="152" spans="1:9" x14ac:dyDescent="0.4">
      <c r="A152" s="3" t="s">
        <v>229</v>
      </c>
      <c r="B152" s="219" t="s">
        <v>230</v>
      </c>
      <c r="C152" s="445">
        <f>'EIA Form 923'!G3217-'EIA Form 923'!I3217</f>
        <v>2848374</v>
      </c>
      <c r="D152" s="211">
        <f>'EIA Form 923'!G3217</f>
        <v>2848374</v>
      </c>
      <c r="E152" s="212">
        <f>C152*'GWPs and Fuel EFs'!$B27</f>
        <v>569558790.38122308</v>
      </c>
      <c r="F152" s="445">
        <f>D152*'GWPs and Fuel EFs'!$B70</f>
        <v>200946.87201983616</v>
      </c>
      <c r="G152" s="211">
        <f>F152*'GWPs and Fuel EFs'!$B$7</f>
        <v>5023671.8004959039</v>
      </c>
      <c r="H152" s="445">
        <f>D152*'GWPs and Fuel EFs'!$B95</f>
        <v>26374.27695260349</v>
      </c>
      <c r="I152" s="211">
        <f>H152*'GWPs and Fuel EFs'!$C$7</f>
        <v>7859534.5318758404</v>
      </c>
    </row>
    <row r="153" spans="1:9" x14ac:dyDescent="0.4">
      <c r="A153" s="3" t="s">
        <v>231</v>
      </c>
      <c r="B153" s="219" t="s">
        <v>232</v>
      </c>
      <c r="C153" s="445">
        <f>'EIA Form 923'!G3218-'EIA Form 923'!I3218</f>
        <v>0</v>
      </c>
      <c r="D153" s="211">
        <f>'EIA Form 923'!G3218</f>
        <v>0</v>
      </c>
      <c r="E153" s="212">
        <f>C153*'GWPs and Fuel EFs'!$B28</f>
        <v>0</v>
      </c>
      <c r="F153" s="445">
        <f>D153*'GWPs and Fuel EFs'!$B71</f>
        <v>0</v>
      </c>
      <c r="G153" s="211">
        <f>F153*'GWPs and Fuel EFs'!$B$7</f>
        <v>0</v>
      </c>
      <c r="H153" s="445">
        <f>D153*'GWPs and Fuel EFs'!$B96</f>
        <v>0</v>
      </c>
      <c r="I153" s="211">
        <f>H153*'GWPs and Fuel EFs'!$C$7</f>
        <v>0</v>
      </c>
    </row>
    <row r="154" spans="1:9" x14ac:dyDescent="0.4">
      <c r="A154" s="3" t="s">
        <v>233</v>
      </c>
      <c r="B154" s="219" t="s">
        <v>234</v>
      </c>
      <c r="C154" s="445">
        <f>'EIA Form 923'!G3219-'EIA Form 923'!I3219</f>
        <v>0</v>
      </c>
      <c r="D154" s="211">
        <f>'EIA Form 923'!G3219</f>
        <v>0</v>
      </c>
      <c r="E154" s="212">
        <f>C154*'GWPs and Fuel EFs'!$B29</f>
        <v>0</v>
      </c>
      <c r="F154" s="445">
        <f>D154*'GWPs and Fuel EFs'!$B72</f>
        <v>0</v>
      </c>
      <c r="G154" s="211">
        <f>F154*'GWPs and Fuel EFs'!$B$7</f>
        <v>0</v>
      </c>
      <c r="H154" s="445">
        <f>D154*'GWPs and Fuel EFs'!$B97</f>
        <v>0</v>
      </c>
      <c r="I154" s="211">
        <f>H154*'GWPs and Fuel EFs'!$C$7</f>
        <v>0</v>
      </c>
    </row>
    <row r="155" spans="1:9" x14ac:dyDescent="0.4">
      <c r="A155" s="3" t="s">
        <v>235</v>
      </c>
      <c r="B155" s="219" t="s">
        <v>236</v>
      </c>
      <c r="C155" s="445">
        <f>'EIA Form 923'!G3220-'EIA Form 923'!I3220</f>
        <v>0</v>
      </c>
      <c r="D155" s="211">
        <f>'EIA Form 923'!G3220</f>
        <v>0</v>
      </c>
      <c r="E155" s="212">
        <f>C155*'GWPs and Fuel EFs'!$B30</f>
        <v>0</v>
      </c>
      <c r="F155" s="445">
        <f>D155*'GWPs and Fuel EFs'!$B73</f>
        <v>0</v>
      </c>
      <c r="G155" s="211">
        <f>F155*'GWPs and Fuel EFs'!$B$7</f>
        <v>0</v>
      </c>
      <c r="H155" s="445">
        <f>D155*'GWPs and Fuel EFs'!$B98</f>
        <v>0</v>
      </c>
      <c r="I155" s="211">
        <f>H155*'GWPs and Fuel EFs'!$C$7</f>
        <v>0</v>
      </c>
    </row>
    <row r="156" spans="1:9" x14ac:dyDescent="0.4">
      <c r="A156" s="3" t="s">
        <v>237</v>
      </c>
      <c r="B156" s="219" t="s">
        <v>238</v>
      </c>
      <c r="C156" s="445">
        <f>'EIA Form 923'!G3221-'EIA Form 923'!I3221</f>
        <v>0</v>
      </c>
      <c r="D156" s="211">
        <f>'EIA Form 923'!G3221</f>
        <v>1744655</v>
      </c>
      <c r="E156" s="212">
        <f>C156*'GWPs and Fuel EFs'!$B31</f>
        <v>0</v>
      </c>
      <c r="F156" s="445">
        <f>D156*'GWPs and Fuel EFs'!$B74</f>
        <v>11538.917631288299</v>
      </c>
      <c r="G156" s="211">
        <f>F156*'GWPs and Fuel EFs'!$B$7</f>
        <v>288472.94078220747</v>
      </c>
      <c r="H156" s="445">
        <f>D156*'GWPs and Fuel EFs'!$B99</f>
        <v>2307.7835262576596</v>
      </c>
      <c r="I156" s="211">
        <f>H156*'GWPs and Fuel EFs'!$C$7</f>
        <v>687719.49082478252</v>
      </c>
    </row>
    <row r="157" spans="1:9" x14ac:dyDescent="0.4">
      <c r="A157" s="3" t="s">
        <v>239</v>
      </c>
      <c r="B157" s="219" t="s">
        <v>240</v>
      </c>
      <c r="C157" s="445">
        <f>'EIA Form 923'!G3222-'EIA Form 923'!I3222</f>
        <v>0</v>
      </c>
      <c r="D157" s="211">
        <f>'EIA Form 923'!G3222</f>
        <v>0</v>
      </c>
      <c r="E157" s="212">
        <f>C157*'GWPs and Fuel EFs'!$B32</f>
        <v>0</v>
      </c>
      <c r="F157" s="445">
        <f>D157*'GWPs and Fuel EFs'!$B75</f>
        <v>0</v>
      </c>
      <c r="G157" s="211">
        <f>F157*'GWPs and Fuel EFs'!$B$7</f>
        <v>0</v>
      </c>
      <c r="H157" s="445">
        <f>D157*'GWPs and Fuel EFs'!$B100</f>
        <v>0</v>
      </c>
      <c r="I157" s="211">
        <f>H157*'GWPs and Fuel EFs'!$C$7</f>
        <v>0</v>
      </c>
    </row>
    <row r="158" spans="1:9" x14ac:dyDescent="0.4">
      <c r="A158" s="3" t="s">
        <v>241</v>
      </c>
      <c r="B158" s="219" t="s">
        <v>242</v>
      </c>
      <c r="C158" s="445">
        <f>'EIA Form 923'!G3223-'EIA Form 923'!I3223</f>
        <v>289171</v>
      </c>
      <c r="D158" s="211">
        <f>'EIA Form 923'!G3223</f>
        <v>717003</v>
      </c>
      <c r="E158" s="212">
        <f>C158*'GWPs and Fuel EFs'!$B33</f>
        <v>46657386.433115929</v>
      </c>
      <c r="F158" s="445">
        <f>D158*'GWPs and Fuel EFs'!$B76</f>
        <v>4742.1630972235798</v>
      </c>
      <c r="G158" s="211">
        <f>F158*'GWPs and Fuel EFs'!$B$7</f>
        <v>118554.0774305895</v>
      </c>
      <c r="H158" s="445">
        <f>D158*'GWPs and Fuel EFs'!$B101</f>
        <v>948.4326194447159</v>
      </c>
      <c r="I158" s="211">
        <f>H158*'GWPs and Fuel EFs'!$C$7</f>
        <v>282632.92059452535</v>
      </c>
    </row>
    <row r="159" spans="1:9" x14ac:dyDescent="0.4">
      <c r="A159" s="3" t="s">
        <v>243</v>
      </c>
      <c r="B159" s="219" t="s">
        <v>244</v>
      </c>
      <c r="C159" s="445">
        <f>'EIA Form 923'!G3224-'EIA Form 923'!I3224</f>
        <v>0</v>
      </c>
      <c r="D159" s="211">
        <f>'EIA Form 923'!G3224</f>
        <v>0</v>
      </c>
      <c r="E159" s="212">
        <f>C159*'GWPs and Fuel EFs'!$B34</f>
        <v>0</v>
      </c>
      <c r="F159" s="445">
        <f>D159*'GWPs and Fuel EFs'!$B77</f>
        <v>0</v>
      </c>
      <c r="G159" s="211">
        <f>F159*'GWPs and Fuel EFs'!$B$7</f>
        <v>0</v>
      </c>
      <c r="H159" s="445">
        <f>D159*'GWPs and Fuel EFs'!$B102</f>
        <v>0</v>
      </c>
      <c r="I159" s="211">
        <f>H159*'GWPs and Fuel EFs'!$C$7</f>
        <v>0</v>
      </c>
    </row>
    <row r="160" spans="1:9" x14ac:dyDescent="0.4">
      <c r="A160" s="3" t="s">
        <v>245</v>
      </c>
      <c r="B160" s="219" t="s">
        <v>246</v>
      </c>
      <c r="C160" s="445">
        <f>'EIA Form 923'!G3225-'EIA Form 923'!I3225</f>
        <v>0</v>
      </c>
      <c r="D160" s="211">
        <f>'EIA Form 923'!G3225</f>
        <v>0</v>
      </c>
      <c r="E160" s="212">
        <f>C160*'GWPs and Fuel EFs'!$B35</f>
        <v>0</v>
      </c>
      <c r="F160" s="445">
        <f>D160*'GWPs and Fuel EFs'!$B78</f>
        <v>0</v>
      </c>
      <c r="G160" s="211">
        <f>F160*'GWPs and Fuel EFs'!$B$7</f>
        <v>0</v>
      </c>
      <c r="H160" s="445">
        <f>D160*'GWPs and Fuel EFs'!$B103</f>
        <v>0</v>
      </c>
      <c r="I160" s="211">
        <f>H160*'GWPs and Fuel EFs'!$C$7</f>
        <v>0</v>
      </c>
    </row>
    <row r="161" spans="1:10" x14ac:dyDescent="0.4">
      <c r="A161" s="3" t="s">
        <v>247</v>
      </c>
      <c r="B161" s="219" t="s">
        <v>248</v>
      </c>
      <c r="C161" s="441" t="s">
        <v>170</v>
      </c>
      <c r="D161" s="211" t="s">
        <v>170</v>
      </c>
      <c r="E161" s="212">
        <f>'EIA Form 923'!H3216*'GWPs and Fuel EFs'!$B$56</f>
        <v>259171905.79999998</v>
      </c>
      <c r="F161" s="445" t="s">
        <v>170</v>
      </c>
      <c r="G161" s="213" t="s">
        <v>170</v>
      </c>
      <c r="H161" s="445" t="s">
        <v>170</v>
      </c>
      <c r="I161" s="213" t="s">
        <v>170</v>
      </c>
    </row>
    <row r="162" spans="1:10" x14ac:dyDescent="0.4">
      <c r="A162" s="468" t="s">
        <v>249</v>
      </c>
      <c r="B162" s="447" t="s">
        <v>170</v>
      </c>
      <c r="C162" s="456" t="s">
        <v>170</v>
      </c>
      <c r="D162" s="464" t="s">
        <v>170</v>
      </c>
      <c r="E162" s="450">
        <f>SUM(E148:E160)+E161</f>
        <v>17769170629.026226</v>
      </c>
      <c r="F162" s="456" t="s">
        <v>170</v>
      </c>
      <c r="G162" s="451">
        <f>SUM(G148:G160)</f>
        <v>33045092.750194114</v>
      </c>
      <c r="H162" s="456" t="s">
        <v>170</v>
      </c>
      <c r="I162" s="451">
        <f>SUM(I148:I160)</f>
        <v>41913862.080301039</v>
      </c>
    </row>
    <row r="163" spans="1:10" x14ac:dyDescent="0.4">
      <c r="A163" s="458" t="s">
        <v>11</v>
      </c>
      <c r="B163" s="47"/>
      <c r="C163" s="26"/>
      <c r="D163" s="26"/>
      <c r="E163" s="71"/>
      <c r="F163" s="26"/>
      <c r="G163" s="71"/>
      <c r="H163" s="26"/>
      <c r="I163" s="71"/>
    </row>
    <row r="164" spans="1:10" x14ac:dyDescent="0.4">
      <c r="B164" s="47"/>
      <c r="C164" s="26"/>
      <c r="D164" s="26"/>
      <c r="E164" s="71"/>
      <c r="F164" s="26"/>
      <c r="G164" s="71"/>
      <c r="H164" s="26"/>
      <c r="I164" s="71"/>
    </row>
    <row r="165" spans="1:10" x14ac:dyDescent="0.4">
      <c r="A165" s="16" t="s">
        <v>275</v>
      </c>
      <c r="C165" s="26"/>
      <c r="D165" s="26"/>
      <c r="E165" s="26"/>
      <c r="F165" s="26"/>
      <c r="G165" s="26"/>
      <c r="H165" s="26"/>
      <c r="I165" s="26"/>
      <c r="J165" s="26"/>
    </row>
    <row r="166" spans="1:10" ht="32" x14ac:dyDescent="0.4">
      <c r="A166" s="217" t="s">
        <v>212</v>
      </c>
      <c r="B166" s="467" t="s">
        <v>213</v>
      </c>
      <c r="C166" s="324" t="s">
        <v>214</v>
      </c>
      <c r="D166" s="324" t="s">
        <v>215</v>
      </c>
      <c r="E166" s="324" t="s">
        <v>216</v>
      </c>
      <c r="F166" s="324" t="s">
        <v>217</v>
      </c>
      <c r="G166" s="324" t="s">
        <v>218</v>
      </c>
      <c r="H166" s="324" t="s">
        <v>219</v>
      </c>
      <c r="I166" s="467" t="s">
        <v>220</v>
      </c>
    </row>
    <row r="167" spans="1:10" x14ac:dyDescent="0.4">
      <c r="A167" s="3" t="s">
        <v>251</v>
      </c>
      <c r="B167" s="218" t="s">
        <v>252</v>
      </c>
      <c r="C167" s="445">
        <f>'EIA Form 923'!G3226-'EIA Form 923'!I3226</f>
        <v>6960063</v>
      </c>
      <c r="D167" s="211">
        <f>'EIA Form 923'!G3226</f>
        <v>6960063</v>
      </c>
      <c r="E167" s="212">
        <f>C167*'GWPs and Fuel EFs'!$B44</f>
        <v>798978342.83695281</v>
      </c>
      <c r="F167" s="445">
        <f>D167*'GWPs and Fuel EFs'!$B79</f>
        <v>49101.799444560194</v>
      </c>
      <c r="G167" s="211">
        <f>F167*'GWPs and Fuel EFs'!$B$7</f>
        <v>1227544.9861140049</v>
      </c>
      <c r="H167" s="445">
        <f>D167*'GWPs and Fuel EFs'!$B104</f>
        <v>9666.9167656477875</v>
      </c>
      <c r="I167" s="210">
        <f>H167*'GWPs and Fuel EFs'!$C$7</f>
        <v>2880741.1961630406</v>
      </c>
    </row>
    <row r="168" spans="1:10" x14ac:dyDescent="0.4">
      <c r="A168" s="3" t="s">
        <v>253</v>
      </c>
      <c r="B168" s="219" t="s">
        <v>254</v>
      </c>
      <c r="C168" s="445">
        <f>'EIA Form 923'!G3227-'EIA Form 923'!I3227</f>
        <v>2330453</v>
      </c>
      <c r="D168" s="211">
        <f>'EIA Form 923'!G3227</f>
        <v>2330453</v>
      </c>
      <c r="E168" s="212">
        <f>C168*'GWPs and Fuel EFs'!$B45</f>
        <v>379372892.39608413</v>
      </c>
      <c r="F168" s="445">
        <f>D168*'GWPs and Fuel EFs'!$B80</f>
        <v>164408.62075669953</v>
      </c>
      <c r="G168" s="211">
        <f>F168*'GWPs and Fuel EFs'!$B$7</f>
        <v>4110215.5189174884</v>
      </c>
      <c r="H168" s="445">
        <f>D168*'GWPs and Fuel EFs'!$B105</f>
        <v>21578.631474316808</v>
      </c>
      <c r="I168" s="210">
        <f>H168*'GWPs and Fuel EFs'!$C$7</f>
        <v>6430432.1793464087</v>
      </c>
    </row>
    <row r="169" spans="1:10" x14ac:dyDescent="0.4">
      <c r="A169" s="3" t="s">
        <v>255</v>
      </c>
      <c r="B169" s="219" t="s">
        <v>256</v>
      </c>
      <c r="C169" s="445">
        <f>'EIA Form 923'!G3228-'EIA Form 923'!I3228</f>
        <v>0</v>
      </c>
      <c r="D169" s="211">
        <f>'EIA Form 923'!G3228</f>
        <v>0</v>
      </c>
      <c r="E169" s="212">
        <f>C169*'GWPs and Fuel EFs'!$B46</f>
        <v>0</v>
      </c>
      <c r="F169" s="445">
        <f>D169*'GWPs and Fuel EFs'!$B81</f>
        <v>0</v>
      </c>
      <c r="G169" s="211">
        <f>F169*'GWPs and Fuel EFs'!$B$7</f>
        <v>0</v>
      </c>
      <c r="H169" s="445">
        <f>D169*'GWPs and Fuel EFs'!$B106</f>
        <v>0</v>
      </c>
      <c r="I169" s="210">
        <f>H169*'GWPs and Fuel EFs'!$C$7</f>
        <v>0</v>
      </c>
    </row>
    <row r="170" spans="1:10" x14ac:dyDescent="0.4">
      <c r="A170" s="3" t="s">
        <v>257</v>
      </c>
      <c r="B170" s="219" t="s">
        <v>258</v>
      </c>
      <c r="C170" s="445">
        <f>'EIA Form 923'!G3229-'EIA Form 923'!I3229</f>
        <v>0</v>
      </c>
      <c r="D170" s="211">
        <f>'EIA Form 923'!G3229</f>
        <v>0</v>
      </c>
      <c r="E170" s="212">
        <f>C170*'GWPs and Fuel EFs'!$B47</f>
        <v>0</v>
      </c>
      <c r="F170" s="445">
        <f>D170*'GWPs and Fuel EFs'!$B82</f>
        <v>0</v>
      </c>
      <c r="G170" s="211">
        <f>F170*'GWPs and Fuel EFs'!$B$7</f>
        <v>0</v>
      </c>
      <c r="H170" s="445">
        <f>D170*'GWPs and Fuel EFs'!$B107</f>
        <v>0</v>
      </c>
      <c r="I170" s="210">
        <f>H170*'GWPs and Fuel EFs'!$C$7</f>
        <v>0</v>
      </c>
    </row>
    <row r="171" spans="1:10" x14ac:dyDescent="0.4">
      <c r="A171" s="3" t="s">
        <v>259</v>
      </c>
      <c r="B171" s="219" t="s">
        <v>260</v>
      </c>
      <c r="C171" s="445">
        <f>'EIA Form 923'!G3230-'EIA Form 923'!I3230</f>
        <v>0</v>
      </c>
      <c r="D171" s="211">
        <f>'EIA Form 923'!G3230</f>
        <v>0</v>
      </c>
      <c r="E171" s="212">
        <f>C171*'GWPs and Fuel EFs'!$B48</f>
        <v>0</v>
      </c>
      <c r="F171" s="445">
        <f>D171*'GWPs and Fuel EFs'!$B83</f>
        <v>0</v>
      </c>
      <c r="G171" s="211">
        <f>F171*'GWPs and Fuel EFs'!$B$7</f>
        <v>0</v>
      </c>
      <c r="H171" s="445">
        <f>D171*'GWPs and Fuel EFs'!$B108</f>
        <v>0</v>
      </c>
      <c r="I171" s="210">
        <f>H171*'GWPs and Fuel EFs'!$C$7</f>
        <v>0</v>
      </c>
    </row>
    <row r="172" spans="1:10" x14ac:dyDescent="0.4">
      <c r="A172" s="3" t="s">
        <v>261</v>
      </c>
      <c r="B172" s="219" t="s">
        <v>262</v>
      </c>
      <c r="C172" s="445">
        <f>'EIA Form 923'!G3231-'EIA Form 923'!I3231</f>
        <v>0</v>
      </c>
      <c r="D172" s="211">
        <f>'EIA Form 923'!G3231</f>
        <v>0</v>
      </c>
      <c r="E172" s="212">
        <f>C172*'GWPs and Fuel EFs'!$B49</f>
        <v>0</v>
      </c>
      <c r="F172" s="445">
        <f>D172*'GWPs and Fuel EFs'!$B84</f>
        <v>0</v>
      </c>
      <c r="G172" s="211">
        <f>F172*'GWPs and Fuel EFs'!$B$7</f>
        <v>0</v>
      </c>
      <c r="H172" s="445">
        <f>D172*'GWPs and Fuel EFs'!$B109</f>
        <v>0</v>
      </c>
      <c r="I172" s="210">
        <f>H172*'GWPs and Fuel EFs'!$C$7</f>
        <v>0</v>
      </c>
    </row>
    <row r="173" spans="1:10" x14ac:dyDescent="0.4">
      <c r="A173" s="3" t="s">
        <v>263</v>
      </c>
      <c r="B173" s="219" t="s">
        <v>264</v>
      </c>
      <c r="C173" s="445">
        <f>'EIA Form 923'!G3232-'EIA Form 923'!I3232</f>
        <v>0</v>
      </c>
      <c r="D173" s="211">
        <f>'EIA Form 923'!G3232</f>
        <v>0</v>
      </c>
      <c r="E173" s="212">
        <f>C173*'GWPs and Fuel EFs'!$B50</f>
        <v>0</v>
      </c>
      <c r="F173" s="445">
        <f>D173*'GWPs and Fuel EFs'!$B85</f>
        <v>0</v>
      </c>
      <c r="G173" s="211">
        <f>F173*'GWPs and Fuel EFs'!$B$7</f>
        <v>0</v>
      </c>
      <c r="H173" s="445">
        <f>D173*'GWPs and Fuel EFs'!$B110</f>
        <v>0</v>
      </c>
      <c r="I173" s="210">
        <f>H173*'GWPs and Fuel EFs'!$C$7</f>
        <v>0</v>
      </c>
    </row>
    <row r="174" spans="1:10" x14ac:dyDescent="0.4">
      <c r="A174" s="3" t="s">
        <v>265</v>
      </c>
      <c r="B174" s="471" t="s">
        <v>266</v>
      </c>
      <c r="C174" s="445">
        <f>'EIA Form 923'!G3233-'EIA Form 923'!I3233</f>
        <v>0</v>
      </c>
      <c r="D174" s="211">
        <f>'EIA Form 923'!G3233</f>
        <v>0</v>
      </c>
      <c r="E174" s="212">
        <f>C174*'GWPs and Fuel EFs'!$B51</f>
        <v>0</v>
      </c>
      <c r="F174" s="445">
        <f>D174*'GWPs and Fuel EFs'!$B86</f>
        <v>0</v>
      </c>
      <c r="G174" s="211">
        <f>F174*'GWPs and Fuel EFs'!$B$7</f>
        <v>0</v>
      </c>
      <c r="H174" s="445">
        <f>D174*'GWPs and Fuel EFs'!$B111</f>
        <v>0</v>
      </c>
      <c r="I174" s="210">
        <f>H174*'GWPs and Fuel EFs'!$C$7</f>
        <v>0</v>
      </c>
    </row>
    <row r="175" spans="1:10" x14ac:dyDescent="0.4">
      <c r="A175" s="468" t="s">
        <v>249</v>
      </c>
      <c r="B175" s="447" t="s">
        <v>170</v>
      </c>
      <c r="C175" s="456" t="s">
        <v>170</v>
      </c>
      <c r="D175" s="464" t="s">
        <v>170</v>
      </c>
      <c r="E175" s="450">
        <f>SUM(E167:E174)</f>
        <v>1178351235.233037</v>
      </c>
      <c r="F175" s="456" t="s">
        <v>170</v>
      </c>
      <c r="G175" s="451">
        <f>SUM(G167:G174)</f>
        <v>5337760.5050314935</v>
      </c>
      <c r="H175" s="456" t="s">
        <v>170</v>
      </c>
      <c r="I175" s="460">
        <f>SUM(I167:I174)</f>
        <v>9311173.3755094483</v>
      </c>
    </row>
    <row r="176" spans="1:10" x14ac:dyDescent="0.4">
      <c r="A176" s="458" t="s">
        <v>11</v>
      </c>
      <c r="B176" s="339"/>
      <c r="C176" s="339"/>
      <c r="D176" s="339"/>
      <c r="E176" s="339"/>
      <c r="F176" s="339"/>
      <c r="G176" s="339"/>
      <c r="H176" s="339"/>
      <c r="I176" s="339"/>
    </row>
    <row r="178" spans="1:9" x14ac:dyDescent="0.4">
      <c r="A178" s="16" t="s">
        <v>276</v>
      </c>
      <c r="B178" s="4"/>
      <c r="C178" s="4"/>
      <c r="D178" s="4"/>
      <c r="E178" s="4"/>
      <c r="F178" s="4"/>
      <c r="G178" s="4"/>
      <c r="H178" s="4"/>
      <c r="I178" s="4"/>
    </row>
    <row r="179" spans="1:9" ht="32" x14ac:dyDescent="0.4">
      <c r="A179" s="217" t="s">
        <v>212</v>
      </c>
      <c r="B179" s="324" t="s">
        <v>213</v>
      </c>
      <c r="C179" s="324" t="s">
        <v>214</v>
      </c>
      <c r="D179" s="324" t="s">
        <v>215</v>
      </c>
      <c r="E179" s="324" t="s">
        <v>216</v>
      </c>
      <c r="F179" s="324" t="s">
        <v>217</v>
      </c>
      <c r="G179" s="324" t="s">
        <v>218</v>
      </c>
      <c r="H179" s="324" t="s">
        <v>219</v>
      </c>
      <c r="I179" s="324" t="s">
        <v>220</v>
      </c>
    </row>
    <row r="180" spans="1:9" x14ac:dyDescent="0.4">
      <c r="A180" s="3" t="s">
        <v>221</v>
      </c>
      <c r="B180" s="220" t="s">
        <v>222</v>
      </c>
      <c r="C180" s="221">
        <f>'EIA Form 923'!G3241-'EIA Form 923'!I3241</f>
        <v>0</v>
      </c>
      <c r="D180" s="211">
        <f>'EIA Form 923'!G3241</f>
        <v>0</v>
      </c>
      <c r="E180" s="212">
        <f>C180*'GWPs and Fuel EFs'!$B23</f>
        <v>0</v>
      </c>
      <c r="F180" s="445">
        <f>D180*'GWPs and Fuel EFs'!$B66</f>
        <v>0</v>
      </c>
      <c r="G180" s="211">
        <f>F180*'GWPs and Fuel EFs'!$B$7</f>
        <v>0</v>
      </c>
      <c r="H180" s="445">
        <f>D180*'GWPs and Fuel EFs'!$B91</f>
        <v>0</v>
      </c>
      <c r="I180" s="211">
        <f>H180*'GWPs and Fuel EFs'!$C$7</f>
        <v>0</v>
      </c>
    </row>
    <row r="181" spans="1:9" x14ac:dyDescent="0.4">
      <c r="A181" s="3" t="s">
        <v>223</v>
      </c>
      <c r="B181" s="441" t="s">
        <v>224</v>
      </c>
      <c r="C181" s="445">
        <f>'EIA Form 923'!G3242-'EIA Form 923'!I3242</f>
        <v>0</v>
      </c>
      <c r="D181" s="211">
        <f>'EIA Form 923'!G3242</f>
        <v>0</v>
      </c>
      <c r="E181" s="212">
        <f>C181*'GWPs and Fuel EFs'!$B24</f>
        <v>0</v>
      </c>
      <c r="F181" s="445">
        <f>D181*'GWPs and Fuel EFs'!$B67</f>
        <v>0</v>
      </c>
      <c r="G181" s="211">
        <f>F181*'GWPs and Fuel EFs'!$B$7</f>
        <v>0</v>
      </c>
      <c r="H181" s="445">
        <f>D181*'GWPs and Fuel EFs'!$B92</f>
        <v>0</v>
      </c>
      <c r="I181" s="211">
        <f>H181*'GWPs and Fuel EFs'!$C$7</f>
        <v>0</v>
      </c>
    </row>
    <row r="182" spans="1:9" x14ac:dyDescent="0.4">
      <c r="A182" s="3" t="s">
        <v>225</v>
      </c>
      <c r="B182" s="441" t="s">
        <v>226</v>
      </c>
      <c r="C182" s="445">
        <f>'EIA Form 923'!G3243-'EIA Form 923'!I3243</f>
        <v>1192</v>
      </c>
      <c r="D182" s="211">
        <f>'EIA Form 923'!G3243</f>
        <v>58030</v>
      </c>
      <c r="E182" s="212">
        <f>C182*'GWPs and Fuel EFs'!$B25</f>
        <v>194833.02794559998</v>
      </c>
      <c r="F182" s="445">
        <f>D182*'GWPs and Fuel EFs'!$B68</f>
        <v>383.8027519158</v>
      </c>
      <c r="G182" s="211">
        <f>F182*'GWPs and Fuel EFs'!$B$7</f>
        <v>9595.0687978950009</v>
      </c>
      <c r="H182" s="445">
        <f>D182*'GWPs and Fuel EFs'!$B93</f>
        <v>76.760550383159995</v>
      </c>
      <c r="I182" s="211">
        <f>H182*'GWPs and Fuel EFs'!$C$7</f>
        <v>22874.644014181678</v>
      </c>
    </row>
    <row r="183" spans="1:9" x14ac:dyDescent="0.4">
      <c r="A183" s="3" t="s">
        <v>270</v>
      </c>
      <c r="B183" s="441" t="s">
        <v>228</v>
      </c>
      <c r="C183" s="445">
        <f>'EIA Form 923'!G3244-'EIA Form 923'!I3244</f>
        <v>0</v>
      </c>
      <c r="D183" s="211">
        <f>'EIA Form 923'!G3244</f>
        <v>66754057</v>
      </c>
      <c r="E183" s="212">
        <f>C183*'GWPs and Fuel EFs'!$B26</f>
        <v>0</v>
      </c>
      <c r="F183" s="445">
        <f>D183*'GWPs and Fuel EFs'!$B69</f>
        <v>147167.50403896935</v>
      </c>
      <c r="G183" s="211">
        <f>F183*'GWPs and Fuel EFs'!$B$7</f>
        <v>3679187.6009742338</v>
      </c>
      <c r="H183" s="445">
        <f>D183*'GWPs and Fuel EFs'!$B94</f>
        <v>14716.750403896935</v>
      </c>
      <c r="I183" s="211">
        <f>H183*'GWPs and Fuel EFs'!$C$7</f>
        <v>4385591.6203612862</v>
      </c>
    </row>
    <row r="184" spans="1:9" x14ac:dyDescent="0.4">
      <c r="A184" s="3" t="s">
        <v>229</v>
      </c>
      <c r="B184" s="441" t="s">
        <v>230</v>
      </c>
      <c r="C184" s="445">
        <f>'EIA Form 923'!G3245-'EIA Form 923'!I3245</f>
        <v>0</v>
      </c>
      <c r="D184" s="211">
        <f>'EIA Form 923'!G3245</f>
        <v>0</v>
      </c>
      <c r="E184" s="212">
        <f>C184*'GWPs and Fuel EFs'!$B27</f>
        <v>0</v>
      </c>
      <c r="F184" s="445">
        <f>D184*'GWPs and Fuel EFs'!$B70</f>
        <v>0</v>
      </c>
      <c r="G184" s="211">
        <f>F184*'GWPs and Fuel EFs'!$B$7</f>
        <v>0</v>
      </c>
      <c r="H184" s="445">
        <f>D184*'GWPs and Fuel EFs'!$B95</f>
        <v>0</v>
      </c>
      <c r="I184" s="211">
        <f>H184*'GWPs and Fuel EFs'!$C$7</f>
        <v>0</v>
      </c>
    </row>
    <row r="185" spans="1:9" x14ac:dyDescent="0.4">
      <c r="A185" s="3" t="s">
        <v>231</v>
      </c>
      <c r="B185" s="441" t="s">
        <v>232</v>
      </c>
      <c r="C185" s="445">
        <f>'EIA Form 923'!G3246-'EIA Form 923'!I3246</f>
        <v>0</v>
      </c>
      <c r="D185" s="211">
        <f>'EIA Form 923'!G3246</f>
        <v>0</v>
      </c>
      <c r="E185" s="212">
        <f>C185*'GWPs and Fuel EFs'!$B28</f>
        <v>0</v>
      </c>
      <c r="F185" s="445">
        <f>D185*'GWPs and Fuel EFs'!$B71</f>
        <v>0</v>
      </c>
      <c r="G185" s="211">
        <f>F185*'GWPs and Fuel EFs'!$B$7</f>
        <v>0</v>
      </c>
      <c r="H185" s="445">
        <f>D185*'GWPs and Fuel EFs'!$B96</f>
        <v>0</v>
      </c>
      <c r="I185" s="211">
        <f>H185*'GWPs and Fuel EFs'!$C$7</f>
        <v>0</v>
      </c>
    </row>
    <row r="186" spans="1:9" x14ac:dyDescent="0.4">
      <c r="A186" s="3" t="s">
        <v>233</v>
      </c>
      <c r="B186" s="441" t="s">
        <v>234</v>
      </c>
      <c r="C186" s="445">
        <f>'EIA Form 923'!G3247-'EIA Form 923'!I3247</f>
        <v>0</v>
      </c>
      <c r="D186" s="211">
        <f>'EIA Form 923'!G3247</f>
        <v>0</v>
      </c>
      <c r="E186" s="212">
        <f>C186*'GWPs and Fuel EFs'!$B29</f>
        <v>0</v>
      </c>
      <c r="F186" s="445">
        <f>D186*'GWPs and Fuel EFs'!$B72</f>
        <v>0</v>
      </c>
      <c r="G186" s="211">
        <f>F186*'GWPs and Fuel EFs'!$B$7</f>
        <v>0</v>
      </c>
      <c r="H186" s="445">
        <f>D186*'GWPs and Fuel EFs'!$B97</f>
        <v>0</v>
      </c>
      <c r="I186" s="211">
        <f>H186*'GWPs and Fuel EFs'!$C$7</f>
        <v>0</v>
      </c>
    </row>
    <row r="187" spans="1:9" x14ac:dyDescent="0.4">
      <c r="A187" s="3" t="s">
        <v>235</v>
      </c>
      <c r="B187" s="441" t="s">
        <v>236</v>
      </c>
      <c r="C187" s="445">
        <f>'EIA Form 923'!G3248-'EIA Form 923'!I3248</f>
        <v>0</v>
      </c>
      <c r="D187" s="211">
        <f>'EIA Form 923'!G3248</f>
        <v>0</v>
      </c>
      <c r="E187" s="212">
        <f>C187*'GWPs and Fuel EFs'!$B30</f>
        <v>0</v>
      </c>
      <c r="F187" s="445">
        <f>D187*'GWPs and Fuel EFs'!$B73</f>
        <v>0</v>
      </c>
      <c r="G187" s="211">
        <f>F187*'GWPs and Fuel EFs'!$B$7</f>
        <v>0</v>
      </c>
      <c r="H187" s="445">
        <f>D187*'GWPs and Fuel EFs'!$B98</f>
        <v>0</v>
      </c>
      <c r="I187" s="211">
        <f>H187*'GWPs and Fuel EFs'!$C$7</f>
        <v>0</v>
      </c>
    </row>
    <row r="188" spans="1:9" x14ac:dyDescent="0.4">
      <c r="A188" s="3" t="s">
        <v>237</v>
      </c>
      <c r="B188" s="441" t="s">
        <v>238</v>
      </c>
      <c r="C188" s="445">
        <f>'EIA Form 923'!G3249-'EIA Form 923'!I3249</f>
        <v>0</v>
      </c>
      <c r="D188" s="211">
        <f>'EIA Form 923'!G3249</f>
        <v>0</v>
      </c>
      <c r="E188" s="212">
        <f>C188*'GWPs and Fuel EFs'!$B31</f>
        <v>0</v>
      </c>
      <c r="F188" s="445">
        <f>D188*'GWPs and Fuel EFs'!$B74</f>
        <v>0</v>
      </c>
      <c r="G188" s="211">
        <f>F188*'GWPs and Fuel EFs'!$B$7</f>
        <v>0</v>
      </c>
      <c r="H188" s="445">
        <f>D188*'GWPs and Fuel EFs'!$B99</f>
        <v>0</v>
      </c>
      <c r="I188" s="211">
        <f>H188*'GWPs and Fuel EFs'!$C$7</f>
        <v>0</v>
      </c>
    </row>
    <row r="189" spans="1:9" x14ac:dyDescent="0.4">
      <c r="A189" s="3" t="s">
        <v>239</v>
      </c>
      <c r="B189" s="441" t="s">
        <v>240</v>
      </c>
      <c r="C189" s="445">
        <f>'EIA Form 923'!G3250-'EIA Form 923'!I3250</f>
        <v>0</v>
      </c>
      <c r="D189" s="211">
        <f>'EIA Form 923'!G3250</f>
        <v>0</v>
      </c>
      <c r="E189" s="212">
        <f>C189*'GWPs and Fuel EFs'!$B32</f>
        <v>0</v>
      </c>
      <c r="F189" s="445">
        <f>D189*'GWPs and Fuel EFs'!$B75</f>
        <v>0</v>
      </c>
      <c r="G189" s="211">
        <f>F189*'GWPs and Fuel EFs'!$B$7</f>
        <v>0</v>
      </c>
      <c r="H189" s="445">
        <f>D189*'GWPs and Fuel EFs'!$B100</f>
        <v>0</v>
      </c>
      <c r="I189" s="211">
        <f>H189*'GWPs and Fuel EFs'!$C$7</f>
        <v>0</v>
      </c>
    </row>
    <row r="190" spans="1:9" x14ac:dyDescent="0.4">
      <c r="A190" s="3" t="s">
        <v>241</v>
      </c>
      <c r="B190" s="441" t="s">
        <v>242</v>
      </c>
      <c r="C190" s="445">
        <f>'EIA Form 923'!G3251-'EIA Form 923'!I3251</f>
        <v>0</v>
      </c>
      <c r="D190" s="211">
        <f>'EIA Form 923'!G3251</f>
        <v>0</v>
      </c>
      <c r="E190" s="212">
        <f>C190*'GWPs and Fuel EFs'!$B33</f>
        <v>0</v>
      </c>
      <c r="F190" s="445">
        <f>D190*'GWPs and Fuel EFs'!$B76</f>
        <v>0</v>
      </c>
      <c r="G190" s="211">
        <f>F190*'GWPs and Fuel EFs'!$B$7</f>
        <v>0</v>
      </c>
      <c r="H190" s="445">
        <f>D190*'GWPs and Fuel EFs'!$B101</f>
        <v>0</v>
      </c>
      <c r="I190" s="211">
        <f>H190*'GWPs and Fuel EFs'!$C$7</f>
        <v>0</v>
      </c>
    </row>
    <row r="191" spans="1:9" x14ac:dyDescent="0.4">
      <c r="A191" s="3" t="s">
        <v>243</v>
      </c>
      <c r="B191" s="441" t="s">
        <v>244</v>
      </c>
      <c r="C191" s="445">
        <f>'EIA Form 923'!G3252-'EIA Form 923'!I3252</f>
        <v>0</v>
      </c>
      <c r="D191" s="211">
        <f>'EIA Form 923'!G3252</f>
        <v>0</v>
      </c>
      <c r="E191" s="212">
        <f>C191*'GWPs and Fuel EFs'!$B34</f>
        <v>0</v>
      </c>
      <c r="F191" s="445">
        <f>D191*'GWPs and Fuel EFs'!$B77</f>
        <v>0</v>
      </c>
      <c r="G191" s="211">
        <f>F191*'GWPs and Fuel EFs'!$B$7</f>
        <v>0</v>
      </c>
      <c r="H191" s="445">
        <f>D191*'GWPs and Fuel EFs'!$B102</f>
        <v>0</v>
      </c>
      <c r="I191" s="211">
        <f>H191*'GWPs and Fuel EFs'!$C$7</f>
        <v>0</v>
      </c>
    </row>
    <row r="192" spans="1:9" x14ac:dyDescent="0.4">
      <c r="A192" s="3" t="s">
        <v>245</v>
      </c>
      <c r="B192" s="441" t="s">
        <v>246</v>
      </c>
      <c r="C192" s="472">
        <f>'EIA Form 923'!G3253-'EIA Form 923'!I3253</f>
        <v>0</v>
      </c>
      <c r="D192" s="211">
        <f>'EIA Form 923'!G3253</f>
        <v>0</v>
      </c>
      <c r="E192" s="212">
        <f>C192*'GWPs and Fuel EFs'!$B35</f>
        <v>0</v>
      </c>
      <c r="F192" s="445">
        <f>D192*'GWPs and Fuel EFs'!$B78</f>
        <v>0</v>
      </c>
      <c r="G192" s="211">
        <f>F192*'GWPs and Fuel EFs'!$B$7</f>
        <v>0</v>
      </c>
      <c r="H192" s="445">
        <f>D192*'GWPs and Fuel EFs'!$B103</f>
        <v>0</v>
      </c>
      <c r="I192" s="211">
        <f>H192*'GWPs and Fuel EFs'!$C$7</f>
        <v>0</v>
      </c>
    </row>
    <row r="193" spans="1:9" x14ac:dyDescent="0.4">
      <c r="A193" s="468" t="s">
        <v>249</v>
      </c>
      <c r="B193" s="447" t="s">
        <v>170</v>
      </c>
      <c r="C193" s="456" t="s">
        <v>170</v>
      </c>
      <c r="D193" s="464" t="s">
        <v>170</v>
      </c>
      <c r="E193" s="450">
        <f>SUM(E180:E192)</f>
        <v>194833.02794559998</v>
      </c>
      <c r="F193" s="456" t="s">
        <v>170</v>
      </c>
      <c r="G193" s="451">
        <f>SUM(G180:G192)</f>
        <v>3688782.669772129</v>
      </c>
      <c r="H193" s="456" t="s">
        <v>170</v>
      </c>
      <c r="I193" s="451">
        <f>SUM(I180:I192)</f>
        <v>4408466.2643754678</v>
      </c>
    </row>
    <row r="194" spans="1:9" x14ac:dyDescent="0.4">
      <c r="A194" s="458" t="s">
        <v>11</v>
      </c>
      <c r="C194" s="26"/>
      <c r="D194" s="26"/>
      <c r="E194" s="26"/>
      <c r="F194" s="26"/>
      <c r="G194" s="26"/>
      <c r="H194" s="26"/>
      <c r="I194" s="26"/>
    </row>
    <row r="195" spans="1:9" x14ac:dyDescent="0.4">
      <c r="A195" s="470"/>
      <c r="C195" s="26"/>
      <c r="D195" s="26"/>
      <c r="E195" s="26"/>
      <c r="F195" s="26"/>
      <c r="G195" s="26"/>
      <c r="H195" s="26"/>
      <c r="I195" s="26"/>
    </row>
    <row r="196" spans="1:9" x14ac:dyDescent="0.4">
      <c r="A196" s="16" t="s">
        <v>277</v>
      </c>
      <c r="C196" s="26"/>
      <c r="D196" s="26"/>
      <c r="E196" s="26"/>
      <c r="F196" s="26"/>
      <c r="G196" s="26"/>
      <c r="H196" s="26"/>
      <c r="I196" s="26"/>
    </row>
    <row r="197" spans="1:9" ht="32" x14ac:dyDescent="0.4">
      <c r="A197" s="473" t="s">
        <v>212</v>
      </c>
      <c r="B197" s="467" t="s">
        <v>213</v>
      </c>
      <c r="C197" s="324" t="s">
        <v>214</v>
      </c>
      <c r="D197" s="324" t="s">
        <v>215</v>
      </c>
      <c r="E197" s="324" t="s">
        <v>216</v>
      </c>
      <c r="F197" s="324" t="s">
        <v>217</v>
      </c>
      <c r="G197" s="324" t="s">
        <v>218</v>
      </c>
      <c r="H197" s="324" t="s">
        <v>219</v>
      </c>
      <c r="I197" s="324" t="s">
        <v>220</v>
      </c>
    </row>
    <row r="198" spans="1:9" x14ac:dyDescent="0.4">
      <c r="A198" s="462" t="s">
        <v>251</v>
      </c>
      <c r="B198" s="441" t="s">
        <v>252</v>
      </c>
      <c r="C198" s="445">
        <f>'EIA Form 923'!G3254-'EIA Form 923'!I3254</f>
        <v>2064175</v>
      </c>
      <c r="D198" s="211">
        <f>'EIA Form 923'!G3254</f>
        <v>2064175</v>
      </c>
      <c r="E198" s="212">
        <f>C198*'GWPs and Fuel EFs'!$B44</f>
        <v>236956349.5079667</v>
      </c>
      <c r="F198" s="445">
        <f>D198*'GWPs and Fuel EFs'!$B79</f>
        <v>14562.3260692432</v>
      </c>
      <c r="G198" s="211">
        <f>F198*'GWPs and Fuel EFs'!$B$7</f>
        <v>364058.15173107997</v>
      </c>
      <c r="H198" s="445">
        <f>D198*'GWPs and Fuel EFs'!$B104</f>
        <v>2866.9579448822547</v>
      </c>
      <c r="I198" s="211">
        <f>H198*'GWPs and Fuel EFs'!$C$7</f>
        <v>854353.46757491189</v>
      </c>
    </row>
    <row r="199" spans="1:9" x14ac:dyDescent="0.4">
      <c r="A199" s="462" t="s">
        <v>253</v>
      </c>
      <c r="B199" s="441" t="s">
        <v>254</v>
      </c>
      <c r="C199" s="445">
        <f>'EIA Form 923'!G3255-'EIA Form 923'!I3255</f>
        <v>0</v>
      </c>
      <c r="D199" s="211">
        <f>'EIA Form 923'!G3255</f>
        <v>0</v>
      </c>
      <c r="E199" s="212">
        <f>C199*'GWPs and Fuel EFs'!$B45</f>
        <v>0</v>
      </c>
      <c r="F199" s="445">
        <f>D199*'GWPs and Fuel EFs'!$B80</f>
        <v>0</v>
      </c>
      <c r="G199" s="211">
        <f>F199*'GWPs and Fuel EFs'!$B$7</f>
        <v>0</v>
      </c>
      <c r="H199" s="445">
        <f>D199*'GWPs and Fuel EFs'!$B105</f>
        <v>0</v>
      </c>
      <c r="I199" s="211">
        <f>H199*'GWPs and Fuel EFs'!$C$7</f>
        <v>0</v>
      </c>
    </row>
    <row r="200" spans="1:9" x14ac:dyDescent="0.4">
      <c r="A200" s="462" t="s">
        <v>255</v>
      </c>
      <c r="B200" s="441" t="s">
        <v>256</v>
      </c>
      <c r="C200" s="445">
        <f>'EIA Form 923'!G3256-'EIA Form 923'!I3256</f>
        <v>0</v>
      </c>
      <c r="D200" s="211">
        <f>'EIA Form 923'!G3256</f>
        <v>0</v>
      </c>
      <c r="E200" s="212">
        <f>C200*'GWPs and Fuel EFs'!$B46</f>
        <v>0</v>
      </c>
      <c r="F200" s="445">
        <f>D200*'GWPs and Fuel EFs'!$B81</f>
        <v>0</v>
      </c>
      <c r="G200" s="211">
        <f>F200*'GWPs and Fuel EFs'!$B$7</f>
        <v>0</v>
      </c>
      <c r="H200" s="445">
        <f>D200*'GWPs and Fuel EFs'!$B106</f>
        <v>0</v>
      </c>
      <c r="I200" s="211">
        <f>H200*'GWPs and Fuel EFs'!$C$7</f>
        <v>0</v>
      </c>
    </row>
    <row r="201" spans="1:9" x14ac:dyDescent="0.4">
      <c r="A201" s="462" t="s">
        <v>257</v>
      </c>
      <c r="B201" s="441" t="s">
        <v>258</v>
      </c>
      <c r="C201" s="445">
        <f>'EIA Form 923'!G3257-'EIA Form 923'!I3257</f>
        <v>0</v>
      </c>
      <c r="D201" s="211">
        <f>'EIA Form 923'!G3257</f>
        <v>0</v>
      </c>
      <c r="E201" s="212">
        <f>C201*'GWPs and Fuel EFs'!$B47</f>
        <v>0</v>
      </c>
      <c r="F201" s="445">
        <f>D201*'GWPs and Fuel EFs'!$B82</f>
        <v>0</v>
      </c>
      <c r="G201" s="211">
        <f>F201*'GWPs and Fuel EFs'!$B$7</f>
        <v>0</v>
      </c>
      <c r="H201" s="445">
        <f>D201*'GWPs and Fuel EFs'!$B107</f>
        <v>0</v>
      </c>
      <c r="I201" s="211">
        <f>H201*'GWPs and Fuel EFs'!$C$7</f>
        <v>0</v>
      </c>
    </row>
    <row r="202" spans="1:9" x14ac:dyDescent="0.4">
      <c r="A202" s="462" t="s">
        <v>259</v>
      </c>
      <c r="B202" s="441" t="s">
        <v>260</v>
      </c>
      <c r="C202" s="445">
        <f>'EIA Form 923'!G3258-'EIA Form 923'!I3258</f>
        <v>0</v>
      </c>
      <c r="D202" s="211">
        <f>'EIA Form 923'!G3258</f>
        <v>0</v>
      </c>
      <c r="E202" s="212">
        <f>C202*'GWPs and Fuel EFs'!$B48</f>
        <v>0</v>
      </c>
      <c r="F202" s="445">
        <f>D202*'GWPs and Fuel EFs'!$B83</f>
        <v>0</v>
      </c>
      <c r="G202" s="211">
        <f>F202*'GWPs and Fuel EFs'!$B$7</f>
        <v>0</v>
      </c>
      <c r="H202" s="445">
        <f>D202*'GWPs and Fuel EFs'!$B108</f>
        <v>0</v>
      </c>
      <c r="I202" s="211">
        <f>H202*'GWPs and Fuel EFs'!$C$7</f>
        <v>0</v>
      </c>
    </row>
    <row r="203" spans="1:9" x14ac:dyDescent="0.4">
      <c r="A203" s="462" t="s">
        <v>261</v>
      </c>
      <c r="B203" s="441" t="s">
        <v>262</v>
      </c>
      <c r="C203" s="445">
        <f>'EIA Form 923'!G3259-'EIA Form 923'!I3259</f>
        <v>0</v>
      </c>
      <c r="D203" s="211">
        <f>'EIA Form 923'!G3259</f>
        <v>0</v>
      </c>
      <c r="E203" s="212">
        <f>C203*'GWPs and Fuel EFs'!$B49</f>
        <v>0</v>
      </c>
      <c r="F203" s="445">
        <f>D203*'GWPs and Fuel EFs'!$B84</f>
        <v>0</v>
      </c>
      <c r="G203" s="211">
        <f>F203*'GWPs and Fuel EFs'!$B$7</f>
        <v>0</v>
      </c>
      <c r="H203" s="445">
        <f>D203*'GWPs and Fuel EFs'!$B109</f>
        <v>0</v>
      </c>
      <c r="I203" s="211">
        <f>H203*'GWPs and Fuel EFs'!$C$7</f>
        <v>0</v>
      </c>
    </row>
    <row r="204" spans="1:9" x14ac:dyDescent="0.4">
      <c r="A204" s="462" t="s">
        <v>263</v>
      </c>
      <c r="B204" s="441" t="s">
        <v>264</v>
      </c>
      <c r="C204" s="445">
        <f>'EIA Form 923'!G3260-'EIA Form 923'!I3260</f>
        <v>0</v>
      </c>
      <c r="D204" s="211">
        <f>'EIA Form 923'!G3260</f>
        <v>0</v>
      </c>
      <c r="E204" s="212">
        <f>C204*'GWPs and Fuel EFs'!$B50</f>
        <v>0</v>
      </c>
      <c r="F204" s="445">
        <f>D204*'GWPs and Fuel EFs'!$B85</f>
        <v>0</v>
      </c>
      <c r="G204" s="211">
        <f>F204*'GWPs and Fuel EFs'!$B$7</f>
        <v>0</v>
      </c>
      <c r="H204" s="445">
        <f>D204*'GWPs and Fuel EFs'!$B110</f>
        <v>0</v>
      </c>
      <c r="I204" s="211">
        <f>H204*'GWPs and Fuel EFs'!$C$7</f>
        <v>0</v>
      </c>
    </row>
    <row r="205" spans="1:9" x14ac:dyDescent="0.4">
      <c r="A205" s="462" t="s">
        <v>265</v>
      </c>
      <c r="B205" s="441" t="s">
        <v>266</v>
      </c>
      <c r="C205" s="472">
        <f>'EIA Form 923'!G3261-'EIA Form 923'!I3261</f>
        <v>2350</v>
      </c>
      <c r="D205" s="211">
        <f>'EIA Form 923'!G3261</f>
        <v>2350</v>
      </c>
      <c r="E205" s="212">
        <f>C205*'GWPs and Fuel EFs'!$B51</f>
        <v>269767.54458499001</v>
      </c>
      <c r="F205" s="445">
        <f>D205*'GWPs and Fuel EFs'!$B86</f>
        <v>16.578762102399999</v>
      </c>
      <c r="G205" s="211">
        <f>F205*'GWPs and Fuel EFs'!$B$7</f>
        <v>414.46905255999997</v>
      </c>
      <c r="H205" s="445">
        <f>D205*'GWPs and Fuel EFs'!$B111</f>
        <v>3.2639437889099998</v>
      </c>
      <c r="I205" s="211">
        <f>H205*'GWPs and Fuel EFs'!$C$7</f>
        <v>972.6552490951799</v>
      </c>
    </row>
    <row r="206" spans="1:9" x14ac:dyDescent="0.4">
      <c r="A206" s="468" t="s">
        <v>249</v>
      </c>
      <c r="B206" s="447" t="s">
        <v>170</v>
      </c>
      <c r="C206" s="456" t="s">
        <v>170</v>
      </c>
      <c r="D206" s="464" t="s">
        <v>170</v>
      </c>
      <c r="E206" s="450">
        <f>SUM(E198:E205)</f>
        <v>237226117.05255169</v>
      </c>
      <c r="F206" s="456" t="s">
        <v>170</v>
      </c>
      <c r="G206" s="451">
        <f>SUM(G198:G205)</f>
        <v>364472.62078363996</v>
      </c>
      <c r="H206" s="456" t="s">
        <v>170</v>
      </c>
      <c r="I206" s="451">
        <f>SUM(I198:I205)</f>
        <v>855326.12282400706</v>
      </c>
    </row>
    <row r="207" spans="1:9" x14ac:dyDescent="0.4">
      <c r="A207" s="474" t="s">
        <v>11</v>
      </c>
    </row>
    <row r="209" spans="1:9" x14ac:dyDescent="0.4">
      <c r="A209" s="16" t="s">
        <v>278</v>
      </c>
      <c r="B209" s="4"/>
      <c r="C209" s="4"/>
      <c r="D209" s="4"/>
      <c r="E209" s="4"/>
      <c r="F209" s="4"/>
      <c r="G209" s="4"/>
      <c r="H209" s="4"/>
      <c r="I209" s="4"/>
    </row>
    <row r="210" spans="1:9" ht="32" x14ac:dyDescent="0.4">
      <c r="A210" s="475" t="s">
        <v>212</v>
      </c>
      <c r="B210" s="324" t="s">
        <v>213</v>
      </c>
      <c r="C210" s="324" t="s">
        <v>214</v>
      </c>
      <c r="D210" s="324" t="s">
        <v>215</v>
      </c>
      <c r="E210" s="324" t="s">
        <v>216</v>
      </c>
      <c r="F210" s="324" t="s">
        <v>217</v>
      </c>
      <c r="G210" s="324" t="s">
        <v>218</v>
      </c>
      <c r="H210" s="324" t="s">
        <v>219</v>
      </c>
      <c r="I210" s="324" t="s">
        <v>220</v>
      </c>
    </row>
    <row r="211" spans="1:9" x14ac:dyDescent="0.4">
      <c r="A211" s="444" t="s">
        <v>221</v>
      </c>
      <c r="B211" s="220" t="s">
        <v>222</v>
      </c>
      <c r="C211" s="221">
        <f>'EIA Form 923'!G3268-'EIA Form 923'!I3268</f>
        <v>0</v>
      </c>
      <c r="D211" s="211">
        <f>'EIA Form 923'!G3268</f>
        <v>0</v>
      </c>
      <c r="E211" s="212">
        <f>C211*'GWPs and Fuel EFs'!$B23</f>
        <v>0</v>
      </c>
      <c r="F211" s="445">
        <f>D211*'GWPs and Fuel EFs'!$B66</f>
        <v>0</v>
      </c>
      <c r="G211" s="211">
        <f>F211*'GWPs and Fuel EFs'!$B$7</f>
        <v>0</v>
      </c>
      <c r="H211" s="445">
        <f>D211*'GWPs and Fuel EFs'!$B91</f>
        <v>0</v>
      </c>
      <c r="I211" s="211">
        <f>H211*'GWPs and Fuel EFs'!$C$7</f>
        <v>0</v>
      </c>
    </row>
    <row r="212" spans="1:9" x14ac:dyDescent="0.4">
      <c r="A212" s="444" t="s">
        <v>223</v>
      </c>
      <c r="B212" s="441" t="s">
        <v>224</v>
      </c>
      <c r="C212" s="445">
        <f>'EIA Form 923'!G3269-'EIA Form 923'!I3269</f>
        <v>0</v>
      </c>
      <c r="D212" s="211">
        <f>'EIA Form 923'!G3269</f>
        <v>0</v>
      </c>
      <c r="E212" s="212">
        <f>C212*'GWPs and Fuel EFs'!$B24</f>
        <v>0</v>
      </c>
      <c r="F212" s="445">
        <f>D212*'GWPs and Fuel EFs'!$B67</f>
        <v>0</v>
      </c>
      <c r="G212" s="211">
        <f>F212*'GWPs and Fuel EFs'!$B$7</f>
        <v>0</v>
      </c>
      <c r="H212" s="445">
        <f>D212*'GWPs and Fuel EFs'!$B92</f>
        <v>0</v>
      </c>
      <c r="I212" s="211">
        <f>H212*'GWPs and Fuel EFs'!$C$7</f>
        <v>0</v>
      </c>
    </row>
    <row r="213" spans="1:9" x14ac:dyDescent="0.4">
      <c r="A213" s="444" t="s">
        <v>225</v>
      </c>
      <c r="B213" s="441" t="s">
        <v>226</v>
      </c>
      <c r="C213" s="445">
        <f>'EIA Form 923'!G3270-'EIA Form 923'!I3270</f>
        <v>45541</v>
      </c>
      <c r="D213" s="211">
        <f>'EIA Form 923'!G3270</f>
        <v>52171</v>
      </c>
      <c r="E213" s="212">
        <f>C213*'GWPs and Fuel EFs'!$B25</f>
        <v>7443700.4409987992</v>
      </c>
      <c r="F213" s="445">
        <f>D213*'GWPs and Fuel EFs'!$B68</f>
        <v>345.05210012406002</v>
      </c>
      <c r="G213" s="211">
        <f>F213*'GWPs and Fuel EFs'!$B$7</f>
        <v>8626.3025031015004</v>
      </c>
      <c r="H213" s="445">
        <f>D213*'GWPs and Fuel EFs'!$B93</f>
        <v>69.010420024811992</v>
      </c>
      <c r="I213" s="211">
        <f>H213*'GWPs and Fuel EFs'!$C$7</f>
        <v>20565.105167393973</v>
      </c>
    </row>
    <row r="214" spans="1:9" x14ac:dyDescent="0.4">
      <c r="A214" s="444" t="s">
        <v>270</v>
      </c>
      <c r="B214" s="441" t="s">
        <v>228</v>
      </c>
      <c r="C214" s="445">
        <f>'EIA Form 923'!G3271-'EIA Form 923'!I3271</f>
        <v>7859</v>
      </c>
      <c r="D214" s="211">
        <f>'EIA Form 923'!G3271</f>
        <v>7859</v>
      </c>
      <c r="E214" s="212">
        <f>C214*'GWPs and Fuel EFs'!$B26</f>
        <v>916724.40496779978</v>
      </c>
      <c r="F214" s="445">
        <f>D214*'GWPs and Fuel EFs'!$B69</f>
        <v>17.32612917058</v>
      </c>
      <c r="G214" s="211">
        <f>F214*'GWPs and Fuel EFs'!$B$7</f>
        <v>433.1532292645</v>
      </c>
      <c r="H214" s="445">
        <f>D214*'GWPs and Fuel EFs'!$B94</f>
        <v>1.732612917058</v>
      </c>
      <c r="I214" s="211">
        <f>H214*'GWPs and Fuel EFs'!$C$7</f>
        <v>516.318649283284</v>
      </c>
    </row>
    <row r="215" spans="1:9" x14ac:dyDescent="0.4">
      <c r="A215" s="444" t="s">
        <v>229</v>
      </c>
      <c r="B215" s="441" t="s">
        <v>230</v>
      </c>
      <c r="C215" s="445">
        <f>'EIA Form 923'!G3272-'EIA Form 923'!I3272</f>
        <v>0</v>
      </c>
      <c r="D215" s="211">
        <f>'EIA Form 923'!G3272</f>
        <v>0</v>
      </c>
      <c r="E215" s="212">
        <f>C215*'GWPs and Fuel EFs'!$B27</f>
        <v>0</v>
      </c>
      <c r="F215" s="445">
        <f>D215*'GWPs and Fuel EFs'!$B70</f>
        <v>0</v>
      </c>
      <c r="G215" s="211">
        <f>F215*'GWPs and Fuel EFs'!$B$7</f>
        <v>0</v>
      </c>
      <c r="H215" s="445">
        <f>D215*'GWPs and Fuel EFs'!$B95</f>
        <v>0</v>
      </c>
      <c r="I215" s="211">
        <f>H215*'GWPs and Fuel EFs'!$C$7</f>
        <v>0</v>
      </c>
    </row>
    <row r="216" spans="1:9" x14ac:dyDescent="0.4">
      <c r="A216" s="444" t="s">
        <v>231</v>
      </c>
      <c r="B216" s="441" t="s">
        <v>232</v>
      </c>
      <c r="C216" s="445">
        <f>'EIA Form 923'!G3273-'EIA Form 923'!I3273</f>
        <v>0</v>
      </c>
      <c r="D216" s="211">
        <f>'EIA Form 923'!G3273</f>
        <v>0</v>
      </c>
      <c r="E216" s="212">
        <f>C216*'GWPs and Fuel EFs'!$B28</f>
        <v>0</v>
      </c>
      <c r="F216" s="445">
        <f>D216*'GWPs and Fuel EFs'!$B71</f>
        <v>0</v>
      </c>
      <c r="G216" s="211">
        <f>F216*'GWPs and Fuel EFs'!$B$7</f>
        <v>0</v>
      </c>
      <c r="H216" s="445">
        <f>D216*'GWPs and Fuel EFs'!$B96</f>
        <v>0</v>
      </c>
      <c r="I216" s="211">
        <f>H216*'GWPs and Fuel EFs'!$C$7</f>
        <v>0</v>
      </c>
    </row>
    <row r="217" spans="1:9" x14ac:dyDescent="0.4">
      <c r="A217" s="444" t="s">
        <v>233</v>
      </c>
      <c r="B217" s="441" t="s">
        <v>234</v>
      </c>
      <c r="C217" s="445">
        <f>'EIA Form 923'!G3274-'EIA Form 923'!I3274</f>
        <v>0</v>
      </c>
      <c r="D217" s="211">
        <f>'EIA Form 923'!G3274</f>
        <v>0</v>
      </c>
      <c r="E217" s="212">
        <f>C217*'GWPs and Fuel EFs'!$B29</f>
        <v>0</v>
      </c>
      <c r="F217" s="445">
        <f>D217*'GWPs and Fuel EFs'!$B72</f>
        <v>0</v>
      </c>
      <c r="G217" s="211">
        <f>F217*'GWPs and Fuel EFs'!$B$7</f>
        <v>0</v>
      </c>
      <c r="H217" s="445">
        <f>D217*'GWPs and Fuel EFs'!$B97</f>
        <v>0</v>
      </c>
      <c r="I217" s="211">
        <f>H217*'GWPs and Fuel EFs'!$C$7</f>
        <v>0</v>
      </c>
    </row>
    <row r="218" spans="1:9" x14ac:dyDescent="0.4">
      <c r="A218" s="444" t="s">
        <v>235</v>
      </c>
      <c r="B218" s="441" t="s">
        <v>236</v>
      </c>
      <c r="C218" s="445">
        <f>'EIA Form 923'!G3275-'EIA Form 923'!I3275</f>
        <v>0</v>
      </c>
      <c r="D218" s="211">
        <f>'EIA Form 923'!G3275</f>
        <v>0</v>
      </c>
      <c r="E218" s="212">
        <f>C218*'GWPs and Fuel EFs'!$B30</f>
        <v>0</v>
      </c>
      <c r="F218" s="445">
        <f>D218*'GWPs and Fuel EFs'!$B73</f>
        <v>0</v>
      </c>
      <c r="G218" s="211">
        <f>F218*'GWPs and Fuel EFs'!$B$7</f>
        <v>0</v>
      </c>
      <c r="H218" s="445">
        <f>D218*'GWPs and Fuel EFs'!$B98</f>
        <v>0</v>
      </c>
      <c r="I218" s="211">
        <f>H218*'GWPs and Fuel EFs'!$C$7</f>
        <v>0</v>
      </c>
    </row>
    <row r="219" spans="1:9" x14ac:dyDescent="0.4">
      <c r="A219" s="444" t="s">
        <v>237</v>
      </c>
      <c r="B219" s="441" t="s">
        <v>238</v>
      </c>
      <c r="C219" s="445">
        <f>'EIA Form 923'!G3276-'EIA Form 923'!I3276</f>
        <v>0</v>
      </c>
      <c r="D219" s="211">
        <f>'EIA Form 923'!G3276</f>
        <v>0</v>
      </c>
      <c r="E219" s="212">
        <f>C219*'GWPs and Fuel EFs'!$B31</f>
        <v>0</v>
      </c>
      <c r="F219" s="445">
        <f>D219*'GWPs and Fuel EFs'!$B74</f>
        <v>0</v>
      </c>
      <c r="G219" s="211">
        <f>F219*'GWPs and Fuel EFs'!$B$7</f>
        <v>0</v>
      </c>
      <c r="H219" s="445">
        <f>D219*'GWPs and Fuel EFs'!$B99</f>
        <v>0</v>
      </c>
      <c r="I219" s="211">
        <f>H219*'GWPs and Fuel EFs'!$C$7</f>
        <v>0</v>
      </c>
    </row>
    <row r="220" spans="1:9" x14ac:dyDescent="0.4">
      <c r="A220" s="444" t="s">
        <v>239</v>
      </c>
      <c r="B220" s="441" t="s">
        <v>240</v>
      </c>
      <c r="C220" s="445">
        <f>'EIA Form 923'!G3277-'EIA Form 923'!I3277</f>
        <v>0</v>
      </c>
      <c r="D220" s="211">
        <f>'EIA Form 923'!G3277</f>
        <v>0</v>
      </c>
      <c r="E220" s="212">
        <f>C220*'GWPs and Fuel EFs'!$B32</f>
        <v>0</v>
      </c>
      <c r="F220" s="445">
        <f>D220*'GWPs and Fuel EFs'!$B75</f>
        <v>0</v>
      </c>
      <c r="G220" s="211">
        <f>F220*'GWPs and Fuel EFs'!$B$7</f>
        <v>0</v>
      </c>
      <c r="H220" s="445">
        <f>D220*'GWPs and Fuel EFs'!$B100</f>
        <v>0</v>
      </c>
      <c r="I220" s="211">
        <f>H220*'GWPs and Fuel EFs'!$C$7</f>
        <v>0</v>
      </c>
    </row>
    <row r="221" spans="1:9" x14ac:dyDescent="0.4">
      <c r="A221" s="444" t="s">
        <v>241</v>
      </c>
      <c r="B221" s="441" t="s">
        <v>242</v>
      </c>
      <c r="C221" s="445">
        <f>'EIA Form 923'!G3278-'EIA Form 923'!I3278</f>
        <v>0</v>
      </c>
      <c r="D221" s="211">
        <f>'EIA Form 923'!G3278</f>
        <v>15178</v>
      </c>
      <c r="E221" s="212">
        <f>C221*'GWPs and Fuel EFs'!$B33</f>
        <v>0</v>
      </c>
      <c r="F221" s="445">
        <f>D221*'GWPs and Fuel EFs'!$B76</f>
        <v>100.38528637908</v>
      </c>
      <c r="G221" s="211">
        <f>F221*'GWPs and Fuel EFs'!$B$7</f>
        <v>2509.6321594770002</v>
      </c>
      <c r="H221" s="445">
        <f>D221*'GWPs and Fuel EFs'!$B101</f>
        <v>20.077057275815999</v>
      </c>
      <c r="I221" s="211">
        <f>H221*'GWPs and Fuel EFs'!$C$7</f>
        <v>5982.9630681931676</v>
      </c>
    </row>
    <row r="222" spans="1:9" x14ac:dyDescent="0.4">
      <c r="A222" s="444" t="s">
        <v>243</v>
      </c>
      <c r="B222" s="441" t="s">
        <v>244</v>
      </c>
      <c r="C222" s="445">
        <f>'EIA Form 923'!G3279-'EIA Form 923'!I3279</f>
        <v>0</v>
      </c>
      <c r="D222" s="211">
        <f>'EIA Form 923'!G3279</f>
        <v>0</v>
      </c>
      <c r="E222" s="212">
        <f>C222*'GWPs and Fuel EFs'!$B34</f>
        <v>0</v>
      </c>
      <c r="F222" s="445">
        <f>D222*'GWPs and Fuel EFs'!$B77</f>
        <v>0</v>
      </c>
      <c r="G222" s="211">
        <f>F222*'GWPs and Fuel EFs'!$B$7</f>
        <v>0</v>
      </c>
      <c r="H222" s="445">
        <f>D222*'GWPs and Fuel EFs'!$B102</f>
        <v>0</v>
      </c>
      <c r="I222" s="211">
        <f>H222*'GWPs and Fuel EFs'!$C$7</f>
        <v>0</v>
      </c>
    </row>
    <row r="223" spans="1:9" x14ac:dyDescent="0.4">
      <c r="A223" s="444" t="s">
        <v>245</v>
      </c>
      <c r="B223" s="441" t="s">
        <v>246</v>
      </c>
      <c r="C223" s="640">
        <f>'EIA Form 923'!G3280-'EIA Form 923'!I3280</f>
        <v>0</v>
      </c>
      <c r="D223" s="211">
        <f>'EIA Form 923'!G3280</f>
        <v>0</v>
      </c>
      <c r="E223" s="212">
        <f>C223*'GWPs and Fuel EFs'!$B35</f>
        <v>0</v>
      </c>
      <c r="F223" s="445">
        <f>D223*'GWPs and Fuel EFs'!$B78</f>
        <v>0</v>
      </c>
      <c r="G223" s="213">
        <f>F223*'GWPs and Fuel EFs'!$B$7</f>
        <v>0</v>
      </c>
      <c r="H223" s="445">
        <f>D223*'GWPs and Fuel EFs'!$B103</f>
        <v>0</v>
      </c>
      <c r="I223" s="213">
        <f>H223*'GWPs and Fuel EFs'!$C$7</f>
        <v>0</v>
      </c>
    </row>
    <row r="224" spans="1:9" x14ac:dyDescent="0.4">
      <c r="A224" s="476" t="s">
        <v>249</v>
      </c>
      <c r="B224" s="477" t="s">
        <v>170</v>
      </c>
      <c r="C224" s="478" t="s">
        <v>170</v>
      </c>
      <c r="D224" s="479" t="s">
        <v>170</v>
      </c>
      <c r="E224" s="450">
        <f>SUM(E211:E223)</f>
        <v>8360424.845966599</v>
      </c>
      <c r="F224" s="456" t="s">
        <v>170</v>
      </c>
      <c r="G224" s="451">
        <f>SUM(G211:G223)</f>
        <v>11569.087891843001</v>
      </c>
      <c r="H224" s="456" t="s">
        <v>170</v>
      </c>
      <c r="I224" s="451">
        <f>SUM(I211:I223)</f>
        <v>27064.386884870422</v>
      </c>
    </row>
    <row r="225" spans="1:11" x14ac:dyDescent="0.4">
      <c r="A225" s="457" t="s">
        <v>11</v>
      </c>
      <c r="B225" s="480"/>
      <c r="C225" s="480"/>
      <c r="D225" s="480"/>
      <c r="E225" s="480"/>
      <c r="F225" s="480"/>
      <c r="G225" s="480"/>
      <c r="H225" s="480"/>
      <c r="I225" s="480"/>
      <c r="J225" s="459"/>
      <c r="K225" s="459"/>
    </row>
    <row r="226" spans="1:11" x14ac:dyDescent="0.4">
      <c r="A226" s="470"/>
      <c r="B226" s="47"/>
      <c r="C226" s="26"/>
      <c r="D226" s="26"/>
      <c r="E226" s="26"/>
      <c r="F226" s="26"/>
      <c r="G226" s="26"/>
      <c r="H226" s="26"/>
      <c r="I226" s="26"/>
      <c r="J226" s="26"/>
      <c r="K226" s="26"/>
    </row>
    <row r="227" spans="1:11" x14ac:dyDescent="0.4">
      <c r="A227" s="16" t="s">
        <v>279</v>
      </c>
      <c r="B227" s="47"/>
      <c r="C227" s="26"/>
      <c r="D227" s="26"/>
      <c r="E227" s="26"/>
      <c r="F227" s="26"/>
      <c r="G227" s="26"/>
      <c r="H227" s="26"/>
      <c r="I227" s="26"/>
      <c r="J227" s="26"/>
      <c r="K227" s="26"/>
    </row>
    <row r="228" spans="1:11" ht="32" x14ac:dyDescent="0.4">
      <c r="A228" s="475" t="s">
        <v>212</v>
      </c>
      <c r="B228" s="324" t="s">
        <v>213</v>
      </c>
      <c r="C228" s="324" t="s">
        <v>214</v>
      </c>
      <c r="D228" s="324" t="s">
        <v>215</v>
      </c>
      <c r="E228" s="324" t="s">
        <v>216</v>
      </c>
      <c r="F228" s="324" t="s">
        <v>217</v>
      </c>
      <c r="G228" s="324" t="s">
        <v>218</v>
      </c>
      <c r="H228" s="324" t="s">
        <v>219</v>
      </c>
      <c r="I228" s="324" t="s">
        <v>220</v>
      </c>
    </row>
    <row r="229" spans="1:11" x14ac:dyDescent="0.4">
      <c r="A229" s="444" t="s">
        <v>251</v>
      </c>
      <c r="B229" s="218" t="s">
        <v>252</v>
      </c>
      <c r="C229" s="221">
        <f>'EIA Form 923'!G3281-'EIA Form 923'!I3281</f>
        <v>576475</v>
      </c>
      <c r="D229" s="211">
        <f>'EIA Form 923'!G3281</f>
        <v>576475</v>
      </c>
      <c r="E229" s="212">
        <f>C229*'GWPs and Fuel EFs'!$B44</f>
        <v>66176274.580694512</v>
      </c>
      <c r="F229" s="445">
        <f>D229*'GWPs and Fuel EFs'!$B79</f>
        <v>4066.9114395664001</v>
      </c>
      <c r="G229" s="211">
        <f>F229*'GWPs and Fuel EFs'!$B$7</f>
        <v>101672.78598916001</v>
      </c>
      <c r="H229" s="445">
        <f>D229*'GWPs and Fuel EFs'!$B104</f>
        <v>800.67318966463495</v>
      </c>
      <c r="I229" s="211">
        <f>H229*'GWPs and Fuel EFs'!$C$7</f>
        <v>238600.61052006122</v>
      </c>
    </row>
    <row r="230" spans="1:11" x14ac:dyDescent="0.4">
      <c r="A230" s="444" t="s">
        <v>253</v>
      </c>
      <c r="B230" s="219" t="s">
        <v>254</v>
      </c>
      <c r="C230" s="445">
        <f>'EIA Form 923'!G3282-'EIA Form 923'!I3282</f>
        <v>0</v>
      </c>
      <c r="D230" s="211">
        <f>'EIA Form 923'!G3282</f>
        <v>0</v>
      </c>
      <c r="E230" s="212">
        <f>C230*'GWPs and Fuel EFs'!$B45</f>
        <v>0</v>
      </c>
      <c r="F230" s="445">
        <f>D230*'GWPs and Fuel EFs'!$B80</f>
        <v>0</v>
      </c>
      <c r="G230" s="211">
        <f>F230*'GWPs and Fuel EFs'!$B$7</f>
        <v>0</v>
      </c>
      <c r="H230" s="445">
        <f>D230*'GWPs and Fuel EFs'!$B105</f>
        <v>0</v>
      </c>
      <c r="I230" s="211">
        <f>H230*'GWPs and Fuel EFs'!$C$7</f>
        <v>0</v>
      </c>
    </row>
    <row r="231" spans="1:11" x14ac:dyDescent="0.4">
      <c r="A231" s="444" t="s">
        <v>255</v>
      </c>
      <c r="B231" s="219" t="s">
        <v>256</v>
      </c>
      <c r="C231" s="445">
        <f>'EIA Form 923'!G3283-'EIA Form 923'!I3283</f>
        <v>0</v>
      </c>
      <c r="D231" s="211">
        <f>'EIA Form 923'!G3283</f>
        <v>0</v>
      </c>
      <c r="E231" s="212">
        <f>C231*'GWPs and Fuel EFs'!$B46</f>
        <v>0</v>
      </c>
      <c r="F231" s="445">
        <f>D231*'GWPs and Fuel EFs'!$B81</f>
        <v>0</v>
      </c>
      <c r="G231" s="211">
        <f>F231*'GWPs and Fuel EFs'!$B$7</f>
        <v>0</v>
      </c>
      <c r="H231" s="445">
        <f>D231*'GWPs and Fuel EFs'!$B106</f>
        <v>0</v>
      </c>
      <c r="I231" s="211">
        <f>H231*'GWPs and Fuel EFs'!$C$7</f>
        <v>0</v>
      </c>
    </row>
    <row r="232" spans="1:11" x14ac:dyDescent="0.4">
      <c r="A232" s="444" t="s">
        <v>257</v>
      </c>
      <c r="B232" s="219" t="s">
        <v>258</v>
      </c>
      <c r="C232" s="445">
        <f>'EIA Form 923'!G3284-'EIA Form 923'!I3284</f>
        <v>5323172</v>
      </c>
      <c r="D232" s="211">
        <f>'EIA Form 923'!G3284</f>
        <v>5323172</v>
      </c>
      <c r="E232" s="212">
        <f>C232*'GWPs and Fuel EFs'!$B47</f>
        <v>1064417595.902503</v>
      </c>
      <c r="F232" s="445">
        <f>D232*'GWPs and Fuel EFs'!$B82</f>
        <v>84496.214889724608</v>
      </c>
      <c r="G232" s="211">
        <f>F232*'GWPs and Fuel EFs'!$B$7</f>
        <v>2112405.3722431152</v>
      </c>
      <c r="H232" s="445">
        <f>D232*'GWPs and Fuel EFs'!$B107</f>
        <v>42248.107444862304</v>
      </c>
      <c r="I232" s="211">
        <f>H232*'GWPs and Fuel EFs'!$C$7</f>
        <v>12589936.018568967</v>
      </c>
    </row>
    <row r="233" spans="1:11" x14ac:dyDescent="0.4">
      <c r="A233" s="444" t="s">
        <v>259</v>
      </c>
      <c r="B233" s="219" t="s">
        <v>260</v>
      </c>
      <c r="C233" s="445">
        <f>'EIA Form 923'!G3285-'EIA Form 923'!I3285</f>
        <v>0</v>
      </c>
      <c r="D233" s="211">
        <f>'EIA Form 923'!G3285</f>
        <v>0</v>
      </c>
      <c r="E233" s="212">
        <f>C233*'GWPs and Fuel EFs'!$B48</f>
        <v>0</v>
      </c>
      <c r="F233" s="445">
        <f>D233*'GWPs and Fuel EFs'!$B83</f>
        <v>0</v>
      </c>
      <c r="G233" s="211">
        <f>F233*'GWPs and Fuel EFs'!$B$7</f>
        <v>0</v>
      </c>
      <c r="H233" s="445">
        <f>D233*'GWPs and Fuel EFs'!$B108</f>
        <v>0</v>
      </c>
      <c r="I233" s="211">
        <f>H233*'GWPs and Fuel EFs'!$C$7</f>
        <v>0</v>
      </c>
    </row>
    <row r="234" spans="1:11" x14ac:dyDescent="0.4">
      <c r="A234" s="444" t="s">
        <v>261</v>
      </c>
      <c r="B234" s="219" t="s">
        <v>262</v>
      </c>
      <c r="C234" s="445">
        <f>'EIA Form 923'!G3286-'EIA Form 923'!I3286</f>
        <v>0</v>
      </c>
      <c r="D234" s="211">
        <f>'EIA Form 923'!G3286</f>
        <v>0</v>
      </c>
      <c r="E234" s="212">
        <f>C234*'GWPs and Fuel EFs'!$B49</f>
        <v>0</v>
      </c>
      <c r="F234" s="445">
        <f>D234*'GWPs and Fuel EFs'!$B84</f>
        <v>0</v>
      </c>
      <c r="G234" s="211">
        <f>F234*'GWPs and Fuel EFs'!$B$7</f>
        <v>0</v>
      </c>
      <c r="H234" s="445">
        <f>D234*'GWPs and Fuel EFs'!$B109</f>
        <v>0</v>
      </c>
      <c r="I234" s="211">
        <f>H234*'GWPs and Fuel EFs'!$C$7</f>
        <v>0</v>
      </c>
    </row>
    <row r="235" spans="1:11" x14ac:dyDescent="0.4">
      <c r="A235" s="444" t="s">
        <v>263</v>
      </c>
      <c r="B235" s="219" t="s">
        <v>264</v>
      </c>
      <c r="C235" s="445">
        <f>'EIA Form 923'!G3287-'EIA Form 923'!I3287</f>
        <v>0</v>
      </c>
      <c r="D235" s="211">
        <f>'EIA Form 923'!G3287</f>
        <v>0</v>
      </c>
      <c r="E235" s="212">
        <f>C235*'GWPs and Fuel EFs'!$B50</f>
        <v>0</v>
      </c>
      <c r="F235" s="445">
        <f>D235*'GWPs and Fuel EFs'!$B85</f>
        <v>0</v>
      </c>
      <c r="G235" s="211">
        <f>F235*'GWPs and Fuel EFs'!$B$7</f>
        <v>0</v>
      </c>
      <c r="H235" s="445">
        <f>D235*'GWPs and Fuel EFs'!$B110</f>
        <v>0</v>
      </c>
      <c r="I235" s="211">
        <f>H235*'GWPs and Fuel EFs'!$C$7</f>
        <v>0</v>
      </c>
    </row>
    <row r="236" spans="1:11" x14ac:dyDescent="0.4">
      <c r="A236" s="444" t="s">
        <v>265</v>
      </c>
      <c r="B236" s="471" t="s">
        <v>266</v>
      </c>
      <c r="C236" s="472">
        <f>'EIA Form 923'!G3288-'EIA Form 923'!I3288</f>
        <v>0</v>
      </c>
      <c r="D236" s="211">
        <f>'EIA Form 923'!G3288</f>
        <v>0</v>
      </c>
      <c r="E236" s="212">
        <f>C236*'GWPs and Fuel EFs'!$B51</f>
        <v>0</v>
      </c>
      <c r="F236" s="445">
        <f>D236*'GWPs and Fuel EFs'!$B86</f>
        <v>0</v>
      </c>
      <c r="G236" s="211">
        <f>F236*'GWPs and Fuel EFs'!$B$7</f>
        <v>0</v>
      </c>
      <c r="H236" s="445">
        <f>D236*'GWPs and Fuel EFs'!$B111</f>
        <v>0</v>
      </c>
      <c r="I236" s="211">
        <f>H236*'GWPs and Fuel EFs'!$C$7</f>
        <v>0</v>
      </c>
    </row>
    <row r="237" spans="1:11" x14ac:dyDescent="0.4">
      <c r="A237" s="476" t="s">
        <v>249</v>
      </c>
      <c r="B237" s="477" t="s">
        <v>170</v>
      </c>
      <c r="C237" s="478" t="s">
        <v>170</v>
      </c>
      <c r="D237" s="479" t="s">
        <v>170</v>
      </c>
      <c r="E237" s="450">
        <f>SUM(E229:E236)</f>
        <v>1130593870.4831975</v>
      </c>
      <c r="F237" s="456" t="s">
        <v>170</v>
      </c>
      <c r="G237" s="451">
        <f>SUM(G229:G236)</f>
        <v>2214078.1582322754</v>
      </c>
      <c r="H237" s="456" t="s">
        <v>170</v>
      </c>
      <c r="I237" s="451">
        <f>SUM(I229:I236)</f>
        <v>12828536.629089028</v>
      </c>
    </row>
    <row r="238" spans="1:11" x14ac:dyDescent="0.4">
      <c r="A238" s="461" t="s">
        <v>11</v>
      </c>
      <c r="B238" s="459"/>
      <c r="C238" s="459"/>
      <c r="D238" s="459"/>
      <c r="E238" s="459"/>
      <c r="F238" s="459"/>
      <c r="G238" s="459"/>
      <c r="H238" s="459"/>
      <c r="I238" s="459"/>
      <c r="J238" s="459"/>
      <c r="K238" s="459"/>
    </row>
    <row r="239" spans="1:11" ht="13.5" customHeight="1" x14ac:dyDescent="0.4"/>
    <row r="240" spans="1:11" x14ac:dyDescent="0.4">
      <c r="B240" s="4"/>
      <c r="D240" s="4"/>
      <c r="E240" s="4"/>
      <c r="F240" s="4"/>
      <c r="G240" s="4"/>
      <c r="H240" s="4"/>
      <c r="I240" s="4"/>
    </row>
    <row r="241" spans="1:10" x14ac:dyDescent="0.4">
      <c r="A241" s="16" t="s">
        <v>280</v>
      </c>
      <c r="B241" s="4"/>
      <c r="C241" s="4"/>
      <c r="D241" s="4"/>
      <c r="E241" s="4"/>
      <c r="F241" s="4"/>
      <c r="G241" s="4"/>
      <c r="H241" s="4"/>
      <c r="I241" s="4"/>
      <c r="J241" s="4"/>
    </row>
    <row r="242" spans="1:10" s="24" customFormat="1" ht="76.5" customHeight="1" x14ac:dyDescent="0.4">
      <c r="A242" s="225" t="s">
        <v>281</v>
      </c>
      <c r="B242" s="481" t="s">
        <v>282</v>
      </c>
      <c r="C242" s="481" t="s">
        <v>283</v>
      </c>
      <c r="D242" s="481" t="s">
        <v>284</v>
      </c>
      <c r="E242" s="481" t="s">
        <v>216</v>
      </c>
      <c r="F242" s="37"/>
      <c r="G242" s="37"/>
      <c r="H242" s="37"/>
      <c r="I242" s="37"/>
    </row>
    <row r="243" spans="1:10" x14ac:dyDescent="0.4">
      <c r="A243" s="170" t="s">
        <v>285</v>
      </c>
      <c r="B243" s="222">
        <v>2024</v>
      </c>
      <c r="C243" s="213" t="s">
        <v>170</v>
      </c>
      <c r="D243" s="223">
        <v>349.28800000000001</v>
      </c>
      <c r="E243" s="219" t="s">
        <v>170</v>
      </c>
      <c r="F243" s="24"/>
      <c r="G243" s="24"/>
      <c r="H243" s="24"/>
      <c r="I243" s="24"/>
    </row>
    <row r="244" spans="1:10" x14ac:dyDescent="0.4">
      <c r="A244" s="482" t="s">
        <v>286</v>
      </c>
      <c r="B244" s="483" t="s">
        <v>170</v>
      </c>
      <c r="C244" s="483" t="s">
        <v>170</v>
      </c>
      <c r="D244" s="483" t="s">
        <v>170</v>
      </c>
      <c r="E244" s="450">
        <f>SUM(E245:E246)</f>
        <v>2613452472.7222738</v>
      </c>
    </row>
    <row r="245" spans="1:10" x14ac:dyDescent="0.4">
      <c r="A245" s="8" t="s">
        <v>287</v>
      </c>
      <c r="B245" s="222">
        <v>2024</v>
      </c>
      <c r="C245" s="224">
        <v>742094</v>
      </c>
      <c r="D245" s="213" t="s">
        <v>170</v>
      </c>
      <c r="E245" s="212">
        <f>C245*'GWPs and Fuel EFs'!D47*'EIA Form 923'!B3085</f>
        <v>2491404635.1785221</v>
      </c>
      <c r="F245" s="26"/>
      <c r="G245" s="26"/>
      <c r="H245" s="26"/>
      <c r="I245" s="26"/>
    </row>
    <row r="246" spans="1:10" x14ac:dyDescent="0.4">
      <c r="A246" s="8" t="s">
        <v>288</v>
      </c>
      <c r="B246" s="222">
        <v>2024</v>
      </c>
      <c r="C246" s="211">
        <v>92050</v>
      </c>
      <c r="D246" s="213" t="s">
        <v>170</v>
      </c>
      <c r="E246" s="212">
        <f>C246*'GWPs and Fuel EFs'!D44*'EIA Form 923'!B3086</f>
        <v>122047837.54375149</v>
      </c>
      <c r="F246" s="26"/>
      <c r="G246" s="26"/>
      <c r="H246" s="26"/>
      <c r="I246" s="26"/>
    </row>
    <row r="247" spans="1:10" x14ac:dyDescent="0.4">
      <c r="A247" s="484" t="s">
        <v>11</v>
      </c>
      <c r="F247" s="26"/>
      <c r="G247" s="26"/>
      <c r="H247" s="26"/>
      <c r="I247" s="26"/>
    </row>
    <row r="248" spans="1:10" x14ac:dyDescent="0.4">
      <c r="C248" s="120"/>
      <c r="D248" s="120"/>
      <c r="E248" s="26"/>
      <c r="F248" s="26"/>
      <c r="G248" s="26"/>
      <c r="H248" s="26"/>
      <c r="I248" s="26"/>
    </row>
    <row r="249" spans="1:10" x14ac:dyDescent="0.4">
      <c r="A249" s="3" t="s">
        <v>289</v>
      </c>
    </row>
    <row r="250" spans="1:10" x14ac:dyDescent="0.4">
      <c r="A250" s="3" t="s">
        <v>290</v>
      </c>
    </row>
    <row r="251" spans="1:10" x14ac:dyDescent="0.4">
      <c r="A251" s="60" t="s">
        <v>4581</v>
      </c>
    </row>
    <row r="253" spans="1:10" x14ac:dyDescent="0.4">
      <c r="A253" s="16" t="s">
        <v>291</v>
      </c>
      <c r="B253" s="4"/>
      <c r="C253" s="4"/>
      <c r="D253" s="4"/>
      <c r="E253" s="4"/>
      <c r="F253" s="4"/>
      <c r="G253" s="4"/>
      <c r="H253" s="4"/>
      <c r="I253" s="4"/>
    </row>
    <row r="254" spans="1:10" s="24" customFormat="1" ht="76.5" customHeight="1" x14ac:dyDescent="0.4">
      <c r="A254" s="225" t="s">
        <v>281</v>
      </c>
      <c r="B254" s="481" t="s">
        <v>282</v>
      </c>
      <c r="C254" s="481" t="s">
        <v>283</v>
      </c>
      <c r="D254" s="481" t="s">
        <v>284</v>
      </c>
      <c r="E254" s="485" t="s">
        <v>216</v>
      </c>
      <c r="F254" s="37"/>
      <c r="G254" s="37"/>
      <c r="H254" s="37"/>
      <c r="I254" s="37"/>
    </row>
    <row r="255" spans="1:10" x14ac:dyDescent="0.4">
      <c r="A255" s="486" t="s">
        <v>285</v>
      </c>
      <c r="B255" s="487">
        <v>2024</v>
      </c>
      <c r="C255" s="483" t="s">
        <v>170</v>
      </c>
      <c r="D255" s="488">
        <v>4028.6190000000001</v>
      </c>
      <c r="E255" s="448" t="s">
        <v>170</v>
      </c>
      <c r="F255" s="24"/>
      <c r="G255" s="24"/>
      <c r="H255" s="24"/>
      <c r="I255" s="24"/>
    </row>
    <row r="256" spans="1:10" x14ac:dyDescent="0.4">
      <c r="A256" s="482" t="s">
        <v>286</v>
      </c>
      <c r="B256" s="483" t="s">
        <v>170</v>
      </c>
      <c r="C256" s="483" t="s">
        <v>170</v>
      </c>
      <c r="D256" s="483" t="s">
        <v>170</v>
      </c>
      <c r="E256" s="450">
        <f>SUM(E257:E258)</f>
        <v>0</v>
      </c>
    </row>
    <row r="257" spans="1:9" x14ac:dyDescent="0.4">
      <c r="A257" s="8" t="s">
        <v>287</v>
      </c>
      <c r="B257" s="222">
        <v>2024</v>
      </c>
      <c r="C257" s="224">
        <v>0</v>
      </c>
      <c r="D257" s="213" t="s">
        <v>170</v>
      </c>
      <c r="E257" s="212">
        <f>C257*'GWPs and Fuel EFs'!D59*'EIA Form 923'!Z3090</f>
        <v>0</v>
      </c>
      <c r="F257" s="26"/>
      <c r="G257" s="26"/>
      <c r="H257" s="26"/>
      <c r="I257" s="26"/>
    </row>
    <row r="258" spans="1:9" x14ac:dyDescent="0.4">
      <c r="A258" s="8" t="s">
        <v>288</v>
      </c>
      <c r="B258" s="222">
        <v>2024</v>
      </c>
      <c r="C258" s="211">
        <v>0</v>
      </c>
      <c r="D258" s="213" t="s">
        <v>170</v>
      </c>
      <c r="E258" s="212">
        <f>C258*'GWPs and Fuel EFs'!D56*'EIA Form 923'!Z3092</f>
        <v>0</v>
      </c>
      <c r="F258" s="26"/>
      <c r="G258" s="26"/>
      <c r="H258" s="26"/>
      <c r="I258" s="26"/>
    </row>
    <row r="259" spans="1:9" x14ac:dyDescent="0.4">
      <c r="A259" s="484" t="s">
        <v>11</v>
      </c>
      <c r="C259" s="641"/>
      <c r="D259" s="77"/>
      <c r="E259" s="469"/>
    </row>
    <row r="260" spans="1:9" x14ac:dyDescent="0.4">
      <c r="C260" s="60"/>
    </row>
    <row r="261" spans="1:9" x14ac:dyDescent="0.4">
      <c r="A261" s="155" t="s">
        <v>150</v>
      </c>
    </row>
  </sheetData>
  <hyperlinks>
    <hyperlink ref="A251" r:id="rId1" xr:uid="{B3E69136-5013-44EE-9D3D-0A5911913C0E}"/>
  </hyperlinks>
  <pageMargins left="0.7" right="0.7" top="0.75" bottom="0.75" header="0.3" footer="0.3"/>
  <pageSetup scale="42" fitToHeight="0" orientation="landscape" r:id="rId2"/>
  <rowBreaks count="3" manualBreakCount="3">
    <brk id="83" max="16383" man="1"/>
    <brk id="145" max="16383" man="1"/>
    <brk id="208" max="16383" man="1"/>
  </rowBreaks>
  <tableParts count="17">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7" tint="0.79998168889431442"/>
    <pageSetUpPr fitToPage="1"/>
  </sheetPr>
  <dimension ref="A1:AB3292"/>
  <sheetViews>
    <sheetView zoomScaleNormal="100" workbookViewId="0"/>
  </sheetViews>
  <sheetFormatPr defaultColWidth="11.1796875" defaultRowHeight="16" x14ac:dyDescent="0.4"/>
  <cols>
    <col min="1" max="1" width="59.54296875" style="3" customWidth="1"/>
    <col min="2" max="2" width="21" style="3" customWidth="1"/>
    <col min="3" max="3" width="20.1796875" style="3" customWidth="1"/>
    <col min="4" max="4" width="44.1796875" style="3" customWidth="1"/>
    <col min="5" max="5" width="24.81640625" style="3" customWidth="1"/>
    <col min="6" max="6" width="45" style="3" customWidth="1"/>
    <col min="7" max="7" width="18" style="3" customWidth="1"/>
    <col min="8" max="8" width="16.1796875" style="3" customWidth="1"/>
    <col min="9" max="9" width="35" style="3" customWidth="1"/>
    <col min="10" max="10" width="32.26953125" style="3" customWidth="1"/>
    <col min="11" max="11" width="27" style="3" customWidth="1"/>
    <col min="12" max="12" width="22.1796875" style="3" customWidth="1"/>
    <col min="13" max="15" width="11.1796875" style="3"/>
    <col min="16" max="16" width="19.1796875" style="26" customWidth="1"/>
    <col min="17" max="17" width="16.1796875" style="26" customWidth="1"/>
    <col min="18" max="18" width="17.26953125" style="26" customWidth="1"/>
    <col min="19" max="19" width="15.1796875" style="26" customWidth="1"/>
    <col min="20" max="20" width="18.7265625" style="26" customWidth="1"/>
    <col min="21" max="21" width="11.1796875" style="3"/>
    <col min="22" max="25" width="25.7265625" style="3" customWidth="1"/>
    <col min="26" max="26" width="21.26953125" style="86" customWidth="1"/>
    <col min="27" max="16384" width="11.1796875" style="3"/>
  </cols>
  <sheetData>
    <row r="1" spans="1:28" s="80" customFormat="1" ht="21" x14ac:dyDescent="0.5">
      <c r="A1" s="644" t="s">
        <v>294</v>
      </c>
      <c r="X1" s="489"/>
      <c r="Y1" s="490" t="s">
        <v>293</v>
      </c>
      <c r="Z1" s="491"/>
    </row>
    <row r="2" spans="1:28" s="80" customFormat="1" ht="18.5" x14ac:dyDescent="0.45">
      <c r="A2" s="84" t="s">
        <v>292</v>
      </c>
      <c r="Y2" s="36" t="s">
        <v>295</v>
      </c>
    </row>
    <row r="3" spans="1:28" s="80" customFormat="1" ht="18.5" x14ac:dyDescent="0.45">
      <c r="A3" s="84" t="s">
        <v>296</v>
      </c>
      <c r="W3" s="43" t="s">
        <v>297</v>
      </c>
      <c r="Y3" s="36" t="s">
        <v>228</v>
      </c>
    </row>
    <row r="4" spans="1:28" s="23" customFormat="1" x14ac:dyDescent="0.4">
      <c r="A4" s="81" t="s">
        <v>298</v>
      </c>
      <c r="B4" s="82"/>
      <c r="C4" s="82"/>
      <c r="E4" s="82"/>
      <c r="F4" s="82"/>
      <c r="G4" s="82"/>
      <c r="H4" s="82"/>
      <c r="I4" s="82"/>
      <c r="J4" s="82"/>
      <c r="K4" s="82"/>
      <c r="L4" s="82"/>
      <c r="M4" s="82"/>
      <c r="N4" s="82"/>
      <c r="O4" s="82"/>
      <c r="P4" s="82"/>
      <c r="Q4" s="82"/>
      <c r="R4" s="82"/>
      <c r="S4" s="82"/>
      <c r="T4" s="82"/>
      <c r="U4" s="82"/>
      <c r="V4" s="82"/>
      <c r="W4" s="73">
        <v>2024</v>
      </c>
      <c r="Y4" s="259" t="s">
        <v>226</v>
      </c>
      <c r="Z4" s="86"/>
      <c r="AA4" s="86"/>
    </row>
    <row r="5" spans="1:28" s="23" customFormat="1" x14ac:dyDescent="0.4">
      <c r="A5" s="60" t="s">
        <v>299</v>
      </c>
      <c r="B5" s="2"/>
      <c r="C5" s="82"/>
      <c r="D5" s="85"/>
      <c r="E5" s="83"/>
      <c r="F5" s="82"/>
      <c r="G5" s="82"/>
      <c r="H5" s="82"/>
      <c r="I5" s="82"/>
      <c r="J5" s="82"/>
      <c r="K5" s="82"/>
      <c r="L5" s="82"/>
      <c r="M5" s="82"/>
      <c r="N5" s="82"/>
      <c r="O5" s="82"/>
      <c r="P5" s="82"/>
      <c r="Q5" s="82"/>
      <c r="R5" s="82"/>
      <c r="S5" s="82"/>
      <c r="T5" s="82"/>
      <c r="U5" s="82"/>
      <c r="V5" s="82"/>
      <c r="Y5" s="492"/>
      <c r="Z5" s="86"/>
      <c r="AA5" s="86"/>
    </row>
    <row r="6" spans="1:28" s="23" customFormat="1" x14ac:dyDescent="0.4">
      <c r="A6" s="254" t="s">
        <v>300</v>
      </c>
      <c r="B6" s="255"/>
      <c r="C6" s="255"/>
      <c r="D6" s="256"/>
      <c r="E6" s="257"/>
      <c r="F6" s="255"/>
      <c r="G6" s="255"/>
      <c r="H6" s="255"/>
      <c r="I6" s="255"/>
      <c r="J6" s="255"/>
      <c r="K6" s="255"/>
      <c r="L6" s="255"/>
      <c r="M6" s="255"/>
      <c r="N6" s="255"/>
      <c r="O6" s="255"/>
      <c r="P6" s="255"/>
      <c r="Q6" s="255"/>
      <c r="R6" s="255"/>
      <c r="S6" s="255"/>
      <c r="T6" s="255"/>
      <c r="U6" s="255"/>
      <c r="V6" s="258"/>
      <c r="W6" s="259" t="s">
        <v>301</v>
      </c>
      <c r="X6" s="260" t="s">
        <v>302</v>
      </c>
      <c r="Y6" s="261"/>
      <c r="Z6" s="252"/>
      <c r="AA6" s="82"/>
    </row>
    <row r="7" spans="1:28" s="262" customFormat="1" ht="96" x14ac:dyDescent="0.4">
      <c r="A7" s="635" t="s">
        <v>303</v>
      </c>
      <c r="B7" s="635" t="s">
        <v>304</v>
      </c>
      <c r="C7" s="635" t="s">
        <v>305</v>
      </c>
      <c r="D7" s="635" t="s">
        <v>306</v>
      </c>
      <c r="E7" s="635" t="s">
        <v>307</v>
      </c>
      <c r="F7" s="635" t="s">
        <v>308</v>
      </c>
      <c r="G7" s="635" t="s">
        <v>309</v>
      </c>
      <c r="H7" s="635" t="s">
        <v>310</v>
      </c>
      <c r="I7" s="635" t="s">
        <v>311</v>
      </c>
      <c r="J7" s="635" t="s">
        <v>312</v>
      </c>
      <c r="K7" s="635" t="s">
        <v>313</v>
      </c>
      <c r="L7" s="635" t="s">
        <v>314</v>
      </c>
      <c r="M7" s="635" t="s">
        <v>315</v>
      </c>
      <c r="N7" s="635" t="s">
        <v>316</v>
      </c>
      <c r="O7" s="635" t="s">
        <v>317</v>
      </c>
      <c r="P7" s="635" t="s">
        <v>318</v>
      </c>
      <c r="Q7" s="636" t="s">
        <v>319</v>
      </c>
      <c r="R7" s="636" t="s">
        <v>320</v>
      </c>
      <c r="S7" s="636" t="s">
        <v>321</v>
      </c>
      <c r="T7" s="636" t="s">
        <v>322</v>
      </c>
      <c r="U7" s="636" t="s">
        <v>323</v>
      </c>
      <c r="V7" s="635" t="s">
        <v>324</v>
      </c>
      <c r="W7" s="425" t="s">
        <v>325</v>
      </c>
      <c r="X7" s="425" t="s">
        <v>326</v>
      </c>
      <c r="Y7" s="425" t="s">
        <v>327</v>
      </c>
      <c r="Z7" s="425" t="s">
        <v>328</v>
      </c>
      <c r="AA7" s="86"/>
      <c r="AB7" s="637"/>
    </row>
    <row r="8" spans="1:28" s="82" customFormat="1" ht="32" x14ac:dyDescent="0.4">
      <c r="A8" s="493">
        <v>88</v>
      </c>
      <c r="B8" s="105" t="s">
        <v>329</v>
      </c>
      <c r="C8" s="493" t="s">
        <v>330</v>
      </c>
      <c r="D8" s="105" t="s">
        <v>331</v>
      </c>
      <c r="E8" s="105" t="s">
        <v>332</v>
      </c>
      <c r="F8" s="493">
        <v>15296</v>
      </c>
      <c r="G8" s="105" t="s">
        <v>52</v>
      </c>
      <c r="H8" s="105" t="s">
        <v>333</v>
      </c>
      <c r="I8" s="105" t="s">
        <v>334</v>
      </c>
      <c r="J8" s="493">
        <v>22</v>
      </c>
      <c r="K8" s="493">
        <v>1</v>
      </c>
      <c r="L8" s="105" t="s">
        <v>335</v>
      </c>
      <c r="M8" s="105" t="s">
        <v>336</v>
      </c>
      <c r="N8" s="105" t="s">
        <v>337</v>
      </c>
      <c r="O8" s="105" t="s">
        <v>338</v>
      </c>
      <c r="P8" s="105" t="s">
        <v>339</v>
      </c>
      <c r="Q8" s="494">
        <v>0</v>
      </c>
      <c r="R8" s="494">
        <v>0</v>
      </c>
      <c r="S8" s="494">
        <v>38365</v>
      </c>
      <c r="T8" s="494">
        <v>38365</v>
      </c>
      <c r="U8" s="494">
        <v>11244</v>
      </c>
      <c r="V8" s="493">
        <v>2024</v>
      </c>
      <c r="W8" s="495"/>
      <c r="X8" s="496">
        <f>IF(OR(K8&gt;3,T8=0,NOT(U8&gt;0)),"",T8/U8)</f>
        <v>3.412041977943792</v>
      </c>
      <c r="Y8" s="497" t="str">
        <f t="shared" ref="Y8:Z27" si="0">IF(AND($M8=$Y$2,$N8=$Y$3,NOT($Q8=$R8),NOT($U8=0)),IF($K8=5,$S8/($U8+(8/5)*$U8),IF($K8=7,$S8/($U8+(29/25)*$U8),"")),"")</f>
        <v/>
      </c>
      <c r="Z8" s="497" t="str">
        <f t="shared" si="0"/>
        <v/>
      </c>
    </row>
    <row r="9" spans="1:28" s="82" customFormat="1" ht="32" x14ac:dyDescent="0.4">
      <c r="A9" s="493">
        <v>539</v>
      </c>
      <c r="B9" s="105" t="s">
        <v>329</v>
      </c>
      <c r="C9" s="493" t="s">
        <v>330</v>
      </c>
      <c r="D9" s="105" t="s">
        <v>340</v>
      </c>
      <c r="E9" s="105" t="s">
        <v>341</v>
      </c>
      <c r="F9" s="493">
        <v>54895</v>
      </c>
      <c r="G9" s="105" t="s">
        <v>37</v>
      </c>
      <c r="H9" s="105" t="s">
        <v>342</v>
      </c>
      <c r="I9" s="105" t="s">
        <v>334</v>
      </c>
      <c r="J9" s="493">
        <v>22</v>
      </c>
      <c r="K9" s="493">
        <v>2</v>
      </c>
      <c r="L9" s="105" t="s">
        <v>343</v>
      </c>
      <c r="M9" s="105" t="s">
        <v>344</v>
      </c>
      <c r="N9" s="105" t="s">
        <v>337</v>
      </c>
      <c r="O9" s="105" t="s">
        <v>345</v>
      </c>
      <c r="P9" s="105" t="s">
        <v>346</v>
      </c>
      <c r="Q9" s="494">
        <v>8889</v>
      </c>
      <c r="R9" s="494">
        <v>8889</v>
      </c>
      <c r="S9" s="494">
        <v>0</v>
      </c>
      <c r="T9" s="494">
        <v>0</v>
      </c>
      <c r="U9" s="494">
        <v>4514</v>
      </c>
      <c r="V9" s="493">
        <v>2024</v>
      </c>
      <c r="W9" s="495"/>
      <c r="X9" s="496" t="str">
        <f t="shared" ref="X9:X72" si="1">IF(OR(K9&gt;3,T9=0,NOT(U9&gt;0)),"",T9/U9)</f>
        <v/>
      </c>
      <c r="Y9" s="497" t="str">
        <f t="shared" si="0"/>
        <v/>
      </c>
      <c r="Z9" s="497" t="str">
        <f t="shared" si="0"/>
        <v/>
      </c>
    </row>
    <row r="10" spans="1:28" s="82" customFormat="1" ht="32" x14ac:dyDescent="0.4">
      <c r="A10" s="493">
        <v>540</v>
      </c>
      <c r="B10" s="105" t="s">
        <v>329</v>
      </c>
      <c r="C10" s="493" t="s">
        <v>330</v>
      </c>
      <c r="D10" s="105" t="s">
        <v>347</v>
      </c>
      <c r="E10" s="105" t="s">
        <v>348</v>
      </c>
      <c r="F10" s="493">
        <v>22379</v>
      </c>
      <c r="G10" s="105" t="s">
        <v>37</v>
      </c>
      <c r="H10" s="105" t="s">
        <v>342</v>
      </c>
      <c r="I10" s="105" t="s">
        <v>334</v>
      </c>
      <c r="J10" s="493">
        <v>22</v>
      </c>
      <c r="K10" s="493">
        <v>2</v>
      </c>
      <c r="L10" s="105" t="s">
        <v>343</v>
      </c>
      <c r="M10" s="105" t="s">
        <v>295</v>
      </c>
      <c r="N10" s="105" t="s">
        <v>240</v>
      </c>
      <c r="O10" s="105" t="s">
        <v>349</v>
      </c>
      <c r="P10" s="105" t="s">
        <v>350</v>
      </c>
      <c r="Q10" s="494">
        <v>0</v>
      </c>
      <c r="R10" s="494">
        <v>0</v>
      </c>
      <c r="S10" s="494">
        <v>0</v>
      </c>
      <c r="T10" s="494">
        <v>0</v>
      </c>
      <c r="U10" s="494">
        <v>0</v>
      </c>
      <c r="V10" s="493">
        <v>2024</v>
      </c>
      <c r="W10" s="495"/>
      <c r="X10" s="496" t="str">
        <f t="shared" si="1"/>
        <v/>
      </c>
      <c r="Y10" s="497" t="str">
        <f t="shared" si="0"/>
        <v/>
      </c>
      <c r="Z10" s="497" t="str">
        <f t="shared" si="0"/>
        <v/>
      </c>
    </row>
    <row r="11" spans="1:28" s="82" customFormat="1" ht="32" x14ac:dyDescent="0.4">
      <c r="A11" s="493">
        <v>540</v>
      </c>
      <c r="B11" s="105" t="s">
        <v>329</v>
      </c>
      <c r="C11" s="493" t="s">
        <v>330</v>
      </c>
      <c r="D11" s="105" t="s">
        <v>347</v>
      </c>
      <c r="E11" s="105" t="s">
        <v>348</v>
      </c>
      <c r="F11" s="493">
        <v>22379</v>
      </c>
      <c r="G11" s="105" t="s">
        <v>37</v>
      </c>
      <c r="H11" s="105" t="s">
        <v>342</v>
      </c>
      <c r="I11" s="105" t="s">
        <v>334</v>
      </c>
      <c r="J11" s="493">
        <v>22</v>
      </c>
      <c r="K11" s="493">
        <v>2</v>
      </c>
      <c r="L11" s="105" t="s">
        <v>343</v>
      </c>
      <c r="M11" s="105" t="s">
        <v>295</v>
      </c>
      <c r="N11" s="105" t="s">
        <v>242</v>
      </c>
      <c r="O11" s="105" t="s">
        <v>349</v>
      </c>
      <c r="P11" s="105" t="s">
        <v>350</v>
      </c>
      <c r="Q11" s="494">
        <v>276</v>
      </c>
      <c r="R11" s="494">
        <v>276</v>
      </c>
      <c r="S11" s="494">
        <v>1545</v>
      </c>
      <c r="T11" s="494">
        <v>1545</v>
      </c>
      <c r="U11" s="494">
        <v>109</v>
      </c>
      <c r="V11" s="493">
        <v>2024</v>
      </c>
      <c r="W11" s="495"/>
      <c r="X11" s="496">
        <f t="shared" si="1"/>
        <v>14.174311926605505</v>
      </c>
      <c r="Y11" s="497" t="str">
        <f t="shared" si="0"/>
        <v/>
      </c>
      <c r="Z11" s="497" t="str">
        <f t="shared" si="0"/>
        <v/>
      </c>
    </row>
    <row r="12" spans="1:28" s="82" customFormat="1" ht="32" x14ac:dyDescent="0.4">
      <c r="A12" s="493">
        <v>541</v>
      </c>
      <c r="B12" s="105" t="s">
        <v>329</v>
      </c>
      <c r="C12" s="493" t="s">
        <v>330</v>
      </c>
      <c r="D12" s="105" t="s">
        <v>351</v>
      </c>
      <c r="E12" s="105" t="s">
        <v>341</v>
      </c>
      <c r="F12" s="493">
        <v>54895</v>
      </c>
      <c r="G12" s="105" t="s">
        <v>37</v>
      </c>
      <c r="H12" s="105" t="s">
        <v>342</v>
      </c>
      <c r="I12" s="105" t="s">
        <v>334</v>
      </c>
      <c r="J12" s="493">
        <v>22</v>
      </c>
      <c r="K12" s="493">
        <v>2</v>
      </c>
      <c r="L12" s="105" t="s">
        <v>343</v>
      </c>
      <c r="M12" s="105" t="s">
        <v>336</v>
      </c>
      <c r="N12" s="105" t="s">
        <v>337</v>
      </c>
      <c r="O12" s="105" t="s">
        <v>338</v>
      </c>
      <c r="P12" s="105" t="s">
        <v>339</v>
      </c>
      <c r="Q12" s="494">
        <v>0</v>
      </c>
      <c r="R12" s="494">
        <v>0</v>
      </c>
      <c r="S12" s="494">
        <v>105226</v>
      </c>
      <c r="T12" s="494">
        <v>105226</v>
      </c>
      <c r="U12" s="494">
        <v>30840</v>
      </c>
      <c r="V12" s="493">
        <v>2024</v>
      </c>
      <c r="W12" s="495"/>
      <c r="X12" s="496">
        <f t="shared" si="1"/>
        <v>3.4119974059662774</v>
      </c>
      <c r="Y12" s="497" t="str">
        <f t="shared" si="0"/>
        <v/>
      </c>
      <c r="Z12" s="497" t="str">
        <f t="shared" si="0"/>
        <v/>
      </c>
    </row>
    <row r="13" spans="1:28" s="82" customFormat="1" ht="32" x14ac:dyDescent="0.4">
      <c r="A13" s="493">
        <v>542</v>
      </c>
      <c r="B13" s="105" t="s">
        <v>329</v>
      </c>
      <c r="C13" s="493" t="s">
        <v>330</v>
      </c>
      <c r="D13" s="105" t="s">
        <v>352</v>
      </c>
      <c r="E13" s="105" t="s">
        <v>348</v>
      </c>
      <c r="F13" s="493">
        <v>22379</v>
      </c>
      <c r="G13" s="105" t="s">
        <v>37</v>
      </c>
      <c r="H13" s="105" t="s">
        <v>342</v>
      </c>
      <c r="I13" s="105" t="s">
        <v>334</v>
      </c>
      <c r="J13" s="493">
        <v>22</v>
      </c>
      <c r="K13" s="493">
        <v>2</v>
      </c>
      <c r="L13" s="105" t="s">
        <v>343</v>
      </c>
      <c r="M13" s="105" t="s">
        <v>295</v>
      </c>
      <c r="N13" s="105" t="s">
        <v>240</v>
      </c>
      <c r="O13" s="105" t="s">
        <v>349</v>
      </c>
      <c r="P13" s="105" t="s">
        <v>350</v>
      </c>
      <c r="Q13" s="494">
        <v>0</v>
      </c>
      <c r="R13" s="494">
        <v>0</v>
      </c>
      <c r="S13" s="494">
        <v>0</v>
      </c>
      <c r="T13" s="494">
        <v>0</v>
      </c>
      <c r="U13" s="494">
        <v>0</v>
      </c>
      <c r="V13" s="493">
        <v>2024</v>
      </c>
      <c r="W13" s="495"/>
      <c r="X13" s="496" t="str">
        <f t="shared" si="1"/>
        <v/>
      </c>
      <c r="Y13" s="497" t="str">
        <f t="shared" si="0"/>
        <v/>
      </c>
      <c r="Z13" s="497" t="str">
        <f t="shared" si="0"/>
        <v/>
      </c>
    </row>
    <row r="14" spans="1:28" s="82" customFormat="1" ht="32" x14ac:dyDescent="0.4">
      <c r="A14" s="493">
        <v>542</v>
      </c>
      <c r="B14" s="105" t="s">
        <v>329</v>
      </c>
      <c r="C14" s="493" t="s">
        <v>330</v>
      </c>
      <c r="D14" s="105" t="s">
        <v>352</v>
      </c>
      <c r="E14" s="105" t="s">
        <v>348</v>
      </c>
      <c r="F14" s="493">
        <v>22379</v>
      </c>
      <c r="G14" s="105" t="s">
        <v>37</v>
      </c>
      <c r="H14" s="105" t="s">
        <v>342</v>
      </c>
      <c r="I14" s="105" t="s">
        <v>334</v>
      </c>
      <c r="J14" s="493">
        <v>22</v>
      </c>
      <c r="K14" s="493">
        <v>2</v>
      </c>
      <c r="L14" s="105" t="s">
        <v>343</v>
      </c>
      <c r="M14" s="105" t="s">
        <v>295</v>
      </c>
      <c r="N14" s="105" t="s">
        <v>242</v>
      </c>
      <c r="O14" s="105" t="s">
        <v>349</v>
      </c>
      <c r="P14" s="105" t="s">
        <v>350</v>
      </c>
      <c r="Q14" s="494">
        <v>1787</v>
      </c>
      <c r="R14" s="494">
        <v>1787</v>
      </c>
      <c r="S14" s="494">
        <v>10008</v>
      </c>
      <c r="T14" s="494">
        <v>10008</v>
      </c>
      <c r="U14" s="494">
        <v>676</v>
      </c>
      <c r="V14" s="493">
        <v>2024</v>
      </c>
      <c r="W14" s="495"/>
      <c r="X14" s="496">
        <f t="shared" si="1"/>
        <v>14.804733727810651</v>
      </c>
      <c r="Y14" s="497" t="str">
        <f t="shared" si="0"/>
        <v/>
      </c>
      <c r="Z14" s="497" t="str">
        <f t="shared" si="0"/>
        <v/>
      </c>
    </row>
    <row r="15" spans="1:28" s="82" customFormat="1" x14ac:dyDescent="0.4">
      <c r="A15" s="493">
        <v>544</v>
      </c>
      <c r="B15" s="105" t="s">
        <v>329</v>
      </c>
      <c r="C15" s="493" t="s">
        <v>330</v>
      </c>
      <c r="D15" s="105" t="s">
        <v>353</v>
      </c>
      <c r="E15" s="105" t="s">
        <v>354</v>
      </c>
      <c r="F15" s="493">
        <v>22350</v>
      </c>
      <c r="G15" s="105" t="s">
        <v>37</v>
      </c>
      <c r="H15" s="105" t="s">
        <v>342</v>
      </c>
      <c r="I15" s="105" t="s">
        <v>334</v>
      </c>
      <c r="J15" s="493">
        <v>22</v>
      </c>
      <c r="K15" s="493">
        <v>2</v>
      </c>
      <c r="L15" s="105" t="s">
        <v>343</v>
      </c>
      <c r="M15" s="105" t="s">
        <v>295</v>
      </c>
      <c r="N15" s="105" t="s">
        <v>226</v>
      </c>
      <c r="O15" s="105" t="s">
        <v>226</v>
      </c>
      <c r="P15" s="105" t="s">
        <v>350</v>
      </c>
      <c r="Q15" s="494">
        <v>0</v>
      </c>
      <c r="R15" s="494">
        <v>0</v>
      </c>
      <c r="S15" s="494">
        <v>0</v>
      </c>
      <c r="T15" s="494">
        <v>0</v>
      </c>
      <c r="U15" s="494">
        <v>0</v>
      </c>
      <c r="V15" s="493">
        <v>2024</v>
      </c>
      <c r="W15" s="495" t="s">
        <v>355</v>
      </c>
      <c r="X15" s="496" t="str">
        <f t="shared" si="1"/>
        <v/>
      </c>
      <c r="Y15" s="497" t="str">
        <f t="shared" si="0"/>
        <v/>
      </c>
      <c r="Z15" s="497" t="str">
        <f t="shared" si="0"/>
        <v/>
      </c>
    </row>
    <row r="16" spans="1:28" s="82" customFormat="1" x14ac:dyDescent="0.4">
      <c r="A16" s="493">
        <v>544</v>
      </c>
      <c r="B16" s="105" t="s">
        <v>329</v>
      </c>
      <c r="C16" s="493" t="s">
        <v>330</v>
      </c>
      <c r="D16" s="105" t="s">
        <v>353</v>
      </c>
      <c r="E16" s="105" t="s">
        <v>354</v>
      </c>
      <c r="F16" s="493">
        <v>22350</v>
      </c>
      <c r="G16" s="105" t="s">
        <v>37</v>
      </c>
      <c r="H16" s="105" t="s">
        <v>342</v>
      </c>
      <c r="I16" s="105" t="s">
        <v>334</v>
      </c>
      <c r="J16" s="493">
        <v>22</v>
      </c>
      <c r="K16" s="493">
        <v>2</v>
      </c>
      <c r="L16" s="105" t="s">
        <v>343</v>
      </c>
      <c r="M16" s="105" t="s">
        <v>295</v>
      </c>
      <c r="N16" s="105" t="s">
        <v>240</v>
      </c>
      <c r="O16" s="105" t="s">
        <v>349</v>
      </c>
      <c r="P16" s="105" t="s">
        <v>350</v>
      </c>
      <c r="Q16" s="494">
        <v>0</v>
      </c>
      <c r="R16" s="494">
        <v>0</v>
      </c>
      <c r="S16" s="494">
        <v>0</v>
      </c>
      <c r="T16" s="494">
        <v>0</v>
      </c>
      <c r="U16" s="494">
        <v>0</v>
      </c>
      <c r="V16" s="493">
        <v>2024</v>
      </c>
      <c r="W16" s="495" t="s">
        <v>355</v>
      </c>
      <c r="X16" s="496" t="str">
        <f t="shared" si="1"/>
        <v/>
      </c>
      <c r="Y16" s="497" t="str">
        <f t="shared" si="0"/>
        <v/>
      </c>
      <c r="Z16" s="497" t="str">
        <f t="shared" si="0"/>
        <v/>
      </c>
    </row>
    <row r="17" spans="1:26" s="82" customFormat="1" x14ac:dyDescent="0.4">
      <c r="A17" s="493">
        <v>544</v>
      </c>
      <c r="B17" s="105" t="s">
        <v>329</v>
      </c>
      <c r="C17" s="493" t="s">
        <v>330</v>
      </c>
      <c r="D17" s="105" t="s">
        <v>353</v>
      </c>
      <c r="E17" s="105" t="s">
        <v>354</v>
      </c>
      <c r="F17" s="493">
        <v>22350</v>
      </c>
      <c r="G17" s="105" t="s">
        <v>37</v>
      </c>
      <c r="H17" s="105" t="s">
        <v>342</v>
      </c>
      <c r="I17" s="105" t="s">
        <v>334</v>
      </c>
      <c r="J17" s="493">
        <v>22</v>
      </c>
      <c r="K17" s="493">
        <v>2</v>
      </c>
      <c r="L17" s="105" t="s">
        <v>343</v>
      </c>
      <c r="M17" s="105" t="s">
        <v>295</v>
      </c>
      <c r="N17" s="105" t="s">
        <v>242</v>
      </c>
      <c r="O17" s="105" t="s">
        <v>349</v>
      </c>
      <c r="P17" s="105" t="s">
        <v>350</v>
      </c>
      <c r="Q17" s="494">
        <v>3866</v>
      </c>
      <c r="R17" s="494">
        <v>3866</v>
      </c>
      <c r="S17" s="494">
        <v>21649</v>
      </c>
      <c r="T17" s="494">
        <v>21649</v>
      </c>
      <c r="U17" s="494">
        <v>-599</v>
      </c>
      <c r="V17" s="493">
        <v>2024</v>
      </c>
      <c r="W17" s="495" t="s">
        <v>355</v>
      </c>
      <c r="X17" s="496" t="str">
        <f t="shared" si="1"/>
        <v/>
      </c>
      <c r="Y17" s="497" t="str">
        <f t="shared" si="0"/>
        <v/>
      </c>
      <c r="Z17" s="497" t="str">
        <f t="shared" si="0"/>
        <v/>
      </c>
    </row>
    <row r="18" spans="1:26" s="82" customFormat="1" x14ac:dyDescent="0.4">
      <c r="A18" s="493">
        <v>544</v>
      </c>
      <c r="B18" s="105" t="s">
        <v>329</v>
      </c>
      <c r="C18" s="493" t="s">
        <v>330</v>
      </c>
      <c r="D18" s="105" t="s">
        <v>353</v>
      </c>
      <c r="E18" s="105" t="s">
        <v>354</v>
      </c>
      <c r="F18" s="493">
        <v>22350</v>
      </c>
      <c r="G18" s="105" t="s">
        <v>37</v>
      </c>
      <c r="H18" s="105" t="s">
        <v>342</v>
      </c>
      <c r="I18" s="105" t="s">
        <v>334</v>
      </c>
      <c r="J18" s="493">
        <v>22</v>
      </c>
      <c r="K18" s="493">
        <v>2</v>
      </c>
      <c r="L18" s="105" t="s">
        <v>343</v>
      </c>
      <c r="M18" s="105" t="s">
        <v>295</v>
      </c>
      <c r="N18" s="105" t="s">
        <v>228</v>
      </c>
      <c r="O18" s="105" t="s">
        <v>228</v>
      </c>
      <c r="P18" s="105" t="s">
        <v>356</v>
      </c>
      <c r="Q18" s="494">
        <v>0</v>
      </c>
      <c r="R18" s="494">
        <v>0</v>
      </c>
      <c r="S18" s="494">
        <v>0</v>
      </c>
      <c r="T18" s="494">
        <v>0</v>
      </c>
      <c r="U18" s="494">
        <v>0</v>
      </c>
      <c r="V18" s="493">
        <v>2024</v>
      </c>
      <c r="W18" s="495" t="s">
        <v>355</v>
      </c>
      <c r="X18" s="496" t="str">
        <f t="shared" si="1"/>
        <v/>
      </c>
      <c r="Y18" s="497" t="str">
        <f t="shared" si="0"/>
        <v/>
      </c>
      <c r="Z18" s="497" t="str">
        <f t="shared" si="0"/>
        <v/>
      </c>
    </row>
    <row r="19" spans="1:26" s="82" customFormat="1" x14ac:dyDescent="0.4">
      <c r="A19" s="493">
        <v>544</v>
      </c>
      <c r="B19" s="105" t="s">
        <v>329</v>
      </c>
      <c r="C19" s="493" t="s">
        <v>330</v>
      </c>
      <c r="D19" s="105" t="s">
        <v>353</v>
      </c>
      <c r="E19" s="105" t="s">
        <v>354</v>
      </c>
      <c r="F19" s="493">
        <v>22350</v>
      </c>
      <c r="G19" s="105" t="s">
        <v>37</v>
      </c>
      <c r="H19" s="105" t="s">
        <v>342</v>
      </c>
      <c r="I19" s="105" t="s">
        <v>334</v>
      </c>
      <c r="J19" s="493">
        <v>22</v>
      </c>
      <c r="K19" s="493">
        <v>2</v>
      </c>
      <c r="L19" s="105" t="s">
        <v>343</v>
      </c>
      <c r="M19" s="105" t="s">
        <v>295</v>
      </c>
      <c r="N19" s="105" t="s">
        <v>238</v>
      </c>
      <c r="O19" s="105" t="s">
        <v>238</v>
      </c>
      <c r="P19" s="105" t="s">
        <v>350</v>
      </c>
      <c r="Q19" s="494">
        <v>0</v>
      </c>
      <c r="R19" s="494">
        <v>0</v>
      </c>
      <c r="S19" s="494">
        <v>0</v>
      </c>
      <c r="T19" s="494">
        <v>0</v>
      </c>
      <c r="U19" s="494">
        <v>0</v>
      </c>
      <c r="V19" s="493">
        <v>2024</v>
      </c>
      <c r="W19" s="495" t="s">
        <v>355</v>
      </c>
      <c r="X19" s="496" t="str">
        <f t="shared" si="1"/>
        <v/>
      </c>
      <c r="Y19" s="497" t="str">
        <f t="shared" si="0"/>
        <v/>
      </c>
      <c r="Z19" s="497" t="str">
        <f t="shared" si="0"/>
        <v/>
      </c>
    </row>
    <row r="20" spans="1:26" s="82" customFormat="1" x14ac:dyDescent="0.4">
      <c r="A20" s="493">
        <v>546</v>
      </c>
      <c r="B20" s="105" t="s">
        <v>329</v>
      </c>
      <c r="C20" s="493" t="s">
        <v>330</v>
      </c>
      <c r="D20" s="105" t="s">
        <v>357</v>
      </c>
      <c r="E20" s="105" t="s">
        <v>358</v>
      </c>
      <c r="F20" s="493">
        <v>22380</v>
      </c>
      <c r="G20" s="105" t="s">
        <v>37</v>
      </c>
      <c r="H20" s="105" t="s">
        <v>342</v>
      </c>
      <c r="I20" s="105" t="s">
        <v>334</v>
      </c>
      <c r="J20" s="493">
        <v>22</v>
      </c>
      <c r="K20" s="493">
        <v>2</v>
      </c>
      <c r="L20" s="105" t="s">
        <v>343</v>
      </c>
      <c r="M20" s="105" t="s">
        <v>359</v>
      </c>
      <c r="N20" s="105" t="s">
        <v>226</v>
      </c>
      <c r="O20" s="105" t="s">
        <v>226</v>
      </c>
      <c r="P20" s="105" t="s">
        <v>350</v>
      </c>
      <c r="Q20" s="494">
        <v>253</v>
      </c>
      <c r="R20" s="494">
        <v>253</v>
      </c>
      <c r="S20" s="494">
        <v>1467</v>
      </c>
      <c r="T20" s="494">
        <v>1467</v>
      </c>
      <c r="U20" s="494">
        <v>135</v>
      </c>
      <c r="V20" s="493">
        <v>2024</v>
      </c>
      <c r="W20" s="495"/>
      <c r="X20" s="496">
        <f t="shared" si="1"/>
        <v>10.866666666666667</v>
      </c>
      <c r="Y20" s="497" t="str">
        <f t="shared" si="0"/>
        <v/>
      </c>
      <c r="Z20" s="497" t="str">
        <f t="shared" si="0"/>
        <v/>
      </c>
    </row>
    <row r="21" spans="1:26" s="82" customFormat="1" x14ac:dyDescent="0.4">
      <c r="A21" s="493">
        <v>546</v>
      </c>
      <c r="B21" s="105" t="s">
        <v>329</v>
      </c>
      <c r="C21" s="493" t="s">
        <v>330</v>
      </c>
      <c r="D21" s="105" t="s">
        <v>357</v>
      </c>
      <c r="E21" s="105" t="s">
        <v>358</v>
      </c>
      <c r="F21" s="493">
        <v>22380</v>
      </c>
      <c r="G21" s="105" t="s">
        <v>37</v>
      </c>
      <c r="H21" s="105" t="s">
        <v>342</v>
      </c>
      <c r="I21" s="105" t="s">
        <v>334</v>
      </c>
      <c r="J21" s="493">
        <v>22</v>
      </c>
      <c r="K21" s="493">
        <v>2</v>
      </c>
      <c r="L21" s="105" t="s">
        <v>343</v>
      </c>
      <c r="M21" s="105" t="s">
        <v>360</v>
      </c>
      <c r="N21" s="105" t="s">
        <v>226</v>
      </c>
      <c r="O21" s="105" t="s">
        <v>226</v>
      </c>
      <c r="P21" s="105" t="s">
        <v>350</v>
      </c>
      <c r="Q21" s="494">
        <v>429</v>
      </c>
      <c r="R21" s="494">
        <v>429</v>
      </c>
      <c r="S21" s="494">
        <v>2489</v>
      </c>
      <c r="T21" s="494">
        <v>2489</v>
      </c>
      <c r="U21" s="494">
        <v>188.102</v>
      </c>
      <c r="V21" s="493">
        <v>2024</v>
      </c>
      <c r="W21" s="495" t="s">
        <v>355</v>
      </c>
      <c r="X21" s="496">
        <f t="shared" si="1"/>
        <v>13.232182539260613</v>
      </c>
      <c r="Y21" s="497" t="str">
        <f t="shared" si="0"/>
        <v/>
      </c>
      <c r="Z21" s="497" t="str">
        <f t="shared" si="0"/>
        <v/>
      </c>
    </row>
    <row r="22" spans="1:26" s="82" customFormat="1" x14ac:dyDescent="0.4">
      <c r="A22" s="493">
        <v>546</v>
      </c>
      <c r="B22" s="105" t="s">
        <v>329</v>
      </c>
      <c r="C22" s="493" t="s">
        <v>330</v>
      </c>
      <c r="D22" s="105" t="s">
        <v>357</v>
      </c>
      <c r="E22" s="105" t="s">
        <v>358</v>
      </c>
      <c r="F22" s="493">
        <v>22380</v>
      </c>
      <c r="G22" s="105" t="s">
        <v>37</v>
      </c>
      <c r="H22" s="105" t="s">
        <v>342</v>
      </c>
      <c r="I22" s="105" t="s">
        <v>334</v>
      </c>
      <c r="J22" s="493">
        <v>22</v>
      </c>
      <c r="K22" s="493">
        <v>2</v>
      </c>
      <c r="L22" s="105" t="s">
        <v>343</v>
      </c>
      <c r="M22" s="105" t="s">
        <v>360</v>
      </c>
      <c r="N22" s="105" t="s">
        <v>228</v>
      </c>
      <c r="O22" s="105" t="s">
        <v>228</v>
      </c>
      <c r="P22" s="105" t="s">
        <v>356</v>
      </c>
      <c r="Q22" s="494">
        <v>181853</v>
      </c>
      <c r="R22" s="494">
        <v>181853</v>
      </c>
      <c r="S22" s="494">
        <v>187309</v>
      </c>
      <c r="T22" s="494">
        <v>187309</v>
      </c>
      <c r="U22" s="494">
        <v>14558.76</v>
      </c>
      <c r="V22" s="493">
        <v>2024</v>
      </c>
      <c r="W22" s="495" t="s">
        <v>355</v>
      </c>
      <c r="X22" s="496">
        <f t="shared" si="1"/>
        <v>12.865724828213391</v>
      </c>
      <c r="Y22" s="497" t="str">
        <f t="shared" si="0"/>
        <v/>
      </c>
      <c r="Z22" s="497" t="str">
        <f t="shared" si="0"/>
        <v/>
      </c>
    </row>
    <row r="23" spans="1:26" s="82" customFormat="1" x14ac:dyDescent="0.4">
      <c r="A23" s="493">
        <v>546</v>
      </c>
      <c r="B23" s="105" t="s">
        <v>329</v>
      </c>
      <c r="C23" s="493" t="s">
        <v>330</v>
      </c>
      <c r="D23" s="105" t="s">
        <v>357</v>
      </c>
      <c r="E23" s="105" t="s">
        <v>358</v>
      </c>
      <c r="F23" s="493">
        <v>22380</v>
      </c>
      <c r="G23" s="105" t="s">
        <v>37</v>
      </c>
      <c r="H23" s="105" t="s">
        <v>342</v>
      </c>
      <c r="I23" s="105" t="s">
        <v>334</v>
      </c>
      <c r="J23" s="493">
        <v>22</v>
      </c>
      <c r="K23" s="493">
        <v>2</v>
      </c>
      <c r="L23" s="105" t="s">
        <v>343</v>
      </c>
      <c r="M23" s="105" t="s">
        <v>360</v>
      </c>
      <c r="N23" s="105" t="s">
        <v>238</v>
      </c>
      <c r="O23" s="105" t="s">
        <v>238</v>
      </c>
      <c r="P23" s="105" t="s">
        <v>350</v>
      </c>
      <c r="Q23" s="494">
        <v>26303</v>
      </c>
      <c r="R23" s="494">
        <v>26303</v>
      </c>
      <c r="S23" s="494">
        <v>165709</v>
      </c>
      <c r="T23" s="494">
        <v>165709</v>
      </c>
      <c r="U23" s="494">
        <v>12879.138000000001</v>
      </c>
      <c r="V23" s="493">
        <v>2024</v>
      </c>
      <c r="W23" s="495" t="s">
        <v>355</v>
      </c>
      <c r="X23" s="496">
        <f t="shared" si="1"/>
        <v>12.866466684338656</v>
      </c>
      <c r="Y23" s="497" t="str">
        <f t="shared" si="0"/>
        <v/>
      </c>
      <c r="Z23" s="497" t="str">
        <f t="shared" si="0"/>
        <v/>
      </c>
    </row>
    <row r="24" spans="1:26" s="82" customFormat="1" ht="32" x14ac:dyDescent="0.4">
      <c r="A24" s="493">
        <v>547</v>
      </c>
      <c r="B24" s="105" t="s">
        <v>329</v>
      </c>
      <c r="C24" s="493" t="s">
        <v>330</v>
      </c>
      <c r="D24" s="105" t="s">
        <v>361</v>
      </c>
      <c r="E24" s="105" t="s">
        <v>362</v>
      </c>
      <c r="F24" s="493">
        <v>58185</v>
      </c>
      <c r="G24" s="105" t="s">
        <v>33</v>
      </c>
      <c r="H24" s="105" t="s">
        <v>342</v>
      </c>
      <c r="I24" s="105" t="s">
        <v>334</v>
      </c>
      <c r="J24" s="493">
        <v>22</v>
      </c>
      <c r="K24" s="493">
        <v>2</v>
      </c>
      <c r="L24" s="105" t="s">
        <v>343</v>
      </c>
      <c r="M24" s="105" t="s">
        <v>344</v>
      </c>
      <c r="N24" s="105" t="s">
        <v>337</v>
      </c>
      <c r="O24" s="105" t="s">
        <v>345</v>
      </c>
      <c r="P24" s="105" t="s">
        <v>346</v>
      </c>
      <c r="Q24" s="494">
        <v>1044573</v>
      </c>
      <c r="R24" s="494">
        <v>1044573</v>
      </c>
      <c r="S24" s="494">
        <v>0</v>
      </c>
      <c r="T24" s="494">
        <v>0</v>
      </c>
      <c r="U24" s="494">
        <v>-270876</v>
      </c>
      <c r="V24" s="493">
        <v>2024</v>
      </c>
      <c r="W24" s="495"/>
      <c r="X24" s="496" t="str">
        <f t="shared" si="1"/>
        <v/>
      </c>
      <c r="Y24" s="497" t="str">
        <f t="shared" si="0"/>
        <v/>
      </c>
      <c r="Z24" s="497" t="str">
        <f t="shared" si="0"/>
        <v/>
      </c>
    </row>
    <row r="25" spans="1:26" s="82" customFormat="1" ht="32" x14ac:dyDescent="0.4">
      <c r="A25" s="493">
        <v>551</v>
      </c>
      <c r="B25" s="105" t="s">
        <v>329</v>
      </c>
      <c r="C25" s="493" t="s">
        <v>330</v>
      </c>
      <c r="D25" s="105" t="s">
        <v>363</v>
      </c>
      <c r="E25" s="105" t="s">
        <v>341</v>
      </c>
      <c r="F25" s="493">
        <v>54895</v>
      </c>
      <c r="G25" s="105" t="s">
        <v>37</v>
      </c>
      <c r="H25" s="105" t="s">
        <v>342</v>
      </c>
      <c r="I25" s="105" t="s">
        <v>334</v>
      </c>
      <c r="J25" s="493">
        <v>22</v>
      </c>
      <c r="K25" s="493">
        <v>2</v>
      </c>
      <c r="L25" s="105" t="s">
        <v>343</v>
      </c>
      <c r="M25" s="105" t="s">
        <v>336</v>
      </c>
      <c r="N25" s="105" t="s">
        <v>337</v>
      </c>
      <c r="O25" s="105" t="s">
        <v>338</v>
      </c>
      <c r="P25" s="105" t="s">
        <v>339</v>
      </c>
      <c r="Q25" s="494">
        <v>0</v>
      </c>
      <c r="R25" s="494">
        <v>0</v>
      </c>
      <c r="S25" s="494">
        <v>22526</v>
      </c>
      <c r="T25" s="494">
        <v>22526</v>
      </c>
      <c r="U25" s="494">
        <v>6602</v>
      </c>
      <c r="V25" s="493">
        <v>2024</v>
      </c>
      <c r="W25" s="495"/>
      <c r="X25" s="496">
        <f t="shared" si="1"/>
        <v>3.4119963647379583</v>
      </c>
      <c r="Y25" s="497" t="str">
        <f t="shared" si="0"/>
        <v/>
      </c>
      <c r="Z25" s="497" t="str">
        <f t="shared" si="0"/>
        <v/>
      </c>
    </row>
    <row r="26" spans="1:26" s="82" customFormat="1" ht="32" x14ac:dyDescent="0.4">
      <c r="A26" s="493">
        <v>552</v>
      </c>
      <c r="B26" s="105" t="s">
        <v>329</v>
      </c>
      <c r="C26" s="493" t="s">
        <v>330</v>
      </c>
      <c r="D26" s="105" t="s">
        <v>364</v>
      </c>
      <c r="E26" s="105" t="s">
        <v>341</v>
      </c>
      <c r="F26" s="493">
        <v>54895</v>
      </c>
      <c r="G26" s="105" t="s">
        <v>37</v>
      </c>
      <c r="H26" s="105" t="s">
        <v>342</v>
      </c>
      <c r="I26" s="105" t="s">
        <v>334</v>
      </c>
      <c r="J26" s="493">
        <v>22</v>
      </c>
      <c r="K26" s="493">
        <v>2</v>
      </c>
      <c r="L26" s="105" t="s">
        <v>343</v>
      </c>
      <c r="M26" s="105" t="s">
        <v>336</v>
      </c>
      <c r="N26" s="105" t="s">
        <v>337</v>
      </c>
      <c r="O26" s="105" t="s">
        <v>338</v>
      </c>
      <c r="P26" s="105" t="s">
        <v>339</v>
      </c>
      <c r="Q26" s="494">
        <v>0</v>
      </c>
      <c r="R26" s="494">
        <v>0</v>
      </c>
      <c r="S26" s="494">
        <v>397939</v>
      </c>
      <c r="T26" s="494">
        <v>397939</v>
      </c>
      <c r="U26" s="494">
        <v>116629</v>
      </c>
      <c r="V26" s="493">
        <v>2024</v>
      </c>
      <c r="W26" s="495"/>
      <c r="X26" s="496">
        <f t="shared" si="1"/>
        <v>3.4120073052156839</v>
      </c>
      <c r="Y26" s="497" t="str">
        <f t="shared" si="0"/>
        <v/>
      </c>
      <c r="Z26" s="497" t="str">
        <f t="shared" si="0"/>
        <v/>
      </c>
    </row>
    <row r="27" spans="1:26" s="82" customFormat="1" ht="32" x14ac:dyDescent="0.4">
      <c r="A27" s="493">
        <v>553</v>
      </c>
      <c r="B27" s="105" t="s">
        <v>329</v>
      </c>
      <c r="C27" s="493" t="s">
        <v>330</v>
      </c>
      <c r="D27" s="105" t="s">
        <v>365</v>
      </c>
      <c r="E27" s="105" t="s">
        <v>341</v>
      </c>
      <c r="F27" s="493">
        <v>54895</v>
      </c>
      <c r="G27" s="105" t="s">
        <v>37</v>
      </c>
      <c r="H27" s="105" t="s">
        <v>342</v>
      </c>
      <c r="I27" s="105" t="s">
        <v>334</v>
      </c>
      <c r="J27" s="493">
        <v>22</v>
      </c>
      <c r="K27" s="493">
        <v>2</v>
      </c>
      <c r="L27" s="105" t="s">
        <v>343</v>
      </c>
      <c r="M27" s="105" t="s">
        <v>336</v>
      </c>
      <c r="N27" s="105" t="s">
        <v>337</v>
      </c>
      <c r="O27" s="105" t="s">
        <v>338</v>
      </c>
      <c r="P27" s="105" t="s">
        <v>339</v>
      </c>
      <c r="Q27" s="494">
        <v>0</v>
      </c>
      <c r="R27" s="494">
        <v>0</v>
      </c>
      <c r="S27" s="494">
        <v>326834</v>
      </c>
      <c r="T27" s="494">
        <v>326834</v>
      </c>
      <c r="U27" s="494">
        <v>95790</v>
      </c>
      <c r="V27" s="493">
        <v>2024</v>
      </c>
      <c r="W27" s="495"/>
      <c r="X27" s="496">
        <f t="shared" si="1"/>
        <v>3.4119845495354419</v>
      </c>
      <c r="Y27" s="497" t="str">
        <f t="shared" si="0"/>
        <v/>
      </c>
      <c r="Z27" s="497" t="str">
        <f t="shared" si="0"/>
        <v/>
      </c>
    </row>
    <row r="28" spans="1:26" s="82" customFormat="1" ht="32" x14ac:dyDescent="0.4">
      <c r="A28" s="493">
        <v>554</v>
      </c>
      <c r="B28" s="105" t="s">
        <v>329</v>
      </c>
      <c r="C28" s="493" t="s">
        <v>330</v>
      </c>
      <c r="D28" s="105" t="s">
        <v>366</v>
      </c>
      <c r="E28" s="105" t="s">
        <v>341</v>
      </c>
      <c r="F28" s="493">
        <v>54895</v>
      </c>
      <c r="G28" s="105" t="s">
        <v>37</v>
      </c>
      <c r="H28" s="105" t="s">
        <v>342</v>
      </c>
      <c r="I28" s="105" t="s">
        <v>334</v>
      </c>
      <c r="J28" s="493">
        <v>22</v>
      </c>
      <c r="K28" s="493">
        <v>2</v>
      </c>
      <c r="L28" s="105" t="s">
        <v>343</v>
      </c>
      <c r="M28" s="105" t="s">
        <v>336</v>
      </c>
      <c r="N28" s="105" t="s">
        <v>337</v>
      </c>
      <c r="O28" s="105" t="s">
        <v>338</v>
      </c>
      <c r="P28" s="105" t="s">
        <v>339</v>
      </c>
      <c r="Q28" s="494">
        <v>0</v>
      </c>
      <c r="R28" s="494">
        <v>0</v>
      </c>
      <c r="S28" s="494">
        <v>9980</v>
      </c>
      <c r="T28" s="494">
        <v>9980</v>
      </c>
      <c r="U28" s="494">
        <v>2925</v>
      </c>
      <c r="V28" s="493">
        <v>2024</v>
      </c>
      <c r="W28" s="495"/>
      <c r="X28" s="496">
        <f t="shared" si="1"/>
        <v>3.4119658119658118</v>
      </c>
      <c r="Y28" s="497" t="str">
        <f t="shared" ref="Y28:Z47" si="2">IF(AND($M28=$Y$2,$N28=$Y$3,NOT($Q28=$R28),NOT($U28=0)),IF($K28=5,$S28/($U28+(8/5)*$U28),IF($K28=7,$S28/($U28+(29/25)*$U28),"")),"")</f>
        <v/>
      </c>
      <c r="Z28" s="497" t="str">
        <f t="shared" si="2"/>
        <v/>
      </c>
    </row>
    <row r="29" spans="1:26" s="82" customFormat="1" ht="32" x14ac:dyDescent="0.4">
      <c r="A29" s="493">
        <v>557</v>
      </c>
      <c r="B29" s="105" t="s">
        <v>329</v>
      </c>
      <c r="C29" s="493" t="s">
        <v>330</v>
      </c>
      <c r="D29" s="105" t="s">
        <v>367</v>
      </c>
      <c r="E29" s="105" t="s">
        <v>341</v>
      </c>
      <c r="F29" s="493">
        <v>54895</v>
      </c>
      <c r="G29" s="105" t="s">
        <v>37</v>
      </c>
      <c r="H29" s="105" t="s">
        <v>342</v>
      </c>
      <c r="I29" s="105" t="s">
        <v>334</v>
      </c>
      <c r="J29" s="493">
        <v>22</v>
      </c>
      <c r="K29" s="493">
        <v>2</v>
      </c>
      <c r="L29" s="105" t="s">
        <v>343</v>
      </c>
      <c r="M29" s="105" t="s">
        <v>295</v>
      </c>
      <c r="N29" s="105" t="s">
        <v>226</v>
      </c>
      <c r="O29" s="105" t="s">
        <v>226</v>
      </c>
      <c r="P29" s="105" t="s">
        <v>350</v>
      </c>
      <c r="Q29" s="494">
        <v>0</v>
      </c>
      <c r="R29" s="494">
        <v>0</v>
      </c>
      <c r="S29" s="494">
        <v>0</v>
      </c>
      <c r="T29" s="494">
        <v>0</v>
      </c>
      <c r="U29" s="494">
        <v>0</v>
      </c>
      <c r="V29" s="493">
        <v>2024</v>
      </c>
      <c r="W29" s="495"/>
      <c r="X29" s="496" t="str">
        <f t="shared" si="1"/>
        <v/>
      </c>
      <c r="Y29" s="497" t="str">
        <f t="shared" si="2"/>
        <v/>
      </c>
      <c r="Z29" s="497" t="str">
        <f t="shared" si="2"/>
        <v/>
      </c>
    </row>
    <row r="30" spans="1:26" s="82" customFormat="1" ht="32" x14ac:dyDescent="0.4">
      <c r="A30" s="493">
        <v>557</v>
      </c>
      <c r="B30" s="105" t="s">
        <v>329</v>
      </c>
      <c r="C30" s="493" t="s">
        <v>330</v>
      </c>
      <c r="D30" s="105" t="s">
        <v>367</v>
      </c>
      <c r="E30" s="105" t="s">
        <v>341</v>
      </c>
      <c r="F30" s="493">
        <v>54895</v>
      </c>
      <c r="G30" s="105" t="s">
        <v>37</v>
      </c>
      <c r="H30" s="105" t="s">
        <v>342</v>
      </c>
      <c r="I30" s="105" t="s">
        <v>334</v>
      </c>
      <c r="J30" s="493">
        <v>22</v>
      </c>
      <c r="K30" s="493">
        <v>2</v>
      </c>
      <c r="L30" s="105" t="s">
        <v>343</v>
      </c>
      <c r="M30" s="105" t="s">
        <v>295</v>
      </c>
      <c r="N30" s="105" t="s">
        <v>240</v>
      </c>
      <c r="O30" s="105" t="s">
        <v>349</v>
      </c>
      <c r="P30" s="105" t="s">
        <v>350</v>
      </c>
      <c r="Q30" s="494">
        <v>0</v>
      </c>
      <c r="R30" s="494">
        <v>0</v>
      </c>
      <c r="S30" s="494">
        <v>0</v>
      </c>
      <c r="T30" s="494">
        <v>0</v>
      </c>
      <c r="U30" s="494">
        <v>0</v>
      </c>
      <c r="V30" s="493">
        <v>2024</v>
      </c>
      <c r="W30" s="495"/>
      <c r="X30" s="496" t="str">
        <f t="shared" si="1"/>
        <v/>
      </c>
      <c r="Y30" s="497" t="str">
        <f t="shared" si="2"/>
        <v/>
      </c>
      <c r="Z30" s="497" t="str">
        <f t="shared" si="2"/>
        <v/>
      </c>
    </row>
    <row r="31" spans="1:26" s="82" customFormat="1" ht="32" x14ac:dyDescent="0.4">
      <c r="A31" s="493">
        <v>557</v>
      </c>
      <c r="B31" s="105" t="s">
        <v>329</v>
      </c>
      <c r="C31" s="493" t="s">
        <v>330</v>
      </c>
      <c r="D31" s="105" t="s">
        <v>367</v>
      </c>
      <c r="E31" s="105" t="s">
        <v>341</v>
      </c>
      <c r="F31" s="493">
        <v>54895</v>
      </c>
      <c r="G31" s="105" t="s">
        <v>37</v>
      </c>
      <c r="H31" s="105" t="s">
        <v>342</v>
      </c>
      <c r="I31" s="105" t="s">
        <v>334</v>
      </c>
      <c r="J31" s="493">
        <v>22</v>
      </c>
      <c r="K31" s="493">
        <v>2</v>
      </c>
      <c r="L31" s="105" t="s">
        <v>343</v>
      </c>
      <c r="M31" s="105" t="s">
        <v>336</v>
      </c>
      <c r="N31" s="105" t="s">
        <v>337</v>
      </c>
      <c r="O31" s="105" t="s">
        <v>338</v>
      </c>
      <c r="P31" s="105" t="s">
        <v>339</v>
      </c>
      <c r="Q31" s="494">
        <v>0</v>
      </c>
      <c r="R31" s="494">
        <v>0</v>
      </c>
      <c r="S31" s="494">
        <v>26347</v>
      </c>
      <c r="T31" s="494">
        <v>26347</v>
      </c>
      <c r="U31" s="494">
        <v>7722</v>
      </c>
      <c r="V31" s="493">
        <v>2024</v>
      </c>
      <c r="W31" s="495"/>
      <c r="X31" s="496">
        <f t="shared" si="1"/>
        <v>3.4119399119399119</v>
      </c>
      <c r="Y31" s="497" t="str">
        <f t="shared" si="2"/>
        <v/>
      </c>
      <c r="Z31" s="497" t="str">
        <f t="shared" si="2"/>
        <v/>
      </c>
    </row>
    <row r="32" spans="1:26" s="82" customFormat="1" ht="32" x14ac:dyDescent="0.4">
      <c r="A32" s="493">
        <v>559</v>
      </c>
      <c r="B32" s="105" t="s">
        <v>329</v>
      </c>
      <c r="C32" s="493" t="s">
        <v>330</v>
      </c>
      <c r="D32" s="105" t="s">
        <v>368</v>
      </c>
      <c r="E32" s="105" t="s">
        <v>369</v>
      </c>
      <c r="F32" s="493">
        <v>6207</v>
      </c>
      <c r="G32" s="105" t="s">
        <v>37</v>
      </c>
      <c r="H32" s="105" t="s">
        <v>342</v>
      </c>
      <c r="I32" s="105" t="s">
        <v>334</v>
      </c>
      <c r="J32" s="493">
        <v>22</v>
      </c>
      <c r="K32" s="493">
        <v>1</v>
      </c>
      <c r="L32" s="105" t="s">
        <v>335</v>
      </c>
      <c r="M32" s="105" t="s">
        <v>336</v>
      </c>
      <c r="N32" s="105" t="s">
        <v>337</v>
      </c>
      <c r="O32" s="105" t="s">
        <v>338</v>
      </c>
      <c r="P32" s="105" t="s">
        <v>339</v>
      </c>
      <c r="Q32" s="494">
        <v>0</v>
      </c>
      <c r="R32" s="494">
        <v>0</v>
      </c>
      <c r="S32" s="494">
        <v>100254</v>
      </c>
      <c r="T32" s="494">
        <v>100254</v>
      </c>
      <c r="U32" s="494">
        <v>29383.03</v>
      </c>
      <c r="V32" s="493">
        <v>2024</v>
      </c>
      <c r="W32" s="495"/>
      <c r="X32" s="496">
        <f t="shared" si="1"/>
        <v>3.4119694258897058</v>
      </c>
      <c r="Y32" s="497" t="str">
        <f t="shared" si="2"/>
        <v/>
      </c>
      <c r="Z32" s="497" t="str">
        <f t="shared" si="2"/>
        <v/>
      </c>
    </row>
    <row r="33" spans="1:26" s="82" customFormat="1" ht="32" x14ac:dyDescent="0.4">
      <c r="A33" s="493">
        <v>560</v>
      </c>
      <c r="B33" s="105" t="s">
        <v>329</v>
      </c>
      <c r="C33" s="493" t="s">
        <v>330</v>
      </c>
      <c r="D33" s="105" t="s">
        <v>370</v>
      </c>
      <c r="E33" s="105" t="s">
        <v>341</v>
      </c>
      <c r="F33" s="493">
        <v>54895</v>
      </c>
      <c r="G33" s="105" t="s">
        <v>37</v>
      </c>
      <c r="H33" s="105" t="s">
        <v>342</v>
      </c>
      <c r="I33" s="105" t="s">
        <v>334</v>
      </c>
      <c r="J33" s="493">
        <v>22</v>
      </c>
      <c r="K33" s="493">
        <v>2</v>
      </c>
      <c r="L33" s="105" t="s">
        <v>343</v>
      </c>
      <c r="M33" s="105" t="s">
        <v>336</v>
      </c>
      <c r="N33" s="105" t="s">
        <v>337</v>
      </c>
      <c r="O33" s="105" t="s">
        <v>338</v>
      </c>
      <c r="P33" s="105" t="s">
        <v>339</v>
      </c>
      <c r="Q33" s="494">
        <v>0</v>
      </c>
      <c r="R33" s="494">
        <v>0</v>
      </c>
      <c r="S33" s="494">
        <v>102752</v>
      </c>
      <c r="T33" s="494">
        <v>102752</v>
      </c>
      <c r="U33" s="494">
        <v>30115</v>
      </c>
      <c r="V33" s="493">
        <v>2024</v>
      </c>
      <c r="W33" s="495"/>
      <c r="X33" s="496">
        <f t="shared" si="1"/>
        <v>3.41198738170347</v>
      </c>
      <c r="Y33" s="497" t="str">
        <f t="shared" si="2"/>
        <v/>
      </c>
      <c r="Z33" s="497" t="str">
        <f t="shared" si="2"/>
        <v/>
      </c>
    </row>
    <row r="34" spans="1:26" s="82" customFormat="1" ht="32" x14ac:dyDescent="0.4">
      <c r="A34" s="493">
        <v>561</v>
      </c>
      <c r="B34" s="105" t="s">
        <v>329</v>
      </c>
      <c r="C34" s="493" t="s">
        <v>330</v>
      </c>
      <c r="D34" s="105" t="s">
        <v>371</v>
      </c>
      <c r="E34" s="105" t="s">
        <v>348</v>
      </c>
      <c r="F34" s="493">
        <v>22379</v>
      </c>
      <c r="G34" s="105" t="s">
        <v>37</v>
      </c>
      <c r="H34" s="105" t="s">
        <v>342</v>
      </c>
      <c r="I34" s="105" t="s">
        <v>334</v>
      </c>
      <c r="J34" s="493">
        <v>22</v>
      </c>
      <c r="K34" s="493">
        <v>2</v>
      </c>
      <c r="L34" s="105" t="s">
        <v>343</v>
      </c>
      <c r="M34" s="105" t="s">
        <v>295</v>
      </c>
      <c r="N34" s="105" t="s">
        <v>240</v>
      </c>
      <c r="O34" s="105" t="s">
        <v>349</v>
      </c>
      <c r="P34" s="105" t="s">
        <v>350</v>
      </c>
      <c r="Q34" s="494">
        <v>0</v>
      </c>
      <c r="R34" s="494">
        <v>0</v>
      </c>
      <c r="S34" s="494">
        <v>0</v>
      </c>
      <c r="T34" s="494">
        <v>0</v>
      </c>
      <c r="U34" s="494">
        <v>0</v>
      </c>
      <c r="V34" s="493">
        <v>2024</v>
      </c>
      <c r="W34" s="495"/>
      <c r="X34" s="496" t="str">
        <f t="shared" si="1"/>
        <v/>
      </c>
      <c r="Y34" s="497" t="str">
        <f t="shared" si="2"/>
        <v/>
      </c>
      <c r="Z34" s="497" t="str">
        <f t="shared" si="2"/>
        <v/>
      </c>
    </row>
    <row r="35" spans="1:26" s="82" customFormat="1" ht="32" x14ac:dyDescent="0.4">
      <c r="A35" s="493">
        <v>561</v>
      </c>
      <c r="B35" s="105" t="s">
        <v>329</v>
      </c>
      <c r="C35" s="493" t="s">
        <v>330</v>
      </c>
      <c r="D35" s="105" t="s">
        <v>371</v>
      </c>
      <c r="E35" s="105" t="s">
        <v>348</v>
      </c>
      <c r="F35" s="493">
        <v>22379</v>
      </c>
      <c r="G35" s="105" t="s">
        <v>37</v>
      </c>
      <c r="H35" s="105" t="s">
        <v>342</v>
      </c>
      <c r="I35" s="105" t="s">
        <v>334</v>
      </c>
      <c r="J35" s="493">
        <v>22</v>
      </c>
      <c r="K35" s="493">
        <v>2</v>
      </c>
      <c r="L35" s="105" t="s">
        <v>343</v>
      </c>
      <c r="M35" s="105" t="s">
        <v>295</v>
      </c>
      <c r="N35" s="105" t="s">
        <v>242</v>
      </c>
      <c r="O35" s="105" t="s">
        <v>349</v>
      </c>
      <c r="P35" s="105" t="s">
        <v>350</v>
      </c>
      <c r="Q35" s="494">
        <v>302</v>
      </c>
      <c r="R35" s="494">
        <v>302</v>
      </c>
      <c r="S35" s="494">
        <v>1691</v>
      </c>
      <c r="T35" s="494">
        <v>1691</v>
      </c>
      <c r="U35" s="494">
        <v>118</v>
      </c>
      <c r="V35" s="493">
        <v>2024</v>
      </c>
      <c r="W35" s="495"/>
      <c r="X35" s="496">
        <f t="shared" si="1"/>
        <v>14.330508474576272</v>
      </c>
      <c r="Y35" s="497" t="str">
        <f t="shared" si="2"/>
        <v/>
      </c>
      <c r="Z35" s="497" t="str">
        <f t="shared" si="2"/>
        <v/>
      </c>
    </row>
    <row r="36" spans="1:26" s="82" customFormat="1" x14ac:dyDescent="0.4">
      <c r="A36" s="493">
        <v>562</v>
      </c>
      <c r="B36" s="105" t="s">
        <v>329</v>
      </c>
      <c r="C36" s="493" t="s">
        <v>330</v>
      </c>
      <c r="D36" s="105" t="s">
        <v>372</v>
      </c>
      <c r="E36" s="105" t="s">
        <v>373</v>
      </c>
      <c r="F36" s="493">
        <v>12490</v>
      </c>
      <c r="G36" s="105" t="s">
        <v>37</v>
      </c>
      <c r="H36" s="105" t="s">
        <v>342</v>
      </c>
      <c r="I36" s="105" t="s">
        <v>334</v>
      </c>
      <c r="J36" s="493">
        <v>22</v>
      </c>
      <c r="K36" s="493">
        <v>2</v>
      </c>
      <c r="L36" s="105" t="s">
        <v>343</v>
      </c>
      <c r="M36" s="105" t="s">
        <v>295</v>
      </c>
      <c r="N36" s="105" t="s">
        <v>226</v>
      </c>
      <c r="O36" s="105" t="s">
        <v>226</v>
      </c>
      <c r="P36" s="105" t="s">
        <v>350</v>
      </c>
      <c r="Q36" s="494">
        <v>586</v>
      </c>
      <c r="R36" s="494">
        <v>586</v>
      </c>
      <c r="S36" s="494">
        <v>3281</v>
      </c>
      <c r="T36" s="494">
        <v>3281</v>
      </c>
      <c r="U36" s="494">
        <v>-71</v>
      </c>
      <c r="V36" s="493">
        <v>2024</v>
      </c>
      <c r="W36" s="495" t="s">
        <v>355</v>
      </c>
      <c r="X36" s="496" t="str">
        <f t="shared" si="1"/>
        <v/>
      </c>
      <c r="Y36" s="497" t="str">
        <f t="shared" si="2"/>
        <v/>
      </c>
      <c r="Z36" s="497" t="str">
        <f t="shared" si="2"/>
        <v/>
      </c>
    </row>
    <row r="37" spans="1:26" s="82" customFormat="1" x14ac:dyDescent="0.4">
      <c r="A37" s="493">
        <v>562</v>
      </c>
      <c r="B37" s="105" t="s">
        <v>329</v>
      </c>
      <c r="C37" s="493" t="s">
        <v>330</v>
      </c>
      <c r="D37" s="105" t="s">
        <v>372</v>
      </c>
      <c r="E37" s="105" t="s">
        <v>373</v>
      </c>
      <c r="F37" s="493">
        <v>12490</v>
      </c>
      <c r="G37" s="105" t="s">
        <v>37</v>
      </c>
      <c r="H37" s="105" t="s">
        <v>342</v>
      </c>
      <c r="I37" s="105" t="s">
        <v>334</v>
      </c>
      <c r="J37" s="493">
        <v>22</v>
      </c>
      <c r="K37" s="493">
        <v>2</v>
      </c>
      <c r="L37" s="105" t="s">
        <v>343</v>
      </c>
      <c r="M37" s="105" t="s">
        <v>360</v>
      </c>
      <c r="N37" s="105" t="s">
        <v>226</v>
      </c>
      <c r="O37" s="105" t="s">
        <v>226</v>
      </c>
      <c r="P37" s="105" t="s">
        <v>350</v>
      </c>
      <c r="Q37" s="494">
        <v>160</v>
      </c>
      <c r="R37" s="494">
        <v>160</v>
      </c>
      <c r="S37" s="494">
        <v>895</v>
      </c>
      <c r="T37" s="494">
        <v>895</v>
      </c>
      <c r="U37" s="494">
        <v>-192.03399999999999</v>
      </c>
      <c r="V37" s="493">
        <v>2024</v>
      </c>
      <c r="W37" s="495" t="s">
        <v>355</v>
      </c>
      <c r="X37" s="496" t="str">
        <f t="shared" si="1"/>
        <v/>
      </c>
      <c r="Y37" s="497" t="str">
        <f t="shared" si="2"/>
        <v/>
      </c>
      <c r="Z37" s="497" t="str">
        <f t="shared" si="2"/>
        <v/>
      </c>
    </row>
    <row r="38" spans="1:26" s="82" customFormat="1" x14ac:dyDescent="0.4">
      <c r="A38" s="493">
        <v>562</v>
      </c>
      <c r="B38" s="105" t="s">
        <v>329</v>
      </c>
      <c r="C38" s="493" t="s">
        <v>330</v>
      </c>
      <c r="D38" s="105" t="s">
        <v>372</v>
      </c>
      <c r="E38" s="105" t="s">
        <v>373</v>
      </c>
      <c r="F38" s="493">
        <v>12490</v>
      </c>
      <c r="G38" s="105" t="s">
        <v>37</v>
      </c>
      <c r="H38" s="105" t="s">
        <v>342</v>
      </c>
      <c r="I38" s="105" t="s">
        <v>334</v>
      </c>
      <c r="J38" s="493">
        <v>22</v>
      </c>
      <c r="K38" s="493">
        <v>2</v>
      </c>
      <c r="L38" s="105" t="s">
        <v>343</v>
      </c>
      <c r="M38" s="105" t="s">
        <v>360</v>
      </c>
      <c r="N38" s="105" t="s">
        <v>228</v>
      </c>
      <c r="O38" s="105" t="s">
        <v>228</v>
      </c>
      <c r="P38" s="105" t="s">
        <v>356</v>
      </c>
      <c r="Q38" s="494">
        <v>217715</v>
      </c>
      <c r="R38" s="494">
        <v>217715</v>
      </c>
      <c r="S38" s="494">
        <v>224247</v>
      </c>
      <c r="T38" s="494">
        <v>224247</v>
      </c>
      <c r="U38" s="494">
        <v>11406.58</v>
      </c>
      <c r="V38" s="493">
        <v>2024</v>
      </c>
      <c r="W38" s="495" t="s">
        <v>355</v>
      </c>
      <c r="X38" s="496">
        <f t="shared" si="1"/>
        <v>19.65944218161798</v>
      </c>
      <c r="Y38" s="497" t="str">
        <f t="shared" si="2"/>
        <v/>
      </c>
      <c r="Z38" s="497" t="str">
        <f t="shared" si="2"/>
        <v/>
      </c>
    </row>
    <row r="39" spans="1:26" s="82" customFormat="1" x14ac:dyDescent="0.4">
      <c r="A39" s="493">
        <v>562</v>
      </c>
      <c r="B39" s="105" t="s">
        <v>329</v>
      </c>
      <c r="C39" s="493" t="s">
        <v>330</v>
      </c>
      <c r="D39" s="105" t="s">
        <v>372</v>
      </c>
      <c r="E39" s="105" t="s">
        <v>373</v>
      </c>
      <c r="F39" s="493">
        <v>12490</v>
      </c>
      <c r="G39" s="105" t="s">
        <v>37</v>
      </c>
      <c r="H39" s="105" t="s">
        <v>342</v>
      </c>
      <c r="I39" s="105" t="s">
        <v>334</v>
      </c>
      <c r="J39" s="493">
        <v>22</v>
      </c>
      <c r="K39" s="493">
        <v>2</v>
      </c>
      <c r="L39" s="105" t="s">
        <v>343</v>
      </c>
      <c r="M39" s="105" t="s">
        <v>360</v>
      </c>
      <c r="N39" s="105" t="s">
        <v>238</v>
      </c>
      <c r="O39" s="105" t="s">
        <v>238</v>
      </c>
      <c r="P39" s="105" t="s">
        <v>350</v>
      </c>
      <c r="Q39" s="494">
        <v>55761</v>
      </c>
      <c r="R39" s="494">
        <v>55761</v>
      </c>
      <c r="S39" s="494">
        <v>338020</v>
      </c>
      <c r="T39" s="494">
        <v>338020</v>
      </c>
      <c r="U39" s="494">
        <v>21809.454000000002</v>
      </c>
      <c r="V39" s="493">
        <v>2024</v>
      </c>
      <c r="W39" s="495" t="s">
        <v>355</v>
      </c>
      <c r="X39" s="496">
        <f t="shared" si="1"/>
        <v>15.498783234096551</v>
      </c>
      <c r="Y39" s="497" t="str">
        <f t="shared" si="2"/>
        <v/>
      </c>
      <c r="Z39" s="497" t="str">
        <f t="shared" si="2"/>
        <v/>
      </c>
    </row>
    <row r="40" spans="1:26" s="82" customFormat="1" ht="32" x14ac:dyDescent="0.4">
      <c r="A40" s="493">
        <v>565</v>
      </c>
      <c r="B40" s="105" t="s">
        <v>329</v>
      </c>
      <c r="C40" s="493" t="s">
        <v>330</v>
      </c>
      <c r="D40" s="105" t="s">
        <v>374</v>
      </c>
      <c r="E40" s="105" t="s">
        <v>348</v>
      </c>
      <c r="F40" s="493">
        <v>22379</v>
      </c>
      <c r="G40" s="105" t="s">
        <v>37</v>
      </c>
      <c r="H40" s="105" t="s">
        <v>342</v>
      </c>
      <c r="I40" s="105" t="s">
        <v>334</v>
      </c>
      <c r="J40" s="493">
        <v>22</v>
      </c>
      <c r="K40" s="493">
        <v>2</v>
      </c>
      <c r="L40" s="105" t="s">
        <v>343</v>
      </c>
      <c r="M40" s="105" t="s">
        <v>295</v>
      </c>
      <c r="N40" s="105" t="s">
        <v>240</v>
      </c>
      <c r="O40" s="105" t="s">
        <v>349</v>
      </c>
      <c r="P40" s="105" t="s">
        <v>350</v>
      </c>
      <c r="Q40" s="494">
        <v>0</v>
      </c>
      <c r="R40" s="494">
        <v>0</v>
      </c>
      <c r="S40" s="494">
        <v>0</v>
      </c>
      <c r="T40" s="494">
        <v>0</v>
      </c>
      <c r="U40" s="494">
        <v>0</v>
      </c>
      <c r="V40" s="493">
        <v>2024</v>
      </c>
      <c r="W40" s="495"/>
      <c r="X40" s="496" t="str">
        <f t="shared" si="1"/>
        <v/>
      </c>
      <c r="Y40" s="497" t="str">
        <f t="shared" si="2"/>
        <v/>
      </c>
      <c r="Z40" s="497" t="str">
        <f t="shared" si="2"/>
        <v/>
      </c>
    </row>
    <row r="41" spans="1:26" s="82" customFormat="1" ht="32" x14ac:dyDescent="0.4">
      <c r="A41" s="493">
        <v>565</v>
      </c>
      <c r="B41" s="105" t="s">
        <v>329</v>
      </c>
      <c r="C41" s="493" t="s">
        <v>330</v>
      </c>
      <c r="D41" s="105" t="s">
        <v>374</v>
      </c>
      <c r="E41" s="105" t="s">
        <v>348</v>
      </c>
      <c r="F41" s="493">
        <v>22379</v>
      </c>
      <c r="G41" s="105" t="s">
        <v>37</v>
      </c>
      <c r="H41" s="105" t="s">
        <v>342</v>
      </c>
      <c r="I41" s="105" t="s">
        <v>334</v>
      </c>
      <c r="J41" s="493">
        <v>22</v>
      </c>
      <c r="K41" s="493">
        <v>2</v>
      </c>
      <c r="L41" s="105" t="s">
        <v>343</v>
      </c>
      <c r="M41" s="105" t="s">
        <v>295</v>
      </c>
      <c r="N41" s="105" t="s">
        <v>242</v>
      </c>
      <c r="O41" s="105" t="s">
        <v>349</v>
      </c>
      <c r="P41" s="105" t="s">
        <v>350</v>
      </c>
      <c r="Q41" s="494">
        <v>376</v>
      </c>
      <c r="R41" s="494">
        <v>376</v>
      </c>
      <c r="S41" s="494">
        <v>2105</v>
      </c>
      <c r="T41" s="494">
        <v>2105</v>
      </c>
      <c r="U41" s="494">
        <v>146</v>
      </c>
      <c r="V41" s="493">
        <v>2024</v>
      </c>
      <c r="W41" s="495"/>
      <c r="X41" s="496">
        <f t="shared" si="1"/>
        <v>14.417808219178083</v>
      </c>
      <c r="Y41" s="497" t="str">
        <f t="shared" si="2"/>
        <v/>
      </c>
      <c r="Z41" s="497" t="str">
        <f t="shared" si="2"/>
        <v/>
      </c>
    </row>
    <row r="42" spans="1:26" s="82" customFormat="1" ht="32" x14ac:dyDescent="0.4">
      <c r="A42" s="493">
        <v>566</v>
      </c>
      <c r="B42" s="105" t="s">
        <v>329</v>
      </c>
      <c r="C42" s="493">
        <v>3</v>
      </c>
      <c r="D42" s="105" t="s">
        <v>375</v>
      </c>
      <c r="E42" s="105" t="s">
        <v>376</v>
      </c>
      <c r="F42" s="493">
        <v>5221</v>
      </c>
      <c r="G42" s="105" t="s">
        <v>37</v>
      </c>
      <c r="H42" s="105" t="s">
        <v>342</v>
      </c>
      <c r="I42" s="105" t="s">
        <v>334</v>
      </c>
      <c r="J42" s="493">
        <v>22</v>
      </c>
      <c r="K42" s="493">
        <v>2</v>
      </c>
      <c r="L42" s="105" t="s">
        <v>343</v>
      </c>
      <c r="M42" s="105" t="s">
        <v>360</v>
      </c>
      <c r="N42" s="105" t="s">
        <v>377</v>
      </c>
      <c r="O42" s="105" t="s">
        <v>377</v>
      </c>
      <c r="P42" s="105" t="s">
        <v>339</v>
      </c>
      <c r="Q42" s="494">
        <v>0</v>
      </c>
      <c r="R42" s="494">
        <v>0</v>
      </c>
      <c r="S42" s="494">
        <v>105615734</v>
      </c>
      <c r="T42" s="494">
        <v>105615734</v>
      </c>
      <c r="U42" s="494">
        <v>10113929</v>
      </c>
      <c r="V42" s="493">
        <v>2024</v>
      </c>
      <c r="W42" s="495"/>
      <c r="X42" s="496">
        <f t="shared" si="1"/>
        <v>10.442601881029617</v>
      </c>
      <c r="Y42" s="497" t="str">
        <f t="shared" si="2"/>
        <v/>
      </c>
      <c r="Z42" s="497" t="str">
        <f t="shared" si="2"/>
        <v/>
      </c>
    </row>
    <row r="43" spans="1:26" s="82" customFormat="1" ht="32" x14ac:dyDescent="0.4">
      <c r="A43" s="493">
        <v>566</v>
      </c>
      <c r="B43" s="105" t="s">
        <v>329</v>
      </c>
      <c r="C43" s="493">
        <v>2</v>
      </c>
      <c r="D43" s="105" t="s">
        <v>375</v>
      </c>
      <c r="E43" s="105" t="s">
        <v>376</v>
      </c>
      <c r="F43" s="493">
        <v>5221</v>
      </c>
      <c r="G43" s="105" t="s">
        <v>37</v>
      </c>
      <c r="H43" s="105" t="s">
        <v>342</v>
      </c>
      <c r="I43" s="105" t="s">
        <v>334</v>
      </c>
      <c r="J43" s="493">
        <v>22</v>
      </c>
      <c r="K43" s="493">
        <v>2</v>
      </c>
      <c r="L43" s="105" t="s">
        <v>343</v>
      </c>
      <c r="M43" s="105" t="s">
        <v>360</v>
      </c>
      <c r="N43" s="105" t="s">
        <v>377</v>
      </c>
      <c r="O43" s="105" t="s">
        <v>377</v>
      </c>
      <c r="P43" s="105" t="s">
        <v>339</v>
      </c>
      <c r="Q43" s="494">
        <v>0</v>
      </c>
      <c r="R43" s="494">
        <v>0</v>
      </c>
      <c r="S43" s="494">
        <v>70554144</v>
      </c>
      <c r="T43" s="494">
        <v>70554144</v>
      </c>
      <c r="U43" s="494">
        <v>6756376</v>
      </c>
      <c r="V43" s="493">
        <v>2024</v>
      </c>
      <c r="W43" s="495"/>
      <c r="X43" s="496">
        <f t="shared" si="1"/>
        <v>10.44260177349514</v>
      </c>
      <c r="Y43" s="497" t="str">
        <f t="shared" si="2"/>
        <v/>
      </c>
      <c r="Z43" s="497" t="str">
        <f t="shared" si="2"/>
        <v/>
      </c>
    </row>
    <row r="44" spans="1:26" s="82" customFormat="1" ht="32" x14ac:dyDescent="0.4">
      <c r="A44" s="493">
        <v>568</v>
      </c>
      <c r="B44" s="105" t="s">
        <v>329</v>
      </c>
      <c r="C44" s="493" t="s">
        <v>330</v>
      </c>
      <c r="D44" s="105" t="s">
        <v>378</v>
      </c>
      <c r="E44" s="105" t="s">
        <v>379</v>
      </c>
      <c r="F44" s="493">
        <v>65448</v>
      </c>
      <c r="G44" s="105" t="s">
        <v>37</v>
      </c>
      <c r="H44" s="105" t="s">
        <v>342</v>
      </c>
      <c r="I44" s="105" t="s">
        <v>334</v>
      </c>
      <c r="J44" s="493">
        <v>22</v>
      </c>
      <c r="K44" s="493">
        <v>2</v>
      </c>
      <c r="L44" s="105" t="s">
        <v>343</v>
      </c>
      <c r="M44" s="105" t="s">
        <v>380</v>
      </c>
      <c r="N44" s="105" t="s">
        <v>226</v>
      </c>
      <c r="O44" s="105" t="s">
        <v>226</v>
      </c>
      <c r="P44" s="105" t="s">
        <v>350</v>
      </c>
      <c r="Q44" s="494">
        <v>0</v>
      </c>
      <c r="R44" s="494">
        <v>0</v>
      </c>
      <c r="S44" s="494">
        <v>0</v>
      </c>
      <c r="T44" s="494">
        <v>0</v>
      </c>
      <c r="U44" s="494">
        <v>0</v>
      </c>
      <c r="V44" s="493">
        <v>2024</v>
      </c>
      <c r="W44" s="495" t="s">
        <v>355</v>
      </c>
      <c r="X44" s="496" t="str">
        <f t="shared" si="1"/>
        <v/>
      </c>
      <c r="Y44" s="497" t="str">
        <f t="shared" si="2"/>
        <v/>
      </c>
      <c r="Z44" s="497" t="str">
        <f t="shared" si="2"/>
        <v/>
      </c>
    </row>
    <row r="45" spans="1:26" s="82" customFormat="1" ht="32" x14ac:dyDescent="0.4">
      <c r="A45" s="493">
        <v>568</v>
      </c>
      <c r="B45" s="105" t="s">
        <v>329</v>
      </c>
      <c r="C45" s="493" t="s">
        <v>330</v>
      </c>
      <c r="D45" s="105" t="s">
        <v>378</v>
      </c>
      <c r="E45" s="105" t="s">
        <v>379</v>
      </c>
      <c r="F45" s="493">
        <v>65448</v>
      </c>
      <c r="G45" s="105" t="s">
        <v>37</v>
      </c>
      <c r="H45" s="105" t="s">
        <v>342</v>
      </c>
      <c r="I45" s="105" t="s">
        <v>334</v>
      </c>
      <c r="J45" s="493">
        <v>22</v>
      </c>
      <c r="K45" s="493">
        <v>2</v>
      </c>
      <c r="L45" s="105" t="s">
        <v>343</v>
      </c>
      <c r="M45" s="105" t="s">
        <v>380</v>
      </c>
      <c r="N45" s="105" t="s">
        <v>228</v>
      </c>
      <c r="O45" s="105" t="s">
        <v>228</v>
      </c>
      <c r="P45" s="105" t="s">
        <v>356</v>
      </c>
      <c r="Q45" s="494">
        <v>0</v>
      </c>
      <c r="R45" s="494">
        <v>0</v>
      </c>
      <c r="S45" s="494">
        <v>0</v>
      </c>
      <c r="T45" s="494">
        <v>0</v>
      </c>
      <c r="U45" s="494">
        <v>0</v>
      </c>
      <c r="V45" s="493">
        <v>2024</v>
      </c>
      <c r="W45" s="495" t="s">
        <v>355</v>
      </c>
      <c r="X45" s="496" t="str">
        <f t="shared" si="1"/>
        <v/>
      </c>
      <c r="Y45" s="497" t="str">
        <f t="shared" si="2"/>
        <v/>
      </c>
      <c r="Z45" s="497" t="str">
        <f t="shared" si="2"/>
        <v/>
      </c>
    </row>
    <row r="46" spans="1:26" s="82" customFormat="1" ht="32" x14ac:dyDescent="0.4">
      <c r="A46" s="493">
        <v>568</v>
      </c>
      <c r="B46" s="105" t="s">
        <v>329</v>
      </c>
      <c r="C46" s="493" t="s">
        <v>330</v>
      </c>
      <c r="D46" s="105" t="s">
        <v>378</v>
      </c>
      <c r="E46" s="105" t="s">
        <v>379</v>
      </c>
      <c r="F46" s="493">
        <v>65448</v>
      </c>
      <c r="G46" s="105" t="s">
        <v>37</v>
      </c>
      <c r="H46" s="105" t="s">
        <v>342</v>
      </c>
      <c r="I46" s="105" t="s">
        <v>334</v>
      </c>
      <c r="J46" s="493">
        <v>22</v>
      </c>
      <c r="K46" s="493">
        <v>2</v>
      </c>
      <c r="L46" s="105" t="s">
        <v>343</v>
      </c>
      <c r="M46" s="105" t="s">
        <v>37</v>
      </c>
      <c r="N46" s="105" t="s">
        <v>226</v>
      </c>
      <c r="O46" s="105" t="s">
        <v>226</v>
      </c>
      <c r="P46" s="105" t="s">
        <v>350</v>
      </c>
      <c r="Q46" s="494">
        <v>1886</v>
      </c>
      <c r="R46" s="494">
        <v>1886</v>
      </c>
      <c r="S46" s="494">
        <v>10995</v>
      </c>
      <c r="T46" s="494">
        <v>10995</v>
      </c>
      <c r="U46" s="494">
        <v>1681.3520000000001</v>
      </c>
      <c r="V46" s="493">
        <v>2024</v>
      </c>
      <c r="W46" s="495" t="s">
        <v>355</v>
      </c>
      <c r="X46" s="496">
        <f t="shared" si="1"/>
        <v>6.539380213066627</v>
      </c>
      <c r="Y46" s="497" t="str">
        <f t="shared" si="2"/>
        <v/>
      </c>
      <c r="Z46" s="497" t="str">
        <f t="shared" si="2"/>
        <v/>
      </c>
    </row>
    <row r="47" spans="1:26" s="82" customFormat="1" ht="32" x14ac:dyDescent="0.4">
      <c r="A47" s="493">
        <v>568</v>
      </c>
      <c r="B47" s="105" t="s">
        <v>329</v>
      </c>
      <c r="C47" s="493" t="s">
        <v>330</v>
      </c>
      <c r="D47" s="105" t="s">
        <v>378</v>
      </c>
      <c r="E47" s="105" t="s">
        <v>379</v>
      </c>
      <c r="F47" s="493">
        <v>65448</v>
      </c>
      <c r="G47" s="105" t="s">
        <v>37</v>
      </c>
      <c r="H47" s="105" t="s">
        <v>342</v>
      </c>
      <c r="I47" s="105" t="s">
        <v>334</v>
      </c>
      <c r="J47" s="493">
        <v>22</v>
      </c>
      <c r="K47" s="493">
        <v>2</v>
      </c>
      <c r="L47" s="105" t="s">
        <v>343</v>
      </c>
      <c r="M47" s="105" t="s">
        <v>37</v>
      </c>
      <c r="N47" s="105" t="s">
        <v>228</v>
      </c>
      <c r="O47" s="105" t="s">
        <v>228</v>
      </c>
      <c r="P47" s="105" t="s">
        <v>356</v>
      </c>
      <c r="Q47" s="494">
        <v>22104242</v>
      </c>
      <c r="R47" s="494">
        <v>22104242</v>
      </c>
      <c r="S47" s="494">
        <v>22767370</v>
      </c>
      <c r="T47" s="494">
        <v>22767370</v>
      </c>
      <c r="U47" s="494">
        <v>3483317.6</v>
      </c>
      <c r="V47" s="493">
        <v>2024</v>
      </c>
      <c r="W47" s="495" t="s">
        <v>355</v>
      </c>
      <c r="X47" s="496">
        <f t="shared" si="1"/>
        <v>6.5361166033209255</v>
      </c>
      <c r="Y47" s="497" t="str">
        <f t="shared" si="2"/>
        <v/>
      </c>
      <c r="Z47" s="497" t="str">
        <f t="shared" si="2"/>
        <v/>
      </c>
    </row>
    <row r="48" spans="1:26" s="82" customFormat="1" ht="32" x14ac:dyDescent="0.4">
      <c r="A48" s="493">
        <v>568</v>
      </c>
      <c r="B48" s="105" t="s">
        <v>329</v>
      </c>
      <c r="C48" s="493" t="s">
        <v>330</v>
      </c>
      <c r="D48" s="105" t="s">
        <v>378</v>
      </c>
      <c r="E48" s="105" t="s">
        <v>379</v>
      </c>
      <c r="F48" s="493">
        <v>65448</v>
      </c>
      <c r="G48" s="105" t="s">
        <v>37</v>
      </c>
      <c r="H48" s="105" t="s">
        <v>342</v>
      </c>
      <c r="I48" s="105" t="s">
        <v>334</v>
      </c>
      <c r="J48" s="493">
        <v>22</v>
      </c>
      <c r="K48" s="493">
        <v>2</v>
      </c>
      <c r="L48" s="105" t="s">
        <v>343</v>
      </c>
      <c r="M48" s="105" t="s">
        <v>295</v>
      </c>
      <c r="N48" s="105" t="s">
        <v>242</v>
      </c>
      <c r="O48" s="105" t="s">
        <v>349</v>
      </c>
      <c r="P48" s="105" t="s">
        <v>350</v>
      </c>
      <c r="Q48" s="494">
        <v>0</v>
      </c>
      <c r="R48" s="494">
        <v>0</v>
      </c>
      <c r="S48" s="494">
        <v>0</v>
      </c>
      <c r="T48" s="494">
        <v>0</v>
      </c>
      <c r="U48" s="494">
        <v>0</v>
      </c>
      <c r="V48" s="493">
        <v>2024</v>
      </c>
      <c r="W48" s="495"/>
      <c r="X48" s="496" t="str">
        <f t="shared" si="1"/>
        <v/>
      </c>
      <c r="Y48" s="497" t="str">
        <f t="shared" ref="Y48:Z67" si="3">IF(AND($M48=$Y$2,$N48=$Y$3,NOT($Q48=$R48),NOT($U48=0)),IF($K48=5,$S48/($U48+(8/5)*$U48),IF($K48=7,$S48/($U48+(29/25)*$U48),"")),"")</f>
        <v/>
      </c>
      <c r="Z48" s="497" t="str">
        <f t="shared" si="3"/>
        <v/>
      </c>
    </row>
    <row r="49" spans="1:26" s="82" customFormat="1" ht="32" x14ac:dyDescent="0.4">
      <c r="A49" s="493">
        <v>579</v>
      </c>
      <c r="B49" s="105" t="s">
        <v>329</v>
      </c>
      <c r="C49" s="493" t="s">
        <v>330</v>
      </c>
      <c r="D49" s="105" t="s">
        <v>381</v>
      </c>
      <c r="E49" s="105" t="s">
        <v>382</v>
      </c>
      <c r="F49" s="493">
        <v>3249</v>
      </c>
      <c r="G49" s="105" t="s">
        <v>52</v>
      </c>
      <c r="H49" s="105" t="s">
        <v>333</v>
      </c>
      <c r="I49" s="105" t="s">
        <v>334</v>
      </c>
      <c r="J49" s="493">
        <v>22</v>
      </c>
      <c r="K49" s="493">
        <v>1</v>
      </c>
      <c r="L49" s="105" t="s">
        <v>335</v>
      </c>
      <c r="M49" s="105" t="s">
        <v>336</v>
      </c>
      <c r="N49" s="105" t="s">
        <v>337</v>
      </c>
      <c r="O49" s="105" t="s">
        <v>338</v>
      </c>
      <c r="P49" s="105" t="s">
        <v>339</v>
      </c>
      <c r="Q49" s="494">
        <v>0</v>
      </c>
      <c r="R49" s="494">
        <v>0</v>
      </c>
      <c r="S49" s="494">
        <v>16251</v>
      </c>
      <c r="T49" s="494">
        <v>16251</v>
      </c>
      <c r="U49" s="494">
        <v>4763</v>
      </c>
      <c r="V49" s="493">
        <v>2024</v>
      </c>
      <c r="W49" s="495"/>
      <c r="X49" s="496">
        <f t="shared" si="1"/>
        <v>3.4119252571908461</v>
      </c>
      <c r="Y49" s="497" t="str">
        <f t="shared" si="3"/>
        <v/>
      </c>
      <c r="Z49" s="497" t="str">
        <f t="shared" si="3"/>
        <v/>
      </c>
    </row>
    <row r="50" spans="1:26" s="82" customFormat="1" x14ac:dyDescent="0.4">
      <c r="A50" s="493">
        <v>583</v>
      </c>
      <c r="B50" s="105" t="s">
        <v>329</v>
      </c>
      <c r="C50" s="493" t="s">
        <v>330</v>
      </c>
      <c r="D50" s="105" t="s">
        <v>383</v>
      </c>
      <c r="E50" s="105" t="s">
        <v>384</v>
      </c>
      <c r="F50" s="493">
        <v>13831</v>
      </c>
      <c r="G50" s="105" t="s">
        <v>37</v>
      </c>
      <c r="H50" s="105" t="s">
        <v>342</v>
      </c>
      <c r="I50" s="105" t="s">
        <v>334</v>
      </c>
      <c r="J50" s="493">
        <v>22</v>
      </c>
      <c r="K50" s="493">
        <v>1</v>
      </c>
      <c r="L50" s="105" t="s">
        <v>335</v>
      </c>
      <c r="M50" s="105" t="s">
        <v>336</v>
      </c>
      <c r="N50" s="105" t="s">
        <v>337</v>
      </c>
      <c r="O50" s="105" t="s">
        <v>338</v>
      </c>
      <c r="P50" s="105" t="s">
        <v>339</v>
      </c>
      <c r="Q50" s="494">
        <v>0</v>
      </c>
      <c r="R50" s="494">
        <v>0</v>
      </c>
      <c r="S50" s="494">
        <v>7208</v>
      </c>
      <c r="T50" s="494">
        <v>7208</v>
      </c>
      <c r="U50" s="494">
        <v>2113</v>
      </c>
      <c r="V50" s="493">
        <v>2024</v>
      </c>
      <c r="W50" s="495"/>
      <c r="X50" s="496">
        <f t="shared" si="1"/>
        <v>3.4112636062470423</v>
      </c>
      <c r="Y50" s="497" t="str">
        <f t="shared" si="3"/>
        <v/>
      </c>
      <c r="Z50" s="497" t="str">
        <f t="shared" si="3"/>
        <v/>
      </c>
    </row>
    <row r="51" spans="1:26" s="82" customFormat="1" ht="32" x14ac:dyDescent="0.4">
      <c r="A51" s="493">
        <v>589</v>
      </c>
      <c r="B51" s="105" t="s">
        <v>329</v>
      </c>
      <c r="C51" s="493" t="s">
        <v>330</v>
      </c>
      <c r="D51" s="105" t="s">
        <v>385</v>
      </c>
      <c r="E51" s="105" t="s">
        <v>386</v>
      </c>
      <c r="F51" s="493">
        <v>2548</v>
      </c>
      <c r="G51" s="105" t="s">
        <v>36</v>
      </c>
      <c r="H51" s="105" t="s">
        <v>342</v>
      </c>
      <c r="I51" s="105" t="s">
        <v>334</v>
      </c>
      <c r="J51" s="493">
        <v>22</v>
      </c>
      <c r="K51" s="493">
        <v>1</v>
      </c>
      <c r="L51" s="105" t="s">
        <v>335</v>
      </c>
      <c r="M51" s="105" t="s">
        <v>360</v>
      </c>
      <c r="N51" s="105" t="s">
        <v>226</v>
      </c>
      <c r="O51" s="105" t="s">
        <v>226</v>
      </c>
      <c r="P51" s="105" t="s">
        <v>350</v>
      </c>
      <c r="Q51" s="494">
        <v>0</v>
      </c>
      <c r="R51" s="494">
        <v>0</v>
      </c>
      <c r="S51" s="494">
        <v>0</v>
      </c>
      <c r="T51" s="494">
        <v>0</v>
      </c>
      <c r="U51" s="494">
        <v>0</v>
      </c>
      <c r="V51" s="493">
        <v>2024</v>
      </c>
      <c r="W51" s="495"/>
      <c r="X51" s="496" t="str">
        <f t="shared" si="1"/>
        <v/>
      </c>
      <c r="Y51" s="497" t="str">
        <f t="shared" si="3"/>
        <v/>
      </c>
      <c r="Z51" s="497" t="str">
        <f t="shared" si="3"/>
        <v/>
      </c>
    </row>
    <row r="52" spans="1:26" s="82" customFormat="1" ht="32" x14ac:dyDescent="0.4">
      <c r="A52" s="493">
        <v>589</v>
      </c>
      <c r="B52" s="105" t="s">
        <v>329</v>
      </c>
      <c r="C52" s="493" t="s">
        <v>330</v>
      </c>
      <c r="D52" s="105" t="s">
        <v>385</v>
      </c>
      <c r="E52" s="105" t="s">
        <v>386</v>
      </c>
      <c r="F52" s="493">
        <v>2548</v>
      </c>
      <c r="G52" s="105" t="s">
        <v>36</v>
      </c>
      <c r="H52" s="105" t="s">
        <v>342</v>
      </c>
      <c r="I52" s="105" t="s">
        <v>334</v>
      </c>
      <c r="J52" s="493">
        <v>22</v>
      </c>
      <c r="K52" s="493">
        <v>1</v>
      </c>
      <c r="L52" s="105" t="s">
        <v>335</v>
      </c>
      <c r="M52" s="105" t="s">
        <v>360</v>
      </c>
      <c r="N52" s="105" t="s">
        <v>228</v>
      </c>
      <c r="O52" s="105" t="s">
        <v>228</v>
      </c>
      <c r="P52" s="105" t="s">
        <v>356</v>
      </c>
      <c r="Q52" s="494">
        <v>7535</v>
      </c>
      <c r="R52" s="494">
        <v>7535</v>
      </c>
      <c r="S52" s="494">
        <v>7859</v>
      </c>
      <c r="T52" s="494">
        <v>7859</v>
      </c>
      <c r="U52" s="494">
        <v>510.24400000000003</v>
      </c>
      <c r="V52" s="493">
        <v>2024</v>
      </c>
      <c r="W52" s="495"/>
      <c r="X52" s="496">
        <f t="shared" si="1"/>
        <v>15.402434913492367</v>
      </c>
      <c r="Y52" s="497" t="str">
        <f t="shared" si="3"/>
        <v/>
      </c>
      <c r="Z52" s="497" t="str">
        <f t="shared" si="3"/>
        <v/>
      </c>
    </row>
    <row r="53" spans="1:26" s="82" customFormat="1" ht="32" x14ac:dyDescent="0.4">
      <c r="A53" s="493">
        <v>589</v>
      </c>
      <c r="B53" s="105" t="s">
        <v>329</v>
      </c>
      <c r="C53" s="493" t="s">
        <v>330</v>
      </c>
      <c r="D53" s="105" t="s">
        <v>385</v>
      </c>
      <c r="E53" s="105" t="s">
        <v>386</v>
      </c>
      <c r="F53" s="493">
        <v>2548</v>
      </c>
      <c r="G53" s="105" t="s">
        <v>36</v>
      </c>
      <c r="H53" s="105" t="s">
        <v>342</v>
      </c>
      <c r="I53" s="105" t="s">
        <v>334</v>
      </c>
      <c r="J53" s="493">
        <v>22</v>
      </c>
      <c r="K53" s="493">
        <v>1</v>
      </c>
      <c r="L53" s="105" t="s">
        <v>335</v>
      </c>
      <c r="M53" s="105" t="s">
        <v>360</v>
      </c>
      <c r="N53" s="105" t="s">
        <v>258</v>
      </c>
      <c r="O53" s="105" t="s">
        <v>387</v>
      </c>
      <c r="P53" s="105" t="s">
        <v>388</v>
      </c>
      <c r="Q53" s="494">
        <v>308354</v>
      </c>
      <c r="R53" s="494">
        <v>308354</v>
      </c>
      <c r="S53" s="494">
        <v>2929366</v>
      </c>
      <c r="T53" s="494">
        <v>2929366</v>
      </c>
      <c r="U53" s="494">
        <v>196523.76</v>
      </c>
      <c r="V53" s="493">
        <v>2024</v>
      </c>
      <c r="W53" s="495"/>
      <c r="X53" s="496">
        <f t="shared" si="1"/>
        <v>14.905912648933645</v>
      </c>
      <c r="Y53" s="497" t="str">
        <f t="shared" si="3"/>
        <v/>
      </c>
      <c r="Z53" s="497" t="str">
        <f t="shared" si="3"/>
        <v/>
      </c>
    </row>
    <row r="54" spans="1:26" s="82" customFormat="1" ht="32" x14ac:dyDescent="0.4">
      <c r="A54" s="493">
        <v>625</v>
      </c>
      <c r="B54" s="105" t="s">
        <v>329</v>
      </c>
      <c r="C54" s="493" t="s">
        <v>330</v>
      </c>
      <c r="D54" s="105" t="s">
        <v>389</v>
      </c>
      <c r="E54" s="105" t="s">
        <v>390</v>
      </c>
      <c r="F54" s="493">
        <v>13511</v>
      </c>
      <c r="G54" s="105" t="s">
        <v>52</v>
      </c>
      <c r="H54" s="105" t="s">
        <v>333</v>
      </c>
      <c r="I54" s="105" t="s">
        <v>334</v>
      </c>
      <c r="J54" s="493">
        <v>22</v>
      </c>
      <c r="K54" s="493">
        <v>1</v>
      </c>
      <c r="L54" s="105" t="s">
        <v>335</v>
      </c>
      <c r="M54" s="105" t="s">
        <v>336</v>
      </c>
      <c r="N54" s="105" t="s">
        <v>337</v>
      </c>
      <c r="O54" s="105" t="s">
        <v>338</v>
      </c>
      <c r="P54" s="105" t="s">
        <v>339</v>
      </c>
      <c r="Q54" s="494">
        <v>0</v>
      </c>
      <c r="R54" s="494">
        <v>0</v>
      </c>
      <c r="S54" s="494">
        <v>268624</v>
      </c>
      <c r="T54" s="494">
        <v>268624</v>
      </c>
      <c r="U54" s="494">
        <v>78729</v>
      </c>
      <c r="V54" s="493">
        <v>2024</v>
      </c>
      <c r="W54" s="495"/>
      <c r="X54" s="496">
        <f t="shared" si="1"/>
        <v>3.4120082815734989</v>
      </c>
      <c r="Y54" s="497" t="str">
        <f t="shared" si="3"/>
        <v/>
      </c>
      <c r="Z54" s="497" t="str">
        <f t="shared" si="3"/>
        <v/>
      </c>
    </row>
    <row r="55" spans="1:26" s="82" customFormat="1" ht="32" x14ac:dyDescent="0.4">
      <c r="A55" s="493">
        <v>678</v>
      </c>
      <c r="B55" s="105" t="s">
        <v>329</v>
      </c>
      <c r="C55" s="493" t="s">
        <v>330</v>
      </c>
      <c r="D55" s="105" t="s">
        <v>391</v>
      </c>
      <c r="E55" s="105" t="s">
        <v>392</v>
      </c>
      <c r="F55" s="493">
        <v>12989</v>
      </c>
      <c r="G55" s="105" t="s">
        <v>36</v>
      </c>
      <c r="H55" s="105" t="s">
        <v>342</v>
      </c>
      <c r="I55" s="105" t="s">
        <v>334</v>
      </c>
      <c r="J55" s="493">
        <v>22</v>
      </c>
      <c r="K55" s="493">
        <v>1</v>
      </c>
      <c r="L55" s="105" t="s">
        <v>335</v>
      </c>
      <c r="M55" s="105" t="s">
        <v>336</v>
      </c>
      <c r="N55" s="105" t="s">
        <v>337</v>
      </c>
      <c r="O55" s="105" t="s">
        <v>338</v>
      </c>
      <c r="P55" s="105" t="s">
        <v>339</v>
      </c>
      <c r="Q55" s="494">
        <v>0</v>
      </c>
      <c r="R55" s="494">
        <v>0</v>
      </c>
      <c r="S55" s="494">
        <v>1869</v>
      </c>
      <c r="T55" s="494">
        <v>1869</v>
      </c>
      <c r="U55" s="494">
        <v>548</v>
      </c>
      <c r="V55" s="493">
        <v>2024</v>
      </c>
      <c r="W55" s="495"/>
      <c r="X55" s="496">
        <f t="shared" si="1"/>
        <v>3.4105839416058394</v>
      </c>
      <c r="Y55" s="497" t="str">
        <f t="shared" si="3"/>
        <v/>
      </c>
      <c r="Z55" s="497" t="str">
        <f t="shared" si="3"/>
        <v/>
      </c>
    </row>
    <row r="56" spans="1:26" s="82" customFormat="1" ht="32" x14ac:dyDescent="0.4">
      <c r="A56" s="493">
        <v>788</v>
      </c>
      <c r="B56" s="105" t="s">
        <v>329</v>
      </c>
      <c r="C56" s="493" t="s">
        <v>330</v>
      </c>
      <c r="D56" s="105" t="s">
        <v>393</v>
      </c>
      <c r="E56" s="105" t="s">
        <v>394</v>
      </c>
      <c r="F56" s="493">
        <v>7601</v>
      </c>
      <c r="G56" s="105" t="s">
        <v>36</v>
      </c>
      <c r="H56" s="105" t="s">
        <v>342</v>
      </c>
      <c r="I56" s="105" t="s">
        <v>334</v>
      </c>
      <c r="J56" s="493">
        <v>22</v>
      </c>
      <c r="K56" s="493">
        <v>1</v>
      </c>
      <c r="L56" s="105" t="s">
        <v>335</v>
      </c>
      <c r="M56" s="105" t="s">
        <v>336</v>
      </c>
      <c r="N56" s="105" t="s">
        <v>337</v>
      </c>
      <c r="O56" s="105" t="s">
        <v>338</v>
      </c>
      <c r="P56" s="105" t="s">
        <v>339</v>
      </c>
      <c r="Q56" s="494">
        <v>0</v>
      </c>
      <c r="R56" s="494">
        <v>0</v>
      </c>
      <c r="S56" s="494">
        <v>208</v>
      </c>
      <c r="T56" s="494">
        <v>208</v>
      </c>
      <c r="U56" s="494">
        <v>-176</v>
      </c>
      <c r="V56" s="493">
        <v>2024</v>
      </c>
      <c r="W56" s="495"/>
      <c r="X56" s="496" t="str">
        <f t="shared" si="1"/>
        <v/>
      </c>
      <c r="Y56" s="497" t="str">
        <f t="shared" si="3"/>
        <v/>
      </c>
      <c r="Z56" s="497" t="str">
        <f t="shared" si="3"/>
        <v/>
      </c>
    </row>
    <row r="57" spans="1:26" s="82" customFormat="1" ht="32" x14ac:dyDescent="0.4">
      <c r="A57" s="493">
        <v>805</v>
      </c>
      <c r="B57" s="105" t="s">
        <v>329</v>
      </c>
      <c r="C57" s="493" t="s">
        <v>330</v>
      </c>
      <c r="D57" s="105" t="s">
        <v>395</v>
      </c>
      <c r="E57" s="105" t="s">
        <v>396</v>
      </c>
      <c r="F57" s="493">
        <v>39006</v>
      </c>
      <c r="G57" s="105" t="s">
        <v>34</v>
      </c>
      <c r="H57" s="105" t="s">
        <v>342</v>
      </c>
      <c r="I57" s="105" t="s">
        <v>334</v>
      </c>
      <c r="J57" s="493">
        <v>22</v>
      </c>
      <c r="K57" s="493">
        <v>2</v>
      </c>
      <c r="L57" s="105" t="s">
        <v>343</v>
      </c>
      <c r="M57" s="105" t="s">
        <v>336</v>
      </c>
      <c r="N57" s="105" t="s">
        <v>337</v>
      </c>
      <c r="O57" s="105" t="s">
        <v>338</v>
      </c>
      <c r="P57" s="105" t="s">
        <v>339</v>
      </c>
      <c r="Q57" s="494">
        <v>0</v>
      </c>
      <c r="R57" s="494">
        <v>0</v>
      </c>
      <c r="S57" s="494">
        <v>480155</v>
      </c>
      <c r="T57" s="494">
        <v>480155</v>
      </c>
      <c r="U57" s="494">
        <v>140725</v>
      </c>
      <c r="V57" s="493">
        <v>2024</v>
      </c>
      <c r="W57" s="495"/>
      <c r="X57" s="496">
        <f t="shared" si="1"/>
        <v>3.4120092378752886</v>
      </c>
      <c r="Y57" s="497" t="str">
        <f t="shared" si="3"/>
        <v/>
      </c>
      <c r="Z57" s="497" t="str">
        <f t="shared" si="3"/>
        <v/>
      </c>
    </row>
    <row r="58" spans="1:26" s="82" customFormat="1" ht="32" x14ac:dyDescent="0.4">
      <c r="A58" s="493">
        <v>808</v>
      </c>
      <c r="B58" s="105" t="s">
        <v>329</v>
      </c>
      <c r="C58" s="493" t="s">
        <v>330</v>
      </c>
      <c r="D58" s="105" t="s">
        <v>397</v>
      </c>
      <c r="E58" s="105" t="s">
        <v>332</v>
      </c>
      <c r="F58" s="493">
        <v>15296</v>
      </c>
      <c r="G58" s="105" t="s">
        <v>52</v>
      </c>
      <c r="H58" s="105" t="s">
        <v>333</v>
      </c>
      <c r="I58" s="105" t="s">
        <v>334</v>
      </c>
      <c r="J58" s="493">
        <v>22</v>
      </c>
      <c r="K58" s="493">
        <v>1</v>
      </c>
      <c r="L58" s="105" t="s">
        <v>335</v>
      </c>
      <c r="M58" s="105" t="s">
        <v>336</v>
      </c>
      <c r="N58" s="105" t="s">
        <v>337</v>
      </c>
      <c r="O58" s="105" t="s">
        <v>338</v>
      </c>
      <c r="P58" s="105" t="s">
        <v>339</v>
      </c>
      <c r="Q58" s="494">
        <v>0</v>
      </c>
      <c r="R58" s="494">
        <v>0</v>
      </c>
      <c r="S58" s="494">
        <v>77706</v>
      </c>
      <c r="T58" s="494">
        <v>77706</v>
      </c>
      <c r="U58" s="494">
        <v>22774</v>
      </c>
      <c r="V58" s="493">
        <v>2024</v>
      </c>
      <c r="W58" s="495"/>
      <c r="X58" s="496">
        <f t="shared" si="1"/>
        <v>3.412048827610433</v>
      </c>
      <c r="Y58" s="497" t="str">
        <f t="shared" si="3"/>
        <v/>
      </c>
      <c r="Z58" s="497" t="str">
        <f t="shared" si="3"/>
        <v/>
      </c>
    </row>
    <row r="59" spans="1:26" s="82" customFormat="1" ht="32" x14ac:dyDescent="0.4">
      <c r="A59" s="493">
        <v>1469</v>
      </c>
      <c r="B59" s="105" t="s">
        <v>329</v>
      </c>
      <c r="C59" s="493" t="s">
        <v>330</v>
      </c>
      <c r="D59" s="105" t="s">
        <v>398</v>
      </c>
      <c r="E59" s="105" t="s">
        <v>399</v>
      </c>
      <c r="F59" s="493">
        <v>59178</v>
      </c>
      <c r="G59" s="105" t="s">
        <v>34</v>
      </c>
      <c r="H59" s="105" t="s">
        <v>342</v>
      </c>
      <c r="I59" s="105" t="s">
        <v>334</v>
      </c>
      <c r="J59" s="493">
        <v>22</v>
      </c>
      <c r="K59" s="493">
        <v>2</v>
      </c>
      <c r="L59" s="105" t="s">
        <v>343</v>
      </c>
      <c r="M59" s="105" t="s">
        <v>336</v>
      </c>
      <c r="N59" s="105" t="s">
        <v>337</v>
      </c>
      <c r="O59" s="105" t="s">
        <v>338</v>
      </c>
      <c r="P59" s="105" t="s">
        <v>339</v>
      </c>
      <c r="Q59" s="494">
        <v>0</v>
      </c>
      <c r="R59" s="494">
        <v>0</v>
      </c>
      <c r="S59" s="494">
        <v>74689</v>
      </c>
      <c r="T59" s="494">
        <v>74689</v>
      </c>
      <c r="U59" s="494">
        <v>21890</v>
      </c>
      <c r="V59" s="493">
        <v>2024</v>
      </c>
      <c r="W59" s="495"/>
      <c r="X59" s="496">
        <f t="shared" si="1"/>
        <v>3.4120146185472819</v>
      </c>
      <c r="Y59" s="497" t="str">
        <f t="shared" si="3"/>
        <v/>
      </c>
      <c r="Z59" s="497" t="str">
        <f t="shared" si="3"/>
        <v/>
      </c>
    </row>
    <row r="60" spans="1:26" s="82" customFormat="1" ht="32" x14ac:dyDescent="0.4">
      <c r="A60" s="493">
        <v>1475</v>
      </c>
      <c r="B60" s="105" t="s">
        <v>329</v>
      </c>
      <c r="C60" s="493" t="s">
        <v>330</v>
      </c>
      <c r="D60" s="105" t="s">
        <v>400</v>
      </c>
      <c r="E60" s="105" t="s">
        <v>399</v>
      </c>
      <c r="F60" s="493">
        <v>59178</v>
      </c>
      <c r="G60" s="105" t="s">
        <v>34</v>
      </c>
      <c r="H60" s="105" t="s">
        <v>342</v>
      </c>
      <c r="I60" s="105" t="s">
        <v>334</v>
      </c>
      <c r="J60" s="493">
        <v>22</v>
      </c>
      <c r="K60" s="493">
        <v>2</v>
      </c>
      <c r="L60" s="105" t="s">
        <v>343</v>
      </c>
      <c r="M60" s="105" t="s">
        <v>336</v>
      </c>
      <c r="N60" s="105" t="s">
        <v>337</v>
      </c>
      <c r="O60" s="105" t="s">
        <v>338</v>
      </c>
      <c r="P60" s="105" t="s">
        <v>339</v>
      </c>
      <c r="Q60" s="494">
        <v>0</v>
      </c>
      <c r="R60" s="494">
        <v>0</v>
      </c>
      <c r="S60" s="494">
        <v>126978</v>
      </c>
      <c r="T60" s="494">
        <v>126978</v>
      </c>
      <c r="U60" s="494">
        <v>37215</v>
      </c>
      <c r="V60" s="493">
        <v>2024</v>
      </c>
      <c r="W60" s="495"/>
      <c r="X60" s="496">
        <f t="shared" si="1"/>
        <v>3.4120112857718663</v>
      </c>
      <c r="Y60" s="497" t="str">
        <f t="shared" si="3"/>
        <v/>
      </c>
      <c r="Z60" s="497" t="str">
        <f t="shared" si="3"/>
        <v/>
      </c>
    </row>
    <row r="61" spans="1:26" s="82" customFormat="1" ht="32" x14ac:dyDescent="0.4">
      <c r="A61" s="493">
        <v>1478</v>
      </c>
      <c r="B61" s="105" t="s">
        <v>329</v>
      </c>
      <c r="C61" s="493" t="s">
        <v>330</v>
      </c>
      <c r="D61" s="105" t="s">
        <v>401</v>
      </c>
      <c r="E61" s="105" t="s">
        <v>399</v>
      </c>
      <c r="F61" s="493">
        <v>59178</v>
      </c>
      <c r="G61" s="105" t="s">
        <v>34</v>
      </c>
      <c r="H61" s="105" t="s">
        <v>342</v>
      </c>
      <c r="I61" s="105" t="s">
        <v>334</v>
      </c>
      <c r="J61" s="493">
        <v>22</v>
      </c>
      <c r="K61" s="493">
        <v>2</v>
      </c>
      <c r="L61" s="105" t="s">
        <v>343</v>
      </c>
      <c r="M61" s="105" t="s">
        <v>336</v>
      </c>
      <c r="N61" s="105" t="s">
        <v>337</v>
      </c>
      <c r="O61" s="105" t="s">
        <v>338</v>
      </c>
      <c r="P61" s="105" t="s">
        <v>339</v>
      </c>
      <c r="Q61" s="494">
        <v>0</v>
      </c>
      <c r="R61" s="494">
        <v>0</v>
      </c>
      <c r="S61" s="494">
        <v>23730</v>
      </c>
      <c r="T61" s="494">
        <v>23730</v>
      </c>
      <c r="U61" s="494">
        <v>6955</v>
      </c>
      <c r="V61" s="493">
        <v>2024</v>
      </c>
      <c r="W61" s="495"/>
      <c r="X61" s="496">
        <f t="shared" si="1"/>
        <v>3.4119338605319913</v>
      </c>
      <c r="Y61" s="497" t="str">
        <f t="shared" si="3"/>
        <v/>
      </c>
      <c r="Z61" s="497" t="str">
        <f t="shared" si="3"/>
        <v/>
      </c>
    </row>
    <row r="62" spans="1:26" s="82" customFormat="1" ht="32" x14ac:dyDescent="0.4">
      <c r="A62" s="493">
        <v>1482</v>
      </c>
      <c r="B62" s="105" t="s">
        <v>329</v>
      </c>
      <c r="C62" s="493" t="s">
        <v>330</v>
      </c>
      <c r="D62" s="105" t="s">
        <v>402</v>
      </c>
      <c r="E62" s="105" t="s">
        <v>396</v>
      </c>
      <c r="F62" s="493">
        <v>39006</v>
      </c>
      <c r="G62" s="105" t="s">
        <v>34</v>
      </c>
      <c r="H62" s="105" t="s">
        <v>342</v>
      </c>
      <c r="I62" s="105" t="s">
        <v>334</v>
      </c>
      <c r="J62" s="493">
        <v>22</v>
      </c>
      <c r="K62" s="493">
        <v>2</v>
      </c>
      <c r="L62" s="105" t="s">
        <v>343</v>
      </c>
      <c r="M62" s="105" t="s">
        <v>403</v>
      </c>
      <c r="N62" s="105" t="s">
        <v>404</v>
      </c>
      <c r="O62" s="105" t="s">
        <v>232</v>
      </c>
      <c r="P62" s="105" t="s">
        <v>346</v>
      </c>
      <c r="Q62" s="494">
        <v>9783</v>
      </c>
      <c r="R62" s="494">
        <v>9783</v>
      </c>
      <c r="S62" s="494">
        <v>0</v>
      </c>
      <c r="T62" s="494">
        <v>0</v>
      </c>
      <c r="U62" s="494">
        <v>-1919</v>
      </c>
      <c r="V62" s="493">
        <v>2024</v>
      </c>
      <c r="W62" s="495"/>
      <c r="X62" s="496" t="str">
        <f t="shared" si="1"/>
        <v/>
      </c>
      <c r="Y62" s="497" t="str">
        <f t="shared" si="3"/>
        <v/>
      </c>
      <c r="Z62" s="497" t="str">
        <f t="shared" si="3"/>
        <v/>
      </c>
    </row>
    <row r="63" spans="1:26" s="82" customFormat="1" ht="32" x14ac:dyDescent="0.4">
      <c r="A63" s="493">
        <v>1482</v>
      </c>
      <c r="B63" s="105" t="s">
        <v>329</v>
      </c>
      <c r="C63" s="493" t="s">
        <v>330</v>
      </c>
      <c r="D63" s="105" t="s">
        <v>402</v>
      </c>
      <c r="E63" s="105" t="s">
        <v>396</v>
      </c>
      <c r="F63" s="493">
        <v>39006</v>
      </c>
      <c r="G63" s="105" t="s">
        <v>34</v>
      </c>
      <c r="H63" s="105" t="s">
        <v>342</v>
      </c>
      <c r="I63" s="105" t="s">
        <v>334</v>
      </c>
      <c r="J63" s="493">
        <v>22</v>
      </c>
      <c r="K63" s="493">
        <v>2</v>
      </c>
      <c r="L63" s="105" t="s">
        <v>343</v>
      </c>
      <c r="M63" s="105" t="s">
        <v>336</v>
      </c>
      <c r="N63" s="105" t="s">
        <v>337</v>
      </c>
      <c r="O63" s="105" t="s">
        <v>338</v>
      </c>
      <c r="P63" s="105" t="s">
        <v>339</v>
      </c>
      <c r="Q63" s="494">
        <v>0</v>
      </c>
      <c r="R63" s="494">
        <v>0</v>
      </c>
      <c r="S63" s="494">
        <v>119007</v>
      </c>
      <c r="T63" s="494">
        <v>119007</v>
      </c>
      <c r="U63" s="494">
        <v>34879</v>
      </c>
      <c r="V63" s="493">
        <v>2024</v>
      </c>
      <c r="W63" s="495"/>
      <c r="X63" s="496">
        <f t="shared" si="1"/>
        <v>3.4119957567590813</v>
      </c>
      <c r="Y63" s="497" t="str">
        <f t="shared" si="3"/>
        <v/>
      </c>
      <c r="Z63" s="497" t="str">
        <f t="shared" si="3"/>
        <v/>
      </c>
    </row>
    <row r="64" spans="1:26" s="82" customFormat="1" ht="32" x14ac:dyDescent="0.4">
      <c r="A64" s="493">
        <v>1483</v>
      </c>
      <c r="B64" s="105" t="s">
        <v>329</v>
      </c>
      <c r="C64" s="493" t="s">
        <v>330</v>
      </c>
      <c r="D64" s="105" t="s">
        <v>405</v>
      </c>
      <c r="E64" s="105" t="s">
        <v>396</v>
      </c>
      <c r="F64" s="493">
        <v>39006</v>
      </c>
      <c r="G64" s="105" t="s">
        <v>34</v>
      </c>
      <c r="H64" s="105" t="s">
        <v>342</v>
      </c>
      <c r="I64" s="105" t="s">
        <v>334</v>
      </c>
      <c r="J64" s="493">
        <v>22</v>
      </c>
      <c r="K64" s="493">
        <v>2</v>
      </c>
      <c r="L64" s="105" t="s">
        <v>343</v>
      </c>
      <c r="M64" s="105" t="s">
        <v>336</v>
      </c>
      <c r="N64" s="105" t="s">
        <v>337</v>
      </c>
      <c r="O64" s="105" t="s">
        <v>338</v>
      </c>
      <c r="P64" s="105" t="s">
        <v>339</v>
      </c>
      <c r="Q64" s="494">
        <v>0</v>
      </c>
      <c r="R64" s="494">
        <v>0</v>
      </c>
      <c r="S64" s="494">
        <v>300720</v>
      </c>
      <c r="T64" s="494">
        <v>300720</v>
      </c>
      <c r="U64" s="494">
        <v>88136</v>
      </c>
      <c r="V64" s="493">
        <v>2024</v>
      </c>
      <c r="W64" s="495"/>
      <c r="X64" s="496">
        <f t="shared" si="1"/>
        <v>3.4119996369247527</v>
      </c>
      <c r="Y64" s="497" t="str">
        <f t="shared" si="3"/>
        <v/>
      </c>
      <c r="Z64" s="497" t="str">
        <f t="shared" si="3"/>
        <v/>
      </c>
    </row>
    <row r="65" spans="1:26" s="82" customFormat="1" x14ac:dyDescent="0.4">
      <c r="A65" s="493">
        <v>1484</v>
      </c>
      <c r="B65" s="105" t="s">
        <v>329</v>
      </c>
      <c r="C65" s="493" t="s">
        <v>330</v>
      </c>
      <c r="D65" s="105" t="s">
        <v>406</v>
      </c>
      <c r="E65" s="105" t="s">
        <v>407</v>
      </c>
      <c r="F65" s="493">
        <v>14876</v>
      </c>
      <c r="G65" s="105" t="s">
        <v>34</v>
      </c>
      <c r="H65" s="105" t="s">
        <v>342</v>
      </c>
      <c r="I65" s="105" t="s">
        <v>334</v>
      </c>
      <c r="J65" s="493">
        <v>22</v>
      </c>
      <c r="K65" s="493">
        <v>2</v>
      </c>
      <c r="L65" s="105" t="s">
        <v>343</v>
      </c>
      <c r="M65" s="105" t="s">
        <v>295</v>
      </c>
      <c r="N65" s="105" t="s">
        <v>226</v>
      </c>
      <c r="O65" s="105" t="s">
        <v>226</v>
      </c>
      <c r="P65" s="105" t="s">
        <v>350</v>
      </c>
      <c r="Q65" s="494">
        <v>702</v>
      </c>
      <c r="R65" s="494">
        <v>702</v>
      </c>
      <c r="S65" s="494">
        <v>4040</v>
      </c>
      <c r="T65" s="494">
        <v>4040</v>
      </c>
      <c r="U65" s="494">
        <v>111</v>
      </c>
      <c r="V65" s="493">
        <v>2024</v>
      </c>
      <c r="W65" s="495"/>
      <c r="X65" s="496">
        <f t="shared" si="1"/>
        <v>36.396396396396398</v>
      </c>
      <c r="Y65" s="497" t="str">
        <f t="shared" si="3"/>
        <v/>
      </c>
      <c r="Z65" s="497" t="str">
        <f t="shared" si="3"/>
        <v/>
      </c>
    </row>
    <row r="66" spans="1:26" s="82" customFormat="1" x14ac:dyDescent="0.4">
      <c r="A66" s="493">
        <v>1484</v>
      </c>
      <c r="B66" s="105" t="s">
        <v>329</v>
      </c>
      <c r="C66" s="493" t="s">
        <v>330</v>
      </c>
      <c r="D66" s="105" t="s">
        <v>406</v>
      </c>
      <c r="E66" s="105" t="s">
        <v>407</v>
      </c>
      <c r="F66" s="493">
        <v>14876</v>
      </c>
      <c r="G66" s="105" t="s">
        <v>34</v>
      </c>
      <c r="H66" s="105" t="s">
        <v>342</v>
      </c>
      <c r="I66" s="105" t="s">
        <v>334</v>
      </c>
      <c r="J66" s="493">
        <v>22</v>
      </c>
      <c r="K66" s="493">
        <v>2</v>
      </c>
      <c r="L66" s="105" t="s">
        <v>343</v>
      </c>
      <c r="M66" s="105" t="s">
        <v>295</v>
      </c>
      <c r="N66" s="105" t="s">
        <v>240</v>
      </c>
      <c r="O66" s="105" t="s">
        <v>349</v>
      </c>
      <c r="P66" s="105" t="s">
        <v>350</v>
      </c>
      <c r="Q66" s="494">
        <v>0</v>
      </c>
      <c r="R66" s="494">
        <v>0</v>
      </c>
      <c r="S66" s="494">
        <v>0</v>
      </c>
      <c r="T66" s="494">
        <v>0</v>
      </c>
      <c r="U66" s="494">
        <v>0</v>
      </c>
      <c r="V66" s="493">
        <v>2024</v>
      </c>
      <c r="W66" s="495"/>
      <c r="X66" s="496" t="str">
        <f t="shared" si="1"/>
        <v/>
      </c>
      <c r="Y66" s="497" t="str">
        <f t="shared" si="3"/>
        <v/>
      </c>
      <c r="Z66" s="497" t="str">
        <f t="shared" si="3"/>
        <v/>
      </c>
    </row>
    <row r="67" spans="1:26" s="82" customFormat="1" ht="32" x14ac:dyDescent="0.4">
      <c r="A67" s="493">
        <v>1486</v>
      </c>
      <c r="B67" s="105" t="s">
        <v>329</v>
      </c>
      <c r="C67" s="493" t="s">
        <v>330</v>
      </c>
      <c r="D67" s="105" t="s">
        <v>408</v>
      </c>
      <c r="E67" s="105" t="s">
        <v>396</v>
      </c>
      <c r="F67" s="493">
        <v>39006</v>
      </c>
      <c r="G67" s="105" t="s">
        <v>34</v>
      </c>
      <c r="H67" s="105" t="s">
        <v>342</v>
      </c>
      <c r="I67" s="105" t="s">
        <v>334</v>
      </c>
      <c r="J67" s="493">
        <v>22</v>
      </c>
      <c r="K67" s="493">
        <v>2</v>
      </c>
      <c r="L67" s="105" t="s">
        <v>343</v>
      </c>
      <c r="M67" s="105" t="s">
        <v>336</v>
      </c>
      <c r="N67" s="105" t="s">
        <v>337</v>
      </c>
      <c r="O67" s="105" t="s">
        <v>338</v>
      </c>
      <c r="P67" s="105" t="s">
        <v>339</v>
      </c>
      <c r="Q67" s="494">
        <v>0</v>
      </c>
      <c r="R67" s="494">
        <v>0</v>
      </c>
      <c r="S67" s="494">
        <v>97096</v>
      </c>
      <c r="T67" s="494">
        <v>97096</v>
      </c>
      <c r="U67" s="494">
        <v>28457</v>
      </c>
      <c r="V67" s="493">
        <v>2024</v>
      </c>
      <c r="W67" s="495"/>
      <c r="X67" s="496">
        <f t="shared" si="1"/>
        <v>3.4120251607688794</v>
      </c>
      <c r="Y67" s="497" t="str">
        <f t="shared" si="3"/>
        <v/>
      </c>
      <c r="Z67" s="497" t="str">
        <f t="shared" si="3"/>
        <v/>
      </c>
    </row>
    <row r="68" spans="1:26" s="82" customFormat="1" ht="32" x14ac:dyDescent="0.4">
      <c r="A68" s="493">
        <v>1488</v>
      </c>
      <c r="B68" s="105" t="s">
        <v>329</v>
      </c>
      <c r="C68" s="493" t="s">
        <v>330</v>
      </c>
      <c r="D68" s="105" t="s">
        <v>409</v>
      </c>
      <c r="E68" s="105" t="s">
        <v>396</v>
      </c>
      <c r="F68" s="493">
        <v>39006</v>
      </c>
      <c r="G68" s="105" t="s">
        <v>34</v>
      </c>
      <c r="H68" s="105" t="s">
        <v>342</v>
      </c>
      <c r="I68" s="105" t="s">
        <v>334</v>
      </c>
      <c r="J68" s="493">
        <v>22</v>
      </c>
      <c r="K68" s="493">
        <v>2</v>
      </c>
      <c r="L68" s="105" t="s">
        <v>343</v>
      </c>
      <c r="M68" s="105" t="s">
        <v>336</v>
      </c>
      <c r="N68" s="105" t="s">
        <v>337</v>
      </c>
      <c r="O68" s="105" t="s">
        <v>338</v>
      </c>
      <c r="P68" s="105" t="s">
        <v>339</v>
      </c>
      <c r="Q68" s="494">
        <v>0</v>
      </c>
      <c r="R68" s="494">
        <v>0</v>
      </c>
      <c r="S68" s="494">
        <v>198654</v>
      </c>
      <c r="T68" s="494">
        <v>198654</v>
      </c>
      <c r="U68" s="494">
        <v>58222</v>
      </c>
      <c r="V68" s="493">
        <v>2024</v>
      </c>
      <c r="W68" s="495"/>
      <c r="X68" s="496">
        <f t="shared" si="1"/>
        <v>3.4120092061420082</v>
      </c>
      <c r="Y68" s="497" t="str">
        <f t="shared" ref="Y68:Z87" si="4">IF(AND($M68=$Y$2,$N68=$Y$3,NOT($Q68=$R68),NOT($U68=0)),IF($K68=5,$S68/($U68+(8/5)*$U68),IF($K68=7,$S68/($U68+(29/25)*$U68),"")),"")</f>
        <v/>
      </c>
      <c r="Z68" s="497" t="str">
        <f t="shared" si="4"/>
        <v/>
      </c>
    </row>
    <row r="69" spans="1:26" s="82" customFormat="1" ht="32" x14ac:dyDescent="0.4">
      <c r="A69" s="493">
        <v>1491</v>
      </c>
      <c r="B69" s="105" t="s">
        <v>329</v>
      </c>
      <c r="C69" s="493" t="s">
        <v>330</v>
      </c>
      <c r="D69" s="105" t="s">
        <v>410</v>
      </c>
      <c r="E69" s="105" t="s">
        <v>396</v>
      </c>
      <c r="F69" s="493">
        <v>39006</v>
      </c>
      <c r="G69" s="105" t="s">
        <v>34</v>
      </c>
      <c r="H69" s="105" t="s">
        <v>342</v>
      </c>
      <c r="I69" s="105" t="s">
        <v>334</v>
      </c>
      <c r="J69" s="493">
        <v>22</v>
      </c>
      <c r="K69" s="493">
        <v>2</v>
      </c>
      <c r="L69" s="105" t="s">
        <v>343</v>
      </c>
      <c r="M69" s="105" t="s">
        <v>336</v>
      </c>
      <c r="N69" s="105" t="s">
        <v>337</v>
      </c>
      <c r="O69" s="105" t="s">
        <v>338</v>
      </c>
      <c r="P69" s="105" t="s">
        <v>339</v>
      </c>
      <c r="Q69" s="494">
        <v>0</v>
      </c>
      <c r="R69" s="494">
        <v>0</v>
      </c>
      <c r="S69" s="494">
        <v>465008</v>
      </c>
      <c r="T69" s="494">
        <v>465008</v>
      </c>
      <c r="U69" s="494">
        <v>136286</v>
      </c>
      <c r="V69" s="493">
        <v>2024</v>
      </c>
      <c r="W69" s="495"/>
      <c r="X69" s="496">
        <f t="shared" si="1"/>
        <v>3.4120012327018183</v>
      </c>
      <c r="Y69" s="497" t="str">
        <f t="shared" si="4"/>
        <v/>
      </c>
      <c r="Z69" s="497" t="str">
        <f t="shared" si="4"/>
        <v/>
      </c>
    </row>
    <row r="70" spans="1:26" s="82" customFormat="1" ht="32" x14ac:dyDescent="0.4">
      <c r="A70" s="493">
        <v>1492</v>
      </c>
      <c r="B70" s="105" t="s">
        <v>329</v>
      </c>
      <c r="C70" s="493" t="s">
        <v>330</v>
      </c>
      <c r="D70" s="105" t="s">
        <v>411</v>
      </c>
      <c r="E70" s="105" t="s">
        <v>396</v>
      </c>
      <c r="F70" s="493">
        <v>39006</v>
      </c>
      <c r="G70" s="105" t="s">
        <v>34</v>
      </c>
      <c r="H70" s="105" t="s">
        <v>342</v>
      </c>
      <c r="I70" s="105" t="s">
        <v>334</v>
      </c>
      <c r="J70" s="493">
        <v>22</v>
      </c>
      <c r="K70" s="493">
        <v>2</v>
      </c>
      <c r="L70" s="105" t="s">
        <v>343</v>
      </c>
      <c r="M70" s="105" t="s">
        <v>336</v>
      </c>
      <c r="N70" s="105" t="s">
        <v>337</v>
      </c>
      <c r="O70" s="105" t="s">
        <v>338</v>
      </c>
      <c r="P70" s="105" t="s">
        <v>339</v>
      </c>
      <c r="Q70" s="494">
        <v>0</v>
      </c>
      <c r="R70" s="494">
        <v>0</v>
      </c>
      <c r="S70" s="494">
        <v>581315</v>
      </c>
      <c r="T70" s="494">
        <v>581315</v>
      </c>
      <c r="U70" s="494">
        <v>170374</v>
      </c>
      <c r="V70" s="493">
        <v>2024</v>
      </c>
      <c r="W70" s="495"/>
      <c r="X70" s="496">
        <f t="shared" si="1"/>
        <v>3.4119936140490918</v>
      </c>
      <c r="Y70" s="497" t="str">
        <f t="shared" si="4"/>
        <v/>
      </c>
      <c r="Z70" s="497" t="str">
        <f t="shared" si="4"/>
        <v/>
      </c>
    </row>
    <row r="71" spans="1:26" s="82" customFormat="1" ht="32" x14ac:dyDescent="0.4">
      <c r="A71" s="493">
        <v>1493</v>
      </c>
      <c r="B71" s="105" t="s">
        <v>329</v>
      </c>
      <c r="C71" s="493" t="s">
        <v>330</v>
      </c>
      <c r="D71" s="105" t="s">
        <v>412</v>
      </c>
      <c r="E71" s="105" t="s">
        <v>396</v>
      </c>
      <c r="F71" s="493">
        <v>39006</v>
      </c>
      <c r="G71" s="105" t="s">
        <v>34</v>
      </c>
      <c r="H71" s="105" t="s">
        <v>342</v>
      </c>
      <c r="I71" s="105" t="s">
        <v>334</v>
      </c>
      <c r="J71" s="493">
        <v>22</v>
      </c>
      <c r="K71" s="493">
        <v>2</v>
      </c>
      <c r="L71" s="105" t="s">
        <v>343</v>
      </c>
      <c r="M71" s="105" t="s">
        <v>336</v>
      </c>
      <c r="N71" s="105" t="s">
        <v>337</v>
      </c>
      <c r="O71" s="105" t="s">
        <v>338</v>
      </c>
      <c r="P71" s="105" t="s">
        <v>339</v>
      </c>
      <c r="Q71" s="494">
        <v>0</v>
      </c>
      <c r="R71" s="494">
        <v>0</v>
      </c>
      <c r="S71" s="494">
        <v>137028</v>
      </c>
      <c r="T71" s="494">
        <v>137028</v>
      </c>
      <c r="U71" s="494">
        <v>40161</v>
      </c>
      <c r="V71" s="493">
        <v>2024</v>
      </c>
      <c r="W71" s="495"/>
      <c r="X71" s="496">
        <f t="shared" si="1"/>
        <v>3.4119668334951818</v>
      </c>
      <c r="Y71" s="497" t="str">
        <f t="shared" si="4"/>
        <v/>
      </c>
      <c r="Z71" s="497" t="str">
        <f t="shared" si="4"/>
        <v/>
      </c>
    </row>
    <row r="72" spans="1:26" s="82" customFormat="1" ht="32" x14ac:dyDescent="0.4">
      <c r="A72" s="493">
        <v>1497</v>
      </c>
      <c r="B72" s="105" t="s">
        <v>329</v>
      </c>
      <c r="C72" s="493" t="s">
        <v>330</v>
      </c>
      <c r="D72" s="105" t="s">
        <v>413</v>
      </c>
      <c r="E72" s="105" t="s">
        <v>414</v>
      </c>
      <c r="F72" s="493">
        <v>56854</v>
      </c>
      <c r="G72" s="105" t="s">
        <v>34</v>
      </c>
      <c r="H72" s="105" t="s">
        <v>342</v>
      </c>
      <c r="I72" s="105" t="s">
        <v>334</v>
      </c>
      <c r="J72" s="493">
        <v>22</v>
      </c>
      <c r="K72" s="493">
        <v>2</v>
      </c>
      <c r="L72" s="105" t="s">
        <v>343</v>
      </c>
      <c r="M72" s="105" t="s">
        <v>336</v>
      </c>
      <c r="N72" s="105" t="s">
        <v>337</v>
      </c>
      <c r="O72" s="105" t="s">
        <v>338</v>
      </c>
      <c r="P72" s="105" t="s">
        <v>339</v>
      </c>
      <c r="Q72" s="494">
        <v>0</v>
      </c>
      <c r="R72" s="494">
        <v>0</v>
      </c>
      <c r="S72" s="494">
        <v>36925</v>
      </c>
      <c r="T72" s="494">
        <v>36925</v>
      </c>
      <c r="U72" s="494">
        <v>10822</v>
      </c>
      <c r="V72" s="493">
        <v>2024</v>
      </c>
      <c r="W72" s="495"/>
      <c r="X72" s="496">
        <f t="shared" si="1"/>
        <v>3.4120310478654594</v>
      </c>
      <c r="Y72" s="497" t="str">
        <f t="shared" si="4"/>
        <v/>
      </c>
      <c r="Z72" s="497" t="str">
        <f t="shared" si="4"/>
        <v/>
      </c>
    </row>
    <row r="73" spans="1:26" s="82" customFormat="1" ht="32" x14ac:dyDescent="0.4">
      <c r="A73" s="493">
        <v>1498</v>
      </c>
      <c r="B73" s="105" t="s">
        <v>329</v>
      </c>
      <c r="C73" s="493" t="s">
        <v>330</v>
      </c>
      <c r="D73" s="105" t="s">
        <v>415</v>
      </c>
      <c r="E73" s="105" t="s">
        <v>414</v>
      </c>
      <c r="F73" s="493">
        <v>56854</v>
      </c>
      <c r="G73" s="105" t="s">
        <v>34</v>
      </c>
      <c r="H73" s="105" t="s">
        <v>342</v>
      </c>
      <c r="I73" s="105" t="s">
        <v>334</v>
      </c>
      <c r="J73" s="493">
        <v>22</v>
      </c>
      <c r="K73" s="493">
        <v>2</v>
      </c>
      <c r="L73" s="105" t="s">
        <v>343</v>
      </c>
      <c r="M73" s="105" t="s">
        <v>336</v>
      </c>
      <c r="N73" s="105" t="s">
        <v>337</v>
      </c>
      <c r="O73" s="105" t="s">
        <v>338</v>
      </c>
      <c r="P73" s="105" t="s">
        <v>339</v>
      </c>
      <c r="Q73" s="494">
        <v>0</v>
      </c>
      <c r="R73" s="494">
        <v>0</v>
      </c>
      <c r="S73" s="494">
        <v>22210</v>
      </c>
      <c r="T73" s="494">
        <v>22210</v>
      </c>
      <c r="U73" s="494">
        <v>6509</v>
      </c>
      <c r="V73" s="493">
        <v>2024</v>
      </c>
      <c r="W73" s="495"/>
      <c r="X73" s="496">
        <f t="shared" ref="X73:X136" si="5">IF(OR(K73&gt;3,T73=0,NOT(U73&gt;0)),"",T73/U73)</f>
        <v>3.41219849439238</v>
      </c>
      <c r="Y73" s="497" t="str">
        <f t="shared" si="4"/>
        <v/>
      </c>
      <c r="Z73" s="497" t="str">
        <f t="shared" si="4"/>
        <v/>
      </c>
    </row>
    <row r="74" spans="1:26" s="82" customFormat="1" ht="32" x14ac:dyDescent="0.4">
      <c r="A74" s="493">
        <v>1500</v>
      </c>
      <c r="B74" s="105" t="s">
        <v>329</v>
      </c>
      <c r="C74" s="493" t="s">
        <v>330</v>
      </c>
      <c r="D74" s="105" t="s">
        <v>416</v>
      </c>
      <c r="E74" s="105" t="s">
        <v>414</v>
      </c>
      <c r="F74" s="493">
        <v>56854</v>
      </c>
      <c r="G74" s="105" t="s">
        <v>34</v>
      </c>
      <c r="H74" s="105" t="s">
        <v>342</v>
      </c>
      <c r="I74" s="105" t="s">
        <v>334</v>
      </c>
      <c r="J74" s="493">
        <v>22</v>
      </c>
      <c r="K74" s="493">
        <v>2</v>
      </c>
      <c r="L74" s="105" t="s">
        <v>343</v>
      </c>
      <c r="M74" s="105" t="s">
        <v>336</v>
      </c>
      <c r="N74" s="105" t="s">
        <v>337</v>
      </c>
      <c r="O74" s="105" t="s">
        <v>338</v>
      </c>
      <c r="P74" s="105" t="s">
        <v>339</v>
      </c>
      <c r="Q74" s="494">
        <v>0</v>
      </c>
      <c r="R74" s="494">
        <v>0</v>
      </c>
      <c r="S74" s="494">
        <v>11262</v>
      </c>
      <c r="T74" s="494">
        <v>11262</v>
      </c>
      <c r="U74" s="494">
        <v>3301</v>
      </c>
      <c r="V74" s="493">
        <v>2024</v>
      </c>
      <c r="W74" s="495"/>
      <c r="X74" s="496">
        <f t="shared" si="5"/>
        <v>3.4116934262344745</v>
      </c>
      <c r="Y74" s="497" t="str">
        <f t="shared" si="4"/>
        <v/>
      </c>
      <c r="Z74" s="497" t="str">
        <f t="shared" si="4"/>
        <v/>
      </c>
    </row>
    <row r="75" spans="1:26" s="82" customFormat="1" ht="32" x14ac:dyDescent="0.4">
      <c r="A75" s="493">
        <v>1501</v>
      </c>
      <c r="B75" s="105" t="s">
        <v>329</v>
      </c>
      <c r="C75" s="493" t="s">
        <v>330</v>
      </c>
      <c r="D75" s="105" t="s">
        <v>417</v>
      </c>
      <c r="E75" s="105" t="s">
        <v>396</v>
      </c>
      <c r="F75" s="493">
        <v>39006</v>
      </c>
      <c r="G75" s="105" t="s">
        <v>34</v>
      </c>
      <c r="H75" s="105" t="s">
        <v>342</v>
      </c>
      <c r="I75" s="105" t="s">
        <v>334</v>
      </c>
      <c r="J75" s="493">
        <v>22</v>
      </c>
      <c r="K75" s="493">
        <v>2</v>
      </c>
      <c r="L75" s="105" t="s">
        <v>343</v>
      </c>
      <c r="M75" s="105" t="s">
        <v>336</v>
      </c>
      <c r="N75" s="105" t="s">
        <v>337</v>
      </c>
      <c r="O75" s="105" t="s">
        <v>338</v>
      </c>
      <c r="P75" s="105" t="s">
        <v>339</v>
      </c>
      <c r="Q75" s="494">
        <v>0</v>
      </c>
      <c r="R75" s="494">
        <v>0</v>
      </c>
      <c r="S75" s="494">
        <v>22496</v>
      </c>
      <c r="T75" s="494">
        <v>22496</v>
      </c>
      <c r="U75" s="494">
        <v>6593</v>
      </c>
      <c r="V75" s="493">
        <v>2024</v>
      </c>
      <c r="W75" s="495"/>
      <c r="X75" s="496">
        <f t="shared" si="5"/>
        <v>3.4121037463976944</v>
      </c>
      <c r="Y75" s="497" t="str">
        <f t="shared" si="4"/>
        <v/>
      </c>
      <c r="Z75" s="497" t="str">
        <f t="shared" si="4"/>
        <v/>
      </c>
    </row>
    <row r="76" spans="1:26" s="82" customFormat="1" ht="32" x14ac:dyDescent="0.4">
      <c r="A76" s="493">
        <v>1504</v>
      </c>
      <c r="B76" s="105" t="s">
        <v>329</v>
      </c>
      <c r="C76" s="493" t="s">
        <v>330</v>
      </c>
      <c r="D76" s="105" t="s">
        <v>418</v>
      </c>
      <c r="E76" s="105" t="s">
        <v>396</v>
      </c>
      <c r="F76" s="493">
        <v>39006</v>
      </c>
      <c r="G76" s="105" t="s">
        <v>34</v>
      </c>
      <c r="H76" s="105" t="s">
        <v>342</v>
      </c>
      <c r="I76" s="105" t="s">
        <v>334</v>
      </c>
      <c r="J76" s="493">
        <v>22</v>
      </c>
      <c r="K76" s="493">
        <v>2</v>
      </c>
      <c r="L76" s="105" t="s">
        <v>343</v>
      </c>
      <c r="M76" s="105" t="s">
        <v>336</v>
      </c>
      <c r="N76" s="105" t="s">
        <v>337</v>
      </c>
      <c r="O76" s="105" t="s">
        <v>338</v>
      </c>
      <c r="P76" s="105" t="s">
        <v>339</v>
      </c>
      <c r="Q76" s="494">
        <v>0</v>
      </c>
      <c r="R76" s="494">
        <v>0</v>
      </c>
      <c r="S76" s="494">
        <v>57888</v>
      </c>
      <c r="T76" s="494">
        <v>57888</v>
      </c>
      <c r="U76" s="494">
        <v>16966</v>
      </c>
      <c r="V76" s="493">
        <v>2024</v>
      </c>
      <c r="W76" s="495"/>
      <c r="X76" s="496">
        <f t="shared" si="5"/>
        <v>3.4120004715312979</v>
      </c>
      <c r="Y76" s="497" t="str">
        <f t="shared" si="4"/>
        <v/>
      </c>
      <c r="Z76" s="497" t="str">
        <f t="shared" si="4"/>
        <v/>
      </c>
    </row>
    <row r="77" spans="1:26" s="82" customFormat="1" ht="32" x14ac:dyDescent="0.4">
      <c r="A77" s="493">
        <v>1505</v>
      </c>
      <c r="B77" s="105" t="s">
        <v>329</v>
      </c>
      <c r="C77" s="493" t="s">
        <v>330</v>
      </c>
      <c r="D77" s="105" t="s">
        <v>419</v>
      </c>
      <c r="E77" s="105" t="s">
        <v>396</v>
      </c>
      <c r="F77" s="493">
        <v>39006</v>
      </c>
      <c r="G77" s="105" t="s">
        <v>34</v>
      </c>
      <c r="H77" s="105" t="s">
        <v>342</v>
      </c>
      <c r="I77" s="105" t="s">
        <v>334</v>
      </c>
      <c r="J77" s="493">
        <v>22</v>
      </c>
      <c r="K77" s="493">
        <v>2</v>
      </c>
      <c r="L77" s="105" t="s">
        <v>343</v>
      </c>
      <c r="M77" s="105" t="s">
        <v>336</v>
      </c>
      <c r="N77" s="105" t="s">
        <v>337</v>
      </c>
      <c r="O77" s="105" t="s">
        <v>338</v>
      </c>
      <c r="P77" s="105" t="s">
        <v>339</v>
      </c>
      <c r="Q77" s="494">
        <v>0</v>
      </c>
      <c r="R77" s="494">
        <v>0</v>
      </c>
      <c r="S77" s="494">
        <v>196631</v>
      </c>
      <c r="T77" s="494">
        <v>196631</v>
      </c>
      <c r="U77" s="494">
        <v>57629</v>
      </c>
      <c r="V77" s="493">
        <v>2024</v>
      </c>
      <c r="W77" s="495"/>
      <c r="X77" s="496">
        <f t="shared" si="5"/>
        <v>3.4120147842232211</v>
      </c>
      <c r="Y77" s="497" t="str">
        <f t="shared" si="4"/>
        <v/>
      </c>
      <c r="Z77" s="497" t="str">
        <f t="shared" si="4"/>
        <v/>
      </c>
    </row>
    <row r="78" spans="1:26" s="82" customFormat="1" x14ac:dyDescent="0.4">
      <c r="A78" s="493">
        <v>1507</v>
      </c>
      <c r="B78" s="105" t="s">
        <v>329</v>
      </c>
      <c r="C78" s="493" t="s">
        <v>330</v>
      </c>
      <c r="D78" s="105" t="s">
        <v>420</v>
      </c>
      <c r="E78" s="105" t="s">
        <v>421</v>
      </c>
      <c r="F78" s="493">
        <v>31719</v>
      </c>
      <c r="G78" s="105" t="s">
        <v>34</v>
      </c>
      <c r="H78" s="105" t="s">
        <v>342</v>
      </c>
      <c r="I78" s="105" t="s">
        <v>334</v>
      </c>
      <c r="J78" s="493">
        <v>22</v>
      </c>
      <c r="K78" s="493">
        <v>2</v>
      </c>
      <c r="L78" s="105" t="s">
        <v>343</v>
      </c>
      <c r="M78" s="105" t="s">
        <v>403</v>
      </c>
      <c r="N78" s="105" t="s">
        <v>404</v>
      </c>
      <c r="O78" s="105" t="s">
        <v>232</v>
      </c>
      <c r="P78" s="105" t="s">
        <v>346</v>
      </c>
      <c r="Q78" s="494">
        <v>4107</v>
      </c>
      <c r="R78" s="494">
        <v>4107</v>
      </c>
      <c r="S78" s="494">
        <v>0</v>
      </c>
      <c r="T78" s="494">
        <v>0</v>
      </c>
      <c r="U78" s="494">
        <v>-953</v>
      </c>
      <c r="V78" s="493">
        <v>2024</v>
      </c>
      <c r="W78" s="495"/>
      <c r="X78" s="496" t="str">
        <f t="shared" si="5"/>
        <v/>
      </c>
      <c r="Y78" s="497" t="str">
        <f t="shared" si="4"/>
        <v/>
      </c>
      <c r="Z78" s="497" t="str">
        <f t="shared" si="4"/>
        <v/>
      </c>
    </row>
    <row r="79" spans="1:26" s="82" customFormat="1" x14ac:dyDescent="0.4">
      <c r="A79" s="493">
        <v>1507</v>
      </c>
      <c r="B79" s="105" t="s">
        <v>329</v>
      </c>
      <c r="C79" s="493" t="s">
        <v>330</v>
      </c>
      <c r="D79" s="105" t="s">
        <v>420</v>
      </c>
      <c r="E79" s="105" t="s">
        <v>421</v>
      </c>
      <c r="F79" s="493">
        <v>31719</v>
      </c>
      <c r="G79" s="105" t="s">
        <v>34</v>
      </c>
      <c r="H79" s="105" t="s">
        <v>342</v>
      </c>
      <c r="I79" s="105" t="s">
        <v>334</v>
      </c>
      <c r="J79" s="493">
        <v>22</v>
      </c>
      <c r="K79" s="493">
        <v>2</v>
      </c>
      <c r="L79" s="105" t="s">
        <v>343</v>
      </c>
      <c r="M79" s="105" t="s">
        <v>360</v>
      </c>
      <c r="N79" s="105" t="s">
        <v>226</v>
      </c>
      <c r="O79" s="105" t="s">
        <v>226</v>
      </c>
      <c r="P79" s="105" t="s">
        <v>350</v>
      </c>
      <c r="Q79" s="494">
        <v>816</v>
      </c>
      <c r="R79" s="494">
        <v>816</v>
      </c>
      <c r="S79" s="494">
        <v>4727</v>
      </c>
      <c r="T79" s="494">
        <v>4727</v>
      </c>
      <c r="U79" s="494">
        <v>308.471</v>
      </c>
      <c r="V79" s="493">
        <v>2024</v>
      </c>
      <c r="W79" s="495" t="s">
        <v>355</v>
      </c>
      <c r="X79" s="496">
        <f t="shared" si="5"/>
        <v>15.323968865792894</v>
      </c>
      <c r="Y79" s="497" t="str">
        <f t="shared" si="4"/>
        <v/>
      </c>
      <c r="Z79" s="497" t="str">
        <f t="shared" si="4"/>
        <v/>
      </c>
    </row>
    <row r="80" spans="1:26" s="82" customFormat="1" x14ac:dyDescent="0.4">
      <c r="A80" s="493">
        <v>1507</v>
      </c>
      <c r="B80" s="105" t="s">
        <v>329</v>
      </c>
      <c r="C80" s="493" t="s">
        <v>330</v>
      </c>
      <c r="D80" s="105" t="s">
        <v>420</v>
      </c>
      <c r="E80" s="105" t="s">
        <v>421</v>
      </c>
      <c r="F80" s="493">
        <v>31719</v>
      </c>
      <c r="G80" s="105" t="s">
        <v>34</v>
      </c>
      <c r="H80" s="105" t="s">
        <v>342</v>
      </c>
      <c r="I80" s="105" t="s">
        <v>334</v>
      </c>
      <c r="J80" s="493">
        <v>22</v>
      </c>
      <c r="K80" s="493">
        <v>2</v>
      </c>
      <c r="L80" s="105" t="s">
        <v>343</v>
      </c>
      <c r="M80" s="105" t="s">
        <v>360</v>
      </c>
      <c r="N80" s="105" t="s">
        <v>238</v>
      </c>
      <c r="O80" s="105" t="s">
        <v>238</v>
      </c>
      <c r="P80" s="105" t="s">
        <v>350</v>
      </c>
      <c r="Q80" s="494">
        <v>69784</v>
      </c>
      <c r="R80" s="494">
        <v>69784</v>
      </c>
      <c r="S80" s="494">
        <v>445843</v>
      </c>
      <c r="T80" s="494">
        <v>445843</v>
      </c>
      <c r="U80" s="494">
        <v>35632.529000000002</v>
      </c>
      <c r="V80" s="493">
        <v>2024</v>
      </c>
      <c r="W80" s="495" t="s">
        <v>355</v>
      </c>
      <c r="X80" s="496">
        <f t="shared" si="5"/>
        <v>12.512246885423147</v>
      </c>
      <c r="Y80" s="497" t="str">
        <f t="shared" si="4"/>
        <v/>
      </c>
      <c r="Z80" s="497" t="str">
        <f t="shared" si="4"/>
        <v/>
      </c>
    </row>
    <row r="81" spans="1:26" s="82" customFormat="1" ht="32" x14ac:dyDescent="0.4">
      <c r="A81" s="493">
        <v>1508</v>
      </c>
      <c r="B81" s="105" t="s">
        <v>329</v>
      </c>
      <c r="C81" s="493" t="s">
        <v>330</v>
      </c>
      <c r="D81" s="105" t="s">
        <v>422</v>
      </c>
      <c r="E81" s="105" t="s">
        <v>396</v>
      </c>
      <c r="F81" s="493">
        <v>39006</v>
      </c>
      <c r="G81" s="105" t="s">
        <v>34</v>
      </c>
      <c r="H81" s="105" t="s">
        <v>342</v>
      </c>
      <c r="I81" s="105" t="s">
        <v>334</v>
      </c>
      <c r="J81" s="493">
        <v>22</v>
      </c>
      <c r="K81" s="493">
        <v>2</v>
      </c>
      <c r="L81" s="105" t="s">
        <v>343</v>
      </c>
      <c r="M81" s="105" t="s">
        <v>336</v>
      </c>
      <c r="N81" s="105" t="s">
        <v>337</v>
      </c>
      <c r="O81" s="105" t="s">
        <v>338</v>
      </c>
      <c r="P81" s="105" t="s">
        <v>339</v>
      </c>
      <c r="Q81" s="494">
        <v>0</v>
      </c>
      <c r="R81" s="494">
        <v>0</v>
      </c>
      <c r="S81" s="494">
        <v>69519</v>
      </c>
      <c r="T81" s="494">
        <v>69519</v>
      </c>
      <c r="U81" s="494">
        <v>20375</v>
      </c>
      <c r="V81" s="493">
        <v>2024</v>
      </c>
      <c r="W81" s="495"/>
      <c r="X81" s="496">
        <f t="shared" si="5"/>
        <v>3.4119754601226995</v>
      </c>
      <c r="Y81" s="497" t="str">
        <f t="shared" si="4"/>
        <v/>
      </c>
      <c r="Z81" s="497" t="str">
        <f t="shared" si="4"/>
        <v/>
      </c>
    </row>
    <row r="82" spans="1:26" s="82" customFormat="1" ht="32" x14ac:dyDescent="0.4">
      <c r="A82" s="493">
        <v>1509</v>
      </c>
      <c r="B82" s="105" t="s">
        <v>329</v>
      </c>
      <c r="C82" s="493" t="s">
        <v>330</v>
      </c>
      <c r="D82" s="105" t="s">
        <v>423</v>
      </c>
      <c r="E82" s="105" t="s">
        <v>396</v>
      </c>
      <c r="F82" s="493">
        <v>39006</v>
      </c>
      <c r="G82" s="105" t="s">
        <v>34</v>
      </c>
      <c r="H82" s="105" t="s">
        <v>342</v>
      </c>
      <c r="I82" s="105" t="s">
        <v>334</v>
      </c>
      <c r="J82" s="493">
        <v>22</v>
      </c>
      <c r="K82" s="493">
        <v>2</v>
      </c>
      <c r="L82" s="105" t="s">
        <v>343</v>
      </c>
      <c r="M82" s="105" t="s">
        <v>336</v>
      </c>
      <c r="N82" s="105" t="s">
        <v>337</v>
      </c>
      <c r="O82" s="105" t="s">
        <v>338</v>
      </c>
      <c r="P82" s="105" t="s">
        <v>339</v>
      </c>
      <c r="Q82" s="494">
        <v>0</v>
      </c>
      <c r="R82" s="494">
        <v>0</v>
      </c>
      <c r="S82" s="494">
        <v>195710</v>
      </c>
      <c r="T82" s="494">
        <v>195710</v>
      </c>
      <c r="U82" s="494">
        <v>57359</v>
      </c>
      <c r="V82" s="493">
        <v>2024</v>
      </c>
      <c r="W82" s="495"/>
      <c r="X82" s="496">
        <f t="shared" si="5"/>
        <v>3.4120190379888071</v>
      </c>
      <c r="Y82" s="497" t="str">
        <f t="shared" si="4"/>
        <v/>
      </c>
      <c r="Z82" s="497" t="str">
        <f t="shared" si="4"/>
        <v/>
      </c>
    </row>
    <row r="83" spans="1:26" s="82" customFormat="1" ht="32" x14ac:dyDescent="0.4">
      <c r="A83" s="493">
        <v>1510</v>
      </c>
      <c r="B83" s="105" t="s">
        <v>329</v>
      </c>
      <c r="C83" s="493" t="s">
        <v>330</v>
      </c>
      <c r="D83" s="105" t="s">
        <v>424</v>
      </c>
      <c r="E83" s="105" t="s">
        <v>396</v>
      </c>
      <c r="F83" s="493">
        <v>39006</v>
      </c>
      <c r="G83" s="105" t="s">
        <v>34</v>
      </c>
      <c r="H83" s="105" t="s">
        <v>342</v>
      </c>
      <c r="I83" s="105" t="s">
        <v>334</v>
      </c>
      <c r="J83" s="493">
        <v>22</v>
      </c>
      <c r="K83" s="493">
        <v>2</v>
      </c>
      <c r="L83" s="105" t="s">
        <v>343</v>
      </c>
      <c r="M83" s="105" t="s">
        <v>336</v>
      </c>
      <c r="N83" s="105" t="s">
        <v>337</v>
      </c>
      <c r="O83" s="105" t="s">
        <v>338</v>
      </c>
      <c r="P83" s="105" t="s">
        <v>339</v>
      </c>
      <c r="Q83" s="494">
        <v>0</v>
      </c>
      <c r="R83" s="494">
        <v>0</v>
      </c>
      <c r="S83" s="494">
        <v>273502</v>
      </c>
      <c r="T83" s="494">
        <v>273502</v>
      </c>
      <c r="U83" s="494">
        <v>80159</v>
      </c>
      <c r="V83" s="493">
        <v>2024</v>
      </c>
      <c r="W83" s="495"/>
      <c r="X83" s="496">
        <f t="shared" si="5"/>
        <v>3.4119936625955911</v>
      </c>
      <c r="Y83" s="497" t="str">
        <f t="shared" si="4"/>
        <v/>
      </c>
      <c r="Z83" s="497" t="str">
        <f t="shared" si="4"/>
        <v/>
      </c>
    </row>
    <row r="84" spans="1:26" s="82" customFormat="1" ht="32" x14ac:dyDescent="0.4">
      <c r="A84" s="493">
        <v>1511</v>
      </c>
      <c r="B84" s="105" t="s">
        <v>329</v>
      </c>
      <c r="C84" s="493" t="s">
        <v>330</v>
      </c>
      <c r="D84" s="105" t="s">
        <v>425</v>
      </c>
      <c r="E84" s="105" t="s">
        <v>396</v>
      </c>
      <c r="F84" s="493">
        <v>39006</v>
      </c>
      <c r="G84" s="105" t="s">
        <v>34</v>
      </c>
      <c r="H84" s="105" t="s">
        <v>342</v>
      </c>
      <c r="I84" s="105" t="s">
        <v>334</v>
      </c>
      <c r="J84" s="493">
        <v>22</v>
      </c>
      <c r="K84" s="493">
        <v>2</v>
      </c>
      <c r="L84" s="105" t="s">
        <v>343</v>
      </c>
      <c r="M84" s="105" t="s">
        <v>336</v>
      </c>
      <c r="N84" s="105" t="s">
        <v>337</v>
      </c>
      <c r="O84" s="105" t="s">
        <v>338</v>
      </c>
      <c r="P84" s="105" t="s">
        <v>339</v>
      </c>
      <c r="Q84" s="494">
        <v>0</v>
      </c>
      <c r="R84" s="494">
        <v>0</v>
      </c>
      <c r="S84" s="494">
        <v>1150188</v>
      </c>
      <c r="T84" s="494">
        <v>1150188</v>
      </c>
      <c r="U84" s="494">
        <v>337101</v>
      </c>
      <c r="V84" s="493">
        <v>2024</v>
      </c>
      <c r="W84" s="495"/>
      <c r="X84" s="496">
        <f t="shared" si="5"/>
        <v>3.4119981845203662</v>
      </c>
      <c r="Y84" s="497" t="str">
        <f t="shared" si="4"/>
        <v/>
      </c>
      <c r="Z84" s="497" t="str">
        <f t="shared" si="4"/>
        <v/>
      </c>
    </row>
    <row r="85" spans="1:26" s="82" customFormat="1" ht="32" x14ac:dyDescent="0.4">
      <c r="A85" s="493">
        <v>1516</v>
      </c>
      <c r="B85" s="105" t="s">
        <v>329</v>
      </c>
      <c r="C85" s="493" t="s">
        <v>330</v>
      </c>
      <c r="D85" s="105" t="s">
        <v>426</v>
      </c>
      <c r="E85" s="105" t="s">
        <v>427</v>
      </c>
      <c r="F85" s="493">
        <v>14597</v>
      </c>
      <c r="G85" s="105" t="s">
        <v>34</v>
      </c>
      <c r="H85" s="105" t="s">
        <v>342</v>
      </c>
      <c r="I85" s="105" t="s">
        <v>334</v>
      </c>
      <c r="J85" s="493">
        <v>22</v>
      </c>
      <c r="K85" s="493">
        <v>2</v>
      </c>
      <c r="L85" s="105" t="s">
        <v>343</v>
      </c>
      <c r="M85" s="105" t="s">
        <v>336</v>
      </c>
      <c r="N85" s="105" t="s">
        <v>337</v>
      </c>
      <c r="O85" s="105" t="s">
        <v>338</v>
      </c>
      <c r="P85" s="105" t="s">
        <v>339</v>
      </c>
      <c r="Q85" s="494">
        <v>0</v>
      </c>
      <c r="R85" s="494">
        <v>0</v>
      </c>
      <c r="S85" s="494">
        <v>1280</v>
      </c>
      <c r="T85" s="494">
        <v>1280</v>
      </c>
      <c r="U85" s="494">
        <v>375</v>
      </c>
      <c r="V85" s="493">
        <v>2024</v>
      </c>
      <c r="W85" s="495"/>
      <c r="X85" s="496">
        <f t="shared" si="5"/>
        <v>3.4133333333333336</v>
      </c>
      <c r="Y85" s="497" t="str">
        <f t="shared" si="4"/>
        <v/>
      </c>
      <c r="Z85" s="497" t="str">
        <f t="shared" si="4"/>
        <v/>
      </c>
    </row>
    <row r="86" spans="1:26" s="82" customFormat="1" x14ac:dyDescent="0.4">
      <c r="A86" s="493">
        <v>1586</v>
      </c>
      <c r="B86" s="105" t="s">
        <v>329</v>
      </c>
      <c r="C86" s="493" t="s">
        <v>330</v>
      </c>
      <c r="D86" s="105" t="s">
        <v>428</v>
      </c>
      <c r="E86" s="105" t="s">
        <v>429</v>
      </c>
      <c r="F86" s="493">
        <v>6035</v>
      </c>
      <c r="G86" s="105" t="s">
        <v>33</v>
      </c>
      <c r="H86" s="105" t="s">
        <v>342</v>
      </c>
      <c r="I86" s="105" t="s">
        <v>334</v>
      </c>
      <c r="J86" s="493">
        <v>22</v>
      </c>
      <c r="K86" s="493">
        <v>2</v>
      </c>
      <c r="L86" s="105" t="s">
        <v>343</v>
      </c>
      <c r="M86" s="105" t="s">
        <v>295</v>
      </c>
      <c r="N86" s="105" t="s">
        <v>226</v>
      </c>
      <c r="O86" s="105" t="s">
        <v>226</v>
      </c>
      <c r="P86" s="105" t="s">
        <v>350</v>
      </c>
      <c r="Q86" s="494">
        <v>918</v>
      </c>
      <c r="R86" s="494">
        <v>918</v>
      </c>
      <c r="S86" s="494">
        <v>5323</v>
      </c>
      <c r="T86" s="494">
        <v>5323</v>
      </c>
      <c r="U86" s="494">
        <v>273</v>
      </c>
      <c r="V86" s="493">
        <v>2024</v>
      </c>
      <c r="W86" s="495"/>
      <c r="X86" s="496">
        <f t="shared" si="5"/>
        <v>19.498168498168496</v>
      </c>
      <c r="Y86" s="497" t="str">
        <f t="shared" si="4"/>
        <v/>
      </c>
      <c r="Z86" s="497" t="str">
        <f t="shared" si="4"/>
        <v/>
      </c>
    </row>
    <row r="87" spans="1:26" s="82" customFormat="1" ht="32" x14ac:dyDescent="0.4">
      <c r="A87" s="493">
        <v>1588</v>
      </c>
      <c r="B87" s="105" t="s">
        <v>329</v>
      </c>
      <c r="C87" s="493" t="s">
        <v>330</v>
      </c>
      <c r="D87" s="105" t="s">
        <v>430</v>
      </c>
      <c r="E87" s="105" t="s">
        <v>431</v>
      </c>
      <c r="F87" s="493">
        <v>49965</v>
      </c>
      <c r="G87" s="105" t="s">
        <v>33</v>
      </c>
      <c r="H87" s="105" t="s">
        <v>342</v>
      </c>
      <c r="I87" s="105" t="s">
        <v>334</v>
      </c>
      <c r="J87" s="493">
        <v>22</v>
      </c>
      <c r="K87" s="493">
        <v>2</v>
      </c>
      <c r="L87" s="105" t="s">
        <v>343</v>
      </c>
      <c r="M87" s="105" t="s">
        <v>380</v>
      </c>
      <c r="N87" s="105" t="s">
        <v>228</v>
      </c>
      <c r="O87" s="105" t="s">
        <v>228</v>
      </c>
      <c r="P87" s="105" t="s">
        <v>356</v>
      </c>
      <c r="Q87" s="494">
        <v>40307</v>
      </c>
      <c r="R87" s="494">
        <v>40307</v>
      </c>
      <c r="S87" s="494">
        <v>42622</v>
      </c>
      <c r="T87" s="494">
        <v>42622</v>
      </c>
      <c r="U87" s="494">
        <v>434754</v>
      </c>
      <c r="V87" s="493">
        <v>2024</v>
      </c>
      <c r="W87" s="495" t="s">
        <v>355</v>
      </c>
      <c r="X87" s="496">
        <f t="shared" si="5"/>
        <v>9.8037050837945131E-2</v>
      </c>
      <c r="Y87" s="497" t="str">
        <f t="shared" si="4"/>
        <v/>
      </c>
      <c r="Z87" s="497" t="str">
        <f t="shared" si="4"/>
        <v/>
      </c>
    </row>
    <row r="88" spans="1:26" s="82" customFormat="1" ht="32" x14ac:dyDescent="0.4">
      <c r="A88" s="493">
        <v>1588</v>
      </c>
      <c r="B88" s="105" t="s">
        <v>329</v>
      </c>
      <c r="C88" s="493" t="s">
        <v>330</v>
      </c>
      <c r="D88" s="105" t="s">
        <v>430</v>
      </c>
      <c r="E88" s="105" t="s">
        <v>431</v>
      </c>
      <c r="F88" s="493">
        <v>49965</v>
      </c>
      <c r="G88" s="105" t="s">
        <v>33</v>
      </c>
      <c r="H88" s="105" t="s">
        <v>342</v>
      </c>
      <c r="I88" s="105" t="s">
        <v>334</v>
      </c>
      <c r="J88" s="493">
        <v>22</v>
      </c>
      <c r="K88" s="493">
        <v>2</v>
      </c>
      <c r="L88" s="105" t="s">
        <v>343</v>
      </c>
      <c r="M88" s="105" t="s">
        <v>37</v>
      </c>
      <c r="N88" s="105" t="s">
        <v>228</v>
      </c>
      <c r="O88" s="105" t="s">
        <v>228</v>
      </c>
      <c r="P88" s="105" t="s">
        <v>356</v>
      </c>
      <c r="Q88" s="494">
        <v>9049985</v>
      </c>
      <c r="R88" s="494">
        <v>9049985</v>
      </c>
      <c r="S88" s="494">
        <v>9480767</v>
      </c>
      <c r="T88" s="494">
        <v>9480767</v>
      </c>
      <c r="U88" s="494">
        <v>835217</v>
      </c>
      <c r="V88" s="493">
        <v>2024</v>
      </c>
      <c r="W88" s="495" t="s">
        <v>355</v>
      </c>
      <c r="X88" s="496">
        <f t="shared" si="5"/>
        <v>11.351262007358567</v>
      </c>
      <c r="Y88" s="497" t="str">
        <f t="shared" ref="Y88:Z107" si="6">IF(AND($M88=$Y$2,$N88=$Y$3,NOT($Q88=$R88),NOT($U88=0)),IF($K88=5,$S88/($U88+(8/5)*$U88),IF($K88=7,$S88/($U88+(29/25)*$U88),"")),"")</f>
        <v/>
      </c>
      <c r="Z88" s="497" t="str">
        <f t="shared" si="6"/>
        <v/>
      </c>
    </row>
    <row r="89" spans="1:26" s="82" customFormat="1" ht="32" x14ac:dyDescent="0.4">
      <c r="A89" s="493">
        <v>1588</v>
      </c>
      <c r="B89" s="105" t="s">
        <v>329</v>
      </c>
      <c r="C89" s="493" t="s">
        <v>330</v>
      </c>
      <c r="D89" s="105" t="s">
        <v>430</v>
      </c>
      <c r="E89" s="105" t="s">
        <v>431</v>
      </c>
      <c r="F89" s="493">
        <v>49965</v>
      </c>
      <c r="G89" s="105" t="s">
        <v>33</v>
      </c>
      <c r="H89" s="105" t="s">
        <v>342</v>
      </c>
      <c r="I89" s="105" t="s">
        <v>334</v>
      </c>
      <c r="J89" s="493">
        <v>22</v>
      </c>
      <c r="K89" s="493">
        <v>2</v>
      </c>
      <c r="L89" s="105" t="s">
        <v>343</v>
      </c>
      <c r="M89" s="105" t="s">
        <v>295</v>
      </c>
      <c r="N89" s="105" t="s">
        <v>226</v>
      </c>
      <c r="O89" s="105" t="s">
        <v>226</v>
      </c>
      <c r="P89" s="105" t="s">
        <v>350</v>
      </c>
      <c r="Q89" s="494">
        <v>0</v>
      </c>
      <c r="R89" s="494">
        <v>0</v>
      </c>
      <c r="S89" s="494">
        <v>0</v>
      </c>
      <c r="T89" s="494">
        <v>0</v>
      </c>
      <c r="U89" s="494">
        <v>0</v>
      </c>
      <c r="V89" s="493">
        <v>2024</v>
      </c>
      <c r="W89" s="495" t="s">
        <v>355</v>
      </c>
      <c r="X89" s="496" t="str">
        <f t="shared" si="5"/>
        <v/>
      </c>
      <c r="Y89" s="497" t="str">
        <f t="shared" si="6"/>
        <v/>
      </c>
      <c r="Z89" s="497" t="str">
        <f t="shared" si="6"/>
        <v/>
      </c>
    </row>
    <row r="90" spans="1:26" s="82" customFormat="1" x14ac:dyDescent="0.4">
      <c r="A90" s="493">
        <v>1592</v>
      </c>
      <c r="B90" s="105" t="s">
        <v>329</v>
      </c>
      <c r="C90" s="493" t="s">
        <v>330</v>
      </c>
      <c r="D90" s="105" t="s">
        <v>432</v>
      </c>
      <c r="E90" s="105" t="s">
        <v>429</v>
      </c>
      <c r="F90" s="493">
        <v>6035</v>
      </c>
      <c r="G90" s="105" t="s">
        <v>33</v>
      </c>
      <c r="H90" s="105" t="s">
        <v>342</v>
      </c>
      <c r="I90" s="105" t="s">
        <v>334</v>
      </c>
      <c r="J90" s="493">
        <v>22</v>
      </c>
      <c r="K90" s="493">
        <v>2</v>
      </c>
      <c r="L90" s="105" t="s">
        <v>343</v>
      </c>
      <c r="M90" s="105" t="s">
        <v>295</v>
      </c>
      <c r="N90" s="105" t="s">
        <v>226</v>
      </c>
      <c r="O90" s="105" t="s">
        <v>226</v>
      </c>
      <c r="P90" s="105" t="s">
        <v>350</v>
      </c>
      <c r="Q90" s="494">
        <v>6719</v>
      </c>
      <c r="R90" s="494">
        <v>6719</v>
      </c>
      <c r="S90" s="494">
        <v>38902</v>
      </c>
      <c r="T90" s="494">
        <v>38902</v>
      </c>
      <c r="U90" s="494">
        <v>1985</v>
      </c>
      <c r="V90" s="493">
        <v>2024</v>
      </c>
      <c r="W90" s="495" t="s">
        <v>355</v>
      </c>
      <c r="X90" s="496">
        <f t="shared" si="5"/>
        <v>19.597984886649876</v>
      </c>
      <c r="Y90" s="497" t="str">
        <f t="shared" si="6"/>
        <v/>
      </c>
      <c r="Z90" s="497" t="str">
        <f t="shared" si="6"/>
        <v/>
      </c>
    </row>
    <row r="91" spans="1:26" s="82" customFormat="1" ht="32" x14ac:dyDescent="0.4">
      <c r="A91" s="493">
        <v>1595</v>
      </c>
      <c r="B91" s="105" t="s">
        <v>433</v>
      </c>
      <c r="C91" s="493" t="s">
        <v>330</v>
      </c>
      <c r="D91" s="105" t="s">
        <v>434</v>
      </c>
      <c r="E91" s="105" t="s">
        <v>435</v>
      </c>
      <c r="F91" s="493">
        <v>59528</v>
      </c>
      <c r="G91" s="105" t="s">
        <v>33</v>
      </c>
      <c r="H91" s="105" t="s">
        <v>342</v>
      </c>
      <c r="I91" s="105" t="s">
        <v>334</v>
      </c>
      <c r="J91" s="493">
        <v>22</v>
      </c>
      <c r="K91" s="493">
        <v>3</v>
      </c>
      <c r="L91" s="105" t="s">
        <v>436</v>
      </c>
      <c r="M91" s="105" t="s">
        <v>380</v>
      </c>
      <c r="N91" s="105" t="s">
        <v>226</v>
      </c>
      <c r="O91" s="105" t="s">
        <v>226</v>
      </c>
      <c r="P91" s="105" t="s">
        <v>350</v>
      </c>
      <c r="Q91" s="494">
        <v>0</v>
      </c>
      <c r="R91" s="494">
        <v>0</v>
      </c>
      <c r="S91" s="494">
        <v>0</v>
      </c>
      <c r="T91" s="494">
        <v>0</v>
      </c>
      <c r="U91" s="494">
        <v>323.40800000000002</v>
      </c>
      <c r="V91" s="493">
        <v>2024</v>
      </c>
      <c r="W91" s="495"/>
      <c r="X91" s="496" t="str">
        <f t="shared" si="5"/>
        <v/>
      </c>
      <c r="Y91" s="497" t="str">
        <f t="shared" si="6"/>
        <v/>
      </c>
      <c r="Z91" s="497" t="str">
        <f t="shared" si="6"/>
        <v/>
      </c>
    </row>
    <row r="92" spans="1:26" s="82" customFormat="1" ht="32" x14ac:dyDescent="0.4">
      <c r="A92" s="493">
        <v>1595</v>
      </c>
      <c r="B92" s="105" t="s">
        <v>433</v>
      </c>
      <c r="C92" s="493" t="s">
        <v>330</v>
      </c>
      <c r="D92" s="105" t="s">
        <v>434</v>
      </c>
      <c r="E92" s="105" t="s">
        <v>435</v>
      </c>
      <c r="F92" s="493">
        <v>59528</v>
      </c>
      <c r="G92" s="105" t="s">
        <v>33</v>
      </c>
      <c r="H92" s="105" t="s">
        <v>342</v>
      </c>
      <c r="I92" s="105" t="s">
        <v>334</v>
      </c>
      <c r="J92" s="493">
        <v>22</v>
      </c>
      <c r="K92" s="493">
        <v>3</v>
      </c>
      <c r="L92" s="105" t="s">
        <v>436</v>
      </c>
      <c r="M92" s="105" t="s">
        <v>380</v>
      </c>
      <c r="N92" s="105" t="s">
        <v>228</v>
      </c>
      <c r="O92" s="105" t="s">
        <v>228</v>
      </c>
      <c r="P92" s="105" t="s">
        <v>356</v>
      </c>
      <c r="Q92" s="494">
        <v>139461</v>
      </c>
      <c r="R92" s="494">
        <v>139461</v>
      </c>
      <c r="S92" s="494">
        <v>143471</v>
      </c>
      <c r="T92" s="494">
        <v>143471</v>
      </c>
      <c r="U92" s="494">
        <v>169956.59</v>
      </c>
      <c r="V92" s="493">
        <v>2024</v>
      </c>
      <c r="W92" s="495"/>
      <c r="X92" s="496">
        <f t="shared" si="5"/>
        <v>0.84416261823092598</v>
      </c>
      <c r="Y92" s="497" t="str">
        <f t="shared" si="6"/>
        <v/>
      </c>
      <c r="Z92" s="497" t="str">
        <f t="shared" si="6"/>
        <v/>
      </c>
    </row>
    <row r="93" spans="1:26" s="82" customFormat="1" ht="32" x14ac:dyDescent="0.4">
      <c r="A93" s="493">
        <v>1595</v>
      </c>
      <c r="B93" s="105" t="s">
        <v>433</v>
      </c>
      <c r="C93" s="493" t="s">
        <v>330</v>
      </c>
      <c r="D93" s="105" t="s">
        <v>434</v>
      </c>
      <c r="E93" s="105" t="s">
        <v>435</v>
      </c>
      <c r="F93" s="493">
        <v>59528</v>
      </c>
      <c r="G93" s="105" t="s">
        <v>33</v>
      </c>
      <c r="H93" s="105" t="s">
        <v>342</v>
      </c>
      <c r="I93" s="105" t="s">
        <v>334</v>
      </c>
      <c r="J93" s="493">
        <v>22</v>
      </c>
      <c r="K93" s="493">
        <v>3</v>
      </c>
      <c r="L93" s="105" t="s">
        <v>436</v>
      </c>
      <c r="M93" s="105" t="s">
        <v>37</v>
      </c>
      <c r="N93" s="105" t="s">
        <v>226</v>
      </c>
      <c r="O93" s="105" t="s">
        <v>226</v>
      </c>
      <c r="P93" s="105" t="s">
        <v>350</v>
      </c>
      <c r="Q93" s="494">
        <v>5108</v>
      </c>
      <c r="R93" s="494">
        <v>3099</v>
      </c>
      <c r="S93" s="494">
        <v>29626</v>
      </c>
      <c r="T93" s="494">
        <v>17974</v>
      </c>
      <c r="U93" s="494">
        <v>2730.2020000000002</v>
      </c>
      <c r="V93" s="493">
        <v>2024</v>
      </c>
      <c r="W93" s="495"/>
      <c r="X93" s="496">
        <f t="shared" si="5"/>
        <v>6.5833956608338866</v>
      </c>
      <c r="Y93" s="497" t="str">
        <f t="shared" si="6"/>
        <v/>
      </c>
      <c r="Z93" s="497" t="str">
        <f t="shared" si="6"/>
        <v/>
      </c>
    </row>
    <row r="94" spans="1:26" s="82" customFormat="1" ht="32" x14ac:dyDescent="0.4">
      <c r="A94" s="493">
        <v>1595</v>
      </c>
      <c r="B94" s="105" t="s">
        <v>433</v>
      </c>
      <c r="C94" s="493" t="s">
        <v>330</v>
      </c>
      <c r="D94" s="105" t="s">
        <v>434</v>
      </c>
      <c r="E94" s="105" t="s">
        <v>435</v>
      </c>
      <c r="F94" s="493">
        <v>59528</v>
      </c>
      <c r="G94" s="105" t="s">
        <v>33</v>
      </c>
      <c r="H94" s="105" t="s">
        <v>342</v>
      </c>
      <c r="I94" s="105" t="s">
        <v>334</v>
      </c>
      <c r="J94" s="493">
        <v>22</v>
      </c>
      <c r="K94" s="493">
        <v>3</v>
      </c>
      <c r="L94" s="105" t="s">
        <v>436</v>
      </c>
      <c r="M94" s="105" t="s">
        <v>37</v>
      </c>
      <c r="N94" s="105" t="s">
        <v>228</v>
      </c>
      <c r="O94" s="105" t="s">
        <v>228</v>
      </c>
      <c r="P94" s="105" t="s">
        <v>356</v>
      </c>
      <c r="Q94" s="494">
        <v>14355488</v>
      </c>
      <c r="R94" s="494">
        <v>8846789</v>
      </c>
      <c r="S94" s="494">
        <v>14766208</v>
      </c>
      <c r="T94" s="494">
        <v>9099792</v>
      </c>
      <c r="U94" s="494">
        <v>1408963.8</v>
      </c>
      <c r="V94" s="493">
        <v>2024</v>
      </c>
      <c r="W94" s="495"/>
      <c r="X94" s="496">
        <f t="shared" si="5"/>
        <v>6.4584995015485847</v>
      </c>
      <c r="Y94" s="497" t="str">
        <f t="shared" si="6"/>
        <v/>
      </c>
      <c r="Z94" s="497" t="str">
        <f t="shared" si="6"/>
        <v/>
      </c>
    </row>
    <row r="95" spans="1:26" s="82" customFormat="1" ht="32" x14ac:dyDescent="0.4">
      <c r="A95" s="493">
        <v>1595</v>
      </c>
      <c r="B95" s="105" t="s">
        <v>433</v>
      </c>
      <c r="C95" s="493" t="s">
        <v>330</v>
      </c>
      <c r="D95" s="105" t="s">
        <v>434</v>
      </c>
      <c r="E95" s="105" t="s">
        <v>435</v>
      </c>
      <c r="F95" s="493">
        <v>59528</v>
      </c>
      <c r="G95" s="105" t="s">
        <v>33</v>
      </c>
      <c r="H95" s="105" t="s">
        <v>342</v>
      </c>
      <c r="I95" s="105" t="s">
        <v>334</v>
      </c>
      <c r="J95" s="493">
        <v>22</v>
      </c>
      <c r="K95" s="493">
        <v>3</v>
      </c>
      <c r="L95" s="105" t="s">
        <v>436</v>
      </c>
      <c r="M95" s="105" t="s">
        <v>37</v>
      </c>
      <c r="N95" s="105" t="s">
        <v>238</v>
      </c>
      <c r="O95" s="105" t="s">
        <v>238</v>
      </c>
      <c r="P95" s="105" t="s">
        <v>350</v>
      </c>
      <c r="Q95" s="494">
        <v>0</v>
      </c>
      <c r="R95" s="494">
        <v>0</v>
      </c>
      <c r="S95" s="494">
        <v>0</v>
      </c>
      <c r="T95" s="494">
        <v>0</v>
      </c>
      <c r="U95" s="494">
        <v>0</v>
      </c>
      <c r="V95" s="493">
        <v>2024</v>
      </c>
      <c r="W95" s="495"/>
      <c r="X95" s="496" t="str">
        <f t="shared" si="5"/>
        <v/>
      </c>
      <c r="Y95" s="497" t="str">
        <f t="shared" si="6"/>
        <v/>
      </c>
      <c r="Z95" s="497" t="str">
        <f t="shared" si="6"/>
        <v/>
      </c>
    </row>
    <row r="96" spans="1:26" s="82" customFormat="1" ht="32" x14ac:dyDescent="0.4">
      <c r="A96" s="493">
        <v>1595</v>
      </c>
      <c r="B96" s="105" t="s">
        <v>433</v>
      </c>
      <c r="C96" s="493" t="s">
        <v>330</v>
      </c>
      <c r="D96" s="105" t="s">
        <v>434</v>
      </c>
      <c r="E96" s="105" t="s">
        <v>435</v>
      </c>
      <c r="F96" s="493">
        <v>59528</v>
      </c>
      <c r="G96" s="105" t="s">
        <v>33</v>
      </c>
      <c r="H96" s="105" t="s">
        <v>342</v>
      </c>
      <c r="I96" s="105" t="s">
        <v>334</v>
      </c>
      <c r="J96" s="493">
        <v>22</v>
      </c>
      <c r="K96" s="493">
        <v>3</v>
      </c>
      <c r="L96" s="105" t="s">
        <v>436</v>
      </c>
      <c r="M96" s="105" t="s">
        <v>295</v>
      </c>
      <c r="N96" s="105" t="s">
        <v>226</v>
      </c>
      <c r="O96" s="105" t="s">
        <v>226</v>
      </c>
      <c r="P96" s="105" t="s">
        <v>350</v>
      </c>
      <c r="Q96" s="494">
        <v>2173</v>
      </c>
      <c r="R96" s="494">
        <v>842</v>
      </c>
      <c r="S96" s="494">
        <v>12604</v>
      </c>
      <c r="T96" s="494">
        <v>4883</v>
      </c>
      <c r="U96" s="494">
        <v>859</v>
      </c>
      <c r="V96" s="493">
        <v>2024</v>
      </c>
      <c r="W96" s="495"/>
      <c r="X96" s="496">
        <f t="shared" si="5"/>
        <v>5.6845168800931312</v>
      </c>
      <c r="Y96" s="497" t="str">
        <f t="shared" si="6"/>
        <v/>
      </c>
      <c r="Z96" s="497" t="str">
        <f t="shared" si="6"/>
        <v/>
      </c>
    </row>
    <row r="97" spans="1:26" s="82" customFormat="1" x14ac:dyDescent="0.4">
      <c r="A97" s="493">
        <v>1597</v>
      </c>
      <c r="B97" s="105" t="s">
        <v>329</v>
      </c>
      <c r="C97" s="493" t="s">
        <v>330</v>
      </c>
      <c r="D97" s="105" t="s">
        <v>437</v>
      </c>
      <c r="E97" s="105" t="s">
        <v>438</v>
      </c>
      <c r="F97" s="493">
        <v>64488</v>
      </c>
      <c r="G97" s="105" t="s">
        <v>33</v>
      </c>
      <c r="H97" s="105" t="s">
        <v>342</v>
      </c>
      <c r="I97" s="105" t="s">
        <v>334</v>
      </c>
      <c r="J97" s="493">
        <v>22</v>
      </c>
      <c r="K97" s="493">
        <v>2</v>
      </c>
      <c r="L97" s="105" t="s">
        <v>343</v>
      </c>
      <c r="M97" s="105" t="s">
        <v>359</v>
      </c>
      <c r="N97" s="105" t="s">
        <v>226</v>
      </c>
      <c r="O97" s="105" t="s">
        <v>226</v>
      </c>
      <c r="P97" s="105" t="s">
        <v>350</v>
      </c>
      <c r="Q97" s="494">
        <v>3594</v>
      </c>
      <c r="R97" s="494">
        <v>3594</v>
      </c>
      <c r="S97" s="494">
        <v>20756</v>
      </c>
      <c r="T97" s="494">
        <v>20756</v>
      </c>
      <c r="U97" s="494">
        <v>2147</v>
      </c>
      <c r="V97" s="493">
        <v>2024</v>
      </c>
      <c r="W97" s="495"/>
      <c r="X97" s="496">
        <f t="shared" si="5"/>
        <v>9.6674429436422908</v>
      </c>
      <c r="Y97" s="497" t="str">
        <f t="shared" si="6"/>
        <v/>
      </c>
      <c r="Z97" s="497" t="str">
        <f t="shared" si="6"/>
        <v/>
      </c>
    </row>
    <row r="98" spans="1:26" s="82" customFormat="1" x14ac:dyDescent="0.4">
      <c r="A98" s="493">
        <v>1599</v>
      </c>
      <c r="B98" s="105" t="s">
        <v>329</v>
      </c>
      <c r="C98" s="493" t="s">
        <v>330</v>
      </c>
      <c r="D98" s="105" t="s">
        <v>439</v>
      </c>
      <c r="E98" s="105" t="s">
        <v>440</v>
      </c>
      <c r="F98" s="493">
        <v>61708</v>
      </c>
      <c r="G98" s="105" t="s">
        <v>33</v>
      </c>
      <c r="H98" s="105" t="s">
        <v>342</v>
      </c>
      <c r="I98" s="105" t="s">
        <v>334</v>
      </c>
      <c r="J98" s="493">
        <v>22</v>
      </c>
      <c r="K98" s="493">
        <v>2</v>
      </c>
      <c r="L98" s="105" t="s">
        <v>343</v>
      </c>
      <c r="M98" s="105" t="s">
        <v>295</v>
      </c>
      <c r="N98" s="105" t="s">
        <v>226</v>
      </c>
      <c r="O98" s="105" t="s">
        <v>226</v>
      </c>
      <c r="P98" s="105" t="s">
        <v>350</v>
      </c>
      <c r="Q98" s="494">
        <v>5305</v>
      </c>
      <c r="R98" s="494">
        <v>5305</v>
      </c>
      <c r="S98" s="494">
        <v>30769</v>
      </c>
      <c r="T98" s="494">
        <v>30769</v>
      </c>
      <c r="U98" s="494">
        <v>2325.1889999999999</v>
      </c>
      <c r="V98" s="493">
        <v>2024</v>
      </c>
      <c r="W98" s="495" t="s">
        <v>355</v>
      </c>
      <c r="X98" s="496">
        <f t="shared" si="5"/>
        <v>13.232902787687367</v>
      </c>
      <c r="Y98" s="497" t="str">
        <f t="shared" si="6"/>
        <v/>
      </c>
      <c r="Z98" s="497" t="str">
        <f t="shared" si="6"/>
        <v/>
      </c>
    </row>
    <row r="99" spans="1:26" s="82" customFormat="1" x14ac:dyDescent="0.4">
      <c r="A99" s="493">
        <v>1599</v>
      </c>
      <c r="B99" s="105" t="s">
        <v>329</v>
      </c>
      <c r="C99" s="493" t="s">
        <v>330</v>
      </c>
      <c r="D99" s="105" t="s">
        <v>439</v>
      </c>
      <c r="E99" s="105" t="s">
        <v>440</v>
      </c>
      <c r="F99" s="493">
        <v>61708</v>
      </c>
      <c r="G99" s="105" t="s">
        <v>33</v>
      </c>
      <c r="H99" s="105" t="s">
        <v>342</v>
      </c>
      <c r="I99" s="105" t="s">
        <v>334</v>
      </c>
      <c r="J99" s="493">
        <v>22</v>
      </c>
      <c r="K99" s="493">
        <v>2</v>
      </c>
      <c r="L99" s="105" t="s">
        <v>343</v>
      </c>
      <c r="M99" s="105" t="s">
        <v>295</v>
      </c>
      <c r="N99" s="105" t="s">
        <v>228</v>
      </c>
      <c r="O99" s="105" t="s">
        <v>228</v>
      </c>
      <c r="P99" s="105" t="s">
        <v>356</v>
      </c>
      <c r="Q99" s="494">
        <v>2233597</v>
      </c>
      <c r="R99" s="494">
        <v>2233597</v>
      </c>
      <c r="S99" s="494">
        <v>2296373</v>
      </c>
      <c r="T99" s="494">
        <v>2296373</v>
      </c>
      <c r="U99" s="494">
        <v>224592.81</v>
      </c>
      <c r="V99" s="493">
        <v>2024</v>
      </c>
      <c r="W99" s="495" t="s">
        <v>355</v>
      </c>
      <c r="X99" s="496">
        <f t="shared" si="5"/>
        <v>10.224606032579583</v>
      </c>
      <c r="Y99" s="497" t="str">
        <f t="shared" si="6"/>
        <v/>
      </c>
      <c r="Z99" s="497" t="str">
        <f t="shared" si="6"/>
        <v/>
      </c>
    </row>
    <row r="100" spans="1:26" s="82" customFormat="1" x14ac:dyDescent="0.4">
      <c r="A100" s="493">
        <v>1599</v>
      </c>
      <c r="B100" s="105" t="s">
        <v>329</v>
      </c>
      <c r="C100" s="493" t="s">
        <v>330</v>
      </c>
      <c r="D100" s="105" t="s">
        <v>439</v>
      </c>
      <c r="E100" s="105" t="s">
        <v>440</v>
      </c>
      <c r="F100" s="493">
        <v>61708</v>
      </c>
      <c r="G100" s="105" t="s">
        <v>33</v>
      </c>
      <c r="H100" s="105" t="s">
        <v>342</v>
      </c>
      <c r="I100" s="105" t="s">
        <v>334</v>
      </c>
      <c r="J100" s="493">
        <v>22</v>
      </c>
      <c r="K100" s="493">
        <v>2</v>
      </c>
      <c r="L100" s="105" t="s">
        <v>343</v>
      </c>
      <c r="M100" s="105" t="s">
        <v>360</v>
      </c>
      <c r="N100" s="105" t="s">
        <v>226</v>
      </c>
      <c r="O100" s="105" t="s">
        <v>226</v>
      </c>
      <c r="P100" s="105" t="s">
        <v>350</v>
      </c>
      <c r="Q100" s="494">
        <v>471</v>
      </c>
      <c r="R100" s="494">
        <v>471</v>
      </c>
      <c r="S100" s="494">
        <v>2732</v>
      </c>
      <c r="T100" s="494">
        <v>2732</v>
      </c>
      <c r="U100" s="494">
        <v>218.99600000000001</v>
      </c>
      <c r="V100" s="493">
        <v>2024</v>
      </c>
      <c r="W100" s="495" t="s">
        <v>355</v>
      </c>
      <c r="X100" s="496">
        <f t="shared" si="5"/>
        <v>12.475113700706862</v>
      </c>
      <c r="Y100" s="497" t="str">
        <f t="shared" si="6"/>
        <v/>
      </c>
      <c r="Z100" s="497" t="str">
        <f t="shared" si="6"/>
        <v/>
      </c>
    </row>
    <row r="101" spans="1:26" s="82" customFormat="1" x14ac:dyDescent="0.4">
      <c r="A101" s="493">
        <v>1599</v>
      </c>
      <c r="B101" s="105" t="s">
        <v>329</v>
      </c>
      <c r="C101" s="493" t="s">
        <v>330</v>
      </c>
      <c r="D101" s="105" t="s">
        <v>439</v>
      </c>
      <c r="E101" s="105" t="s">
        <v>440</v>
      </c>
      <c r="F101" s="493">
        <v>61708</v>
      </c>
      <c r="G101" s="105" t="s">
        <v>33</v>
      </c>
      <c r="H101" s="105" t="s">
        <v>342</v>
      </c>
      <c r="I101" s="105" t="s">
        <v>334</v>
      </c>
      <c r="J101" s="493">
        <v>22</v>
      </c>
      <c r="K101" s="493">
        <v>2</v>
      </c>
      <c r="L101" s="105" t="s">
        <v>343</v>
      </c>
      <c r="M101" s="105" t="s">
        <v>360</v>
      </c>
      <c r="N101" s="105" t="s">
        <v>228</v>
      </c>
      <c r="O101" s="105" t="s">
        <v>228</v>
      </c>
      <c r="P101" s="105" t="s">
        <v>356</v>
      </c>
      <c r="Q101" s="494">
        <v>16367</v>
      </c>
      <c r="R101" s="494">
        <v>16367</v>
      </c>
      <c r="S101" s="494">
        <v>16833</v>
      </c>
      <c r="T101" s="494">
        <v>16833</v>
      </c>
      <c r="U101" s="494">
        <v>-1310.845</v>
      </c>
      <c r="V101" s="493">
        <v>2024</v>
      </c>
      <c r="W101" s="495" t="s">
        <v>355</v>
      </c>
      <c r="X101" s="496" t="str">
        <f t="shared" si="5"/>
        <v/>
      </c>
      <c r="Y101" s="497" t="str">
        <f t="shared" si="6"/>
        <v/>
      </c>
      <c r="Z101" s="497" t="str">
        <f t="shared" si="6"/>
        <v/>
      </c>
    </row>
    <row r="102" spans="1:26" s="82" customFormat="1" x14ac:dyDescent="0.4">
      <c r="A102" s="493">
        <v>1599</v>
      </c>
      <c r="B102" s="105" t="s">
        <v>329</v>
      </c>
      <c r="C102" s="493" t="s">
        <v>330</v>
      </c>
      <c r="D102" s="105" t="s">
        <v>439</v>
      </c>
      <c r="E102" s="105" t="s">
        <v>440</v>
      </c>
      <c r="F102" s="493">
        <v>61708</v>
      </c>
      <c r="G102" s="105" t="s">
        <v>33</v>
      </c>
      <c r="H102" s="105" t="s">
        <v>342</v>
      </c>
      <c r="I102" s="105" t="s">
        <v>334</v>
      </c>
      <c r="J102" s="493">
        <v>22</v>
      </c>
      <c r="K102" s="493">
        <v>2</v>
      </c>
      <c r="L102" s="105" t="s">
        <v>343</v>
      </c>
      <c r="M102" s="105" t="s">
        <v>360</v>
      </c>
      <c r="N102" s="105" t="s">
        <v>238</v>
      </c>
      <c r="O102" s="105" t="s">
        <v>238</v>
      </c>
      <c r="P102" s="105" t="s">
        <v>350</v>
      </c>
      <c r="Q102" s="494">
        <v>118291</v>
      </c>
      <c r="R102" s="494">
        <v>118291</v>
      </c>
      <c r="S102" s="494">
        <v>745233</v>
      </c>
      <c r="T102" s="494">
        <v>745233</v>
      </c>
      <c r="U102" s="494">
        <v>63001.849000000002</v>
      </c>
      <c r="V102" s="493">
        <v>2024</v>
      </c>
      <c r="W102" s="495" t="s">
        <v>355</v>
      </c>
      <c r="X102" s="496">
        <f t="shared" si="5"/>
        <v>11.828748073727169</v>
      </c>
      <c r="Y102" s="497" t="str">
        <f t="shared" si="6"/>
        <v/>
      </c>
      <c r="Z102" s="497" t="str">
        <f t="shared" si="6"/>
        <v/>
      </c>
    </row>
    <row r="103" spans="1:26" s="82" customFormat="1" ht="32" x14ac:dyDescent="0.4">
      <c r="A103" s="493">
        <v>1603</v>
      </c>
      <c r="B103" s="105" t="s">
        <v>329</v>
      </c>
      <c r="C103" s="493" t="s">
        <v>330</v>
      </c>
      <c r="D103" s="105" t="s">
        <v>441</v>
      </c>
      <c r="E103" s="105" t="s">
        <v>442</v>
      </c>
      <c r="F103" s="493">
        <v>8776</v>
      </c>
      <c r="G103" s="105" t="s">
        <v>33</v>
      </c>
      <c r="H103" s="105" t="s">
        <v>342</v>
      </c>
      <c r="I103" s="105" t="s">
        <v>334</v>
      </c>
      <c r="J103" s="493">
        <v>22</v>
      </c>
      <c r="K103" s="493">
        <v>1</v>
      </c>
      <c r="L103" s="105" t="s">
        <v>335</v>
      </c>
      <c r="M103" s="105" t="s">
        <v>336</v>
      </c>
      <c r="N103" s="105" t="s">
        <v>337</v>
      </c>
      <c r="O103" s="105" t="s">
        <v>338</v>
      </c>
      <c r="P103" s="105" t="s">
        <v>339</v>
      </c>
      <c r="Q103" s="494">
        <v>0</v>
      </c>
      <c r="R103" s="494">
        <v>0</v>
      </c>
      <c r="S103" s="494">
        <v>64375</v>
      </c>
      <c r="T103" s="494">
        <v>64375</v>
      </c>
      <c r="U103" s="494">
        <v>18867</v>
      </c>
      <c r="V103" s="493">
        <v>2024</v>
      </c>
      <c r="W103" s="495"/>
      <c r="X103" s="496">
        <f t="shared" si="5"/>
        <v>3.4120421900673135</v>
      </c>
      <c r="Y103" s="497" t="str">
        <f t="shared" si="6"/>
        <v/>
      </c>
      <c r="Z103" s="497" t="str">
        <f t="shared" si="6"/>
        <v/>
      </c>
    </row>
    <row r="104" spans="1:26" s="82" customFormat="1" ht="32" x14ac:dyDescent="0.4">
      <c r="A104" s="493">
        <v>1604</v>
      </c>
      <c r="B104" s="105" t="s">
        <v>329</v>
      </c>
      <c r="C104" s="493" t="s">
        <v>330</v>
      </c>
      <c r="D104" s="105" t="s">
        <v>443</v>
      </c>
      <c r="E104" s="105" t="s">
        <v>442</v>
      </c>
      <c r="F104" s="493">
        <v>8776</v>
      </c>
      <c r="G104" s="105" t="s">
        <v>33</v>
      </c>
      <c r="H104" s="105" t="s">
        <v>342</v>
      </c>
      <c r="I104" s="105" t="s">
        <v>334</v>
      </c>
      <c r="J104" s="493">
        <v>22</v>
      </c>
      <c r="K104" s="493">
        <v>1</v>
      </c>
      <c r="L104" s="105" t="s">
        <v>335</v>
      </c>
      <c r="M104" s="105" t="s">
        <v>336</v>
      </c>
      <c r="N104" s="105" t="s">
        <v>337</v>
      </c>
      <c r="O104" s="105" t="s">
        <v>338</v>
      </c>
      <c r="P104" s="105" t="s">
        <v>339</v>
      </c>
      <c r="Q104" s="494">
        <v>0</v>
      </c>
      <c r="R104" s="494">
        <v>0</v>
      </c>
      <c r="S104" s="494">
        <v>18707</v>
      </c>
      <c r="T104" s="494">
        <v>18707</v>
      </c>
      <c r="U104" s="494">
        <v>5483</v>
      </c>
      <c r="V104" s="493">
        <v>2024</v>
      </c>
      <c r="W104" s="495"/>
      <c r="X104" s="496">
        <f t="shared" si="5"/>
        <v>3.4118183476199162</v>
      </c>
      <c r="Y104" s="497" t="str">
        <f t="shared" si="6"/>
        <v/>
      </c>
      <c r="Z104" s="497" t="str">
        <f t="shared" si="6"/>
        <v/>
      </c>
    </row>
    <row r="105" spans="1:26" s="82" customFormat="1" ht="32" x14ac:dyDescent="0.4">
      <c r="A105" s="493">
        <v>1605</v>
      </c>
      <c r="B105" s="105" t="s">
        <v>329</v>
      </c>
      <c r="C105" s="493" t="s">
        <v>330</v>
      </c>
      <c r="D105" s="105" t="s">
        <v>444</v>
      </c>
      <c r="E105" s="105" t="s">
        <v>442</v>
      </c>
      <c r="F105" s="493">
        <v>8776</v>
      </c>
      <c r="G105" s="105" t="s">
        <v>33</v>
      </c>
      <c r="H105" s="105" t="s">
        <v>342</v>
      </c>
      <c r="I105" s="105" t="s">
        <v>334</v>
      </c>
      <c r="J105" s="493">
        <v>22</v>
      </c>
      <c r="K105" s="493">
        <v>1</v>
      </c>
      <c r="L105" s="105" t="s">
        <v>335</v>
      </c>
      <c r="M105" s="105" t="s">
        <v>336</v>
      </c>
      <c r="N105" s="105" t="s">
        <v>337</v>
      </c>
      <c r="O105" s="105" t="s">
        <v>338</v>
      </c>
      <c r="P105" s="105" t="s">
        <v>339</v>
      </c>
      <c r="Q105" s="494">
        <v>0</v>
      </c>
      <c r="R105" s="494">
        <v>0</v>
      </c>
      <c r="S105" s="494">
        <v>515695</v>
      </c>
      <c r="T105" s="494">
        <v>515695</v>
      </c>
      <c r="U105" s="494">
        <v>151142</v>
      </c>
      <c r="V105" s="493">
        <v>2024</v>
      </c>
      <c r="W105" s="495"/>
      <c r="X105" s="496">
        <f t="shared" si="5"/>
        <v>3.411990049092906</v>
      </c>
      <c r="Y105" s="497" t="str">
        <f t="shared" si="6"/>
        <v/>
      </c>
      <c r="Z105" s="497" t="str">
        <f t="shared" si="6"/>
        <v/>
      </c>
    </row>
    <row r="106" spans="1:26" s="82" customFormat="1" ht="32" x14ac:dyDescent="0.4">
      <c r="A106" s="493">
        <v>1607</v>
      </c>
      <c r="B106" s="105" t="s">
        <v>329</v>
      </c>
      <c r="C106" s="493" t="s">
        <v>330</v>
      </c>
      <c r="D106" s="105" t="s">
        <v>445</v>
      </c>
      <c r="E106" s="105" t="s">
        <v>442</v>
      </c>
      <c r="F106" s="493">
        <v>8776</v>
      </c>
      <c r="G106" s="105" t="s">
        <v>33</v>
      </c>
      <c r="H106" s="105" t="s">
        <v>342</v>
      </c>
      <c r="I106" s="105" t="s">
        <v>334</v>
      </c>
      <c r="J106" s="493">
        <v>22</v>
      </c>
      <c r="K106" s="493">
        <v>1</v>
      </c>
      <c r="L106" s="105" t="s">
        <v>335</v>
      </c>
      <c r="M106" s="105" t="s">
        <v>336</v>
      </c>
      <c r="N106" s="105" t="s">
        <v>337</v>
      </c>
      <c r="O106" s="105" t="s">
        <v>338</v>
      </c>
      <c r="P106" s="105" t="s">
        <v>339</v>
      </c>
      <c r="Q106" s="494">
        <v>0</v>
      </c>
      <c r="R106" s="494">
        <v>0</v>
      </c>
      <c r="S106" s="494">
        <v>131167</v>
      </c>
      <c r="T106" s="494">
        <v>131167</v>
      </c>
      <c r="U106" s="494">
        <v>38443</v>
      </c>
      <c r="V106" s="493">
        <v>2024</v>
      </c>
      <c r="W106" s="495"/>
      <c r="X106" s="496">
        <f t="shared" si="5"/>
        <v>3.4119865775303695</v>
      </c>
      <c r="Y106" s="497" t="str">
        <f t="shared" si="6"/>
        <v/>
      </c>
      <c r="Z106" s="497" t="str">
        <f t="shared" si="6"/>
        <v/>
      </c>
    </row>
    <row r="107" spans="1:26" s="82" customFormat="1" x14ac:dyDescent="0.4">
      <c r="A107" s="493">
        <v>1615</v>
      </c>
      <c r="B107" s="105" t="s">
        <v>329</v>
      </c>
      <c r="C107" s="493" t="s">
        <v>330</v>
      </c>
      <c r="D107" s="105" t="s">
        <v>446</v>
      </c>
      <c r="E107" s="105" t="s">
        <v>447</v>
      </c>
      <c r="F107" s="493">
        <v>13206</v>
      </c>
      <c r="G107" s="105" t="s">
        <v>33</v>
      </c>
      <c r="H107" s="105" t="s">
        <v>342</v>
      </c>
      <c r="I107" s="105" t="s">
        <v>334</v>
      </c>
      <c r="J107" s="493">
        <v>22</v>
      </c>
      <c r="K107" s="493">
        <v>1</v>
      </c>
      <c r="L107" s="105" t="s">
        <v>335</v>
      </c>
      <c r="M107" s="105" t="s">
        <v>403</v>
      </c>
      <c r="N107" s="105" t="s">
        <v>404</v>
      </c>
      <c r="O107" s="105" t="s">
        <v>232</v>
      </c>
      <c r="P107" s="105" t="s">
        <v>346</v>
      </c>
      <c r="Q107" s="494">
        <v>346</v>
      </c>
      <c r="R107" s="494">
        <v>346</v>
      </c>
      <c r="S107" s="494">
        <v>0</v>
      </c>
      <c r="T107" s="494">
        <v>0</v>
      </c>
      <c r="U107" s="494">
        <v>-182</v>
      </c>
      <c r="V107" s="493">
        <v>2024</v>
      </c>
      <c r="W107" s="495"/>
      <c r="X107" s="496" t="str">
        <f t="shared" si="5"/>
        <v/>
      </c>
      <c r="Y107" s="497" t="str">
        <f t="shared" si="6"/>
        <v/>
      </c>
      <c r="Z107" s="497" t="str">
        <f t="shared" si="6"/>
        <v/>
      </c>
    </row>
    <row r="108" spans="1:26" s="82" customFormat="1" x14ac:dyDescent="0.4">
      <c r="A108" s="493">
        <v>1615</v>
      </c>
      <c r="B108" s="105" t="s">
        <v>329</v>
      </c>
      <c r="C108" s="493" t="s">
        <v>330</v>
      </c>
      <c r="D108" s="105" t="s">
        <v>446</v>
      </c>
      <c r="E108" s="105" t="s">
        <v>447</v>
      </c>
      <c r="F108" s="493">
        <v>13206</v>
      </c>
      <c r="G108" s="105" t="s">
        <v>33</v>
      </c>
      <c r="H108" s="105" t="s">
        <v>342</v>
      </c>
      <c r="I108" s="105" t="s">
        <v>334</v>
      </c>
      <c r="J108" s="493">
        <v>22</v>
      </c>
      <c r="K108" s="493">
        <v>1</v>
      </c>
      <c r="L108" s="105" t="s">
        <v>335</v>
      </c>
      <c r="M108" s="105" t="s">
        <v>295</v>
      </c>
      <c r="N108" s="105" t="s">
        <v>226</v>
      </c>
      <c r="O108" s="105" t="s">
        <v>226</v>
      </c>
      <c r="P108" s="105" t="s">
        <v>350</v>
      </c>
      <c r="Q108" s="494">
        <v>697</v>
      </c>
      <c r="R108" s="494">
        <v>697</v>
      </c>
      <c r="S108" s="494">
        <v>4050</v>
      </c>
      <c r="T108" s="494">
        <v>4050</v>
      </c>
      <c r="U108" s="494">
        <v>156</v>
      </c>
      <c r="V108" s="493">
        <v>2024</v>
      </c>
      <c r="W108" s="495"/>
      <c r="X108" s="496">
        <f t="shared" si="5"/>
        <v>25.96153846153846</v>
      </c>
      <c r="Y108" s="497" t="str">
        <f t="shared" ref="Y108:Z127" si="7">IF(AND($M108=$Y$2,$N108=$Y$3,NOT($Q108=$R108),NOT($U108=0)),IF($K108=5,$S108/($U108+(8/5)*$U108),IF($K108=7,$S108/($U108+(29/25)*$U108),"")),"")</f>
        <v/>
      </c>
      <c r="Z108" s="497" t="str">
        <f t="shared" si="7"/>
        <v/>
      </c>
    </row>
    <row r="109" spans="1:26" s="82" customFormat="1" x14ac:dyDescent="0.4">
      <c r="A109" s="493">
        <v>1615</v>
      </c>
      <c r="B109" s="105" t="s">
        <v>329</v>
      </c>
      <c r="C109" s="493" t="s">
        <v>330</v>
      </c>
      <c r="D109" s="105" t="s">
        <v>446</v>
      </c>
      <c r="E109" s="105" t="s">
        <v>447</v>
      </c>
      <c r="F109" s="493">
        <v>13206</v>
      </c>
      <c r="G109" s="105" t="s">
        <v>33</v>
      </c>
      <c r="H109" s="105" t="s">
        <v>342</v>
      </c>
      <c r="I109" s="105" t="s">
        <v>334</v>
      </c>
      <c r="J109" s="493">
        <v>22</v>
      </c>
      <c r="K109" s="493">
        <v>1</v>
      </c>
      <c r="L109" s="105" t="s">
        <v>335</v>
      </c>
      <c r="M109" s="105" t="s">
        <v>359</v>
      </c>
      <c r="N109" s="105" t="s">
        <v>226</v>
      </c>
      <c r="O109" s="105" t="s">
        <v>226</v>
      </c>
      <c r="P109" s="105" t="s">
        <v>350</v>
      </c>
      <c r="Q109" s="494">
        <v>1</v>
      </c>
      <c r="R109" s="494">
        <v>1</v>
      </c>
      <c r="S109" s="494">
        <v>6</v>
      </c>
      <c r="T109" s="494">
        <v>6</v>
      </c>
      <c r="U109" s="494">
        <v>0</v>
      </c>
      <c r="V109" s="493">
        <v>2024</v>
      </c>
      <c r="W109" s="495"/>
      <c r="X109" s="496" t="str">
        <f t="shared" si="5"/>
        <v/>
      </c>
      <c r="Y109" s="497" t="str">
        <f t="shared" si="7"/>
        <v/>
      </c>
      <c r="Z109" s="497" t="str">
        <f t="shared" si="7"/>
        <v/>
      </c>
    </row>
    <row r="110" spans="1:26" s="82" customFormat="1" x14ac:dyDescent="0.4">
      <c r="A110" s="493">
        <v>1620</v>
      </c>
      <c r="B110" s="105" t="s">
        <v>329</v>
      </c>
      <c r="C110" s="493" t="s">
        <v>330</v>
      </c>
      <c r="D110" s="105" t="s">
        <v>448</v>
      </c>
      <c r="E110" s="105" t="s">
        <v>449</v>
      </c>
      <c r="F110" s="493">
        <v>61122</v>
      </c>
      <c r="G110" s="105" t="s">
        <v>33</v>
      </c>
      <c r="H110" s="105" t="s">
        <v>342</v>
      </c>
      <c r="I110" s="105" t="s">
        <v>334</v>
      </c>
      <c r="J110" s="493">
        <v>22</v>
      </c>
      <c r="K110" s="493">
        <v>2</v>
      </c>
      <c r="L110" s="105" t="s">
        <v>343</v>
      </c>
      <c r="M110" s="105" t="s">
        <v>336</v>
      </c>
      <c r="N110" s="105" t="s">
        <v>337</v>
      </c>
      <c r="O110" s="105" t="s">
        <v>338</v>
      </c>
      <c r="P110" s="105" t="s">
        <v>339</v>
      </c>
      <c r="Q110" s="494">
        <v>0</v>
      </c>
      <c r="R110" s="494">
        <v>0</v>
      </c>
      <c r="S110" s="494">
        <v>143607</v>
      </c>
      <c r="T110" s="494">
        <v>143607</v>
      </c>
      <c r="U110" s="494">
        <v>42082</v>
      </c>
      <c r="V110" s="493">
        <v>2024</v>
      </c>
      <c r="W110" s="495"/>
      <c r="X110" s="496">
        <f t="shared" si="5"/>
        <v>3.4125516848058552</v>
      </c>
      <c r="Y110" s="497" t="str">
        <f t="shared" si="7"/>
        <v/>
      </c>
      <c r="Z110" s="497" t="str">
        <f t="shared" si="7"/>
        <v/>
      </c>
    </row>
    <row r="111" spans="1:26" s="82" customFormat="1" ht="32" x14ac:dyDescent="0.4">
      <c r="A111" s="493">
        <v>1629</v>
      </c>
      <c r="B111" s="105" t="s">
        <v>329</v>
      </c>
      <c r="C111" s="493" t="s">
        <v>330</v>
      </c>
      <c r="D111" s="105" t="s">
        <v>450</v>
      </c>
      <c r="E111" s="105" t="s">
        <v>362</v>
      </c>
      <c r="F111" s="493">
        <v>58185</v>
      </c>
      <c r="G111" s="105" t="s">
        <v>33</v>
      </c>
      <c r="H111" s="105" t="s">
        <v>342</v>
      </c>
      <c r="I111" s="105" t="s">
        <v>334</v>
      </c>
      <c r="J111" s="493">
        <v>22</v>
      </c>
      <c r="K111" s="493">
        <v>2</v>
      </c>
      <c r="L111" s="105" t="s">
        <v>343</v>
      </c>
      <c r="M111" s="105" t="s">
        <v>336</v>
      </c>
      <c r="N111" s="105" t="s">
        <v>337</v>
      </c>
      <c r="O111" s="105" t="s">
        <v>338</v>
      </c>
      <c r="P111" s="105" t="s">
        <v>339</v>
      </c>
      <c r="Q111" s="494">
        <v>0</v>
      </c>
      <c r="R111" s="494">
        <v>0</v>
      </c>
      <c r="S111" s="494">
        <v>1038072</v>
      </c>
      <c r="T111" s="494">
        <v>1038072</v>
      </c>
      <c r="U111" s="494">
        <v>304242</v>
      </c>
      <c r="V111" s="493">
        <v>2024</v>
      </c>
      <c r="W111" s="495"/>
      <c r="X111" s="496">
        <f t="shared" si="5"/>
        <v>3.4119943991953772</v>
      </c>
      <c r="Y111" s="497" t="str">
        <f t="shared" si="7"/>
        <v/>
      </c>
      <c r="Z111" s="497" t="str">
        <f t="shared" si="7"/>
        <v/>
      </c>
    </row>
    <row r="112" spans="1:26" s="82" customFormat="1" ht="32" x14ac:dyDescent="0.4">
      <c r="A112" s="493">
        <v>1630</v>
      </c>
      <c r="B112" s="105" t="s">
        <v>329</v>
      </c>
      <c r="C112" s="493" t="s">
        <v>330</v>
      </c>
      <c r="D112" s="105" t="s">
        <v>451</v>
      </c>
      <c r="E112" s="105" t="s">
        <v>442</v>
      </c>
      <c r="F112" s="493">
        <v>8776</v>
      </c>
      <c r="G112" s="105" t="s">
        <v>33</v>
      </c>
      <c r="H112" s="105" t="s">
        <v>342</v>
      </c>
      <c r="I112" s="105" t="s">
        <v>334</v>
      </c>
      <c r="J112" s="493">
        <v>22</v>
      </c>
      <c r="K112" s="493">
        <v>1</v>
      </c>
      <c r="L112" s="105" t="s">
        <v>335</v>
      </c>
      <c r="M112" s="105" t="s">
        <v>336</v>
      </c>
      <c r="N112" s="105" t="s">
        <v>337</v>
      </c>
      <c r="O112" s="105" t="s">
        <v>338</v>
      </c>
      <c r="P112" s="105" t="s">
        <v>339</v>
      </c>
      <c r="Q112" s="494">
        <v>0</v>
      </c>
      <c r="R112" s="494">
        <v>0</v>
      </c>
      <c r="S112" s="494">
        <v>26699</v>
      </c>
      <c r="T112" s="494">
        <v>26699</v>
      </c>
      <c r="U112" s="494">
        <v>7818</v>
      </c>
      <c r="V112" s="493">
        <v>2024</v>
      </c>
      <c r="W112" s="495"/>
      <c r="X112" s="496">
        <f t="shared" si="5"/>
        <v>3.4150677922742387</v>
      </c>
      <c r="Y112" s="497" t="str">
        <f t="shared" si="7"/>
        <v/>
      </c>
      <c r="Z112" s="497" t="str">
        <f t="shared" si="7"/>
        <v/>
      </c>
    </row>
    <row r="113" spans="1:26" s="82" customFormat="1" ht="32" x14ac:dyDescent="0.4">
      <c r="A113" s="493">
        <v>1634</v>
      </c>
      <c r="B113" s="105" t="s">
        <v>329</v>
      </c>
      <c r="C113" s="493" t="s">
        <v>330</v>
      </c>
      <c r="D113" s="105" t="s">
        <v>452</v>
      </c>
      <c r="E113" s="105" t="s">
        <v>453</v>
      </c>
      <c r="F113" s="493">
        <v>61350</v>
      </c>
      <c r="G113" s="105" t="s">
        <v>33</v>
      </c>
      <c r="H113" s="105" t="s">
        <v>342</v>
      </c>
      <c r="I113" s="105" t="s">
        <v>334</v>
      </c>
      <c r="J113" s="493">
        <v>22</v>
      </c>
      <c r="K113" s="493">
        <v>2</v>
      </c>
      <c r="L113" s="105" t="s">
        <v>343</v>
      </c>
      <c r="M113" s="105" t="s">
        <v>336</v>
      </c>
      <c r="N113" s="105" t="s">
        <v>337</v>
      </c>
      <c r="O113" s="105" t="s">
        <v>338</v>
      </c>
      <c r="P113" s="105" t="s">
        <v>339</v>
      </c>
      <c r="Q113" s="494">
        <v>0</v>
      </c>
      <c r="R113" s="494">
        <v>0</v>
      </c>
      <c r="S113" s="494">
        <v>37758</v>
      </c>
      <c r="T113" s="494">
        <v>37758</v>
      </c>
      <c r="U113" s="494">
        <v>11066</v>
      </c>
      <c r="V113" s="493">
        <v>2024</v>
      </c>
      <c r="W113" s="495"/>
      <c r="X113" s="496">
        <f t="shared" si="5"/>
        <v>3.4120730164467741</v>
      </c>
      <c r="Y113" s="497" t="str">
        <f t="shared" si="7"/>
        <v/>
      </c>
      <c r="Z113" s="497" t="str">
        <f t="shared" si="7"/>
        <v/>
      </c>
    </row>
    <row r="114" spans="1:26" s="82" customFormat="1" ht="32" x14ac:dyDescent="0.4">
      <c r="A114" s="493">
        <v>1637</v>
      </c>
      <c r="B114" s="105" t="s">
        <v>329</v>
      </c>
      <c r="C114" s="493" t="s">
        <v>330</v>
      </c>
      <c r="D114" s="105" t="s">
        <v>454</v>
      </c>
      <c r="E114" s="105" t="s">
        <v>453</v>
      </c>
      <c r="F114" s="493">
        <v>61350</v>
      </c>
      <c r="G114" s="105" t="s">
        <v>33</v>
      </c>
      <c r="H114" s="105" t="s">
        <v>342</v>
      </c>
      <c r="I114" s="105" t="s">
        <v>334</v>
      </c>
      <c r="J114" s="493">
        <v>22</v>
      </c>
      <c r="K114" s="493">
        <v>2</v>
      </c>
      <c r="L114" s="105" t="s">
        <v>343</v>
      </c>
      <c r="M114" s="105" t="s">
        <v>336</v>
      </c>
      <c r="N114" s="105" t="s">
        <v>337</v>
      </c>
      <c r="O114" s="105" t="s">
        <v>338</v>
      </c>
      <c r="P114" s="105" t="s">
        <v>339</v>
      </c>
      <c r="Q114" s="494">
        <v>0</v>
      </c>
      <c r="R114" s="494">
        <v>0</v>
      </c>
      <c r="S114" s="494">
        <v>54536</v>
      </c>
      <c r="T114" s="494">
        <v>54536</v>
      </c>
      <c r="U114" s="494">
        <v>15984</v>
      </c>
      <c r="V114" s="493">
        <v>2024</v>
      </c>
      <c r="W114" s="495"/>
      <c r="X114" s="496">
        <f t="shared" si="5"/>
        <v>3.4119119119119121</v>
      </c>
      <c r="Y114" s="497" t="str">
        <f t="shared" si="7"/>
        <v/>
      </c>
      <c r="Z114" s="497" t="str">
        <f t="shared" si="7"/>
        <v/>
      </c>
    </row>
    <row r="115" spans="1:26" s="82" customFormat="1" ht="32" x14ac:dyDescent="0.4">
      <c r="A115" s="493">
        <v>1638</v>
      </c>
      <c r="B115" s="105" t="s">
        <v>329</v>
      </c>
      <c r="C115" s="493" t="s">
        <v>330</v>
      </c>
      <c r="D115" s="105" t="s">
        <v>455</v>
      </c>
      <c r="E115" s="105" t="s">
        <v>453</v>
      </c>
      <c r="F115" s="493">
        <v>61350</v>
      </c>
      <c r="G115" s="105" t="s">
        <v>33</v>
      </c>
      <c r="H115" s="105" t="s">
        <v>342</v>
      </c>
      <c r="I115" s="105" t="s">
        <v>334</v>
      </c>
      <c r="J115" s="493">
        <v>22</v>
      </c>
      <c r="K115" s="493">
        <v>2</v>
      </c>
      <c r="L115" s="105" t="s">
        <v>343</v>
      </c>
      <c r="M115" s="105" t="s">
        <v>336</v>
      </c>
      <c r="N115" s="105" t="s">
        <v>337</v>
      </c>
      <c r="O115" s="105" t="s">
        <v>338</v>
      </c>
      <c r="P115" s="105" t="s">
        <v>339</v>
      </c>
      <c r="Q115" s="494">
        <v>0</v>
      </c>
      <c r="R115" s="494">
        <v>0</v>
      </c>
      <c r="S115" s="494">
        <v>0</v>
      </c>
      <c r="T115" s="494">
        <v>0</v>
      </c>
      <c r="U115" s="494">
        <v>0</v>
      </c>
      <c r="V115" s="493">
        <v>2024</v>
      </c>
      <c r="W115" s="495"/>
      <c r="X115" s="496" t="str">
        <f t="shared" si="5"/>
        <v/>
      </c>
      <c r="Y115" s="497" t="str">
        <f t="shared" si="7"/>
        <v/>
      </c>
      <c r="Z115" s="497" t="str">
        <f t="shared" si="7"/>
        <v/>
      </c>
    </row>
    <row r="116" spans="1:26" s="82" customFormat="1" x14ac:dyDescent="0.4">
      <c r="A116" s="493">
        <v>1660</v>
      </c>
      <c r="B116" s="105" t="s">
        <v>329</v>
      </c>
      <c r="C116" s="493" t="s">
        <v>330</v>
      </c>
      <c r="D116" s="105" t="s">
        <v>456</v>
      </c>
      <c r="E116" s="105" t="s">
        <v>457</v>
      </c>
      <c r="F116" s="493">
        <v>2144</v>
      </c>
      <c r="G116" s="105" t="s">
        <v>33</v>
      </c>
      <c r="H116" s="105" t="s">
        <v>342</v>
      </c>
      <c r="I116" s="105" t="s">
        <v>334</v>
      </c>
      <c r="J116" s="493">
        <v>22</v>
      </c>
      <c r="K116" s="493">
        <v>1</v>
      </c>
      <c r="L116" s="105" t="s">
        <v>335</v>
      </c>
      <c r="M116" s="105" t="s">
        <v>380</v>
      </c>
      <c r="N116" s="105" t="s">
        <v>226</v>
      </c>
      <c r="O116" s="105" t="s">
        <v>226</v>
      </c>
      <c r="P116" s="105" t="s">
        <v>350</v>
      </c>
      <c r="Q116" s="494">
        <v>0</v>
      </c>
      <c r="R116" s="494">
        <v>0</v>
      </c>
      <c r="S116" s="494">
        <v>0</v>
      </c>
      <c r="T116" s="494">
        <v>0</v>
      </c>
      <c r="U116" s="494">
        <v>0</v>
      </c>
      <c r="V116" s="493">
        <v>2024</v>
      </c>
      <c r="W116" s="495" t="s">
        <v>355</v>
      </c>
      <c r="X116" s="496" t="str">
        <f t="shared" si="5"/>
        <v/>
      </c>
      <c r="Y116" s="497" t="str">
        <f t="shared" si="7"/>
        <v/>
      </c>
      <c r="Z116" s="497" t="str">
        <f t="shared" si="7"/>
        <v/>
      </c>
    </row>
    <row r="117" spans="1:26" s="82" customFormat="1" x14ac:dyDescent="0.4">
      <c r="A117" s="493">
        <v>1660</v>
      </c>
      <c r="B117" s="105" t="s">
        <v>329</v>
      </c>
      <c r="C117" s="493" t="s">
        <v>330</v>
      </c>
      <c r="D117" s="105" t="s">
        <v>456</v>
      </c>
      <c r="E117" s="105" t="s">
        <v>457</v>
      </c>
      <c r="F117" s="493">
        <v>2144</v>
      </c>
      <c r="G117" s="105" t="s">
        <v>33</v>
      </c>
      <c r="H117" s="105" t="s">
        <v>342</v>
      </c>
      <c r="I117" s="105" t="s">
        <v>334</v>
      </c>
      <c r="J117" s="493">
        <v>22</v>
      </c>
      <c r="K117" s="493">
        <v>1</v>
      </c>
      <c r="L117" s="105" t="s">
        <v>335</v>
      </c>
      <c r="M117" s="105" t="s">
        <v>380</v>
      </c>
      <c r="N117" s="105" t="s">
        <v>228</v>
      </c>
      <c r="O117" s="105" t="s">
        <v>228</v>
      </c>
      <c r="P117" s="105" t="s">
        <v>356</v>
      </c>
      <c r="Q117" s="494">
        <v>0</v>
      </c>
      <c r="R117" s="494">
        <v>0</v>
      </c>
      <c r="S117" s="494">
        <v>0</v>
      </c>
      <c r="T117" s="494">
        <v>0</v>
      </c>
      <c r="U117" s="494">
        <v>0</v>
      </c>
      <c r="V117" s="493">
        <v>2024</v>
      </c>
      <c r="W117" s="495" t="s">
        <v>355</v>
      </c>
      <c r="X117" s="496" t="str">
        <f t="shared" si="5"/>
        <v/>
      </c>
      <c r="Y117" s="497" t="str">
        <f t="shared" si="7"/>
        <v/>
      </c>
      <c r="Z117" s="497" t="str">
        <f t="shared" si="7"/>
        <v/>
      </c>
    </row>
    <row r="118" spans="1:26" s="82" customFormat="1" x14ac:dyDescent="0.4">
      <c r="A118" s="493">
        <v>1660</v>
      </c>
      <c r="B118" s="105" t="s">
        <v>329</v>
      </c>
      <c r="C118" s="493" t="s">
        <v>330</v>
      </c>
      <c r="D118" s="105" t="s">
        <v>456</v>
      </c>
      <c r="E118" s="105" t="s">
        <v>457</v>
      </c>
      <c r="F118" s="493">
        <v>2144</v>
      </c>
      <c r="G118" s="105" t="s">
        <v>33</v>
      </c>
      <c r="H118" s="105" t="s">
        <v>342</v>
      </c>
      <c r="I118" s="105" t="s">
        <v>334</v>
      </c>
      <c r="J118" s="493">
        <v>22</v>
      </c>
      <c r="K118" s="493">
        <v>1</v>
      </c>
      <c r="L118" s="105" t="s">
        <v>335</v>
      </c>
      <c r="M118" s="105" t="s">
        <v>37</v>
      </c>
      <c r="N118" s="105" t="s">
        <v>226</v>
      </c>
      <c r="O118" s="105" t="s">
        <v>226</v>
      </c>
      <c r="P118" s="105" t="s">
        <v>350</v>
      </c>
      <c r="Q118" s="494">
        <v>0</v>
      </c>
      <c r="R118" s="494">
        <v>0</v>
      </c>
      <c r="S118" s="494">
        <v>0</v>
      </c>
      <c r="T118" s="494">
        <v>0</v>
      </c>
      <c r="U118" s="494">
        <v>0</v>
      </c>
      <c r="V118" s="493">
        <v>2024</v>
      </c>
      <c r="W118" s="495" t="s">
        <v>355</v>
      </c>
      <c r="X118" s="496" t="str">
        <f t="shared" si="5"/>
        <v/>
      </c>
      <c r="Y118" s="497" t="str">
        <f t="shared" si="7"/>
        <v/>
      </c>
      <c r="Z118" s="497" t="str">
        <f t="shared" si="7"/>
        <v/>
      </c>
    </row>
    <row r="119" spans="1:26" s="82" customFormat="1" x14ac:dyDescent="0.4">
      <c r="A119" s="493">
        <v>1660</v>
      </c>
      <c r="B119" s="105" t="s">
        <v>329</v>
      </c>
      <c r="C119" s="493" t="s">
        <v>330</v>
      </c>
      <c r="D119" s="105" t="s">
        <v>456</v>
      </c>
      <c r="E119" s="105" t="s">
        <v>457</v>
      </c>
      <c r="F119" s="493">
        <v>2144</v>
      </c>
      <c r="G119" s="105" t="s">
        <v>33</v>
      </c>
      <c r="H119" s="105" t="s">
        <v>342</v>
      </c>
      <c r="I119" s="105" t="s">
        <v>334</v>
      </c>
      <c r="J119" s="493">
        <v>22</v>
      </c>
      <c r="K119" s="493">
        <v>1</v>
      </c>
      <c r="L119" s="105" t="s">
        <v>335</v>
      </c>
      <c r="M119" s="105" t="s">
        <v>37</v>
      </c>
      <c r="N119" s="105" t="s">
        <v>228</v>
      </c>
      <c r="O119" s="105" t="s">
        <v>228</v>
      </c>
      <c r="P119" s="105" t="s">
        <v>356</v>
      </c>
      <c r="Q119" s="494">
        <v>0</v>
      </c>
      <c r="R119" s="494">
        <v>0</v>
      </c>
      <c r="S119" s="494">
        <v>0</v>
      </c>
      <c r="T119" s="494">
        <v>0</v>
      </c>
      <c r="U119" s="494">
        <v>0</v>
      </c>
      <c r="V119" s="493">
        <v>2024</v>
      </c>
      <c r="W119" s="495" t="s">
        <v>355</v>
      </c>
      <c r="X119" s="496" t="str">
        <f t="shared" si="5"/>
        <v/>
      </c>
      <c r="Y119" s="497" t="str">
        <f t="shared" si="7"/>
        <v/>
      </c>
      <c r="Z119" s="497" t="str">
        <f t="shared" si="7"/>
        <v/>
      </c>
    </row>
    <row r="120" spans="1:26" s="82" customFormat="1" x14ac:dyDescent="0.4">
      <c r="A120" s="493">
        <v>1660</v>
      </c>
      <c r="B120" s="105" t="s">
        <v>329</v>
      </c>
      <c r="C120" s="493" t="s">
        <v>330</v>
      </c>
      <c r="D120" s="105" t="s">
        <v>456</v>
      </c>
      <c r="E120" s="105" t="s">
        <v>457</v>
      </c>
      <c r="F120" s="493">
        <v>2144</v>
      </c>
      <c r="G120" s="105" t="s">
        <v>33</v>
      </c>
      <c r="H120" s="105" t="s">
        <v>342</v>
      </c>
      <c r="I120" s="105" t="s">
        <v>334</v>
      </c>
      <c r="J120" s="493">
        <v>22</v>
      </c>
      <c r="K120" s="493">
        <v>1</v>
      </c>
      <c r="L120" s="105" t="s">
        <v>335</v>
      </c>
      <c r="M120" s="105" t="s">
        <v>295</v>
      </c>
      <c r="N120" s="105" t="s">
        <v>226</v>
      </c>
      <c r="O120" s="105" t="s">
        <v>226</v>
      </c>
      <c r="P120" s="105" t="s">
        <v>350</v>
      </c>
      <c r="Q120" s="494">
        <v>2274</v>
      </c>
      <c r="R120" s="494">
        <v>2274</v>
      </c>
      <c r="S120" s="494">
        <v>13211</v>
      </c>
      <c r="T120" s="494">
        <v>13211</v>
      </c>
      <c r="U120" s="494">
        <v>1419.972</v>
      </c>
      <c r="V120" s="493">
        <v>2024</v>
      </c>
      <c r="W120" s="495" t="s">
        <v>355</v>
      </c>
      <c r="X120" s="496">
        <f t="shared" si="5"/>
        <v>9.3037045800903115</v>
      </c>
      <c r="Y120" s="497" t="str">
        <f t="shared" si="7"/>
        <v/>
      </c>
      <c r="Z120" s="497" t="str">
        <f t="shared" si="7"/>
        <v/>
      </c>
    </row>
    <row r="121" spans="1:26" s="82" customFormat="1" x14ac:dyDescent="0.4">
      <c r="A121" s="493">
        <v>1660</v>
      </c>
      <c r="B121" s="105" t="s">
        <v>329</v>
      </c>
      <c r="C121" s="493" t="s">
        <v>330</v>
      </c>
      <c r="D121" s="105" t="s">
        <v>456</v>
      </c>
      <c r="E121" s="105" t="s">
        <v>457</v>
      </c>
      <c r="F121" s="493">
        <v>2144</v>
      </c>
      <c r="G121" s="105" t="s">
        <v>33</v>
      </c>
      <c r="H121" s="105" t="s">
        <v>342</v>
      </c>
      <c r="I121" s="105" t="s">
        <v>334</v>
      </c>
      <c r="J121" s="493">
        <v>22</v>
      </c>
      <c r="K121" s="493">
        <v>1</v>
      </c>
      <c r="L121" s="105" t="s">
        <v>335</v>
      </c>
      <c r="M121" s="105" t="s">
        <v>295</v>
      </c>
      <c r="N121" s="105" t="s">
        <v>228</v>
      </c>
      <c r="O121" s="105" t="s">
        <v>228</v>
      </c>
      <c r="P121" s="105" t="s">
        <v>356</v>
      </c>
      <c r="Q121" s="494">
        <v>198185</v>
      </c>
      <c r="R121" s="494">
        <v>198185</v>
      </c>
      <c r="S121" s="494">
        <v>203734</v>
      </c>
      <c r="T121" s="494">
        <v>203734</v>
      </c>
      <c r="U121" s="494">
        <v>21910.026999999998</v>
      </c>
      <c r="V121" s="493">
        <v>2024</v>
      </c>
      <c r="W121" s="495" t="s">
        <v>355</v>
      </c>
      <c r="X121" s="496">
        <f t="shared" si="5"/>
        <v>9.298664944593634</v>
      </c>
      <c r="Y121" s="497" t="str">
        <f t="shared" si="7"/>
        <v/>
      </c>
      <c r="Z121" s="497" t="str">
        <f t="shared" si="7"/>
        <v/>
      </c>
    </row>
    <row r="122" spans="1:26" s="82" customFormat="1" x14ac:dyDescent="0.4">
      <c r="A122" s="493">
        <v>1660</v>
      </c>
      <c r="B122" s="105" t="s">
        <v>329</v>
      </c>
      <c r="C122" s="493" t="s">
        <v>330</v>
      </c>
      <c r="D122" s="105" t="s">
        <v>456</v>
      </c>
      <c r="E122" s="105" t="s">
        <v>457</v>
      </c>
      <c r="F122" s="493">
        <v>2144</v>
      </c>
      <c r="G122" s="105" t="s">
        <v>33</v>
      </c>
      <c r="H122" s="105" t="s">
        <v>342</v>
      </c>
      <c r="I122" s="105" t="s">
        <v>334</v>
      </c>
      <c r="J122" s="493">
        <v>22</v>
      </c>
      <c r="K122" s="493">
        <v>1</v>
      </c>
      <c r="L122" s="105" t="s">
        <v>335</v>
      </c>
      <c r="M122" s="105" t="s">
        <v>359</v>
      </c>
      <c r="N122" s="105" t="s">
        <v>226</v>
      </c>
      <c r="O122" s="105" t="s">
        <v>226</v>
      </c>
      <c r="P122" s="105" t="s">
        <v>350</v>
      </c>
      <c r="Q122" s="494">
        <v>0</v>
      </c>
      <c r="R122" s="494">
        <v>0</v>
      </c>
      <c r="S122" s="494">
        <v>0</v>
      </c>
      <c r="T122" s="494">
        <v>0</v>
      </c>
      <c r="U122" s="494">
        <v>0</v>
      </c>
      <c r="V122" s="493">
        <v>2024</v>
      </c>
      <c r="W122" s="495"/>
      <c r="X122" s="496" t="str">
        <f t="shared" si="5"/>
        <v/>
      </c>
      <c r="Y122" s="497" t="str">
        <f t="shared" si="7"/>
        <v/>
      </c>
      <c r="Z122" s="497" t="str">
        <f t="shared" si="7"/>
        <v/>
      </c>
    </row>
    <row r="123" spans="1:26" s="82" customFormat="1" x14ac:dyDescent="0.4">
      <c r="A123" s="493">
        <v>1670</v>
      </c>
      <c r="B123" s="105" t="s">
        <v>329</v>
      </c>
      <c r="C123" s="493" t="s">
        <v>330</v>
      </c>
      <c r="D123" s="105" t="s">
        <v>458</v>
      </c>
      <c r="E123" s="105" t="s">
        <v>459</v>
      </c>
      <c r="F123" s="493">
        <v>9442</v>
      </c>
      <c r="G123" s="105" t="s">
        <v>33</v>
      </c>
      <c r="H123" s="105" t="s">
        <v>342</v>
      </c>
      <c r="I123" s="105" t="s">
        <v>334</v>
      </c>
      <c r="J123" s="493">
        <v>22</v>
      </c>
      <c r="K123" s="493">
        <v>1</v>
      </c>
      <c r="L123" s="105" t="s">
        <v>335</v>
      </c>
      <c r="M123" s="105" t="s">
        <v>359</v>
      </c>
      <c r="N123" s="105" t="s">
        <v>226</v>
      </c>
      <c r="O123" s="105" t="s">
        <v>226</v>
      </c>
      <c r="P123" s="105" t="s">
        <v>350</v>
      </c>
      <c r="Q123" s="494">
        <v>31</v>
      </c>
      <c r="R123" s="494">
        <v>31</v>
      </c>
      <c r="S123" s="494">
        <v>181</v>
      </c>
      <c r="T123" s="494">
        <v>181</v>
      </c>
      <c r="U123" s="494">
        <v>15.909000000000001</v>
      </c>
      <c r="V123" s="493">
        <v>2024</v>
      </c>
      <c r="W123" s="495"/>
      <c r="X123" s="496">
        <f t="shared" si="5"/>
        <v>11.377207869759255</v>
      </c>
      <c r="Y123" s="497" t="str">
        <f t="shared" si="7"/>
        <v/>
      </c>
      <c r="Z123" s="497" t="str">
        <f t="shared" si="7"/>
        <v/>
      </c>
    </row>
    <row r="124" spans="1:26" s="82" customFormat="1" x14ac:dyDescent="0.4">
      <c r="A124" s="493">
        <v>1670</v>
      </c>
      <c r="B124" s="105" t="s">
        <v>329</v>
      </c>
      <c r="C124" s="493" t="s">
        <v>330</v>
      </c>
      <c r="D124" s="105" t="s">
        <v>458</v>
      </c>
      <c r="E124" s="105" t="s">
        <v>459</v>
      </c>
      <c r="F124" s="493">
        <v>9442</v>
      </c>
      <c r="G124" s="105" t="s">
        <v>33</v>
      </c>
      <c r="H124" s="105" t="s">
        <v>342</v>
      </c>
      <c r="I124" s="105" t="s">
        <v>334</v>
      </c>
      <c r="J124" s="493">
        <v>22</v>
      </c>
      <c r="K124" s="493">
        <v>1</v>
      </c>
      <c r="L124" s="105" t="s">
        <v>335</v>
      </c>
      <c r="M124" s="105" t="s">
        <v>359</v>
      </c>
      <c r="N124" s="105" t="s">
        <v>228</v>
      </c>
      <c r="O124" s="105" t="s">
        <v>228</v>
      </c>
      <c r="P124" s="105" t="s">
        <v>356</v>
      </c>
      <c r="Q124" s="494">
        <v>1987</v>
      </c>
      <c r="R124" s="494">
        <v>1987</v>
      </c>
      <c r="S124" s="494">
        <v>2048</v>
      </c>
      <c r="T124" s="494">
        <v>2048</v>
      </c>
      <c r="U124" s="494">
        <v>181.09100000000001</v>
      </c>
      <c r="V124" s="493">
        <v>2024</v>
      </c>
      <c r="W124" s="495"/>
      <c r="X124" s="496">
        <f t="shared" si="5"/>
        <v>11.309231270466229</v>
      </c>
      <c r="Y124" s="497" t="str">
        <f t="shared" si="7"/>
        <v/>
      </c>
      <c r="Z124" s="497" t="str">
        <f t="shared" si="7"/>
        <v/>
      </c>
    </row>
    <row r="125" spans="1:26" s="82" customFormat="1" x14ac:dyDescent="0.4">
      <c r="A125" s="493">
        <v>1678</v>
      </c>
      <c r="B125" s="105" t="s">
        <v>329</v>
      </c>
      <c r="C125" s="493" t="s">
        <v>330</v>
      </c>
      <c r="D125" s="105" t="s">
        <v>460</v>
      </c>
      <c r="E125" s="105" t="s">
        <v>461</v>
      </c>
      <c r="F125" s="493">
        <v>14605</v>
      </c>
      <c r="G125" s="105" t="s">
        <v>33</v>
      </c>
      <c r="H125" s="105" t="s">
        <v>342</v>
      </c>
      <c r="I125" s="105" t="s">
        <v>334</v>
      </c>
      <c r="J125" s="493">
        <v>22</v>
      </c>
      <c r="K125" s="493">
        <v>1</v>
      </c>
      <c r="L125" s="105" t="s">
        <v>335</v>
      </c>
      <c r="M125" s="105" t="s">
        <v>295</v>
      </c>
      <c r="N125" s="105" t="s">
        <v>226</v>
      </c>
      <c r="O125" s="105" t="s">
        <v>226</v>
      </c>
      <c r="P125" s="105" t="s">
        <v>350</v>
      </c>
      <c r="Q125" s="494">
        <v>2024</v>
      </c>
      <c r="R125" s="494">
        <v>2024</v>
      </c>
      <c r="S125" s="494">
        <v>11788</v>
      </c>
      <c r="T125" s="494">
        <v>11788</v>
      </c>
      <c r="U125" s="494">
        <v>965.27</v>
      </c>
      <c r="V125" s="493">
        <v>2024</v>
      </c>
      <c r="W125" s="647" t="s">
        <v>355</v>
      </c>
      <c r="X125" s="496">
        <f t="shared" si="5"/>
        <v>12.212127176852073</v>
      </c>
      <c r="Y125" s="497" t="str">
        <f t="shared" si="7"/>
        <v/>
      </c>
      <c r="Z125" s="497" t="str">
        <f t="shared" si="7"/>
        <v/>
      </c>
    </row>
    <row r="126" spans="1:26" s="82" customFormat="1" x14ac:dyDescent="0.4">
      <c r="A126" s="493">
        <v>1678</v>
      </c>
      <c r="B126" s="105" t="s">
        <v>329</v>
      </c>
      <c r="C126" s="493" t="s">
        <v>330</v>
      </c>
      <c r="D126" s="105" t="s">
        <v>460</v>
      </c>
      <c r="E126" s="105" t="s">
        <v>461</v>
      </c>
      <c r="F126" s="493">
        <v>14605</v>
      </c>
      <c r="G126" s="105" t="s">
        <v>33</v>
      </c>
      <c r="H126" s="105" t="s">
        <v>342</v>
      </c>
      <c r="I126" s="105" t="s">
        <v>334</v>
      </c>
      <c r="J126" s="493">
        <v>22</v>
      </c>
      <c r="K126" s="493">
        <v>1</v>
      </c>
      <c r="L126" s="105" t="s">
        <v>335</v>
      </c>
      <c r="M126" s="105" t="s">
        <v>295</v>
      </c>
      <c r="N126" s="105" t="s">
        <v>228</v>
      </c>
      <c r="O126" s="105" t="s">
        <v>228</v>
      </c>
      <c r="P126" s="105" t="s">
        <v>356</v>
      </c>
      <c r="Q126" s="494">
        <v>42767</v>
      </c>
      <c r="R126" s="494">
        <v>42767</v>
      </c>
      <c r="S126" s="494">
        <v>44179</v>
      </c>
      <c r="T126" s="494">
        <v>44179</v>
      </c>
      <c r="U126" s="494">
        <v>3618.73</v>
      </c>
      <c r="V126" s="493">
        <v>2024</v>
      </c>
      <c r="W126" s="647" t="s">
        <v>355</v>
      </c>
      <c r="X126" s="496">
        <f t="shared" si="5"/>
        <v>12.208426713239175</v>
      </c>
      <c r="Y126" s="497" t="str">
        <f t="shared" si="7"/>
        <v/>
      </c>
      <c r="Z126" s="497" t="str">
        <f t="shared" si="7"/>
        <v/>
      </c>
    </row>
    <row r="127" spans="1:26" s="82" customFormat="1" x14ac:dyDescent="0.4">
      <c r="A127" s="493">
        <v>1682</v>
      </c>
      <c r="B127" s="105" t="s">
        <v>329</v>
      </c>
      <c r="C127" s="493" t="s">
        <v>330</v>
      </c>
      <c r="D127" s="105" t="s">
        <v>462</v>
      </c>
      <c r="E127" s="105" t="s">
        <v>463</v>
      </c>
      <c r="F127" s="493">
        <v>18488</v>
      </c>
      <c r="G127" s="105" t="s">
        <v>33</v>
      </c>
      <c r="H127" s="105" t="s">
        <v>342</v>
      </c>
      <c r="I127" s="105" t="s">
        <v>334</v>
      </c>
      <c r="J127" s="493">
        <v>22</v>
      </c>
      <c r="K127" s="493">
        <v>1</v>
      </c>
      <c r="L127" s="105" t="s">
        <v>335</v>
      </c>
      <c r="M127" s="105" t="s">
        <v>403</v>
      </c>
      <c r="N127" s="105" t="s">
        <v>404</v>
      </c>
      <c r="O127" s="105" t="s">
        <v>232</v>
      </c>
      <c r="P127" s="105" t="s">
        <v>346</v>
      </c>
      <c r="Q127" s="494">
        <v>720</v>
      </c>
      <c r="R127" s="494">
        <v>720</v>
      </c>
      <c r="S127" s="494">
        <v>0</v>
      </c>
      <c r="T127" s="494">
        <v>0</v>
      </c>
      <c r="U127" s="494">
        <v>-168</v>
      </c>
      <c r="V127" s="493">
        <v>2024</v>
      </c>
      <c r="W127" s="495"/>
      <c r="X127" s="496" t="str">
        <f t="shared" si="5"/>
        <v/>
      </c>
      <c r="Y127" s="497" t="str">
        <f t="shared" si="7"/>
        <v/>
      </c>
      <c r="Z127" s="497" t="str">
        <f t="shared" si="7"/>
        <v/>
      </c>
    </row>
    <row r="128" spans="1:26" s="82" customFormat="1" x14ac:dyDescent="0.4">
      <c r="A128" s="493">
        <v>1682</v>
      </c>
      <c r="B128" s="105" t="s">
        <v>329</v>
      </c>
      <c r="C128" s="493" t="s">
        <v>330</v>
      </c>
      <c r="D128" s="105" t="s">
        <v>462</v>
      </c>
      <c r="E128" s="105" t="s">
        <v>463</v>
      </c>
      <c r="F128" s="493">
        <v>18488</v>
      </c>
      <c r="G128" s="105" t="s">
        <v>33</v>
      </c>
      <c r="H128" s="105" t="s">
        <v>342</v>
      </c>
      <c r="I128" s="105" t="s">
        <v>334</v>
      </c>
      <c r="J128" s="493">
        <v>22</v>
      </c>
      <c r="K128" s="493">
        <v>1</v>
      </c>
      <c r="L128" s="105" t="s">
        <v>335</v>
      </c>
      <c r="M128" s="105" t="s">
        <v>380</v>
      </c>
      <c r="N128" s="105" t="s">
        <v>226</v>
      </c>
      <c r="O128" s="105" t="s">
        <v>226</v>
      </c>
      <c r="P128" s="105" t="s">
        <v>350</v>
      </c>
      <c r="Q128" s="494">
        <v>326</v>
      </c>
      <c r="R128" s="494">
        <v>326</v>
      </c>
      <c r="S128" s="494">
        <v>1877</v>
      </c>
      <c r="T128" s="494">
        <v>1877</v>
      </c>
      <c r="U128" s="494">
        <v>164.36600000000001</v>
      </c>
      <c r="V128" s="493">
        <v>2024</v>
      </c>
      <c r="W128" s="495" t="s">
        <v>355</v>
      </c>
      <c r="X128" s="496">
        <f t="shared" si="5"/>
        <v>11.419636664516991</v>
      </c>
      <c r="Y128" s="497" t="str">
        <f t="shared" ref="Y128:Z147" si="8">IF(AND($M128=$Y$2,$N128=$Y$3,NOT($Q128=$R128),NOT($U128=0)),IF($K128=5,$S128/($U128+(8/5)*$U128),IF($K128=7,$S128/($U128+(29/25)*$U128),"")),"")</f>
        <v/>
      </c>
      <c r="Z128" s="497" t="str">
        <f t="shared" si="8"/>
        <v/>
      </c>
    </row>
    <row r="129" spans="1:26" s="82" customFormat="1" x14ac:dyDescent="0.4">
      <c r="A129" s="493">
        <v>1682</v>
      </c>
      <c r="B129" s="105" t="s">
        <v>329</v>
      </c>
      <c r="C129" s="493" t="s">
        <v>330</v>
      </c>
      <c r="D129" s="105" t="s">
        <v>462</v>
      </c>
      <c r="E129" s="105" t="s">
        <v>463</v>
      </c>
      <c r="F129" s="493">
        <v>18488</v>
      </c>
      <c r="G129" s="105" t="s">
        <v>33</v>
      </c>
      <c r="H129" s="105" t="s">
        <v>342</v>
      </c>
      <c r="I129" s="105" t="s">
        <v>334</v>
      </c>
      <c r="J129" s="493">
        <v>22</v>
      </c>
      <c r="K129" s="493">
        <v>1</v>
      </c>
      <c r="L129" s="105" t="s">
        <v>335</v>
      </c>
      <c r="M129" s="105" t="s">
        <v>380</v>
      </c>
      <c r="N129" s="105" t="s">
        <v>228</v>
      </c>
      <c r="O129" s="105" t="s">
        <v>228</v>
      </c>
      <c r="P129" s="105" t="s">
        <v>356</v>
      </c>
      <c r="Q129" s="494">
        <v>891398</v>
      </c>
      <c r="R129" s="494">
        <v>891398</v>
      </c>
      <c r="S129" s="494">
        <v>915983</v>
      </c>
      <c r="T129" s="494">
        <v>915983</v>
      </c>
      <c r="U129" s="494">
        <v>101515.63</v>
      </c>
      <c r="V129" s="493">
        <v>2024</v>
      </c>
      <c r="W129" s="495" t="s">
        <v>355</v>
      </c>
      <c r="X129" s="496">
        <f t="shared" si="5"/>
        <v>9.0230735897516468</v>
      </c>
      <c r="Y129" s="497" t="str">
        <f t="shared" si="8"/>
        <v/>
      </c>
      <c r="Z129" s="497" t="str">
        <f t="shared" si="8"/>
        <v/>
      </c>
    </row>
    <row r="130" spans="1:26" s="82" customFormat="1" x14ac:dyDescent="0.4">
      <c r="A130" s="493">
        <v>1682</v>
      </c>
      <c r="B130" s="105" t="s">
        <v>329</v>
      </c>
      <c r="C130" s="493" t="s">
        <v>330</v>
      </c>
      <c r="D130" s="105" t="s">
        <v>462</v>
      </c>
      <c r="E130" s="105" t="s">
        <v>463</v>
      </c>
      <c r="F130" s="493">
        <v>18488</v>
      </c>
      <c r="G130" s="105" t="s">
        <v>33</v>
      </c>
      <c r="H130" s="105" t="s">
        <v>342</v>
      </c>
      <c r="I130" s="105" t="s">
        <v>334</v>
      </c>
      <c r="J130" s="493">
        <v>22</v>
      </c>
      <c r="K130" s="493">
        <v>1</v>
      </c>
      <c r="L130" s="105" t="s">
        <v>335</v>
      </c>
      <c r="M130" s="105" t="s">
        <v>37</v>
      </c>
      <c r="N130" s="105" t="s">
        <v>226</v>
      </c>
      <c r="O130" s="105" t="s">
        <v>226</v>
      </c>
      <c r="P130" s="105" t="s">
        <v>350</v>
      </c>
      <c r="Q130" s="494">
        <v>166</v>
      </c>
      <c r="R130" s="494">
        <v>166</v>
      </c>
      <c r="S130" s="494">
        <v>956</v>
      </c>
      <c r="T130" s="494">
        <v>956</v>
      </c>
      <c r="U130" s="494">
        <v>52.29</v>
      </c>
      <c r="V130" s="493">
        <v>2024</v>
      </c>
      <c r="W130" s="495" t="s">
        <v>355</v>
      </c>
      <c r="X130" s="496">
        <f t="shared" si="5"/>
        <v>18.282654427232742</v>
      </c>
      <c r="Y130" s="497" t="str">
        <f t="shared" si="8"/>
        <v/>
      </c>
      <c r="Z130" s="497" t="str">
        <f t="shared" si="8"/>
        <v/>
      </c>
    </row>
    <row r="131" spans="1:26" s="82" customFormat="1" x14ac:dyDescent="0.4">
      <c r="A131" s="493">
        <v>1682</v>
      </c>
      <c r="B131" s="105" t="s">
        <v>329</v>
      </c>
      <c r="C131" s="493" t="s">
        <v>330</v>
      </c>
      <c r="D131" s="105" t="s">
        <v>462</v>
      </c>
      <c r="E131" s="105" t="s">
        <v>463</v>
      </c>
      <c r="F131" s="493">
        <v>18488</v>
      </c>
      <c r="G131" s="105" t="s">
        <v>33</v>
      </c>
      <c r="H131" s="105" t="s">
        <v>342</v>
      </c>
      <c r="I131" s="105" t="s">
        <v>334</v>
      </c>
      <c r="J131" s="493">
        <v>22</v>
      </c>
      <c r="K131" s="493">
        <v>1</v>
      </c>
      <c r="L131" s="105" t="s">
        <v>335</v>
      </c>
      <c r="M131" s="105" t="s">
        <v>37</v>
      </c>
      <c r="N131" s="105" t="s">
        <v>228</v>
      </c>
      <c r="O131" s="105" t="s">
        <v>228</v>
      </c>
      <c r="P131" s="105" t="s">
        <v>356</v>
      </c>
      <c r="Q131" s="494">
        <v>511643</v>
      </c>
      <c r="R131" s="494">
        <v>511643</v>
      </c>
      <c r="S131" s="494">
        <v>525755</v>
      </c>
      <c r="T131" s="494">
        <v>525755</v>
      </c>
      <c r="U131" s="494">
        <v>30957.71</v>
      </c>
      <c r="V131" s="493">
        <v>2024</v>
      </c>
      <c r="W131" s="495" t="s">
        <v>355</v>
      </c>
      <c r="X131" s="496">
        <f t="shared" si="5"/>
        <v>16.983006818010765</v>
      </c>
      <c r="Y131" s="497" t="str">
        <f t="shared" si="8"/>
        <v/>
      </c>
      <c r="Z131" s="497" t="str">
        <f t="shared" si="8"/>
        <v/>
      </c>
    </row>
    <row r="132" spans="1:26" s="82" customFormat="1" x14ac:dyDescent="0.4">
      <c r="A132" s="493">
        <v>1682</v>
      </c>
      <c r="B132" s="105" t="s">
        <v>329</v>
      </c>
      <c r="C132" s="493" t="s">
        <v>330</v>
      </c>
      <c r="D132" s="105" t="s">
        <v>462</v>
      </c>
      <c r="E132" s="105" t="s">
        <v>463</v>
      </c>
      <c r="F132" s="493">
        <v>18488</v>
      </c>
      <c r="G132" s="105" t="s">
        <v>33</v>
      </c>
      <c r="H132" s="105" t="s">
        <v>342</v>
      </c>
      <c r="I132" s="105" t="s">
        <v>334</v>
      </c>
      <c r="J132" s="493">
        <v>22</v>
      </c>
      <c r="K132" s="493">
        <v>1</v>
      </c>
      <c r="L132" s="105" t="s">
        <v>335</v>
      </c>
      <c r="M132" s="105" t="s">
        <v>37</v>
      </c>
      <c r="N132" s="105" t="s">
        <v>238</v>
      </c>
      <c r="O132" s="105" t="s">
        <v>238</v>
      </c>
      <c r="P132" s="105" t="s">
        <v>350</v>
      </c>
      <c r="Q132" s="494">
        <v>0</v>
      </c>
      <c r="R132" s="494">
        <v>0</v>
      </c>
      <c r="S132" s="494">
        <v>0</v>
      </c>
      <c r="T132" s="494">
        <v>0</v>
      </c>
      <c r="U132" s="494">
        <v>0</v>
      </c>
      <c r="V132" s="493">
        <v>2024</v>
      </c>
      <c r="W132" s="495" t="s">
        <v>355</v>
      </c>
      <c r="X132" s="496" t="str">
        <f t="shared" si="5"/>
        <v/>
      </c>
      <c r="Y132" s="497" t="str">
        <f t="shared" si="8"/>
        <v/>
      </c>
      <c r="Z132" s="497" t="str">
        <f t="shared" si="8"/>
        <v/>
      </c>
    </row>
    <row r="133" spans="1:26" s="82" customFormat="1" x14ac:dyDescent="0.4">
      <c r="A133" s="493">
        <v>2349</v>
      </c>
      <c r="B133" s="105" t="s">
        <v>329</v>
      </c>
      <c r="C133" s="493" t="s">
        <v>330</v>
      </c>
      <c r="D133" s="105" t="s">
        <v>464</v>
      </c>
      <c r="E133" s="105" t="s">
        <v>449</v>
      </c>
      <c r="F133" s="493">
        <v>61122</v>
      </c>
      <c r="G133" s="105" t="s">
        <v>35</v>
      </c>
      <c r="H133" s="105" t="s">
        <v>342</v>
      </c>
      <c r="I133" s="105" t="s">
        <v>334</v>
      </c>
      <c r="J133" s="493">
        <v>22</v>
      </c>
      <c r="K133" s="493">
        <v>2</v>
      </c>
      <c r="L133" s="105" t="s">
        <v>343</v>
      </c>
      <c r="M133" s="105" t="s">
        <v>336</v>
      </c>
      <c r="N133" s="105" t="s">
        <v>337</v>
      </c>
      <c r="O133" s="105" t="s">
        <v>338</v>
      </c>
      <c r="P133" s="105" t="s">
        <v>339</v>
      </c>
      <c r="Q133" s="494">
        <v>0</v>
      </c>
      <c r="R133" s="494">
        <v>0</v>
      </c>
      <c r="S133" s="494">
        <v>1366441</v>
      </c>
      <c r="T133" s="494">
        <v>1366441</v>
      </c>
      <c r="U133" s="494">
        <v>400481</v>
      </c>
      <c r="V133" s="493">
        <v>2024</v>
      </c>
      <c r="W133" s="495"/>
      <c r="X133" s="496">
        <f t="shared" si="5"/>
        <v>3.4119995705164539</v>
      </c>
      <c r="Y133" s="497" t="str">
        <f t="shared" si="8"/>
        <v/>
      </c>
      <c r="Z133" s="497" t="str">
        <f t="shared" si="8"/>
        <v/>
      </c>
    </row>
    <row r="134" spans="1:26" s="82" customFormat="1" x14ac:dyDescent="0.4">
      <c r="A134" s="493">
        <v>2351</v>
      </c>
      <c r="B134" s="105" t="s">
        <v>329</v>
      </c>
      <c r="C134" s="493" t="s">
        <v>330</v>
      </c>
      <c r="D134" s="105" t="s">
        <v>465</v>
      </c>
      <c r="E134" s="105" t="s">
        <v>449</v>
      </c>
      <c r="F134" s="493">
        <v>61122</v>
      </c>
      <c r="G134" s="105" t="s">
        <v>35</v>
      </c>
      <c r="H134" s="105" t="s">
        <v>342</v>
      </c>
      <c r="I134" s="105" t="s">
        <v>334</v>
      </c>
      <c r="J134" s="493">
        <v>22</v>
      </c>
      <c r="K134" s="493">
        <v>2</v>
      </c>
      <c r="L134" s="105" t="s">
        <v>343</v>
      </c>
      <c r="M134" s="105" t="s">
        <v>336</v>
      </c>
      <c r="N134" s="105" t="s">
        <v>337</v>
      </c>
      <c r="O134" s="105" t="s">
        <v>338</v>
      </c>
      <c r="P134" s="105" t="s">
        <v>339</v>
      </c>
      <c r="Q134" s="494">
        <v>0</v>
      </c>
      <c r="R134" s="494">
        <v>0</v>
      </c>
      <c r="S134" s="494">
        <v>1165073</v>
      </c>
      <c r="T134" s="494">
        <v>1165073</v>
      </c>
      <c r="U134" s="494">
        <v>341463</v>
      </c>
      <c r="V134" s="493">
        <v>2024</v>
      </c>
      <c r="W134" s="495"/>
      <c r="X134" s="496">
        <f t="shared" si="5"/>
        <v>3.4120036431472811</v>
      </c>
      <c r="Y134" s="497" t="str">
        <f t="shared" si="8"/>
        <v/>
      </c>
      <c r="Z134" s="497" t="str">
        <f t="shared" si="8"/>
        <v/>
      </c>
    </row>
    <row r="135" spans="1:26" s="82" customFormat="1" x14ac:dyDescent="0.4">
      <c r="A135" s="493">
        <v>2352</v>
      </c>
      <c r="B135" s="105" t="s">
        <v>329</v>
      </c>
      <c r="C135" s="493" t="s">
        <v>330</v>
      </c>
      <c r="D135" s="105" t="s">
        <v>466</v>
      </c>
      <c r="E135" s="105" t="s">
        <v>449</v>
      </c>
      <c r="F135" s="493">
        <v>61122</v>
      </c>
      <c r="G135" s="105" t="s">
        <v>36</v>
      </c>
      <c r="H135" s="105" t="s">
        <v>342</v>
      </c>
      <c r="I135" s="105" t="s">
        <v>334</v>
      </c>
      <c r="J135" s="493">
        <v>22</v>
      </c>
      <c r="K135" s="493">
        <v>2</v>
      </c>
      <c r="L135" s="105" t="s">
        <v>343</v>
      </c>
      <c r="M135" s="105" t="s">
        <v>336</v>
      </c>
      <c r="N135" s="105" t="s">
        <v>337</v>
      </c>
      <c r="O135" s="105" t="s">
        <v>338</v>
      </c>
      <c r="P135" s="105" t="s">
        <v>339</v>
      </c>
      <c r="Q135" s="494">
        <v>0</v>
      </c>
      <c r="R135" s="494">
        <v>0</v>
      </c>
      <c r="S135" s="494">
        <v>544888</v>
      </c>
      <c r="T135" s="494">
        <v>544888</v>
      </c>
      <c r="U135" s="494">
        <v>159698</v>
      </c>
      <c r="V135" s="493">
        <v>2024</v>
      </c>
      <c r="W135" s="495"/>
      <c r="X135" s="496">
        <f t="shared" si="5"/>
        <v>3.4119901313729666</v>
      </c>
      <c r="Y135" s="497" t="str">
        <f t="shared" si="8"/>
        <v/>
      </c>
      <c r="Z135" s="497" t="str">
        <f t="shared" si="8"/>
        <v/>
      </c>
    </row>
    <row r="136" spans="1:26" s="82" customFormat="1" x14ac:dyDescent="0.4">
      <c r="A136" s="493">
        <v>2353</v>
      </c>
      <c r="B136" s="105" t="s">
        <v>329</v>
      </c>
      <c r="C136" s="493" t="s">
        <v>330</v>
      </c>
      <c r="D136" s="105" t="s">
        <v>467</v>
      </c>
      <c r="E136" s="105" t="s">
        <v>449</v>
      </c>
      <c r="F136" s="493">
        <v>61122</v>
      </c>
      <c r="G136" s="105" t="s">
        <v>36</v>
      </c>
      <c r="H136" s="105" t="s">
        <v>342</v>
      </c>
      <c r="I136" s="105" t="s">
        <v>334</v>
      </c>
      <c r="J136" s="493">
        <v>22</v>
      </c>
      <c r="K136" s="493">
        <v>2</v>
      </c>
      <c r="L136" s="105" t="s">
        <v>343</v>
      </c>
      <c r="M136" s="105" t="s">
        <v>336</v>
      </c>
      <c r="N136" s="105" t="s">
        <v>337</v>
      </c>
      <c r="O136" s="105" t="s">
        <v>338</v>
      </c>
      <c r="P136" s="105" t="s">
        <v>339</v>
      </c>
      <c r="Q136" s="494">
        <v>0</v>
      </c>
      <c r="R136" s="494">
        <v>0</v>
      </c>
      <c r="S136" s="494">
        <v>612328</v>
      </c>
      <c r="T136" s="494">
        <v>612328</v>
      </c>
      <c r="U136" s="494">
        <v>179463</v>
      </c>
      <c r="V136" s="493">
        <v>2024</v>
      </c>
      <c r="W136" s="495"/>
      <c r="X136" s="496">
        <f t="shared" si="5"/>
        <v>3.4120013596117307</v>
      </c>
      <c r="Y136" s="497" t="str">
        <f t="shared" si="8"/>
        <v/>
      </c>
      <c r="Z136" s="497" t="str">
        <f t="shared" si="8"/>
        <v/>
      </c>
    </row>
    <row r="137" spans="1:26" s="82" customFormat="1" ht="32" x14ac:dyDescent="0.4">
      <c r="A137" s="493">
        <v>2354</v>
      </c>
      <c r="B137" s="105" t="s">
        <v>329</v>
      </c>
      <c r="C137" s="493" t="s">
        <v>330</v>
      </c>
      <c r="D137" s="105" t="s">
        <v>468</v>
      </c>
      <c r="E137" s="105" t="s">
        <v>469</v>
      </c>
      <c r="F137" s="493">
        <v>62775</v>
      </c>
      <c r="G137" s="105" t="s">
        <v>35</v>
      </c>
      <c r="H137" s="105" t="s">
        <v>342</v>
      </c>
      <c r="I137" s="105" t="s">
        <v>334</v>
      </c>
      <c r="J137" s="493">
        <v>22</v>
      </c>
      <c r="K137" s="493">
        <v>2</v>
      </c>
      <c r="L137" s="105" t="s">
        <v>343</v>
      </c>
      <c r="M137" s="105" t="s">
        <v>336</v>
      </c>
      <c r="N137" s="105" t="s">
        <v>337</v>
      </c>
      <c r="O137" s="105" t="s">
        <v>338</v>
      </c>
      <c r="P137" s="105" t="s">
        <v>339</v>
      </c>
      <c r="Q137" s="494">
        <v>0</v>
      </c>
      <c r="R137" s="494">
        <v>0</v>
      </c>
      <c r="S137" s="494">
        <v>262255</v>
      </c>
      <c r="T137" s="494">
        <v>262255</v>
      </c>
      <c r="U137" s="494">
        <v>76862</v>
      </c>
      <c r="V137" s="493">
        <v>2024</v>
      </c>
      <c r="W137" s="495"/>
      <c r="X137" s="496">
        <f t="shared" ref="X137:X200" si="9">IF(OR(K137&gt;3,T137=0,NOT(U137&gt;0)),"",T137/U137)</f>
        <v>3.4120241471728554</v>
      </c>
      <c r="Y137" s="497" t="str">
        <f t="shared" si="8"/>
        <v/>
      </c>
      <c r="Z137" s="497" t="str">
        <f t="shared" si="8"/>
        <v/>
      </c>
    </row>
    <row r="138" spans="1:26" s="82" customFormat="1" ht="32" x14ac:dyDescent="0.4">
      <c r="A138" s="493">
        <v>2355</v>
      </c>
      <c r="B138" s="105" t="s">
        <v>329</v>
      </c>
      <c r="C138" s="493" t="s">
        <v>330</v>
      </c>
      <c r="D138" s="105" t="s">
        <v>470</v>
      </c>
      <c r="E138" s="105" t="s">
        <v>469</v>
      </c>
      <c r="F138" s="493">
        <v>62775</v>
      </c>
      <c r="G138" s="105" t="s">
        <v>35</v>
      </c>
      <c r="H138" s="105" t="s">
        <v>342</v>
      </c>
      <c r="I138" s="105" t="s">
        <v>334</v>
      </c>
      <c r="J138" s="493">
        <v>22</v>
      </c>
      <c r="K138" s="493">
        <v>2</v>
      </c>
      <c r="L138" s="105" t="s">
        <v>343</v>
      </c>
      <c r="M138" s="105" t="s">
        <v>336</v>
      </c>
      <c r="N138" s="105" t="s">
        <v>337</v>
      </c>
      <c r="O138" s="105" t="s">
        <v>338</v>
      </c>
      <c r="P138" s="105" t="s">
        <v>339</v>
      </c>
      <c r="Q138" s="494">
        <v>0</v>
      </c>
      <c r="R138" s="494">
        <v>0</v>
      </c>
      <c r="S138" s="494">
        <v>136746</v>
      </c>
      <c r="T138" s="494">
        <v>136746</v>
      </c>
      <c r="U138" s="494">
        <v>40078</v>
      </c>
      <c r="V138" s="493">
        <v>2024</v>
      </c>
      <c r="W138" s="495"/>
      <c r="X138" s="496">
        <f t="shared" si="9"/>
        <v>3.4119966066170968</v>
      </c>
      <c r="Y138" s="497" t="str">
        <f t="shared" si="8"/>
        <v/>
      </c>
      <c r="Z138" s="497" t="str">
        <f t="shared" si="8"/>
        <v/>
      </c>
    </row>
    <row r="139" spans="1:26" s="82" customFormat="1" ht="32" x14ac:dyDescent="0.4">
      <c r="A139" s="493">
        <v>2356</v>
      </c>
      <c r="B139" s="105" t="s">
        <v>329</v>
      </c>
      <c r="C139" s="493" t="s">
        <v>330</v>
      </c>
      <c r="D139" s="105" t="s">
        <v>471</v>
      </c>
      <c r="E139" s="105" t="s">
        <v>469</v>
      </c>
      <c r="F139" s="493">
        <v>62775</v>
      </c>
      <c r="G139" s="105" t="s">
        <v>35</v>
      </c>
      <c r="H139" s="105" t="s">
        <v>342</v>
      </c>
      <c r="I139" s="105" t="s">
        <v>334</v>
      </c>
      <c r="J139" s="493">
        <v>22</v>
      </c>
      <c r="K139" s="493">
        <v>2</v>
      </c>
      <c r="L139" s="105" t="s">
        <v>343</v>
      </c>
      <c r="M139" s="105" t="s">
        <v>336</v>
      </c>
      <c r="N139" s="105" t="s">
        <v>337</v>
      </c>
      <c r="O139" s="105" t="s">
        <v>338</v>
      </c>
      <c r="P139" s="105" t="s">
        <v>339</v>
      </c>
      <c r="Q139" s="494">
        <v>0</v>
      </c>
      <c r="R139" s="494">
        <v>0</v>
      </c>
      <c r="S139" s="494">
        <v>82802</v>
      </c>
      <c r="T139" s="494">
        <v>82802</v>
      </c>
      <c r="U139" s="494">
        <v>24268</v>
      </c>
      <c r="V139" s="493">
        <v>2024</v>
      </c>
      <c r="W139" s="495"/>
      <c r="X139" s="496">
        <f t="shared" si="9"/>
        <v>3.4119828580847207</v>
      </c>
      <c r="Y139" s="497" t="str">
        <f t="shared" si="8"/>
        <v/>
      </c>
      <c r="Z139" s="497" t="str">
        <f t="shared" si="8"/>
        <v/>
      </c>
    </row>
    <row r="140" spans="1:26" s="82" customFormat="1" ht="32" x14ac:dyDescent="0.4">
      <c r="A140" s="493">
        <v>2357</v>
      </c>
      <c r="B140" s="105" t="s">
        <v>329</v>
      </c>
      <c r="C140" s="493" t="s">
        <v>330</v>
      </c>
      <c r="D140" s="105" t="s">
        <v>472</v>
      </c>
      <c r="E140" s="105" t="s">
        <v>469</v>
      </c>
      <c r="F140" s="493">
        <v>62775</v>
      </c>
      <c r="G140" s="105" t="s">
        <v>35</v>
      </c>
      <c r="H140" s="105" t="s">
        <v>342</v>
      </c>
      <c r="I140" s="105" t="s">
        <v>334</v>
      </c>
      <c r="J140" s="493">
        <v>22</v>
      </c>
      <c r="K140" s="493">
        <v>2</v>
      </c>
      <c r="L140" s="105" t="s">
        <v>343</v>
      </c>
      <c r="M140" s="105" t="s">
        <v>336</v>
      </c>
      <c r="N140" s="105" t="s">
        <v>337</v>
      </c>
      <c r="O140" s="105" t="s">
        <v>338</v>
      </c>
      <c r="P140" s="105" t="s">
        <v>339</v>
      </c>
      <c r="Q140" s="494">
        <v>0</v>
      </c>
      <c r="R140" s="494">
        <v>0</v>
      </c>
      <c r="S140" s="494">
        <v>105426</v>
      </c>
      <c r="T140" s="494">
        <v>105426</v>
      </c>
      <c r="U140" s="494">
        <v>30899</v>
      </c>
      <c r="V140" s="493">
        <v>2024</v>
      </c>
      <c r="W140" s="495"/>
      <c r="X140" s="496">
        <f t="shared" si="9"/>
        <v>3.4119550794524094</v>
      </c>
      <c r="Y140" s="497" t="str">
        <f t="shared" si="8"/>
        <v/>
      </c>
      <c r="Z140" s="497" t="str">
        <f t="shared" si="8"/>
        <v/>
      </c>
    </row>
    <row r="141" spans="1:26" s="82" customFormat="1" ht="32" x14ac:dyDescent="0.4">
      <c r="A141" s="493">
        <v>2358</v>
      </c>
      <c r="B141" s="105" t="s">
        <v>329</v>
      </c>
      <c r="C141" s="493" t="s">
        <v>330</v>
      </c>
      <c r="D141" s="105" t="s">
        <v>473</v>
      </c>
      <c r="E141" s="105" t="s">
        <v>469</v>
      </c>
      <c r="F141" s="493">
        <v>62775</v>
      </c>
      <c r="G141" s="105" t="s">
        <v>35</v>
      </c>
      <c r="H141" s="105" t="s">
        <v>342</v>
      </c>
      <c r="I141" s="105" t="s">
        <v>334</v>
      </c>
      <c r="J141" s="493">
        <v>22</v>
      </c>
      <c r="K141" s="493">
        <v>2</v>
      </c>
      <c r="L141" s="105" t="s">
        <v>343</v>
      </c>
      <c r="M141" s="105" t="s">
        <v>336</v>
      </c>
      <c r="N141" s="105" t="s">
        <v>337</v>
      </c>
      <c r="O141" s="105" t="s">
        <v>338</v>
      </c>
      <c r="P141" s="105" t="s">
        <v>339</v>
      </c>
      <c r="Q141" s="494">
        <v>0</v>
      </c>
      <c r="R141" s="494">
        <v>0</v>
      </c>
      <c r="S141" s="494">
        <v>38200</v>
      </c>
      <c r="T141" s="494">
        <v>38200</v>
      </c>
      <c r="U141" s="494">
        <v>11196</v>
      </c>
      <c r="V141" s="493">
        <v>2024</v>
      </c>
      <c r="W141" s="495"/>
      <c r="X141" s="496">
        <f t="shared" si="9"/>
        <v>3.4119328331546983</v>
      </c>
      <c r="Y141" s="497" t="str">
        <f t="shared" si="8"/>
        <v/>
      </c>
      <c r="Z141" s="497" t="str">
        <f t="shared" si="8"/>
        <v/>
      </c>
    </row>
    <row r="142" spans="1:26" s="82" customFormat="1" ht="32" x14ac:dyDescent="0.4">
      <c r="A142" s="493">
        <v>2359</v>
      </c>
      <c r="B142" s="105" t="s">
        <v>329</v>
      </c>
      <c r="C142" s="493" t="s">
        <v>330</v>
      </c>
      <c r="D142" s="105" t="s">
        <v>474</v>
      </c>
      <c r="E142" s="105" t="s">
        <v>469</v>
      </c>
      <c r="F142" s="493">
        <v>62775</v>
      </c>
      <c r="G142" s="105" t="s">
        <v>35</v>
      </c>
      <c r="H142" s="105" t="s">
        <v>342</v>
      </c>
      <c r="I142" s="105" t="s">
        <v>334</v>
      </c>
      <c r="J142" s="493">
        <v>22</v>
      </c>
      <c r="K142" s="493">
        <v>2</v>
      </c>
      <c r="L142" s="105" t="s">
        <v>343</v>
      </c>
      <c r="M142" s="105" t="s">
        <v>336</v>
      </c>
      <c r="N142" s="105" t="s">
        <v>337</v>
      </c>
      <c r="O142" s="105" t="s">
        <v>338</v>
      </c>
      <c r="P142" s="105" t="s">
        <v>339</v>
      </c>
      <c r="Q142" s="494">
        <v>0</v>
      </c>
      <c r="R142" s="494">
        <v>0</v>
      </c>
      <c r="S142" s="494">
        <v>18080</v>
      </c>
      <c r="T142" s="494">
        <v>18080</v>
      </c>
      <c r="U142" s="494">
        <v>5299</v>
      </c>
      <c r="V142" s="493">
        <v>2024</v>
      </c>
      <c r="W142" s="495"/>
      <c r="X142" s="496">
        <f t="shared" si="9"/>
        <v>3.4119645216078505</v>
      </c>
      <c r="Y142" s="497" t="str">
        <f t="shared" si="8"/>
        <v/>
      </c>
      <c r="Z142" s="497" t="str">
        <f t="shared" si="8"/>
        <v/>
      </c>
    </row>
    <row r="143" spans="1:26" s="82" customFormat="1" ht="32" x14ac:dyDescent="0.4">
      <c r="A143" s="493">
        <v>2360</v>
      </c>
      <c r="B143" s="105" t="s">
        <v>329</v>
      </c>
      <c r="C143" s="493" t="s">
        <v>330</v>
      </c>
      <c r="D143" s="105" t="s">
        <v>475</v>
      </c>
      <c r="E143" s="105" t="s">
        <v>469</v>
      </c>
      <c r="F143" s="493">
        <v>62775</v>
      </c>
      <c r="G143" s="105" t="s">
        <v>35</v>
      </c>
      <c r="H143" s="105" t="s">
        <v>342</v>
      </c>
      <c r="I143" s="105" t="s">
        <v>334</v>
      </c>
      <c r="J143" s="493">
        <v>22</v>
      </c>
      <c r="K143" s="493">
        <v>2</v>
      </c>
      <c r="L143" s="105" t="s">
        <v>343</v>
      </c>
      <c r="M143" s="105" t="s">
        <v>336</v>
      </c>
      <c r="N143" s="105" t="s">
        <v>337</v>
      </c>
      <c r="O143" s="105" t="s">
        <v>338</v>
      </c>
      <c r="P143" s="105" t="s">
        <v>339</v>
      </c>
      <c r="Q143" s="494">
        <v>0</v>
      </c>
      <c r="R143" s="494">
        <v>0</v>
      </c>
      <c r="S143" s="494">
        <v>29958</v>
      </c>
      <c r="T143" s="494">
        <v>29958</v>
      </c>
      <c r="U143" s="494">
        <v>8780</v>
      </c>
      <c r="V143" s="493">
        <v>2024</v>
      </c>
      <c r="W143" s="495"/>
      <c r="X143" s="496">
        <f t="shared" si="9"/>
        <v>3.4120728929384967</v>
      </c>
      <c r="Y143" s="497" t="str">
        <f t="shared" si="8"/>
        <v/>
      </c>
      <c r="Z143" s="497" t="str">
        <f t="shared" si="8"/>
        <v/>
      </c>
    </row>
    <row r="144" spans="1:26" s="82" customFormat="1" x14ac:dyDescent="0.4">
      <c r="A144" s="493">
        <v>2362</v>
      </c>
      <c r="B144" s="105" t="s">
        <v>329</v>
      </c>
      <c r="C144" s="493" t="s">
        <v>330</v>
      </c>
      <c r="D144" s="105" t="s">
        <v>476</v>
      </c>
      <c r="E144" s="105" t="s">
        <v>477</v>
      </c>
      <c r="F144" s="493">
        <v>62032</v>
      </c>
      <c r="G144" s="105" t="s">
        <v>35</v>
      </c>
      <c r="H144" s="105" t="s">
        <v>342</v>
      </c>
      <c r="I144" s="105" t="s">
        <v>334</v>
      </c>
      <c r="J144" s="493">
        <v>22</v>
      </c>
      <c r="K144" s="493">
        <v>2</v>
      </c>
      <c r="L144" s="105" t="s">
        <v>343</v>
      </c>
      <c r="M144" s="105" t="s">
        <v>295</v>
      </c>
      <c r="N144" s="105" t="s">
        <v>226</v>
      </c>
      <c r="O144" s="105" t="s">
        <v>226</v>
      </c>
      <c r="P144" s="105" t="s">
        <v>350</v>
      </c>
      <c r="Q144" s="494">
        <v>1177</v>
      </c>
      <c r="R144" s="494">
        <v>1177</v>
      </c>
      <c r="S144" s="494">
        <v>6827</v>
      </c>
      <c r="T144" s="494">
        <v>6827</v>
      </c>
      <c r="U144" s="494">
        <v>422</v>
      </c>
      <c r="V144" s="493">
        <v>2024</v>
      </c>
      <c r="W144" s="495"/>
      <c r="X144" s="496">
        <f t="shared" si="9"/>
        <v>16.177725118483412</v>
      </c>
      <c r="Y144" s="497" t="str">
        <f t="shared" si="8"/>
        <v/>
      </c>
      <c r="Z144" s="497" t="str">
        <f t="shared" si="8"/>
        <v/>
      </c>
    </row>
    <row r="145" spans="1:26" s="82" customFormat="1" x14ac:dyDescent="0.4">
      <c r="A145" s="493">
        <v>2364</v>
      </c>
      <c r="B145" s="105" t="s">
        <v>329</v>
      </c>
      <c r="C145" s="493" t="s">
        <v>330</v>
      </c>
      <c r="D145" s="105" t="s">
        <v>478</v>
      </c>
      <c r="E145" s="105" t="s">
        <v>477</v>
      </c>
      <c r="F145" s="493">
        <v>62032</v>
      </c>
      <c r="G145" s="105" t="s">
        <v>35</v>
      </c>
      <c r="H145" s="105" t="s">
        <v>342</v>
      </c>
      <c r="I145" s="105" t="s">
        <v>334</v>
      </c>
      <c r="J145" s="493">
        <v>22</v>
      </c>
      <c r="K145" s="493">
        <v>2</v>
      </c>
      <c r="L145" s="105" t="s">
        <v>343</v>
      </c>
      <c r="M145" s="105" t="s">
        <v>295</v>
      </c>
      <c r="N145" s="105" t="s">
        <v>240</v>
      </c>
      <c r="O145" s="105" t="s">
        <v>349</v>
      </c>
      <c r="P145" s="105" t="s">
        <v>350</v>
      </c>
      <c r="Q145" s="494">
        <v>2976</v>
      </c>
      <c r="R145" s="494">
        <v>2976</v>
      </c>
      <c r="S145" s="494">
        <v>16964</v>
      </c>
      <c r="T145" s="494">
        <v>16964</v>
      </c>
      <c r="U145" s="494">
        <v>1027</v>
      </c>
      <c r="V145" s="493">
        <v>2024</v>
      </c>
      <c r="W145" s="495" t="s">
        <v>355</v>
      </c>
      <c r="X145" s="496">
        <f t="shared" si="9"/>
        <v>16.518013631937684</v>
      </c>
      <c r="Y145" s="497" t="str">
        <f t="shared" si="8"/>
        <v/>
      </c>
      <c r="Z145" s="497" t="str">
        <f t="shared" si="8"/>
        <v/>
      </c>
    </row>
    <row r="146" spans="1:26" s="82" customFormat="1" x14ac:dyDescent="0.4">
      <c r="A146" s="493">
        <v>2364</v>
      </c>
      <c r="B146" s="105" t="s">
        <v>329</v>
      </c>
      <c r="C146" s="493" t="s">
        <v>330</v>
      </c>
      <c r="D146" s="105" t="s">
        <v>478</v>
      </c>
      <c r="E146" s="105" t="s">
        <v>477</v>
      </c>
      <c r="F146" s="493">
        <v>62032</v>
      </c>
      <c r="G146" s="105" t="s">
        <v>35</v>
      </c>
      <c r="H146" s="105" t="s">
        <v>342</v>
      </c>
      <c r="I146" s="105" t="s">
        <v>334</v>
      </c>
      <c r="J146" s="493">
        <v>22</v>
      </c>
      <c r="K146" s="493">
        <v>2</v>
      </c>
      <c r="L146" s="105" t="s">
        <v>343</v>
      </c>
      <c r="M146" s="105" t="s">
        <v>295</v>
      </c>
      <c r="N146" s="105" t="s">
        <v>238</v>
      </c>
      <c r="O146" s="105" t="s">
        <v>238</v>
      </c>
      <c r="P146" s="105" t="s">
        <v>350</v>
      </c>
      <c r="Q146" s="494">
        <v>0</v>
      </c>
      <c r="R146" s="494">
        <v>0</v>
      </c>
      <c r="S146" s="494">
        <v>0</v>
      </c>
      <c r="T146" s="494">
        <v>0</v>
      </c>
      <c r="U146" s="494">
        <v>0</v>
      </c>
      <c r="V146" s="493">
        <v>2024</v>
      </c>
      <c r="W146" s="495" t="s">
        <v>355</v>
      </c>
      <c r="X146" s="496" t="str">
        <f t="shared" si="9"/>
        <v/>
      </c>
      <c r="Y146" s="497" t="str">
        <f t="shared" si="8"/>
        <v/>
      </c>
      <c r="Z146" s="497" t="str">
        <f t="shared" si="8"/>
        <v/>
      </c>
    </row>
    <row r="147" spans="1:26" s="82" customFormat="1" x14ac:dyDescent="0.4">
      <c r="A147" s="493">
        <v>2364</v>
      </c>
      <c r="B147" s="105" t="s">
        <v>329</v>
      </c>
      <c r="C147" s="493" t="s">
        <v>330</v>
      </c>
      <c r="D147" s="105" t="s">
        <v>478</v>
      </c>
      <c r="E147" s="105" t="s">
        <v>477</v>
      </c>
      <c r="F147" s="493">
        <v>62032</v>
      </c>
      <c r="G147" s="105" t="s">
        <v>35</v>
      </c>
      <c r="H147" s="105" t="s">
        <v>342</v>
      </c>
      <c r="I147" s="105" t="s">
        <v>334</v>
      </c>
      <c r="J147" s="493">
        <v>22</v>
      </c>
      <c r="K147" s="493">
        <v>2</v>
      </c>
      <c r="L147" s="105" t="s">
        <v>343</v>
      </c>
      <c r="M147" s="105" t="s">
        <v>360</v>
      </c>
      <c r="N147" s="105" t="s">
        <v>222</v>
      </c>
      <c r="O147" s="105" t="s">
        <v>479</v>
      </c>
      <c r="P147" s="105" t="s">
        <v>388</v>
      </c>
      <c r="Q147" s="494">
        <v>98251</v>
      </c>
      <c r="R147" s="494">
        <v>98251</v>
      </c>
      <c r="S147" s="494">
        <v>2602559</v>
      </c>
      <c r="T147" s="494">
        <v>2602559</v>
      </c>
      <c r="U147" s="494">
        <v>224470.37</v>
      </c>
      <c r="V147" s="493">
        <v>2024</v>
      </c>
      <c r="W147" s="495" t="s">
        <v>355</v>
      </c>
      <c r="X147" s="496">
        <f t="shared" si="9"/>
        <v>11.594220653710332</v>
      </c>
      <c r="Y147" s="497" t="str">
        <f t="shared" si="8"/>
        <v/>
      </c>
      <c r="Z147" s="497" t="str">
        <f t="shared" si="8"/>
        <v/>
      </c>
    </row>
    <row r="148" spans="1:26" s="82" customFormat="1" x14ac:dyDescent="0.4">
      <c r="A148" s="493">
        <v>2364</v>
      </c>
      <c r="B148" s="105" t="s">
        <v>329</v>
      </c>
      <c r="C148" s="493" t="s">
        <v>330</v>
      </c>
      <c r="D148" s="105" t="s">
        <v>478</v>
      </c>
      <c r="E148" s="105" t="s">
        <v>477</v>
      </c>
      <c r="F148" s="493">
        <v>62032</v>
      </c>
      <c r="G148" s="105" t="s">
        <v>35</v>
      </c>
      <c r="H148" s="105" t="s">
        <v>342</v>
      </c>
      <c r="I148" s="105" t="s">
        <v>334</v>
      </c>
      <c r="J148" s="493">
        <v>22</v>
      </c>
      <c r="K148" s="493">
        <v>2</v>
      </c>
      <c r="L148" s="105" t="s">
        <v>343</v>
      </c>
      <c r="M148" s="105" t="s">
        <v>360</v>
      </c>
      <c r="N148" s="105" t="s">
        <v>226</v>
      </c>
      <c r="O148" s="105" t="s">
        <v>226</v>
      </c>
      <c r="P148" s="105" t="s">
        <v>350</v>
      </c>
      <c r="Q148" s="494">
        <v>506</v>
      </c>
      <c r="R148" s="494">
        <v>506</v>
      </c>
      <c r="S148" s="494">
        <v>2935</v>
      </c>
      <c r="T148" s="494">
        <v>2935</v>
      </c>
      <c r="U148" s="494">
        <v>246.63</v>
      </c>
      <c r="V148" s="493">
        <v>2024</v>
      </c>
      <c r="W148" s="495" t="s">
        <v>355</v>
      </c>
      <c r="X148" s="496">
        <f t="shared" si="9"/>
        <v>11.90041762964765</v>
      </c>
      <c r="Y148" s="497" t="str">
        <f t="shared" ref="Y148:Z167" si="10">IF(AND($M148=$Y$2,$N148=$Y$3,NOT($Q148=$R148),NOT($U148=0)),IF($K148=5,$S148/($U148+(8/5)*$U148),IF($K148=7,$S148/($U148+(29/25)*$U148),"")),"")</f>
        <v/>
      </c>
      <c r="Z148" s="497" t="str">
        <f t="shared" si="10"/>
        <v/>
      </c>
    </row>
    <row r="149" spans="1:26" s="82" customFormat="1" x14ac:dyDescent="0.4">
      <c r="A149" s="493">
        <v>2364</v>
      </c>
      <c r="B149" s="105" t="s">
        <v>329</v>
      </c>
      <c r="C149" s="493" t="s">
        <v>330</v>
      </c>
      <c r="D149" s="105" t="s">
        <v>478</v>
      </c>
      <c r="E149" s="105" t="s">
        <v>477</v>
      </c>
      <c r="F149" s="493">
        <v>62032</v>
      </c>
      <c r="G149" s="105" t="s">
        <v>35</v>
      </c>
      <c r="H149" s="105" t="s">
        <v>342</v>
      </c>
      <c r="I149" s="105" t="s">
        <v>334</v>
      </c>
      <c r="J149" s="493">
        <v>22</v>
      </c>
      <c r="K149" s="493">
        <v>2</v>
      </c>
      <c r="L149" s="105" t="s">
        <v>343</v>
      </c>
      <c r="M149" s="105" t="s">
        <v>360</v>
      </c>
      <c r="N149" s="105" t="s">
        <v>238</v>
      </c>
      <c r="O149" s="105" t="s">
        <v>238</v>
      </c>
      <c r="P149" s="105" t="s">
        <v>350</v>
      </c>
      <c r="Q149" s="494">
        <v>0</v>
      </c>
      <c r="R149" s="494">
        <v>0</v>
      </c>
      <c r="S149" s="494">
        <v>0</v>
      </c>
      <c r="T149" s="494">
        <v>0</v>
      </c>
      <c r="U149" s="494">
        <v>0</v>
      </c>
      <c r="V149" s="493">
        <v>2024</v>
      </c>
      <c r="W149" s="495" t="s">
        <v>355</v>
      </c>
      <c r="X149" s="496" t="str">
        <f t="shared" si="9"/>
        <v/>
      </c>
      <c r="Y149" s="497" t="str">
        <f t="shared" si="10"/>
        <v/>
      </c>
      <c r="Z149" s="497" t="str">
        <f t="shared" si="10"/>
        <v/>
      </c>
    </row>
    <row r="150" spans="1:26" s="82" customFormat="1" x14ac:dyDescent="0.4">
      <c r="A150" s="493">
        <v>2367</v>
      </c>
      <c r="B150" s="105" t="s">
        <v>329</v>
      </c>
      <c r="C150" s="493" t="s">
        <v>330</v>
      </c>
      <c r="D150" s="105" t="s">
        <v>480</v>
      </c>
      <c r="E150" s="105" t="s">
        <v>477</v>
      </c>
      <c r="F150" s="493">
        <v>62032</v>
      </c>
      <c r="G150" s="105" t="s">
        <v>35</v>
      </c>
      <c r="H150" s="105" t="s">
        <v>342</v>
      </c>
      <c r="I150" s="105" t="s">
        <v>334</v>
      </c>
      <c r="J150" s="493">
        <v>22</v>
      </c>
      <c r="K150" s="493">
        <v>2</v>
      </c>
      <c r="L150" s="105" t="s">
        <v>343</v>
      </c>
      <c r="M150" s="105" t="s">
        <v>295</v>
      </c>
      <c r="N150" s="105" t="s">
        <v>240</v>
      </c>
      <c r="O150" s="105" t="s">
        <v>349</v>
      </c>
      <c r="P150" s="105" t="s">
        <v>350</v>
      </c>
      <c r="Q150" s="494">
        <v>1437</v>
      </c>
      <c r="R150" s="494">
        <v>1437</v>
      </c>
      <c r="S150" s="494">
        <v>8190</v>
      </c>
      <c r="T150" s="494">
        <v>8190</v>
      </c>
      <c r="U150" s="494">
        <v>499</v>
      </c>
      <c r="V150" s="493">
        <v>2024</v>
      </c>
      <c r="W150" s="495"/>
      <c r="X150" s="496">
        <f t="shared" si="9"/>
        <v>16.412825651302605</v>
      </c>
      <c r="Y150" s="497" t="str">
        <f t="shared" si="10"/>
        <v/>
      </c>
      <c r="Z150" s="497" t="str">
        <f t="shared" si="10"/>
        <v/>
      </c>
    </row>
    <row r="151" spans="1:26" s="82" customFormat="1" x14ac:dyDescent="0.4">
      <c r="A151" s="493">
        <v>2367</v>
      </c>
      <c r="B151" s="105" t="s">
        <v>329</v>
      </c>
      <c r="C151" s="493" t="s">
        <v>330</v>
      </c>
      <c r="D151" s="105" t="s">
        <v>480</v>
      </c>
      <c r="E151" s="105" t="s">
        <v>477</v>
      </c>
      <c r="F151" s="493">
        <v>62032</v>
      </c>
      <c r="G151" s="105" t="s">
        <v>35</v>
      </c>
      <c r="H151" s="105" t="s">
        <v>342</v>
      </c>
      <c r="I151" s="105" t="s">
        <v>334</v>
      </c>
      <c r="J151" s="493">
        <v>22</v>
      </c>
      <c r="K151" s="493">
        <v>2</v>
      </c>
      <c r="L151" s="105" t="s">
        <v>343</v>
      </c>
      <c r="M151" s="105" t="s">
        <v>295</v>
      </c>
      <c r="N151" s="105" t="s">
        <v>228</v>
      </c>
      <c r="O151" s="105" t="s">
        <v>228</v>
      </c>
      <c r="P151" s="105" t="s">
        <v>356</v>
      </c>
      <c r="Q151" s="494">
        <v>0</v>
      </c>
      <c r="R151" s="494">
        <v>0</v>
      </c>
      <c r="S151" s="494">
        <v>0</v>
      </c>
      <c r="T151" s="494">
        <v>0</v>
      </c>
      <c r="U151" s="494">
        <v>0</v>
      </c>
      <c r="V151" s="493">
        <v>2024</v>
      </c>
      <c r="W151" s="495"/>
      <c r="X151" s="496" t="str">
        <f t="shared" si="9"/>
        <v/>
      </c>
      <c r="Y151" s="497" t="str">
        <f t="shared" si="10"/>
        <v/>
      </c>
      <c r="Z151" s="497" t="str">
        <f t="shared" si="10"/>
        <v/>
      </c>
    </row>
    <row r="152" spans="1:26" s="82" customFormat="1" x14ac:dyDescent="0.4">
      <c r="A152" s="493">
        <v>2367</v>
      </c>
      <c r="B152" s="105" t="s">
        <v>329</v>
      </c>
      <c r="C152" s="493" t="s">
        <v>330</v>
      </c>
      <c r="D152" s="105" t="s">
        <v>480</v>
      </c>
      <c r="E152" s="105" t="s">
        <v>477</v>
      </c>
      <c r="F152" s="493">
        <v>62032</v>
      </c>
      <c r="G152" s="105" t="s">
        <v>35</v>
      </c>
      <c r="H152" s="105" t="s">
        <v>342</v>
      </c>
      <c r="I152" s="105" t="s">
        <v>334</v>
      </c>
      <c r="J152" s="493">
        <v>22</v>
      </c>
      <c r="K152" s="493">
        <v>2</v>
      </c>
      <c r="L152" s="105" t="s">
        <v>343</v>
      </c>
      <c r="M152" s="105" t="s">
        <v>360</v>
      </c>
      <c r="N152" s="105" t="s">
        <v>222</v>
      </c>
      <c r="O152" s="105" t="s">
        <v>479</v>
      </c>
      <c r="P152" s="105" t="s">
        <v>388</v>
      </c>
      <c r="Q152" s="494">
        <v>0</v>
      </c>
      <c r="R152" s="494">
        <v>0</v>
      </c>
      <c r="S152" s="494">
        <v>0</v>
      </c>
      <c r="T152" s="494">
        <v>0</v>
      </c>
      <c r="U152" s="494">
        <v>0</v>
      </c>
      <c r="V152" s="493">
        <v>2024</v>
      </c>
      <c r="W152" s="495"/>
      <c r="X152" s="496" t="str">
        <f t="shared" si="9"/>
        <v/>
      </c>
      <c r="Y152" s="497" t="str">
        <f t="shared" si="10"/>
        <v/>
      </c>
      <c r="Z152" s="497" t="str">
        <f t="shared" si="10"/>
        <v/>
      </c>
    </row>
    <row r="153" spans="1:26" s="82" customFormat="1" x14ac:dyDescent="0.4">
      <c r="A153" s="493">
        <v>2367</v>
      </c>
      <c r="B153" s="105" t="s">
        <v>329</v>
      </c>
      <c r="C153" s="493" t="s">
        <v>330</v>
      </c>
      <c r="D153" s="105" t="s">
        <v>480</v>
      </c>
      <c r="E153" s="105" t="s">
        <v>477</v>
      </c>
      <c r="F153" s="493">
        <v>62032</v>
      </c>
      <c r="G153" s="105" t="s">
        <v>35</v>
      </c>
      <c r="H153" s="105" t="s">
        <v>342</v>
      </c>
      <c r="I153" s="105" t="s">
        <v>334</v>
      </c>
      <c r="J153" s="493">
        <v>22</v>
      </c>
      <c r="K153" s="493">
        <v>2</v>
      </c>
      <c r="L153" s="105" t="s">
        <v>343</v>
      </c>
      <c r="M153" s="105" t="s">
        <v>360</v>
      </c>
      <c r="N153" s="105" t="s">
        <v>226</v>
      </c>
      <c r="O153" s="105" t="s">
        <v>226</v>
      </c>
      <c r="P153" s="105" t="s">
        <v>350</v>
      </c>
      <c r="Q153" s="494">
        <v>0</v>
      </c>
      <c r="R153" s="494">
        <v>0</v>
      </c>
      <c r="S153" s="494">
        <v>0</v>
      </c>
      <c r="T153" s="494">
        <v>0</v>
      </c>
      <c r="U153" s="494">
        <v>0</v>
      </c>
      <c r="V153" s="493">
        <v>2024</v>
      </c>
      <c r="W153" s="495"/>
      <c r="X153" s="496" t="str">
        <f t="shared" si="9"/>
        <v/>
      </c>
      <c r="Y153" s="497" t="str">
        <f t="shared" si="10"/>
        <v/>
      </c>
      <c r="Z153" s="497" t="str">
        <f t="shared" si="10"/>
        <v/>
      </c>
    </row>
    <row r="154" spans="1:26" s="82" customFormat="1" x14ac:dyDescent="0.4">
      <c r="A154" s="493">
        <v>2367</v>
      </c>
      <c r="B154" s="105" t="s">
        <v>329</v>
      </c>
      <c r="C154" s="493" t="s">
        <v>330</v>
      </c>
      <c r="D154" s="105" t="s">
        <v>480</v>
      </c>
      <c r="E154" s="105" t="s">
        <v>477</v>
      </c>
      <c r="F154" s="493">
        <v>62032</v>
      </c>
      <c r="G154" s="105" t="s">
        <v>35</v>
      </c>
      <c r="H154" s="105" t="s">
        <v>342</v>
      </c>
      <c r="I154" s="105" t="s">
        <v>334</v>
      </c>
      <c r="J154" s="493">
        <v>22</v>
      </c>
      <c r="K154" s="493">
        <v>2</v>
      </c>
      <c r="L154" s="105" t="s">
        <v>343</v>
      </c>
      <c r="M154" s="105" t="s">
        <v>360</v>
      </c>
      <c r="N154" s="105" t="s">
        <v>228</v>
      </c>
      <c r="O154" s="105" t="s">
        <v>228</v>
      </c>
      <c r="P154" s="105" t="s">
        <v>356</v>
      </c>
      <c r="Q154" s="494">
        <v>0</v>
      </c>
      <c r="R154" s="494">
        <v>0</v>
      </c>
      <c r="S154" s="494">
        <v>0</v>
      </c>
      <c r="T154" s="494">
        <v>0</v>
      </c>
      <c r="U154" s="494">
        <v>0</v>
      </c>
      <c r="V154" s="493">
        <v>2024</v>
      </c>
      <c r="W154" s="495"/>
      <c r="X154" s="496" t="str">
        <f t="shared" si="9"/>
        <v/>
      </c>
      <c r="Y154" s="497" t="str">
        <f t="shared" si="10"/>
        <v/>
      </c>
      <c r="Z154" s="497" t="str">
        <f t="shared" si="10"/>
        <v/>
      </c>
    </row>
    <row r="155" spans="1:26" s="82" customFormat="1" x14ac:dyDescent="0.4">
      <c r="A155" s="493">
        <v>2367</v>
      </c>
      <c r="B155" s="105" t="s">
        <v>329</v>
      </c>
      <c r="C155" s="493" t="s">
        <v>330</v>
      </c>
      <c r="D155" s="105" t="s">
        <v>480</v>
      </c>
      <c r="E155" s="105" t="s">
        <v>477</v>
      </c>
      <c r="F155" s="493">
        <v>62032</v>
      </c>
      <c r="G155" s="105" t="s">
        <v>35</v>
      </c>
      <c r="H155" s="105" t="s">
        <v>342</v>
      </c>
      <c r="I155" s="105" t="s">
        <v>334</v>
      </c>
      <c r="J155" s="493">
        <v>22</v>
      </c>
      <c r="K155" s="493">
        <v>2</v>
      </c>
      <c r="L155" s="105" t="s">
        <v>343</v>
      </c>
      <c r="M155" s="105" t="s">
        <v>360</v>
      </c>
      <c r="N155" s="105" t="s">
        <v>262</v>
      </c>
      <c r="O155" s="105" t="s">
        <v>481</v>
      </c>
      <c r="P155" s="105" t="s">
        <v>388</v>
      </c>
      <c r="Q155" s="494">
        <v>0</v>
      </c>
      <c r="R155" s="494">
        <v>0</v>
      </c>
      <c r="S155" s="494">
        <v>0</v>
      </c>
      <c r="T155" s="494">
        <v>0</v>
      </c>
      <c r="U155" s="494">
        <v>0</v>
      </c>
      <c r="V155" s="493">
        <v>2024</v>
      </c>
      <c r="W155" s="495"/>
      <c r="X155" s="496" t="str">
        <f t="shared" si="9"/>
        <v/>
      </c>
      <c r="Y155" s="497" t="str">
        <f t="shared" si="10"/>
        <v/>
      </c>
      <c r="Z155" s="497" t="str">
        <f t="shared" si="10"/>
        <v/>
      </c>
    </row>
    <row r="156" spans="1:26" s="82" customFormat="1" x14ac:dyDescent="0.4">
      <c r="A156" s="493">
        <v>2367</v>
      </c>
      <c r="B156" s="105" t="s">
        <v>329</v>
      </c>
      <c r="C156" s="493" t="s">
        <v>330</v>
      </c>
      <c r="D156" s="105" t="s">
        <v>480</v>
      </c>
      <c r="E156" s="105" t="s">
        <v>477</v>
      </c>
      <c r="F156" s="493">
        <v>62032</v>
      </c>
      <c r="G156" s="105" t="s">
        <v>35</v>
      </c>
      <c r="H156" s="105" t="s">
        <v>342</v>
      </c>
      <c r="I156" s="105" t="s">
        <v>334</v>
      </c>
      <c r="J156" s="493">
        <v>22</v>
      </c>
      <c r="K156" s="493">
        <v>2</v>
      </c>
      <c r="L156" s="105" t="s">
        <v>343</v>
      </c>
      <c r="M156" s="105" t="s">
        <v>360</v>
      </c>
      <c r="N156" s="105" t="s">
        <v>238</v>
      </c>
      <c r="O156" s="105" t="s">
        <v>238</v>
      </c>
      <c r="P156" s="105" t="s">
        <v>350</v>
      </c>
      <c r="Q156" s="494">
        <v>0</v>
      </c>
      <c r="R156" s="494">
        <v>0</v>
      </c>
      <c r="S156" s="494">
        <v>0</v>
      </c>
      <c r="T156" s="494">
        <v>0</v>
      </c>
      <c r="U156" s="494">
        <v>0</v>
      </c>
      <c r="V156" s="493">
        <v>2024</v>
      </c>
      <c r="W156" s="495"/>
      <c r="X156" s="496" t="str">
        <f t="shared" si="9"/>
        <v/>
      </c>
      <c r="Y156" s="497" t="str">
        <f t="shared" si="10"/>
        <v/>
      </c>
      <c r="Z156" s="497" t="str">
        <f t="shared" si="10"/>
        <v/>
      </c>
    </row>
    <row r="157" spans="1:26" s="82" customFormat="1" x14ac:dyDescent="0.4">
      <c r="A157" s="493">
        <v>2367</v>
      </c>
      <c r="B157" s="105" t="s">
        <v>329</v>
      </c>
      <c r="C157" s="493" t="s">
        <v>330</v>
      </c>
      <c r="D157" s="105" t="s">
        <v>480</v>
      </c>
      <c r="E157" s="105" t="s">
        <v>477</v>
      </c>
      <c r="F157" s="493">
        <v>62032</v>
      </c>
      <c r="G157" s="105" t="s">
        <v>35</v>
      </c>
      <c r="H157" s="105" t="s">
        <v>342</v>
      </c>
      <c r="I157" s="105" t="s">
        <v>334</v>
      </c>
      <c r="J157" s="493">
        <v>22</v>
      </c>
      <c r="K157" s="493">
        <v>2</v>
      </c>
      <c r="L157" s="105" t="s">
        <v>343</v>
      </c>
      <c r="M157" s="105" t="s">
        <v>360</v>
      </c>
      <c r="N157" s="105" t="s">
        <v>258</v>
      </c>
      <c r="O157" s="105" t="s">
        <v>387</v>
      </c>
      <c r="P157" s="105" t="s">
        <v>388</v>
      </c>
      <c r="Q157" s="494">
        <v>0</v>
      </c>
      <c r="R157" s="494">
        <v>0</v>
      </c>
      <c r="S157" s="494">
        <v>0</v>
      </c>
      <c r="T157" s="494">
        <v>0</v>
      </c>
      <c r="U157" s="494">
        <v>0</v>
      </c>
      <c r="V157" s="493">
        <v>2024</v>
      </c>
      <c r="W157" s="495"/>
      <c r="X157" s="496" t="str">
        <f t="shared" si="9"/>
        <v/>
      </c>
      <c r="Y157" s="497" t="str">
        <f t="shared" si="10"/>
        <v/>
      </c>
      <c r="Z157" s="497" t="str">
        <f t="shared" si="10"/>
        <v/>
      </c>
    </row>
    <row r="158" spans="1:26" s="82" customFormat="1" ht="32" x14ac:dyDescent="0.4">
      <c r="A158" s="493">
        <v>2368</v>
      </c>
      <c r="B158" s="105" t="s">
        <v>329</v>
      </c>
      <c r="C158" s="493" t="s">
        <v>330</v>
      </c>
      <c r="D158" s="105" t="s">
        <v>482</v>
      </c>
      <c r="E158" s="105" t="s">
        <v>469</v>
      </c>
      <c r="F158" s="493">
        <v>62775</v>
      </c>
      <c r="G158" s="105" t="s">
        <v>35</v>
      </c>
      <c r="H158" s="105" t="s">
        <v>342</v>
      </c>
      <c r="I158" s="105" t="s">
        <v>334</v>
      </c>
      <c r="J158" s="493">
        <v>22</v>
      </c>
      <c r="K158" s="493">
        <v>2</v>
      </c>
      <c r="L158" s="105" t="s">
        <v>343</v>
      </c>
      <c r="M158" s="105" t="s">
        <v>336</v>
      </c>
      <c r="N158" s="105" t="s">
        <v>337</v>
      </c>
      <c r="O158" s="105" t="s">
        <v>338</v>
      </c>
      <c r="P158" s="105" t="s">
        <v>339</v>
      </c>
      <c r="Q158" s="494">
        <v>0</v>
      </c>
      <c r="R158" s="494">
        <v>0</v>
      </c>
      <c r="S158" s="494">
        <v>382829</v>
      </c>
      <c r="T158" s="494">
        <v>382829</v>
      </c>
      <c r="U158" s="494">
        <v>112201</v>
      </c>
      <c r="V158" s="493">
        <v>2024</v>
      </c>
      <c r="W158" s="495"/>
      <c r="X158" s="496">
        <f t="shared" si="9"/>
        <v>3.4119927629878521</v>
      </c>
      <c r="Y158" s="497" t="str">
        <f t="shared" si="10"/>
        <v/>
      </c>
      <c r="Z158" s="497" t="str">
        <f t="shared" si="10"/>
        <v/>
      </c>
    </row>
    <row r="159" spans="1:26" s="82" customFormat="1" x14ac:dyDescent="0.4">
      <c r="A159" s="493">
        <v>2369</v>
      </c>
      <c r="B159" s="105" t="s">
        <v>329</v>
      </c>
      <c r="C159" s="493" t="s">
        <v>330</v>
      </c>
      <c r="D159" s="105" t="s">
        <v>483</v>
      </c>
      <c r="E159" s="105" t="s">
        <v>477</v>
      </c>
      <c r="F159" s="493">
        <v>62032</v>
      </c>
      <c r="G159" s="105" t="s">
        <v>35</v>
      </c>
      <c r="H159" s="105" t="s">
        <v>342</v>
      </c>
      <c r="I159" s="105" t="s">
        <v>334</v>
      </c>
      <c r="J159" s="493">
        <v>22</v>
      </c>
      <c r="K159" s="493">
        <v>2</v>
      </c>
      <c r="L159" s="105" t="s">
        <v>343</v>
      </c>
      <c r="M159" s="105" t="s">
        <v>295</v>
      </c>
      <c r="N159" s="105" t="s">
        <v>226</v>
      </c>
      <c r="O159" s="105" t="s">
        <v>226</v>
      </c>
      <c r="P159" s="105" t="s">
        <v>350</v>
      </c>
      <c r="Q159" s="494">
        <v>0</v>
      </c>
      <c r="R159" s="494">
        <v>0</v>
      </c>
      <c r="S159" s="494">
        <v>0</v>
      </c>
      <c r="T159" s="494">
        <v>0</v>
      </c>
      <c r="U159" s="494">
        <v>0</v>
      </c>
      <c r="V159" s="493">
        <v>2024</v>
      </c>
      <c r="W159" s="495"/>
      <c r="X159" s="496" t="str">
        <f t="shared" si="9"/>
        <v/>
      </c>
      <c r="Y159" s="497" t="str">
        <f t="shared" si="10"/>
        <v/>
      </c>
      <c r="Z159" s="497" t="str">
        <f t="shared" si="10"/>
        <v/>
      </c>
    </row>
    <row r="160" spans="1:26" s="82" customFormat="1" x14ac:dyDescent="0.4">
      <c r="A160" s="493">
        <v>2369</v>
      </c>
      <c r="B160" s="105" t="s">
        <v>329</v>
      </c>
      <c r="C160" s="493" t="s">
        <v>330</v>
      </c>
      <c r="D160" s="105" t="s">
        <v>483</v>
      </c>
      <c r="E160" s="105" t="s">
        <v>477</v>
      </c>
      <c r="F160" s="493">
        <v>62032</v>
      </c>
      <c r="G160" s="105" t="s">
        <v>35</v>
      </c>
      <c r="H160" s="105" t="s">
        <v>342</v>
      </c>
      <c r="I160" s="105" t="s">
        <v>334</v>
      </c>
      <c r="J160" s="493">
        <v>22</v>
      </c>
      <c r="K160" s="493">
        <v>2</v>
      </c>
      <c r="L160" s="105" t="s">
        <v>343</v>
      </c>
      <c r="M160" s="105" t="s">
        <v>295</v>
      </c>
      <c r="N160" s="105" t="s">
        <v>240</v>
      </c>
      <c r="O160" s="105" t="s">
        <v>349</v>
      </c>
      <c r="P160" s="105" t="s">
        <v>350</v>
      </c>
      <c r="Q160" s="494">
        <v>1390</v>
      </c>
      <c r="R160" s="494">
        <v>1390</v>
      </c>
      <c r="S160" s="494">
        <v>8062</v>
      </c>
      <c r="T160" s="494">
        <v>8062</v>
      </c>
      <c r="U160" s="494">
        <v>484</v>
      </c>
      <c r="V160" s="493">
        <v>2024</v>
      </c>
      <c r="W160" s="495"/>
      <c r="X160" s="496">
        <f t="shared" si="9"/>
        <v>16.65702479338843</v>
      </c>
      <c r="Y160" s="497" t="str">
        <f t="shared" si="10"/>
        <v/>
      </c>
      <c r="Z160" s="497" t="str">
        <f t="shared" si="10"/>
        <v/>
      </c>
    </row>
    <row r="161" spans="1:26" s="82" customFormat="1" x14ac:dyDescent="0.4">
      <c r="A161" s="493">
        <v>2480</v>
      </c>
      <c r="B161" s="105" t="s">
        <v>329</v>
      </c>
      <c r="C161" s="493" t="s">
        <v>330</v>
      </c>
      <c r="D161" s="105" t="s">
        <v>484</v>
      </c>
      <c r="E161" s="105" t="s">
        <v>485</v>
      </c>
      <c r="F161" s="493">
        <v>58971</v>
      </c>
      <c r="G161" s="105" t="s">
        <v>52</v>
      </c>
      <c r="H161" s="105" t="s">
        <v>333</v>
      </c>
      <c r="I161" s="105" t="s">
        <v>334</v>
      </c>
      <c r="J161" s="493">
        <v>22</v>
      </c>
      <c r="K161" s="493">
        <v>2</v>
      </c>
      <c r="L161" s="105" t="s">
        <v>343</v>
      </c>
      <c r="M161" s="105" t="s">
        <v>359</v>
      </c>
      <c r="N161" s="105" t="s">
        <v>226</v>
      </c>
      <c r="O161" s="105" t="s">
        <v>226</v>
      </c>
      <c r="P161" s="105" t="s">
        <v>350</v>
      </c>
      <c r="Q161" s="494">
        <v>91</v>
      </c>
      <c r="R161" s="494">
        <v>91</v>
      </c>
      <c r="S161" s="494">
        <v>526</v>
      </c>
      <c r="T161" s="494">
        <v>526</v>
      </c>
      <c r="U161" s="494">
        <v>48</v>
      </c>
      <c r="V161" s="493">
        <v>2024</v>
      </c>
      <c r="W161" s="495"/>
      <c r="X161" s="496">
        <f t="shared" si="9"/>
        <v>10.958333333333334</v>
      </c>
      <c r="Y161" s="497" t="str">
        <f t="shared" si="10"/>
        <v/>
      </c>
      <c r="Z161" s="497" t="str">
        <f t="shared" si="10"/>
        <v/>
      </c>
    </row>
    <row r="162" spans="1:26" s="82" customFormat="1" x14ac:dyDescent="0.4">
      <c r="A162" s="493">
        <v>2480</v>
      </c>
      <c r="B162" s="105" t="s">
        <v>329</v>
      </c>
      <c r="C162" s="493" t="s">
        <v>330</v>
      </c>
      <c r="D162" s="105" t="s">
        <v>484</v>
      </c>
      <c r="E162" s="105" t="s">
        <v>485</v>
      </c>
      <c r="F162" s="493">
        <v>58971</v>
      </c>
      <c r="G162" s="105" t="s">
        <v>52</v>
      </c>
      <c r="H162" s="105" t="s">
        <v>333</v>
      </c>
      <c r="I162" s="105" t="s">
        <v>334</v>
      </c>
      <c r="J162" s="493">
        <v>22</v>
      </c>
      <c r="K162" s="493">
        <v>2</v>
      </c>
      <c r="L162" s="105" t="s">
        <v>343</v>
      </c>
      <c r="M162" s="105" t="s">
        <v>360</v>
      </c>
      <c r="N162" s="105" t="s">
        <v>228</v>
      </c>
      <c r="O162" s="105" t="s">
        <v>228</v>
      </c>
      <c r="P162" s="105" t="s">
        <v>356</v>
      </c>
      <c r="Q162" s="494">
        <v>236023</v>
      </c>
      <c r="R162" s="494">
        <v>236023</v>
      </c>
      <c r="S162" s="494">
        <v>240744</v>
      </c>
      <c r="T162" s="494">
        <v>240744</v>
      </c>
      <c r="U162" s="494">
        <v>19105</v>
      </c>
      <c r="V162" s="493">
        <v>2024</v>
      </c>
      <c r="W162" s="495" t="s">
        <v>355</v>
      </c>
      <c r="X162" s="496">
        <f t="shared" si="9"/>
        <v>12.601099188694059</v>
      </c>
      <c r="Y162" s="497" t="str">
        <f t="shared" si="10"/>
        <v/>
      </c>
      <c r="Z162" s="497" t="str">
        <f t="shared" si="10"/>
        <v/>
      </c>
    </row>
    <row r="163" spans="1:26" s="82" customFormat="1" x14ac:dyDescent="0.4">
      <c r="A163" s="493">
        <v>2480</v>
      </c>
      <c r="B163" s="105" t="s">
        <v>329</v>
      </c>
      <c r="C163" s="493" t="s">
        <v>330</v>
      </c>
      <c r="D163" s="105" t="s">
        <v>484</v>
      </c>
      <c r="E163" s="105" t="s">
        <v>485</v>
      </c>
      <c r="F163" s="493">
        <v>58971</v>
      </c>
      <c r="G163" s="105" t="s">
        <v>52</v>
      </c>
      <c r="H163" s="105" t="s">
        <v>333</v>
      </c>
      <c r="I163" s="105" t="s">
        <v>334</v>
      </c>
      <c r="J163" s="493">
        <v>22</v>
      </c>
      <c r="K163" s="493">
        <v>2</v>
      </c>
      <c r="L163" s="105" t="s">
        <v>343</v>
      </c>
      <c r="M163" s="105" t="s">
        <v>360</v>
      </c>
      <c r="N163" s="105" t="s">
        <v>238</v>
      </c>
      <c r="O163" s="105" t="s">
        <v>238</v>
      </c>
      <c r="P163" s="105" t="s">
        <v>350</v>
      </c>
      <c r="Q163" s="494">
        <v>0</v>
      </c>
      <c r="R163" s="494">
        <v>0</v>
      </c>
      <c r="S163" s="494">
        <v>0</v>
      </c>
      <c r="T163" s="494">
        <v>0</v>
      </c>
      <c r="U163" s="494">
        <v>0</v>
      </c>
      <c r="V163" s="493">
        <v>2024</v>
      </c>
      <c r="W163" s="495" t="s">
        <v>355</v>
      </c>
      <c r="X163" s="496" t="str">
        <f t="shared" si="9"/>
        <v/>
      </c>
      <c r="Y163" s="497" t="str">
        <f t="shared" si="10"/>
        <v/>
      </c>
      <c r="Z163" s="497" t="str">
        <f t="shared" si="10"/>
        <v/>
      </c>
    </row>
    <row r="164" spans="1:26" s="82" customFormat="1" ht="32" x14ac:dyDescent="0.4">
      <c r="A164" s="493">
        <v>2481</v>
      </c>
      <c r="B164" s="105" t="s">
        <v>329</v>
      </c>
      <c r="C164" s="493" t="s">
        <v>330</v>
      </c>
      <c r="D164" s="105" t="s">
        <v>486</v>
      </c>
      <c r="E164" s="105" t="s">
        <v>382</v>
      </c>
      <c r="F164" s="493">
        <v>3249</v>
      </c>
      <c r="G164" s="105" t="s">
        <v>52</v>
      </c>
      <c r="H164" s="105" t="s">
        <v>333</v>
      </c>
      <c r="I164" s="105" t="s">
        <v>334</v>
      </c>
      <c r="J164" s="493">
        <v>22</v>
      </c>
      <c r="K164" s="493">
        <v>1</v>
      </c>
      <c r="L164" s="105" t="s">
        <v>335</v>
      </c>
      <c r="M164" s="105" t="s">
        <v>336</v>
      </c>
      <c r="N164" s="105" t="s">
        <v>337</v>
      </c>
      <c r="O164" s="105" t="s">
        <v>338</v>
      </c>
      <c r="P164" s="105" t="s">
        <v>339</v>
      </c>
      <c r="Q164" s="494">
        <v>0</v>
      </c>
      <c r="R164" s="494">
        <v>0</v>
      </c>
      <c r="S164" s="494">
        <v>30545</v>
      </c>
      <c r="T164" s="494">
        <v>30545</v>
      </c>
      <c r="U164" s="494">
        <v>8952</v>
      </c>
      <c r="V164" s="493">
        <v>2024</v>
      </c>
      <c r="W164" s="495"/>
      <c r="X164" s="496">
        <f t="shared" si="9"/>
        <v>3.4120866845397675</v>
      </c>
      <c r="Y164" s="497" t="str">
        <f t="shared" si="10"/>
        <v/>
      </c>
      <c r="Z164" s="497" t="str">
        <f t="shared" si="10"/>
        <v/>
      </c>
    </row>
    <row r="165" spans="1:26" s="82" customFormat="1" ht="32" x14ac:dyDescent="0.4">
      <c r="A165" s="493">
        <v>2483</v>
      </c>
      <c r="B165" s="105" t="s">
        <v>329</v>
      </c>
      <c r="C165" s="493" t="s">
        <v>330</v>
      </c>
      <c r="D165" s="105" t="s">
        <v>487</v>
      </c>
      <c r="E165" s="105" t="s">
        <v>332</v>
      </c>
      <c r="F165" s="493">
        <v>15296</v>
      </c>
      <c r="G165" s="105" t="s">
        <v>52</v>
      </c>
      <c r="H165" s="105" t="s">
        <v>333</v>
      </c>
      <c r="I165" s="105" t="s">
        <v>334</v>
      </c>
      <c r="J165" s="493">
        <v>22</v>
      </c>
      <c r="K165" s="493">
        <v>1</v>
      </c>
      <c r="L165" s="105" t="s">
        <v>335</v>
      </c>
      <c r="M165" s="105" t="s">
        <v>336</v>
      </c>
      <c r="N165" s="105" t="s">
        <v>337</v>
      </c>
      <c r="O165" s="105" t="s">
        <v>338</v>
      </c>
      <c r="P165" s="105" t="s">
        <v>339</v>
      </c>
      <c r="Q165" s="494">
        <v>0</v>
      </c>
      <c r="R165" s="494">
        <v>0</v>
      </c>
      <c r="S165" s="494">
        <v>99577</v>
      </c>
      <c r="T165" s="494">
        <v>99577</v>
      </c>
      <c r="U165" s="494">
        <v>29184</v>
      </c>
      <c r="V165" s="493">
        <v>2024</v>
      </c>
      <c r="W165" s="495"/>
      <c r="X165" s="496">
        <f t="shared" si="9"/>
        <v>3.4120408442982457</v>
      </c>
      <c r="Y165" s="497" t="str">
        <f t="shared" si="10"/>
        <v/>
      </c>
      <c r="Z165" s="497" t="str">
        <f t="shared" si="10"/>
        <v/>
      </c>
    </row>
    <row r="166" spans="1:26" s="82" customFormat="1" ht="32" x14ac:dyDescent="0.4">
      <c r="A166" s="493">
        <v>2485</v>
      </c>
      <c r="B166" s="105" t="s">
        <v>329</v>
      </c>
      <c r="C166" s="493" t="s">
        <v>330</v>
      </c>
      <c r="D166" s="105" t="s">
        <v>488</v>
      </c>
      <c r="E166" s="105" t="s">
        <v>382</v>
      </c>
      <c r="F166" s="493">
        <v>3249</v>
      </c>
      <c r="G166" s="105" t="s">
        <v>52</v>
      </c>
      <c r="H166" s="105" t="s">
        <v>333</v>
      </c>
      <c r="I166" s="105" t="s">
        <v>334</v>
      </c>
      <c r="J166" s="493">
        <v>22</v>
      </c>
      <c r="K166" s="493">
        <v>1</v>
      </c>
      <c r="L166" s="105" t="s">
        <v>335</v>
      </c>
      <c r="M166" s="105" t="s">
        <v>295</v>
      </c>
      <c r="N166" s="105" t="s">
        <v>242</v>
      </c>
      <c r="O166" s="105" t="s">
        <v>349</v>
      </c>
      <c r="P166" s="105" t="s">
        <v>350</v>
      </c>
      <c r="Q166" s="494">
        <v>1581</v>
      </c>
      <c r="R166" s="494">
        <v>1581</v>
      </c>
      <c r="S166" s="494">
        <v>8870</v>
      </c>
      <c r="T166" s="494">
        <v>8870</v>
      </c>
      <c r="U166" s="494">
        <v>572</v>
      </c>
      <c r="V166" s="493">
        <v>2024</v>
      </c>
      <c r="W166" s="495"/>
      <c r="X166" s="496">
        <f t="shared" si="9"/>
        <v>15.506993006993007</v>
      </c>
      <c r="Y166" s="497" t="str">
        <f t="shared" si="10"/>
        <v/>
      </c>
      <c r="Z166" s="497" t="str">
        <f t="shared" si="10"/>
        <v/>
      </c>
    </row>
    <row r="167" spans="1:26" s="82" customFormat="1" ht="32" x14ac:dyDescent="0.4">
      <c r="A167" s="493">
        <v>2486</v>
      </c>
      <c r="B167" s="105" t="s">
        <v>329</v>
      </c>
      <c r="C167" s="493" t="s">
        <v>330</v>
      </c>
      <c r="D167" s="105" t="s">
        <v>489</v>
      </c>
      <c r="E167" s="105" t="s">
        <v>382</v>
      </c>
      <c r="F167" s="493">
        <v>3249</v>
      </c>
      <c r="G167" s="105" t="s">
        <v>52</v>
      </c>
      <c r="H167" s="105" t="s">
        <v>333</v>
      </c>
      <c r="I167" s="105" t="s">
        <v>334</v>
      </c>
      <c r="J167" s="493">
        <v>22</v>
      </c>
      <c r="K167" s="493">
        <v>1</v>
      </c>
      <c r="L167" s="105" t="s">
        <v>335</v>
      </c>
      <c r="M167" s="105" t="s">
        <v>336</v>
      </c>
      <c r="N167" s="105" t="s">
        <v>337</v>
      </c>
      <c r="O167" s="105" t="s">
        <v>338</v>
      </c>
      <c r="P167" s="105" t="s">
        <v>339</v>
      </c>
      <c r="Q167" s="494">
        <v>0</v>
      </c>
      <c r="R167" s="494">
        <v>0</v>
      </c>
      <c r="S167" s="494">
        <v>155982</v>
      </c>
      <c r="T167" s="494">
        <v>155982</v>
      </c>
      <c r="U167" s="494">
        <v>45715</v>
      </c>
      <c r="V167" s="493">
        <v>2024</v>
      </c>
      <c r="W167" s="495"/>
      <c r="X167" s="496">
        <f t="shared" si="9"/>
        <v>3.4120529366728647</v>
      </c>
      <c r="Y167" s="497" t="str">
        <f t="shared" si="10"/>
        <v/>
      </c>
      <c r="Z167" s="497" t="str">
        <f t="shared" si="10"/>
        <v/>
      </c>
    </row>
    <row r="168" spans="1:26" s="82" customFormat="1" ht="32" x14ac:dyDescent="0.4">
      <c r="A168" s="493">
        <v>2487</v>
      </c>
      <c r="B168" s="105" t="s">
        <v>329</v>
      </c>
      <c r="C168" s="493" t="s">
        <v>330</v>
      </c>
      <c r="D168" s="105" t="s">
        <v>490</v>
      </c>
      <c r="E168" s="105" t="s">
        <v>382</v>
      </c>
      <c r="F168" s="493">
        <v>3249</v>
      </c>
      <c r="G168" s="105" t="s">
        <v>52</v>
      </c>
      <c r="H168" s="105" t="s">
        <v>333</v>
      </c>
      <c r="I168" s="105" t="s">
        <v>334</v>
      </c>
      <c r="J168" s="493">
        <v>22</v>
      </c>
      <c r="K168" s="493">
        <v>1</v>
      </c>
      <c r="L168" s="105" t="s">
        <v>335</v>
      </c>
      <c r="M168" s="105" t="s">
        <v>295</v>
      </c>
      <c r="N168" s="105" t="s">
        <v>242</v>
      </c>
      <c r="O168" s="105" t="s">
        <v>349</v>
      </c>
      <c r="P168" s="105" t="s">
        <v>350</v>
      </c>
      <c r="Q168" s="494">
        <v>67</v>
      </c>
      <c r="R168" s="494">
        <v>67</v>
      </c>
      <c r="S168" s="494">
        <v>377</v>
      </c>
      <c r="T168" s="494">
        <v>377</v>
      </c>
      <c r="U168" s="494">
        <v>25.059000000000001</v>
      </c>
      <c r="V168" s="493">
        <v>2024</v>
      </c>
      <c r="W168" s="495"/>
      <c r="X168" s="496">
        <f t="shared" si="9"/>
        <v>15.044494991819306</v>
      </c>
      <c r="Y168" s="497" t="str">
        <f t="shared" ref="Y168:Z187" si="11">IF(AND($M168=$Y$2,$N168=$Y$3,NOT($Q168=$R168),NOT($U168=0)),IF($K168=5,$S168/($U168+(8/5)*$U168),IF($K168=7,$S168/($U168+(29/25)*$U168),"")),"")</f>
        <v/>
      </c>
      <c r="Z168" s="497" t="str">
        <f t="shared" si="11"/>
        <v/>
      </c>
    </row>
    <row r="169" spans="1:26" s="82" customFormat="1" ht="32" x14ac:dyDescent="0.4">
      <c r="A169" s="493">
        <v>2487</v>
      </c>
      <c r="B169" s="105" t="s">
        <v>329</v>
      </c>
      <c r="C169" s="493" t="s">
        <v>330</v>
      </c>
      <c r="D169" s="105" t="s">
        <v>490</v>
      </c>
      <c r="E169" s="105" t="s">
        <v>382</v>
      </c>
      <c r="F169" s="493">
        <v>3249</v>
      </c>
      <c r="G169" s="105" t="s">
        <v>52</v>
      </c>
      <c r="H169" s="105" t="s">
        <v>333</v>
      </c>
      <c r="I169" s="105" t="s">
        <v>334</v>
      </c>
      <c r="J169" s="493">
        <v>22</v>
      </c>
      <c r="K169" s="493">
        <v>1</v>
      </c>
      <c r="L169" s="105" t="s">
        <v>335</v>
      </c>
      <c r="M169" s="105" t="s">
        <v>295</v>
      </c>
      <c r="N169" s="105" t="s">
        <v>228</v>
      </c>
      <c r="O169" s="105" t="s">
        <v>228</v>
      </c>
      <c r="P169" s="105" t="s">
        <v>356</v>
      </c>
      <c r="Q169" s="494">
        <v>5533</v>
      </c>
      <c r="R169" s="494">
        <v>5533</v>
      </c>
      <c r="S169" s="494">
        <v>5698</v>
      </c>
      <c r="T169" s="494">
        <v>5698</v>
      </c>
      <c r="U169" s="494">
        <v>379.94099999999997</v>
      </c>
      <c r="V169" s="493">
        <v>2024</v>
      </c>
      <c r="W169" s="495"/>
      <c r="X169" s="496">
        <f t="shared" si="9"/>
        <v>14.997065333828148</v>
      </c>
      <c r="Y169" s="497" t="str">
        <f t="shared" si="11"/>
        <v/>
      </c>
      <c r="Z169" s="497" t="str">
        <f t="shared" si="11"/>
        <v/>
      </c>
    </row>
    <row r="170" spans="1:26" s="82" customFormat="1" ht="32" x14ac:dyDescent="0.4">
      <c r="A170" s="493">
        <v>2490</v>
      </c>
      <c r="B170" s="105" t="s">
        <v>329</v>
      </c>
      <c r="C170" s="493" t="s">
        <v>330</v>
      </c>
      <c r="D170" s="105" t="s">
        <v>491</v>
      </c>
      <c r="E170" s="105" t="s">
        <v>492</v>
      </c>
      <c r="F170" s="493">
        <v>13192</v>
      </c>
      <c r="G170" s="105" t="s">
        <v>52</v>
      </c>
      <c r="H170" s="105" t="s">
        <v>333</v>
      </c>
      <c r="I170" s="105" t="s">
        <v>334</v>
      </c>
      <c r="J170" s="493">
        <v>22</v>
      </c>
      <c r="K170" s="493">
        <v>2</v>
      </c>
      <c r="L170" s="105" t="s">
        <v>343</v>
      </c>
      <c r="M170" s="105" t="s">
        <v>295</v>
      </c>
      <c r="N170" s="105" t="s">
        <v>228</v>
      </c>
      <c r="O170" s="105" t="s">
        <v>228</v>
      </c>
      <c r="P170" s="105" t="s">
        <v>356</v>
      </c>
      <c r="Q170" s="494">
        <v>7710</v>
      </c>
      <c r="R170" s="494">
        <v>7710</v>
      </c>
      <c r="S170" s="494">
        <v>7943</v>
      </c>
      <c r="T170" s="494">
        <v>7943</v>
      </c>
      <c r="U170" s="494">
        <v>419</v>
      </c>
      <c r="V170" s="493">
        <v>2024</v>
      </c>
      <c r="W170" s="495" t="s">
        <v>355</v>
      </c>
      <c r="X170" s="496">
        <f t="shared" si="9"/>
        <v>18.957040572792362</v>
      </c>
      <c r="Y170" s="497" t="str">
        <f t="shared" si="11"/>
        <v/>
      </c>
      <c r="Z170" s="497" t="str">
        <f t="shared" si="11"/>
        <v/>
      </c>
    </row>
    <row r="171" spans="1:26" s="82" customFormat="1" ht="32" x14ac:dyDescent="0.4">
      <c r="A171" s="493">
        <v>2490</v>
      </c>
      <c r="B171" s="105" t="s">
        <v>329</v>
      </c>
      <c r="C171" s="493" t="s">
        <v>330</v>
      </c>
      <c r="D171" s="105" t="s">
        <v>491</v>
      </c>
      <c r="E171" s="105" t="s">
        <v>492</v>
      </c>
      <c r="F171" s="493">
        <v>13192</v>
      </c>
      <c r="G171" s="105" t="s">
        <v>52</v>
      </c>
      <c r="H171" s="105" t="s">
        <v>333</v>
      </c>
      <c r="I171" s="105" t="s">
        <v>334</v>
      </c>
      <c r="J171" s="493">
        <v>22</v>
      </c>
      <c r="K171" s="493">
        <v>2</v>
      </c>
      <c r="L171" s="105" t="s">
        <v>343</v>
      </c>
      <c r="M171" s="105" t="s">
        <v>360</v>
      </c>
      <c r="N171" s="105" t="s">
        <v>228</v>
      </c>
      <c r="O171" s="105" t="s">
        <v>228</v>
      </c>
      <c r="P171" s="105" t="s">
        <v>356</v>
      </c>
      <c r="Q171" s="494">
        <v>13582760</v>
      </c>
      <c r="R171" s="494">
        <v>13582760</v>
      </c>
      <c r="S171" s="494">
        <v>14170614</v>
      </c>
      <c r="T171" s="494">
        <v>14170614</v>
      </c>
      <c r="U171" s="494">
        <v>1271572</v>
      </c>
      <c r="V171" s="493">
        <v>2024</v>
      </c>
      <c r="W171" s="495" t="s">
        <v>355</v>
      </c>
      <c r="X171" s="496">
        <f t="shared" si="9"/>
        <v>11.144169579072203</v>
      </c>
      <c r="Y171" s="497" t="str">
        <f t="shared" si="11"/>
        <v/>
      </c>
      <c r="Z171" s="497" t="str">
        <f t="shared" si="11"/>
        <v/>
      </c>
    </row>
    <row r="172" spans="1:26" s="82" customFormat="1" ht="32" x14ac:dyDescent="0.4">
      <c r="A172" s="493">
        <v>2493</v>
      </c>
      <c r="B172" s="105" t="s">
        <v>433</v>
      </c>
      <c r="C172" s="493" t="s">
        <v>330</v>
      </c>
      <c r="D172" s="105" t="s">
        <v>493</v>
      </c>
      <c r="E172" s="105" t="s">
        <v>494</v>
      </c>
      <c r="F172" s="493">
        <v>4226</v>
      </c>
      <c r="G172" s="105" t="s">
        <v>52</v>
      </c>
      <c r="H172" s="105" t="s">
        <v>333</v>
      </c>
      <c r="I172" s="105" t="s">
        <v>334</v>
      </c>
      <c r="J172" s="493">
        <v>22</v>
      </c>
      <c r="K172" s="493">
        <v>1</v>
      </c>
      <c r="L172" s="105" t="s">
        <v>335</v>
      </c>
      <c r="M172" s="105" t="s">
        <v>295</v>
      </c>
      <c r="N172" s="105" t="s">
        <v>226</v>
      </c>
      <c r="O172" s="105" t="s">
        <v>226</v>
      </c>
      <c r="P172" s="105" t="s">
        <v>350</v>
      </c>
      <c r="Q172" s="494">
        <v>0</v>
      </c>
      <c r="R172" s="494">
        <v>0</v>
      </c>
      <c r="S172" s="494">
        <v>0</v>
      </c>
      <c r="T172" s="494">
        <v>0</v>
      </c>
      <c r="U172" s="494">
        <v>0</v>
      </c>
      <c r="V172" s="493">
        <v>2024</v>
      </c>
      <c r="W172" s="495"/>
      <c r="X172" s="496" t="str">
        <f t="shared" si="9"/>
        <v/>
      </c>
      <c r="Y172" s="497" t="str">
        <f t="shared" si="11"/>
        <v/>
      </c>
      <c r="Z172" s="497" t="str">
        <f t="shared" si="11"/>
        <v/>
      </c>
    </row>
    <row r="173" spans="1:26" s="82" customFormat="1" ht="32" x14ac:dyDescent="0.4">
      <c r="A173" s="493">
        <v>2493</v>
      </c>
      <c r="B173" s="105" t="s">
        <v>433</v>
      </c>
      <c r="C173" s="493" t="s">
        <v>330</v>
      </c>
      <c r="D173" s="105" t="s">
        <v>493</v>
      </c>
      <c r="E173" s="105" t="s">
        <v>494</v>
      </c>
      <c r="F173" s="493">
        <v>4226</v>
      </c>
      <c r="G173" s="105" t="s">
        <v>52</v>
      </c>
      <c r="H173" s="105" t="s">
        <v>333</v>
      </c>
      <c r="I173" s="105" t="s">
        <v>334</v>
      </c>
      <c r="J173" s="493">
        <v>22</v>
      </c>
      <c r="K173" s="493">
        <v>1</v>
      </c>
      <c r="L173" s="105" t="s">
        <v>335</v>
      </c>
      <c r="M173" s="105" t="s">
        <v>295</v>
      </c>
      <c r="N173" s="105" t="s">
        <v>228</v>
      </c>
      <c r="O173" s="105" t="s">
        <v>228</v>
      </c>
      <c r="P173" s="105" t="s">
        <v>356</v>
      </c>
      <c r="Q173" s="494">
        <v>23556860</v>
      </c>
      <c r="R173" s="494">
        <v>16668448</v>
      </c>
      <c r="S173" s="494">
        <v>24404908</v>
      </c>
      <c r="T173" s="494">
        <v>17268512</v>
      </c>
      <c r="U173" s="494">
        <v>2149169</v>
      </c>
      <c r="V173" s="493">
        <v>2024</v>
      </c>
      <c r="W173" s="495"/>
      <c r="X173" s="496">
        <f t="shared" si="9"/>
        <v>8.0349716564867624</v>
      </c>
      <c r="Y173" s="497" t="str">
        <f t="shared" si="11"/>
        <v/>
      </c>
      <c r="Z173" s="497" t="str">
        <f t="shared" si="11"/>
        <v/>
      </c>
    </row>
    <row r="174" spans="1:26" s="82" customFormat="1" ht="32" x14ac:dyDescent="0.4">
      <c r="A174" s="493">
        <v>2493</v>
      </c>
      <c r="B174" s="105" t="s">
        <v>433</v>
      </c>
      <c r="C174" s="493" t="s">
        <v>330</v>
      </c>
      <c r="D174" s="105" t="s">
        <v>493</v>
      </c>
      <c r="E174" s="105" t="s">
        <v>494</v>
      </c>
      <c r="F174" s="493">
        <v>4226</v>
      </c>
      <c r="G174" s="105" t="s">
        <v>52</v>
      </c>
      <c r="H174" s="105" t="s">
        <v>333</v>
      </c>
      <c r="I174" s="105" t="s">
        <v>334</v>
      </c>
      <c r="J174" s="493">
        <v>22</v>
      </c>
      <c r="K174" s="493">
        <v>1</v>
      </c>
      <c r="L174" s="105" t="s">
        <v>335</v>
      </c>
      <c r="M174" s="105" t="s">
        <v>360</v>
      </c>
      <c r="N174" s="105" t="s">
        <v>226</v>
      </c>
      <c r="O174" s="105" t="s">
        <v>226</v>
      </c>
      <c r="P174" s="105" t="s">
        <v>350</v>
      </c>
      <c r="Q174" s="494">
        <v>0</v>
      </c>
      <c r="R174" s="494">
        <v>0</v>
      </c>
      <c r="S174" s="494">
        <v>0</v>
      </c>
      <c r="T174" s="494">
        <v>0</v>
      </c>
      <c r="U174" s="494">
        <v>0</v>
      </c>
      <c r="V174" s="493">
        <v>2024</v>
      </c>
      <c r="W174" s="495"/>
      <c r="X174" s="496" t="str">
        <f t="shared" si="9"/>
        <v/>
      </c>
      <c r="Y174" s="497" t="str">
        <f t="shared" si="11"/>
        <v/>
      </c>
      <c r="Z174" s="497" t="str">
        <f t="shared" si="11"/>
        <v/>
      </c>
    </row>
    <row r="175" spans="1:26" s="82" customFormat="1" ht="32" x14ac:dyDescent="0.4">
      <c r="A175" s="493">
        <v>2493</v>
      </c>
      <c r="B175" s="105" t="s">
        <v>433</v>
      </c>
      <c r="C175" s="493" t="s">
        <v>330</v>
      </c>
      <c r="D175" s="105" t="s">
        <v>493</v>
      </c>
      <c r="E175" s="105" t="s">
        <v>494</v>
      </c>
      <c r="F175" s="493">
        <v>4226</v>
      </c>
      <c r="G175" s="105" t="s">
        <v>52</v>
      </c>
      <c r="H175" s="105" t="s">
        <v>333</v>
      </c>
      <c r="I175" s="105" t="s">
        <v>334</v>
      </c>
      <c r="J175" s="493">
        <v>22</v>
      </c>
      <c r="K175" s="493">
        <v>1</v>
      </c>
      <c r="L175" s="105" t="s">
        <v>335</v>
      </c>
      <c r="M175" s="105" t="s">
        <v>360</v>
      </c>
      <c r="N175" s="105" t="s">
        <v>228</v>
      </c>
      <c r="O175" s="105" t="s">
        <v>228</v>
      </c>
      <c r="P175" s="105" t="s">
        <v>356</v>
      </c>
      <c r="Q175" s="494">
        <v>8728620</v>
      </c>
      <c r="R175" s="494">
        <v>5874928</v>
      </c>
      <c r="S175" s="494">
        <v>9042851</v>
      </c>
      <c r="T175" s="494">
        <v>6086425</v>
      </c>
      <c r="U175" s="494">
        <v>744950</v>
      </c>
      <c r="V175" s="493">
        <v>2024</v>
      </c>
      <c r="W175" s="495"/>
      <c r="X175" s="496">
        <f t="shared" si="9"/>
        <v>8.1702463252567288</v>
      </c>
      <c r="Y175" s="497" t="str">
        <f t="shared" si="11"/>
        <v/>
      </c>
      <c r="Z175" s="497" t="str">
        <f t="shared" si="11"/>
        <v/>
      </c>
    </row>
    <row r="176" spans="1:26" s="82" customFormat="1" ht="32" x14ac:dyDescent="0.4">
      <c r="A176" s="493">
        <v>2493</v>
      </c>
      <c r="B176" s="105" t="s">
        <v>433</v>
      </c>
      <c r="C176" s="493" t="s">
        <v>330</v>
      </c>
      <c r="D176" s="105" t="s">
        <v>493</v>
      </c>
      <c r="E176" s="105" t="s">
        <v>494</v>
      </c>
      <c r="F176" s="493">
        <v>4226</v>
      </c>
      <c r="G176" s="105" t="s">
        <v>52</v>
      </c>
      <c r="H176" s="105" t="s">
        <v>333</v>
      </c>
      <c r="I176" s="105" t="s">
        <v>334</v>
      </c>
      <c r="J176" s="493">
        <v>22</v>
      </c>
      <c r="K176" s="493">
        <v>1</v>
      </c>
      <c r="L176" s="105" t="s">
        <v>335</v>
      </c>
      <c r="M176" s="105" t="s">
        <v>360</v>
      </c>
      <c r="N176" s="105" t="s">
        <v>238</v>
      </c>
      <c r="O176" s="105" t="s">
        <v>238</v>
      </c>
      <c r="P176" s="105" t="s">
        <v>350</v>
      </c>
      <c r="Q176" s="494">
        <v>0</v>
      </c>
      <c r="R176" s="494">
        <v>0</v>
      </c>
      <c r="S176" s="494">
        <v>0</v>
      </c>
      <c r="T176" s="494">
        <v>0</v>
      </c>
      <c r="U176" s="494">
        <v>0</v>
      </c>
      <c r="V176" s="493">
        <v>2024</v>
      </c>
      <c r="W176" s="495"/>
      <c r="X176" s="496" t="str">
        <f t="shared" si="9"/>
        <v/>
      </c>
      <c r="Y176" s="497" t="str">
        <f t="shared" si="11"/>
        <v/>
      </c>
      <c r="Z176" s="497" t="str">
        <f t="shared" si="11"/>
        <v/>
      </c>
    </row>
    <row r="177" spans="1:26" s="82" customFormat="1" ht="32" x14ac:dyDescent="0.4">
      <c r="A177" s="493">
        <v>2494</v>
      </c>
      <c r="B177" s="105" t="s">
        <v>329</v>
      </c>
      <c r="C177" s="493" t="s">
        <v>330</v>
      </c>
      <c r="D177" s="105" t="s">
        <v>495</v>
      </c>
      <c r="E177" s="105" t="s">
        <v>496</v>
      </c>
      <c r="F177" s="493">
        <v>54863</v>
      </c>
      <c r="G177" s="105" t="s">
        <v>52</v>
      </c>
      <c r="H177" s="105" t="s">
        <v>333</v>
      </c>
      <c r="I177" s="105" t="s">
        <v>334</v>
      </c>
      <c r="J177" s="493">
        <v>22</v>
      </c>
      <c r="K177" s="493">
        <v>2</v>
      </c>
      <c r="L177" s="105" t="s">
        <v>343</v>
      </c>
      <c r="M177" s="105" t="s">
        <v>295</v>
      </c>
      <c r="N177" s="105" t="s">
        <v>226</v>
      </c>
      <c r="O177" s="105" t="s">
        <v>226</v>
      </c>
      <c r="P177" s="105" t="s">
        <v>350</v>
      </c>
      <c r="Q177" s="494">
        <v>37</v>
      </c>
      <c r="R177" s="494">
        <v>37</v>
      </c>
      <c r="S177" s="494">
        <v>217</v>
      </c>
      <c r="T177" s="494">
        <v>217</v>
      </c>
      <c r="U177" s="494">
        <v>12.08</v>
      </c>
      <c r="V177" s="493">
        <v>2024</v>
      </c>
      <c r="W177" s="495" t="s">
        <v>355</v>
      </c>
      <c r="X177" s="496">
        <f t="shared" si="9"/>
        <v>17.963576158940398</v>
      </c>
      <c r="Y177" s="497" t="str">
        <f t="shared" si="11"/>
        <v/>
      </c>
      <c r="Z177" s="497" t="str">
        <f t="shared" si="11"/>
        <v/>
      </c>
    </row>
    <row r="178" spans="1:26" s="82" customFormat="1" ht="32" x14ac:dyDescent="0.4">
      <c r="A178" s="493">
        <v>2494</v>
      </c>
      <c r="B178" s="105" t="s">
        <v>329</v>
      </c>
      <c r="C178" s="493" t="s">
        <v>330</v>
      </c>
      <c r="D178" s="105" t="s">
        <v>495</v>
      </c>
      <c r="E178" s="105" t="s">
        <v>496</v>
      </c>
      <c r="F178" s="493">
        <v>54863</v>
      </c>
      <c r="G178" s="105" t="s">
        <v>52</v>
      </c>
      <c r="H178" s="105" t="s">
        <v>333</v>
      </c>
      <c r="I178" s="105" t="s">
        <v>334</v>
      </c>
      <c r="J178" s="493">
        <v>22</v>
      </c>
      <c r="K178" s="493">
        <v>2</v>
      </c>
      <c r="L178" s="105" t="s">
        <v>343</v>
      </c>
      <c r="M178" s="105" t="s">
        <v>295</v>
      </c>
      <c r="N178" s="105" t="s">
        <v>228</v>
      </c>
      <c r="O178" s="105" t="s">
        <v>228</v>
      </c>
      <c r="P178" s="105" t="s">
        <v>356</v>
      </c>
      <c r="Q178" s="494">
        <v>183983</v>
      </c>
      <c r="R178" s="494">
        <v>183983</v>
      </c>
      <c r="S178" s="494">
        <v>189503</v>
      </c>
      <c r="T178" s="494">
        <v>189503</v>
      </c>
      <c r="U178" s="494">
        <v>10907.92</v>
      </c>
      <c r="V178" s="493">
        <v>2024</v>
      </c>
      <c r="W178" s="495" t="s">
        <v>355</v>
      </c>
      <c r="X178" s="496">
        <f t="shared" si="9"/>
        <v>17.372973032438814</v>
      </c>
      <c r="Y178" s="497" t="str">
        <f t="shared" si="11"/>
        <v/>
      </c>
      <c r="Z178" s="497" t="str">
        <f t="shared" si="11"/>
        <v/>
      </c>
    </row>
    <row r="179" spans="1:26" s="82" customFormat="1" ht="32" x14ac:dyDescent="0.4">
      <c r="A179" s="493">
        <v>2494</v>
      </c>
      <c r="B179" s="105" t="s">
        <v>329</v>
      </c>
      <c r="C179" s="493" t="s">
        <v>330</v>
      </c>
      <c r="D179" s="105" t="s">
        <v>495</v>
      </c>
      <c r="E179" s="105" t="s">
        <v>496</v>
      </c>
      <c r="F179" s="493">
        <v>54863</v>
      </c>
      <c r="G179" s="105" t="s">
        <v>52</v>
      </c>
      <c r="H179" s="105" t="s">
        <v>333</v>
      </c>
      <c r="I179" s="105" t="s">
        <v>334</v>
      </c>
      <c r="J179" s="493">
        <v>22</v>
      </c>
      <c r="K179" s="493">
        <v>2</v>
      </c>
      <c r="L179" s="105" t="s">
        <v>343</v>
      </c>
      <c r="M179" s="105" t="s">
        <v>295</v>
      </c>
      <c r="N179" s="105" t="s">
        <v>238</v>
      </c>
      <c r="O179" s="105" t="s">
        <v>238</v>
      </c>
      <c r="P179" s="105" t="s">
        <v>350</v>
      </c>
      <c r="Q179" s="494">
        <v>0</v>
      </c>
      <c r="R179" s="494">
        <v>0</v>
      </c>
      <c r="S179" s="494">
        <v>0</v>
      </c>
      <c r="T179" s="494">
        <v>0</v>
      </c>
      <c r="U179" s="494">
        <v>0</v>
      </c>
      <c r="V179" s="493">
        <v>2024</v>
      </c>
      <c r="W179" s="495" t="s">
        <v>355</v>
      </c>
      <c r="X179" s="496" t="str">
        <f t="shared" si="9"/>
        <v/>
      </c>
      <c r="Y179" s="497" t="str">
        <f t="shared" si="11"/>
        <v/>
      </c>
      <c r="Z179" s="497" t="str">
        <f t="shared" si="11"/>
        <v/>
      </c>
    </row>
    <row r="180" spans="1:26" s="82" customFormat="1" ht="32" x14ac:dyDescent="0.4">
      <c r="A180" s="493">
        <v>2499</v>
      </c>
      <c r="B180" s="105" t="s">
        <v>329</v>
      </c>
      <c r="C180" s="493" t="s">
        <v>330</v>
      </c>
      <c r="D180" s="105" t="s">
        <v>497</v>
      </c>
      <c r="E180" s="105" t="s">
        <v>496</v>
      </c>
      <c r="F180" s="493">
        <v>54863</v>
      </c>
      <c r="G180" s="105" t="s">
        <v>52</v>
      </c>
      <c r="H180" s="105" t="s">
        <v>333</v>
      </c>
      <c r="I180" s="105" t="s">
        <v>334</v>
      </c>
      <c r="J180" s="493">
        <v>22</v>
      </c>
      <c r="K180" s="493">
        <v>2</v>
      </c>
      <c r="L180" s="105" t="s">
        <v>343</v>
      </c>
      <c r="M180" s="105" t="s">
        <v>295</v>
      </c>
      <c r="N180" s="105" t="s">
        <v>226</v>
      </c>
      <c r="O180" s="105" t="s">
        <v>226</v>
      </c>
      <c r="P180" s="105" t="s">
        <v>350</v>
      </c>
      <c r="Q180" s="494">
        <v>3756</v>
      </c>
      <c r="R180" s="494">
        <v>3756</v>
      </c>
      <c r="S180" s="494">
        <v>21896</v>
      </c>
      <c r="T180" s="494">
        <v>21896</v>
      </c>
      <c r="U180" s="494">
        <v>1309.076</v>
      </c>
      <c r="V180" s="493">
        <v>2024</v>
      </c>
      <c r="W180" s="495" t="s">
        <v>355</v>
      </c>
      <c r="X180" s="496">
        <f t="shared" si="9"/>
        <v>16.726301605101614</v>
      </c>
      <c r="Y180" s="497" t="str">
        <f t="shared" si="11"/>
        <v/>
      </c>
      <c r="Z180" s="497" t="str">
        <f t="shared" si="11"/>
        <v/>
      </c>
    </row>
    <row r="181" spans="1:26" s="82" customFormat="1" ht="32" x14ac:dyDescent="0.4">
      <c r="A181" s="493">
        <v>2499</v>
      </c>
      <c r="B181" s="105" t="s">
        <v>329</v>
      </c>
      <c r="C181" s="493" t="s">
        <v>330</v>
      </c>
      <c r="D181" s="105" t="s">
        <v>497</v>
      </c>
      <c r="E181" s="105" t="s">
        <v>496</v>
      </c>
      <c r="F181" s="493">
        <v>54863</v>
      </c>
      <c r="G181" s="105" t="s">
        <v>52</v>
      </c>
      <c r="H181" s="105" t="s">
        <v>333</v>
      </c>
      <c r="I181" s="105" t="s">
        <v>334</v>
      </c>
      <c r="J181" s="493">
        <v>22</v>
      </c>
      <c r="K181" s="493">
        <v>2</v>
      </c>
      <c r="L181" s="105" t="s">
        <v>343</v>
      </c>
      <c r="M181" s="105" t="s">
        <v>295</v>
      </c>
      <c r="N181" s="105" t="s">
        <v>228</v>
      </c>
      <c r="O181" s="105" t="s">
        <v>228</v>
      </c>
      <c r="P181" s="105" t="s">
        <v>356</v>
      </c>
      <c r="Q181" s="494">
        <v>621848</v>
      </c>
      <c r="R181" s="494">
        <v>621848</v>
      </c>
      <c r="S181" s="494">
        <v>640505</v>
      </c>
      <c r="T181" s="494">
        <v>640505</v>
      </c>
      <c r="U181" s="494">
        <v>38300.925000000003</v>
      </c>
      <c r="V181" s="493">
        <v>2024</v>
      </c>
      <c r="W181" s="495" t="s">
        <v>355</v>
      </c>
      <c r="X181" s="496">
        <f t="shared" si="9"/>
        <v>16.722964262612454</v>
      </c>
      <c r="Y181" s="497" t="str">
        <f t="shared" si="11"/>
        <v/>
      </c>
      <c r="Z181" s="497" t="str">
        <f t="shared" si="11"/>
        <v/>
      </c>
    </row>
    <row r="182" spans="1:26" s="82" customFormat="1" ht="32" x14ac:dyDescent="0.4">
      <c r="A182" s="493">
        <v>2500</v>
      </c>
      <c r="B182" s="105" t="s">
        <v>329</v>
      </c>
      <c r="C182" s="493" t="s">
        <v>330</v>
      </c>
      <c r="D182" s="105" t="s">
        <v>498</v>
      </c>
      <c r="E182" s="105" t="s">
        <v>499</v>
      </c>
      <c r="F182" s="493">
        <v>61130</v>
      </c>
      <c r="G182" s="105" t="s">
        <v>52</v>
      </c>
      <c r="H182" s="105" t="s">
        <v>333</v>
      </c>
      <c r="I182" s="105" t="s">
        <v>334</v>
      </c>
      <c r="J182" s="493">
        <v>22</v>
      </c>
      <c r="K182" s="493">
        <v>2</v>
      </c>
      <c r="L182" s="105" t="s">
        <v>343</v>
      </c>
      <c r="M182" s="105" t="s">
        <v>380</v>
      </c>
      <c r="N182" s="105" t="s">
        <v>242</v>
      </c>
      <c r="O182" s="105" t="s">
        <v>349</v>
      </c>
      <c r="P182" s="105" t="s">
        <v>350</v>
      </c>
      <c r="Q182" s="494">
        <v>0</v>
      </c>
      <c r="R182" s="494">
        <v>0</v>
      </c>
      <c r="S182" s="494">
        <v>0</v>
      </c>
      <c r="T182" s="494">
        <v>0</v>
      </c>
      <c r="U182" s="494">
        <v>0</v>
      </c>
      <c r="V182" s="493">
        <v>2024</v>
      </c>
      <c r="W182" s="495" t="s">
        <v>355</v>
      </c>
      <c r="X182" s="496" t="str">
        <f t="shared" si="9"/>
        <v/>
      </c>
      <c r="Y182" s="497" t="str">
        <f t="shared" si="11"/>
        <v/>
      </c>
      <c r="Z182" s="497" t="str">
        <f t="shared" si="11"/>
        <v/>
      </c>
    </row>
    <row r="183" spans="1:26" s="82" customFormat="1" ht="32" x14ac:dyDescent="0.4">
      <c r="A183" s="493">
        <v>2500</v>
      </c>
      <c r="B183" s="105" t="s">
        <v>329</v>
      </c>
      <c r="C183" s="493" t="s">
        <v>330</v>
      </c>
      <c r="D183" s="105" t="s">
        <v>498</v>
      </c>
      <c r="E183" s="105" t="s">
        <v>499</v>
      </c>
      <c r="F183" s="493">
        <v>61130</v>
      </c>
      <c r="G183" s="105" t="s">
        <v>52</v>
      </c>
      <c r="H183" s="105" t="s">
        <v>333</v>
      </c>
      <c r="I183" s="105" t="s">
        <v>334</v>
      </c>
      <c r="J183" s="493">
        <v>22</v>
      </c>
      <c r="K183" s="493">
        <v>2</v>
      </c>
      <c r="L183" s="105" t="s">
        <v>343</v>
      </c>
      <c r="M183" s="105" t="s">
        <v>380</v>
      </c>
      <c r="N183" s="105" t="s">
        <v>228</v>
      </c>
      <c r="O183" s="105" t="s">
        <v>228</v>
      </c>
      <c r="P183" s="105" t="s">
        <v>356</v>
      </c>
      <c r="Q183" s="494">
        <v>0</v>
      </c>
      <c r="R183" s="494">
        <v>0</v>
      </c>
      <c r="S183" s="494">
        <v>0</v>
      </c>
      <c r="T183" s="494">
        <v>0</v>
      </c>
      <c r="U183" s="494">
        <v>0</v>
      </c>
      <c r="V183" s="493">
        <v>2024</v>
      </c>
      <c r="W183" s="495" t="s">
        <v>355</v>
      </c>
      <c r="X183" s="496" t="str">
        <f t="shared" si="9"/>
        <v/>
      </c>
      <c r="Y183" s="497" t="str">
        <f t="shared" si="11"/>
        <v/>
      </c>
      <c r="Z183" s="497" t="str">
        <f t="shared" si="11"/>
        <v/>
      </c>
    </row>
    <row r="184" spans="1:26" s="82" customFormat="1" ht="32" x14ac:dyDescent="0.4">
      <c r="A184" s="493">
        <v>2500</v>
      </c>
      <c r="B184" s="105" t="s">
        <v>329</v>
      </c>
      <c r="C184" s="493" t="s">
        <v>330</v>
      </c>
      <c r="D184" s="105" t="s">
        <v>498</v>
      </c>
      <c r="E184" s="105" t="s">
        <v>499</v>
      </c>
      <c r="F184" s="493">
        <v>61130</v>
      </c>
      <c r="G184" s="105" t="s">
        <v>52</v>
      </c>
      <c r="H184" s="105" t="s">
        <v>333</v>
      </c>
      <c r="I184" s="105" t="s">
        <v>334</v>
      </c>
      <c r="J184" s="493">
        <v>22</v>
      </c>
      <c r="K184" s="493">
        <v>2</v>
      </c>
      <c r="L184" s="105" t="s">
        <v>343</v>
      </c>
      <c r="M184" s="105" t="s">
        <v>37</v>
      </c>
      <c r="N184" s="105" t="s">
        <v>226</v>
      </c>
      <c r="O184" s="105" t="s">
        <v>226</v>
      </c>
      <c r="P184" s="105" t="s">
        <v>350</v>
      </c>
      <c r="Q184" s="494">
        <v>0</v>
      </c>
      <c r="R184" s="494">
        <v>0</v>
      </c>
      <c r="S184" s="494">
        <v>0</v>
      </c>
      <c r="T184" s="494">
        <v>0</v>
      </c>
      <c r="U184" s="494">
        <v>0</v>
      </c>
      <c r="V184" s="493">
        <v>2024</v>
      </c>
      <c r="W184" s="495" t="s">
        <v>355</v>
      </c>
      <c r="X184" s="496" t="str">
        <f t="shared" si="9"/>
        <v/>
      </c>
      <c r="Y184" s="497" t="str">
        <f t="shared" si="11"/>
        <v/>
      </c>
      <c r="Z184" s="497" t="str">
        <f t="shared" si="11"/>
        <v/>
      </c>
    </row>
    <row r="185" spans="1:26" s="82" customFormat="1" ht="32" x14ac:dyDescent="0.4">
      <c r="A185" s="493">
        <v>2500</v>
      </c>
      <c r="B185" s="105" t="s">
        <v>329</v>
      </c>
      <c r="C185" s="493" t="s">
        <v>330</v>
      </c>
      <c r="D185" s="105" t="s">
        <v>498</v>
      </c>
      <c r="E185" s="105" t="s">
        <v>499</v>
      </c>
      <c r="F185" s="493">
        <v>61130</v>
      </c>
      <c r="G185" s="105" t="s">
        <v>52</v>
      </c>
      <c r="H185" s="105" t="s">
        <v>333</v>
      </c>
      <c r="I185" s="105" t="s">
        <v>334</v>
      </c>
      <c r="J185" s="493">
        <v>22</v>
      </c>
      <c r="K185" s="493">
        <v>2</v>
      </c>
      <c r="L185" s="105" t="s">
        <v>343</v>
      </c>
      <c r="M185" s="105" t="s">
        <v>37</v>
      </c>
      <c r="N185" s="105" t="s">
        <v>242</v>
      </c>
      <c r="O185" s="105" t="s">
        <v>349</v>
      </c>
      <c r="P185" s="105" t="s">
        <v>350</v>
      </c>
      <c r="Q185" s="494">
        <v>8548</v>
      </c>
      <c r="R185" s="494">
        <v>8548</v>
      </c>
      <c r="S185" s="494">
        <v>48881</v>
      </c>
      <c r="T185" s="494">
        <v>48881</v>
      </c>
      <c r="U185" s="494">
        <v>6662.37</v>
      </c>
      <c r="V185" s="493">
        <v>2024</v>
      </c>
      <c r="W185" s="495" t="s">
        <v>355</v>
      </c>
      <c r="X185" s="496">
        <f t="shared" si="9"/>
        <v>7.3368786182694752</v>
      </c>
      <c r="Y185" s="497" t="str">
        <f t="shared" si="11"/>
        <v/>
      </c>
      <c r="Z185" s="497" t="str">
        <f t="shared" si="11"/>
        <v/>
      </c>
    </row>
    <row r="186" spans="1:26" s="82" customFormat="1" ht="32" x14ac:dyDescent="0.4">
      <c r="A186" s="493">
        <v>2500</v>
      </c>
      <c r="B186" s="105" t="s">
        <v>329</v>
      </c>
      <c r="C186" s="493" t="s">
        <v>330</v>
      </c>
      <c r="D186" s="105" t="s">
        <v>498</v>
      </c>
      <c r="E186" s="105" t="s">
        <v>499</v>
      </c>
      <c r="F186" s="493">
        <v>61130</v>
      </c>
      <c r="G186" s="105" t="s">
        <v>52</v>
      </c>
      <c r="H186" s="105" t="s">
        <v>333</v>
      </c>
      <c r="I186" s="105" t="s">
        <v>334</v>
      </c>
      <c r="J186" s="493">
        <v>22</v>
      </c>
      <c r="K186" s="493">
        <v>2</v>
      </c>
      <c r="L186" s="105" t="s">
        <v>343</v>
      </c>
      <c r="M186" s="105" t="s">
        <v>37</v>
      </c>
      <c r="N186" s="105" t="s">
        <v>228</v>
      </c>
      <c r="O186" s="105" t="s">
        <v>228</v>
      </c>
      <c r="P186" s="105" t="s">
        <v>356</v>
      </c>
      <c r="Q186" s="494">
        <v>13396149</v>
      </c>
      <c r="R186" s="494">
        <v>13396149</v>
      </c>
      <c r="S186" s="494">
        <v>13798032</v>
      </c>
      <c r="T186" s="494">
        <v>13798032</v>
      </c>
      <c r="U186" s="494">
        <v>1896396.6</v>
      </c>
      <c r="V186" s="493">
        <v>2024</v>
      </c>
      <c r="W186" s="495" t="s">
        <v>355</v>
      </c>
      <c r="X186" s="496">
        <f t="shared" si="9"/>
        <v>7.2759210810650048</v>
      </c>
      <c r="Y186" s="497" t="str">
        <f t="shared" si="11"/>
        <v/>
      </c>
      <c r="Z186" s="497" t="str">
        <f t="shared" si="11"/>
        <v/>
      </c>
    </row>
    <row r="187" spans="1:26" s="82" customFormat="1" ht="32" x14ac:dyDescent="0.4">
      <c r="A187" s="493">
        <v>2500</v>
      </c>
      <c r="B187" s="105" t="s">
        <v>329</v>
      </c>
      <c r="C187" s="493" t="s">
        <v>330</v>
      </c>
      <c r="D187" s="105" t="s">
        <v>498</v>
      </c>
      <c r="E187" s="105" t="s">
        <v>499</v>
      </c>
      <c r="F187" s="493">
        <v>61130</v>
      </c>
      <c r="G187" s="105" t="s">
        <v>52</v>
      </c>
      <c r="H187" s="105" t="s">
        <v>333</v>
      </c>
      <c r="I187" s="105" t="s">
        <v>334</v>
      </c>
      <c r="J187" s="493">
        <v>22</v>
      </c>
      <c r="K187" s="493">
        <v>2</v>
      </c>
      <c r="L187" s="105" t="s">
        <v>343</v>
      </c>
      <c r="M187" s="105" t="s">
        <v>295</v>
      </c>
      <c r="N187" s="105" t="s">
        <v>242</v>
      </c>
      <c r="O187" s="105" t="s">
        <v>349</v>
      </c>
      <c r="P187" s="105" t="s">
        <v>350</v>
      </c>
      <c r="Q187" s="494">
        <v>0</v>
      </c>
      <c r="R187" s="494">
        <v>0</v>
      </c>
      <c r="S187" s="494">
        <v>0</v>
      </c>
      <c r="T187" s="494">
        <v>0</v>
      </c>
      <c r="U187" s="494">
        <v>0</v>
      </c>
      <c r="V187" s="493">
        <v>2024</v>
      </c>
      <c r="W187" s="495" t="s">
        <v>355</v>
      </c>
      <c r="X187" s="496" t="str">
        <f t="shared" si="9"/>
        <v/>
      </c>
      <c r="Y187" s="497" t="str">
        <f t="shared" si="11"/>
        <v/>
      </c>
      <c r="Z187" s="497" t="str">
        <f t="shared" si="11"/>
        <v/>
      </c>
    </row>
    <row r="188" spans="1:26" s="82" customFormat="1" ht="32" x14ac:dyDescent="0.4">
      <c r="A188" s="493">
        <v>2500</v>
      </c>
      <c r="B188" s="105" t="s">
        <v>329</v>
      </c>
      <c r="C188" s="493" t="s">
        <v>330</v>
      </c>
      <c r="D188" s="105" t="s">
        <v>498</v>
      </c>
      <c r="E188" s="105" t="s">
        <v>499</v>
      </c>
      <c r="F188" s="493">
        <v>61130</v>
      </c>
      <c r="G188" s="105" t="s">
        <v>52</v>
      </c>
      <c r="H188" s="105" t="s">
        <v>333</v>
      </c>
      <c r="I188" s="105" t="s">
        <v>334</v>
      </c>
      <c r="J188" s="493">
        <v>22</v>
      </c>
      <c r="K188" s="493">
        <v>2</v>
      </c>
      <c r="L188" s="105" t="s">
        <v>343</v>
      </c>
      <c r="M188" s="105" t="s">
        <v>295</v>
      </c>
      <c r="N188" s="105" t="s">
        <v>228</v>
      </c>
      <c r="O188" s="105" t="s">
        <v>228</v>
      </c>
      <c r="P188" s="105" t="s">
        <v>356</v>
      </c>
      <c r="Q188" s="494">
        <v>0</v>
      </c>
      <c r="R188" s="494">
        <v>0</v>
      </c>
      <c r="S188" s="494">
        <v>0</v>
      </c>
      <c r="T188" s="494">
        <v>0</v>
      </c>
      <c r="U188" s="494">
        <v>0</v>
      </c>
      <c r="V188" s="493">
        <v>2024</v>
      </c>
      <c r="W188" s="495" t="s">
        <v>355</v>
      </c>
      <c r="X188" s="496" t="str">
        <f t="shared" si="9"/>
        <v/>
      </c>
      <c r="Y188" s="497" t="str">
        <f t="shared" ref="Y188:Z207" si="12">IF(AND($M188=$Y$2,$N188=$Y$3,NOT($Q188=$R188),NOT($U188=0)),IF($K188=5,$S188/($U188+(8/5)*$U188),IF($K188=7,$S188/($U188+(29/25)*$U188),"")),"")</f>
        <v/>
      </c>
      <c r="Z188" s="497" t="str">
        <f t="shared" si="12"/>
        <v/>
      </c>
    </row>
    <row r="189" spans="1:26" s="82" customFormat="1" ht="32" x14ac:dyDescent="0.4">
      <c r="A189" s="493">
        <v>2500</v>
      </c>
      <c r="B189" s="105" t="s">
        <v>329</v>
      </c>
      <c r="C189" s="493" t="s">
        <v>330</v>
      </c>
      <c r="D189" s="105" t="s">
        <v>498</v>
      </c>
      <c r="E189" s="105" t="s">
        <v>499</v>
      </c>
      <c r="F189" s="493">
        <v>61130</v>
      </c>
      <c r="G189" s="105" t="s">
        <v>52</v>
      </c>
      <c r="H189" s="105" t="s">
        <v>333</v>
      </c>
      <c r="I189" s="105" t="s">
        <v>334</v>
      </c>
      <c r="J189" s="493">
        <v>22</v>
      </c>
      <c r="K189" s="493">
        <v>2</v>
      </c>
      <c r="L189" s="105" t="s">
        <v>343</v>
      </c>
      <c r="M189" s="105" t="s">
        <v>360</v>
      </c>
      <c r="N189" s="105" t="s">
        <v>226</v>
      </c>
      <c r="O189" s="105" t="s">
        <v>226</v>
      </c>
      <c r="P189" s="105" t="s">
        <v>350</v>
      </c>
      <c r="Q189" s="494">
        <v>3797</v>
      </c>
      <c r="R189" s="494">
        <v>3797</v>
      </c>
      <c r="S189" s="494">
        <v>22323</v>
      </c>
      <c r="T189" s="494">
        <v>22323</v>
      </c>
      <c r="U189" s="494">
        <v>1938.7249999999999</v>
      </c>
      <c r="V189" s="493">
        <v>2024</v>
      </c>
      <c r="W189" s="495" t="s">
        <v>355</v>
      </c>
      <c r="X189" s="496">
        <f t="shared" si="9"/>
        <v>11.514268398045107</v>
      </c>
      <c r="Y189" s="497" t="str">
        <f t="shared" si="12"/>
        <v/>
      </c>
      <c r="Z189" s="497" t="str">
        <f t="shared" si="12"/>
        <v/>
      </c>
    </row>
    <row r="190" spans="1:26" s="82" customFormat="1" ht="32" x14ac:dyDescent="0.4">
      <c r="A190" s="493">
        <v>2500</v>
      </c>
      <c r="B190" s="105" t="s">
        <v>329</v>
      </c>
      <c r="C190" s="493" t="s">
        <v>330</v>
      </c>
      <c r="D190" s="105" t="s">
        <v>498</v>
      </c>
      <c r="E190" s="105" t="s">
        <v>499</v>
      </c>
      <c r="F190" s="493">
        <v>61130</v>
      </c>
      <c r="G190" s="105" t="s">
        <v>52</v>
      </c>
      <c r="H190" s="105" t="s">
        <v>333</v>
      </c>
      <c r="I190" s="105" t="s">
        <v>334</v>
      </c>
      <c r="J190" s="493">
        <v>22</v>
      </c>
      <c r="K190" s="493">
        <v>2</v>
      </c>
      <c r="L190" s="105" t="s">
        <v>343</v>
      </c>
      <c r="M190" s="105" t="s">
        <v>360</v>
      </c>
      <c r="N190" s="105" t="s">
        <v>242</v>
      </c>
      <c r="O190" s="105" t="s">
        <v>349</v>
      </c>
      <c r="P190" s="105" t="s">
        <v>350</v>
      </c>
      <c r="Q190" s="494">
        <v>2046</v>
      </c>
      <c r="R190" s="494">
        <v>2046</v>
      </c>
      <c r="S190" s="494">
        <v>11789</v>
      </c>
      <c r="T190" s="494">
        <v>11789</v>
      </c>
      <c r="U190" s="494">
        <v>218.79</v>
      </c>
      <c r="V190" s="493">
        <v>2024</v>
      </c>
      <c r="W190" s="495" t="s">
        <v>355</v>
      </c>
      <c r="X190" s="496">
        <f t="shared" si="9"/>
        <v>53.882718588600945</v>
      </c>
      <c r="Y190" s="497" t="str">
        <f t="shared" si="12"/>
        <v/>
      </c>
      <c r="Z190" s="497" t="str">
        <f t="shared" si="12"/>
        <v/>
      </c>
    </row>
    <row r="191" spans="1:26" s="82" customFormat="1" ht="32" x14ac:dyDescent="0.4">
      <c r="A191" s="493">
        <v>2500</v>
      </c>
      <c r="B191" s="105" t="s">
        <v>329</v>
      </c>
      <c r="C191" s="493" t="s">
        <v>330</v>
      </c>
      <c r="D191" s="105" t="s">
        <v>498</v>
      </c>
      <c r="E191" s="105" t="s">
        <v>499</v>
      </c>
      <c r="F191" s="493">
        <v>61130</v>
      </c>
      <c r="G191" s="105" t="s">
        <v>52</v>
      </c>
      <c r="H191" s="105" t="s">
        <v>333</v>
      </c>
      <c r="I191" s="105" t="s">
        <v>334</v>
      </c>
      <c r="J191" s="493">
        <v>22</v>
      </c>
      <c r="K191" s="493">
        <v>2</v>
      </c>
      <c r="L191" s="105" t="s">
        <v>343</v>
      </c>
      <c r="M191" s="105" t="s">
        <v>360</v>
      </c>
      <c r="N191" s="105" t="s">
        <v>228</v>
      </c>
      <c r="O191" s="105" t="s">
        <v>228</v>
      </c>
      <c r="P191" s="105" t="s">
        <v>356</v>
      </c>
      <c r="Q191" s="494">
        <v>7389493</v>
      </c>
      <c r="R191" s="494">
        <v>7389493</v>
      </c>
      <c r="S191" s="494">
        <v>7611179</v>
      </c>
      <c r="T191" s="494">
        <v>7611179</v>
      </c>
      <c r="U191" s="494">
        <v>626681.49</v>
      </c>
      <c r="V191" s="493">
        <v>2024</v>
      </c>
      <c r="W191" s="495" t="s">
        <v>355</v>
      </c>
      <c r="X191" s="496">
        <f t="shared" si="9"/>
        <v>12.145211118330622</v>
      </c>
      <c r="Y191" s="497" t="str">
        <f t="shared" si="12"/>
        <v/>
      </c>
      <c r="Z191" s="497" t="str">
        <f t="shared" si="12"/>
        <v/>
      </c>
    </row>
    <row r="192" spans="1:26" s="82" customFormat="1" ht="32" x14ac:dyDescent="0.4">
      <c r="A192" s="493">
        <v>2503</v>
      </c>
      <c r="B192" s="105" t="s">
        <v>329</v>
      </c>
      <c r="C192" s="493" t="s">
        <v>330</v>
      </c>
      <c r="D192" s="105" t="s">
        <v>500</v>
      </c>
      <c r="E192" s="105" t="s">
        <v>494</v>
      </c>
      <c r="F192" s="493">
        <v>4226</v>
      </c>
      <c r="G192" s="105" t="s">
        <v>52</v>
      </c>
      <c r="H192" s="105" t="s">
        <v>333</v>
      </c>
      <c r="I192" s="105" t="s">
        <v>334</v>
      </c>
      <c r="J192" s="493">
        <v>22</v>
      </c>
      <c r="K192" s="493">
        <v>1</v>
      </c>
      <c r="L192" s="105" t="s">
        <v>335</v>
      </c>
      <c r="M192" s="105" t="s">
        <v>295</v>
      </c>
      <c r="N192" s="105" t="s">
        <v>242</v>
      </c>
      <c r="O192" s="105" t="s">
        <v>349</v>
      </c>
      <c r="P192" s="105" t="s">
        <v>350</v>
      </c>
      <c r="Q192" s="494">
        <v>0</v>
      </c>
      <c r="R192" s="494">
        <v>0</v>
      </c>
      <c r="S192" s="494">
        <v>0</v>
      </c>
      <c r="T192" s="494">
        <v>0</v>
      </c>
      <c r="U192" s="494">
        <v>0</v>
      </c>
      <c r="V192" s="493">
        <v>2024</v>
      </c>
      <c r="W192" s="495"/>
      <c r="X192" s="496" t="str">
        <f t="shared" si="9"/>
        <v/>
      </c>
      <c r="Y192" s="497" t="str">
        <f t="shared" si="12"/>
        <v/>
      </c>
      <c r="Z192" s="497" t="str">
        <f t="shared" si="12"/>
        <v/>
      </c>
    </row>
    <row r="193" spans="1:26" s="82" customFormat="1" ht="32" x14ac:dyDescent="0.4">
      <c r="A193" s="493">
        <v>2503</v>
      </c>
      <c r="B193" s="105" t="s">
        <v>329</v>
      </c>
      <c r="C193" s="493" t="s">
        <v>330</v>
      </c>
      <c r="D193" s="105" t="s">
        <v>500</v>
      </c>
      <c r="E193" s="105" t="s">
        <v>494</v>
      </c>
      <c r="F193" s="493">
        <v>4226</v>
      </c>
      <c r="G193" s="105" t="s">
        <v>52</v>
      </c>
      <c r="H193" s="105" t="s">
        <v>333</v>
      </c>
      <c r="I193" s="105" t="s">
        <v>334</v>
      </c>
      <c r="J193" s="493">
        <v>22</v>
      </c>
      <c r="K193" s="493">
        <v>1</v>
      </c>
      <c r="L193" s="105" t="s">
        <v>335</v>
      </c>
      <c r="M193" s="105" t="s">
        <v>295</v>
      </c>
      <c r="N193" s="105" t="s">
        <v>228</v>
      </c>
      <c r="O193" s="105" t="s">
        <v>228</v>
      </c>
      <c r="P193" s="105" t="s">
        <v>356</v>
      </c>
      <c r="Q193" s="494">
        <v>7733</v>
      </c>
      <c r="R193" s="494">
        <v>7733</v>
      </c>
      <c r="S193" s="494">
        <v>8035</v>
      </c>
      <c r="T193" s="494">
        <v>8035</v>
      </c>
      <c r="U193" s="494">
        <v>477</v>
      </c>
      <c r="V193" s="493">
        <v>2024</v>
      </c>
      <c r="W193" s="495"/>
      <c r="X193" s="496">
        <f t="shared" si="9"/>
        <v>16.844863731656183</v>
      </c>
      <c r="Y193" s="497" t="str">
        <f t="shared" si="12"/>
        <v/>
      </c>
      <c r="Z193" s="497" t="str">
        <f t="shared" si="12"/>
        <v/>
      </c>
    </row>
    <row r="194" spans="1:26" s="82" customFormat="1" ht="32" x14ac:dyDescent="0.4">
      <c r="A194" s="493">
        <v>2504</v>
      </c>
      <c r="B194" s="105" t="s">
        <v>329</v>
      </c>
      <c r="C194" s="493" t="s">
        <v>330</v>
      </c>
      <c r="D194" s="105" t="s">
        <v>501</v>
      </c>
      <c r="E194" s="105" t="s">
        <v>494</v>
      </c>
      <c r="F194" s="493">
        <v>4226</v>
      </c>
      <c r="G194" s="105" t="s">
        <v>52</v>
      </c>
      <c r="H194" s="105" t="s">
        <v>333</v>
      </c>
      <c r="I194" s="105" t="s">
        <v>334</v>
      </c>
      <c r="J194" s="493">
        <v>22</v>
      </c>
      <c r="K194" s="493">
        <v>1</v>
      </c>
      <c r="L194" s="105" t="s">
        <v>335</v>
      </c>
      <c r="M194" s="105" t="s">
        <v>295</v>
      </c>
      <c r="N194" s="105" t="s">
        <v>242</v>
      </c>
      <c r="O194" s="105" t="s">
        <v>349</v>
      </c>
      <c r="P194" s="105" t="s">
        <v>350</v>
      </c>
      <c r="Q194" s="494">
        <v>82</v>
      </c>
      <c r="R194" s="494">
        <v>82</v>
      </c>
      <c r="S194" s="494">
        <v>465</v>
      </c>
      <c r="T194" s="494">
        <v>465</v>
      </c>
      <c r="U194" s="494">
        <v>7</v>
      </c>
      <c r="V194" s="493">
        <v>2024</v>
      </c>
      <c r="W194" s="495" t="s">
        <v>355</v>
      </c>
      <c r="X194" s="496">
        <f t="shared" si="9"/>
        <v>66.428571428571431</v>
      </c>
      <c r="Y194" s="497" t="str">
        <f t="shared" si="12"/>
        <v/>
      </c>
      <c r="Z194" s="497" t="str">
        <f t="shared" si="12"/>
        <v/>
      </c>
    </row>
    <row r="195" spans="1:26" s="82" customFormat="1" ht="32" x14ac:dyDescent="0.4">
      <c r="A195" s="493">
        <v>2511</v>
      </c>
      <c r="B195" s="105" t="s">
        <v>329</v>
      </c>
      <c r="C195" s="493" t="s">
        <v>330</v>
      </c>
      <c r="D195" s="105" t="s">
        <v>502</v>
      </c>
      <c r="E195" s="105" t="s">
        <v>503</v>
      </c>
      <c r="F195" s="493">
        <v>56505</v>
      </c>
      <c r="G195" s="105" t="s">
        <v>52</v>
      </c>
      <c r="H195" s="105" t="s">
        <v>333</v>
      </c>
      <c r="I195" s="105" t="s">
        <v>334</v>
      </c>
      <c r="J195" s="493">
        <v>22</v>
      </c>
      <c r="K195" s="493">
        <v>1</v>
      </c>
      <c r="L195" s="105" t="s">
        <v>335</v>
      </c>
      <c r="M195" s="105" t="s">
        <v>295</v>
      </c>
      <c r="N195" s="105" t="s">
        <v>226</v>
      </c>
      <c r="O195" s="105" t="s">
        <v>226</v>
      </c>
      <c r="P195" s="105" t="s">
        <v>350</v>
      </c>
      <c r="Q195" s="494">
        <v>3239</v>
      </c>
      <c r="R195" s="494">
        <v>3239</v>
      </c>
      <c r="S195" s="494">
        <v>18729</v>
      </c>
      <c r="T195" s="494">
        <v>18729</v>
      </c>
      <c r="U195" s="494">
        <v>1167.377</v>
      </c>
      <c r="V195" s="493">
        <v>2024</v>
      </c>
      <c r="W195" s="495" t="s">
        <v>355</v>
      </c>
      <c r="X195" s="496">
        <f t="shared" si="9"/>
        <v>16.043660274273009</v>
      </c>
      <c r="Y195" s="497" t="str">
        <f t="shared" si="12"/>
        <v/>
      </c>
      <c r="Z195" s="497" t="str">
        <f t="shared" si="12"/>
        <v/>
      </c>
    </row>
    <row r="196" spans="1:26" s="82" customFormat="1" ht="32" x14ac:dyDescent="0.4">
      <c r="A196" s="493">
        <v>2511</v>
      </c>
      <c r="B196" s="105" t="s">
        <v>329</v>
      </c>
      <c r="C196" s="493" t="s">
        <v>330</v>
      </c>
      <c r="D196" s="105" t="s">
        <v>502</v>
      </c>
      <c r="E196" s="105" t="s">
        <v>503</v>
      </c>
      <c r="F196" s="493">
        <v>56505</v>
      </c>
      <c r="G196" s="105" t="s">
        <v>52</v>
      </c>
      <c r="H196" s="105" t="s">
        <v>333</v>
      </c>
      <c r="I196" s="105" t="s">
        <v>334</v>
      </c>
      <c r="J196" s="493">
        <v>22</v>
      </c>
      <c r="K196" s="493">
        <v>1</v>
      </c>
      <c r="L196" s="105" t="s">
        <v>335</v>
      </c>
      <c r="M196" s="105" t="s">
        <v>295</v>
      </c>
      <c r="N196" s="105" t="s">
        <v>228</v>
      </c>
      <c r="O196" s="105" t="s">
        <v>228</v>
      </c>
      <c r="P196" s="105" t="s">
        <v>356</v>
      </c>
      <c r="Q196" s="494">
        <v>1854920</v>
      </c>
      <c r="R196" s="494">
        <v>1854920</v>
      </c>
      <c r="S196" s="494">
        <v>1910567</v>
      </c>
      <c r="T196" s="494">
        <v>1910567</v>
      </c>
      <c r="U196" s="494">
        <v>118987.62</v>
      </c>
      <c r="V196" s="493">
        <v>2024</v>
      </c>
      <c r="W196" s="495" t="s">
        <v>355</v>
      </c>
      <c r="X196" s="496">
        <f t="shared" si="9"/>
        <v>16.05685532662978</v>
      </c>
      <c r="Y196" s="497" t="str">
        <f t="shared" si="12"/>
        <v/>
      </c>
      <c r="Z196" s="497" t="str">
        <f t="shared" si="12"/>
        <v/>
      </c>
    </row>
    <row r="197" spans="1:26" s="82" customFormat="1" ht="32" x14ac:dyDescent="0.4">
      <c r="A197" s="493">
        <v>2511</v>
      </c>
      <c r="B197" s="105" t="s">
        <v>329</v>
      </c>
      <c r="C197" s="493" t="s">
        <v>330</v>
      </c>
      <c r="D197" s="105" t="s">
        <v>502</v>
      </c>
      <c r="E197" s="105" t="s">
        <v>503</v>
      </c>
      <c r="F197" s="493">
        <v>56505</v>
      </c>
      <c r="G197" s="105" t="s">
        <v>52</v>
      </c>
      <c r="H197" s="105" t="s">
        <v>333</v>
      </c>
      <c r="I197" s="105" t="s">
        <v>334</v>
      </c>
      <c r="J197" s="493">
        <v>22</v>
      </c>
      <c r="K197" s="493">
        <v>1</v>
      </c>
      <c r="L197" s="105" t="s">
        <v>335</v>
      </c>
      <c r="M197" s="105" t="s">
        <v>360</v>
      </c>
      <c r="N197" s="105" t="s">
        <v>228</v>
      </c>
      <c r="O197" s="105" t="s">
        <v>228</v>
      </c>
      <c r="P197" s="105" t="s">
        <v>356</v>
      </c>
      <c r="Q197" s="494">
        <v>11479611</v>
      </c>
      <c r="R197" s="494">
        <v>11479611</v>
      </c>
      <c r="S197" s="494">
        <v>11815043</v>
      </c>
      <c r="T197" s="494">
        <v>11815043</v>
      </c>
      <c r="U197" s="494">
        <v>1063144</v>
      </c>
      <c r="V197" s="493">
        <v>2024</v>
      </c>
      <c r="W197" s="495" t="s">
        <v>355</v>
      </c>
      <c r="X197" s="496">
        <f t="shared" si="9"/>
        <v>11.113304500613275</v>
      </c>
      <c r="Y197" s="497" t="str">
        <f t="shared" si="12"/>
        <v/>
      </c>
      <c r="Z197" s="497" t="str">
        <f t="shared" si="12"/>
        <v/>
      </c>
    </row>
    <row r="198" spans="1:26" s="82" customFormat="1" ht="32" x14ac:dyDescent="0.4">
      <c r="A198" s="493">
        <v>2511</v>
      </c>
      <c r="B198" s="105" t="s">
        <v>329</v>
      </c>
      <c r="C198" s="493" t="s">
        <v>330</v>
      </c>
      <c r="D198" s="105" t="s">
        <v>502</v>
      </c>
      <c r="E198" s="105" t="s">
        <v>503</v>
      </c>
      <c r="F198" s="493">
        <v>56505</v>
      </c>
      <c r="G198" s="105" t="s">
        <v>52</v>
      </c>
      <c r="H198" s="105" t="s">
        <v>333</v>
      </c>
      <c r="I198" s="105" t="s">
        <v>334</v>
      </c>
      <c r="J198" s="493">
        <v>22</v>
      </c>
      <c r="K198" s="493">
        <v>1</v>
      </c>
      <c r="L198" s="105" t="s">
        <v>335</v>
      </c>
      <c r="M198" s="105" t="s">
        <v>360</v>
      </c>
      <c r="N198" s="105" t="s">
        <v>238</v>
      </c>
      <c r="O198" s="105" t="s">
        <v>238</v>
      </c>
      <c r="P198" s="105" t="s">
        <v>350</v>
      </c>
      <c r="Q198" s="494">
        <v>410</v>
      </c>
      <c r="R198" s="494">
        <v>410</v>
      </c>
      <c r="S198" s="494">
        <v>2604</v>
      </c>
      <c r="T198" s="494">
        <v>2604</v>
      </c>
      <c r="U198" s="494">
        <v>240.97399999999999</v>
      </c>
      <c r="V198" s="493">
        <v>2024</v>
      </c>
      <c r="W198" s="495" t="s">
        <v>355</v>
      </c>
      <c r="X198" s="496">
        <f t="shared" si="9"/>
        <v>10.80614506129292</v>
      </c>
      <c r="Y198" s="497" t="str">
        <f t="shared" si="12"/>
        <v/>
      </c>
      <c r="Z198" s="497" t="str">
        <f t="shared" si="12"/>
        <v/>
      </c>
    </row>
    <row r="199" spans="1:26" s="82" customFormat="1" ht="32" x14ac:dyDescent="0.4">
      <c r="A199" s="493">
        <v>2512</v>
      </c>
      <c r="B199" s="105" t="s">
        <v>329</v>
      </c>
      <c r="C199" s="493" t="s">
        <v>330</v>
      </c>
      <c r="D199" s="105" t="s">
        <v>504</v>
      </c>
      <c r="E199" s="105" t="s">
        <v>503</v>
      </c>
      <c r="F199" s="493">
        <v>56505</v>
      </c>
      <c r="G199" s="105" t="s">
        <v>52</v>
      </c>
      <c r="H199" s="105" t="s">
        <v>333</v>
      </c>
      <c r="I199" s="105" t="s">
        <v>334</v>
      </c>
      <c r="J199" s="493">
        <v>22</v>
      </c>
      <c r="K199" s="493">
        <v>1</v>
      </c>
      <c r="L199" s="105" t="s">
        <v>335</v>
      </c>
      <c r="M199" s="105" t="s">
        <v>295</v>
      </c>
      <c r="N199" s="105" t="s">
        <v>226</v>
      </c>
      <c r="O199" s="105" t="s">
        <v>226</v>
      </c>
      <c r="P199" s="105" t="s">
        <v>350</v>
      </c>
      <c r="Q199" s="494">
        <v>25016</v>
      </c>
      <c r="R199" s="494">
        <v>25016</v>
      </c>
      <c r="S199" s="494">
        <v>143791</v>
      </c>
      <c r="T199" s="494">
        <v>143791</v>
      </c>
      <c r="U199" s="494">
        <v>9727</v>
      </c>
      <c r="V199" s="493">
        <v>2024</v>
      </c>
      <c r="W199" s="495"/>
      <c r="X199" s="496">
        <f t="shared" si="9"/>
        <v>14.782666803742162</v>
      </c>
      <c r="Y199" s="497" t="str">
        <f t="shared" si="12"/>
        <v/>
      </c>
      <c r="Z199" s="497" t="str">
        <f t="shared" si="12"/>
        <v/>
      </c>
    </row>
    <row r="200" spans="1:26" s="82" customFormat="1" ht="32" x14ac:dyDescent="0.4">
      <c r="A200" s="493">
        <v>2512</v>
      </c>
      <c r="B200" s="105" t="s">
        <v>329</v>
      </c>
      <c r="C200" s="493" t="s">
        <v>330</v>
      </c>
      <c r="D200" s="105" t="s">
        <v>504</v>
      </c>
      <c r="E200" s="105" t="s">
        <v>503</v>
      </c>
      <c r="F200" s="493">
        <v>56505</v>
      </c>
      <c r="G200" s="105" t="s">
        <v>52</v>
      </c>
      <c r="H200" s="105" t="s">
        <v>333</v>
      </c>
      <c r="I200" s="105" t="s">
        <v>334</v>
      </c>
      <c r="J200" s="493">
        <v>22</v>
      </c>
      <c r="K200" s="493">
        <v>1</v>
      </c>
      <c r="L200" s="105" t="s">
        <v>335</v>
      </c>
      <c r="M200" s="105" t="s">
        <v>359</v>
      </c>
      <c r="N200" s="105" t="s">
        <v>226</v>
      </c>
      <c r="O200" s="105" t="s">
        <v>226</v>
      </c>
      <c r="P200" s="105" t="s">
        <v>350</v>
      </c>
      <c r="Q200" s="494">
        <v>3404</v>
      </c>
      <c r="R200" s="494">
        <v>3404</v>
      </c>
      <c r="S200" s="494">
        <v>19697</v>
      </c>
      <c r="T200" s="494">
        <v>19697</v>
      </c>
      <c r="U200" s="494">
        <v>1790.999</v>
      </c>
      <c r="V200" s="493">
        <v>2024</v>
      </c>
      <c r="W200" s="495"/>
      <c r="X200" s="496">
        <f t="shared" si="9"/>
        <v>10.997772751408572</v>
      </c>
      <c r="Y200" s="497" t="str">
        <f t="shared" si="12"/>
        <v/>
      </c>
      <c r="Z200" s="497" t="str">
        <f t="shared" si="12"/>
        <v/>
      </c>
    </row>
    <row r="201" spans="1:26" s="82" customFormat="1" ht="32" x14ac:dyDescent="0.4">
      <c r="A201" s="493">
        <v>2514</v>
      </c>
      <c r="B201" s="105" t="s">
        <v>329</v>
      </c>
      <c r="C201" s="493" t="s">
        <v>330</v>
      </c>
      <c r="D201" s="105" t="s">
        <v>505</v>
      </c>
      <c r="E201" s="105" t="s">
        <v>503</v>
      </c>
      <c r="F201" s="493">
        <v>56505</v>
      </c>
      <c r="G201" s="105" t="s">
        <v>52</v>
      </c>
      <c r="H201" s="105" t="s">
        <v>333</v>
      </c>
      <c r="I201" s="105" t="s">
        <v>334</v>
      </c>
      <c r="J201" s="493">
        <v>22</v>
      </c>
      <c r="K201" s="493">
        <v>1</v>
      </c>
      <c r="L201" s="105" t="s">
        <v>335</v>
      </c>
      <c r="M201" s="105" t="s">
        <v>295</v>
      </c>
      <c r="N201" s="105" t="s">
        <v>226</v>
      </c>
      <c r="O201" s="105" t="s">
        <v>226</v>
      </c>
      <c r="P201" s="105" t="s">
        <v>350</v>
      </c>
      <c r="Q201" s="494">
        <v>8060</v>
      </c>
      <c r="R201" s="494">
        <v>8060</v>
      </c>
      <c r="S201" s="494">
        <v>46449</v>
      </c>
      <c r="T201" s="494">
        <v>46449</v>
      </c>
      <c r="U201" s="494">
        <v>2566.0010000000002</v>
      </c>
      <c r="V201" s="493">
        <v>2024</v>
      </c>
      <c r="W201" s="495" t="s">
        <v>355</v>
      </c>
      <c r="X201" s="496">
        <f t="shared" ref="X201:X264" si="13">IF(OR(K201&gt;3,T201=0,NOT(U201&gt;0)),"",T201/U201)</f>
        <v>18.10170767665328</v>
      </c>
      <c r="Y201" s="497" t="str">
        <f t="shared" si="12"/>
        <v/>
      </c>
      <c r="Z201" s="497" t="str">
        <f t="shared" si="12"/>
        <v/>
      </c>
    </row>
    <row r="202" spans="1:26" s="82" customFormat="1" ht="32" x14ac:dyDescent="0.4">
      <c r="A202" s="493">
        <v>2514</v>
      </c>
      <c r="B202" s="105" t="s">
        <v>329</v>
      </c>
      <c r="C202" s="493" t="s">
        <v>330</v>
      </c>
      <c r="D202" s="105" t="s">
        <v>505</v>
      </c>
      <c r="E202" s="105" t="s">
        <v>503</v>
      </c>
      <c r="F202" s="493">
        <v>56505</v>
      </c>
      <c r="G202" s="105" t="s">
        <v>52</v>
      </c>
      <c r="H202" s="105" t="s">
        <v>333</v>
      </c>
      <c r="I202" s="105" t="s">
        <v>334</v>
      </c>
      <c r="J202" s="493">
        <v>22</v>
      </c>
      <c r="K202" s="493">
        <v>1</v>
      </c>
      <c r="L202" s="105" t="s">
        <v>335</v>
      </c>
      <c r="M202" s="105" t="s">
        <v>295</v>
      </c>
      <c r="N202" s="105" t="s">
        <v>228</v>
      </c>
      <c r="O202" s="105" t="s">
        <v>228</v>
      </c>
      <c r="P202" s="105" t="s">
        <v>356</v>
      </c>
      <c r="Q202" s="494">
        <v>0</v>
      </c>
      <c r="R202" s="494">
        <v>0</v>
      </c>
      <c r="S202" s="494">
        <v>0</v>
      </c>
      <c r="T202" s="494">
        <v>0</v>
      </c>
      <c r="U202" s="494">
        <v>0</v>
      </c>
      <c r="V202" s="493">
        <v>2024</v>
      </c>
      <c r="W202" s="495" t="s">
        <v>355</v>
      </c>
      <c r="X202" s="496" t="str">
        <f t="shared" si="13"/>
        <v/>
      </c>
      <c r="Y202" s="497" t="str">
        <f t="shared" si="12"/>
        <v/>
      </c>
      <c r="Z202" s="497" t="str">
        <f t="shared" si="12"/>
        <v/>
      </c>
    </row>
    <row r="203" spans="1:26" s="82" customFormat="1" ht="32" x14ac:dyDescent="0.4">
      <c r="A203" s="493">
        <v>2516</v>
      </c>
      <c r="B203" s="105" t="s">
        <v>329</v>
      </c>
      <c r="C203" s="493" t="s">
        <v>330</v>
      </c>
      <c r="D203" s="105" t="s">
        <v>506</v>
      </c>
      <c r="E203" s="105" t="s">
        <v>503</v>
      </c>
      <c r="F203" s="493">
        <v>56505</v>
      </c>
      <c r="G203" s="105" t="s">
        <v>52</v>
      </c>
      <c r="H203" s="105" t="s">
        <v>333</v>
      </c>
      <c r="I203" s="105" t="s">
        <v>334</v>
      </c>
      <c r="J203" s="493">
        <v>22</v>
      </c>
      <c r="K203" s="493">
        <v>1</v>
      </c>
      <c r="L203" s="105" t="s">
        <v>335</v>
      </c>
      <c r="M203" s="105" t="s">
        <v>295</v>
      </c>
      <c r="N203" s="105" t="s">
        <v>226</v>
      </c>
      <c r="O203" s="105" t="s">
        <v>226</v>
      </c>
      <c r="P203" s="105" t="s">
        <v>350</v>
      </c>
      <c r="Q203" s="494">
        <v>6</v>
      </c>
      <c r="R203" s="494">
        <v>6</v>
      </c>
      <c r="S203" s="494">
        <v>35</v>
      </c>
      <c r="T203" s="494">
        <v>35</v>
      </c>
      <c r="U203" s="494">
        <v>-133</v>
      </c>
      <c r="V203" s="493">
        <v>2024</v>
      </c>
      <c r="W203" s="495" t="s">
        <v>355</v>
      </c>
      <c r="X203" s="496" t="str">
        <f t="shared" si="13"/>
        <v/>
      </c>
      <c r="Y203" s="497" t="str">
        <f t="shared" si="12"/>
        <v/>
      </c>
      <c r="Z203" s="497" t="str">
        <f t="shared" si="12"/>
        <v/>
      </c>
    </row>
    <row r="204" spans="1:26" s="82" customFormat="1" ht="32" x14ac:dyDescent="0.4">
      <c r="A204" s="493">
        <v>2516</v>
      </c>
      <c r="B204" s="105" t="s">
        <v>329</v>
      </c>
      <c r="C204" s="493" t="s">
        <v>330</v>
      </c>
      <c r="D204" s="105" t="s">
        <v>506</v>
      </c>
      <c r="E204" s="105" t="s">
        <v>503</v>
      </c>
      <c r="F204" s="493">
        <v>56505</v>
      </c>
      <c r="G204" s="105" t="s">
        <v>52</v>
      </c>
      <c r="H204" s="105" t="s">
        <v>333</v>
      </c>
      <c r="I204" s="105" t="s">
        <v>334</v>
      </c>
      <c r="J204" s="493">
        <v>22</v>
      </c>
      <c r="K204" s="493">
        <v>1</v>
      </c>
      <c r="L204" s="105" t="s">
        <v>335</v>
      </c>
      <c r="M204" s="105" t="s">
        <v>360</v>
      </c>
      <c r="N204" s="105" t="s">
        <v>228</v>
      </c>
      <c r="O204" s="105" t="s">
        <v>228</v>
      </c>
      <c r="P204" s="105" t="s">
        <v>356</v>
      </c>
      <c r="Q204" s="494">
        <v>37919775</v>
      </c>
      <c r="R204" s="494">
        <v>37919775</v>
      </c>
      <c r="S204" s="494">
        <v>39173444</v>
      </c>
      <c r="T204" s="494">
        <v>39173444</v>
      </c>
      <c r="U204" s="494">
        <v>3631405.8</v>
      </c>
      <c r="V204" s="493">
        <v>2024</v>
      </c>
      <c r="W204" s="495" t="s">
        <v>355</v>
      </c>
      <c r="X204" s="496">
        <f t="shared" si="13"/>
        <v>10.787404701507059</v>
      </c>
      <c r="Y204" s="497" t="str">
        <f t="shared" si="12"/>
        <v/>
      </c>
      <c r="Z204" s="497" t="str">
        <f t="shared" si="12"/>
        <v/>
      </c>
    </row>
    <row r="205" spans="1:26" s="82" customFormat="1" ht="32" x14ac:dyDescent="0.4">
      <c r="A205" s="493">
        <v>2516</v>
      </c>
      <c r="B205" s="105" t="s">
        <v>329</v>
      </c>
      <c r="C205" s="493" t="s">
        <v>330</v>
      </c>
      <c r="D205" s="105" t="s">
        <v>506</v>
      </c>
      <c r="E205" s="105" t="s">
        <v>503</v>
      </c>
      <c r="F205" s="493">
        <v>56505</v>
      </c>
      <c r="G205" s="105" t="s">
        <v>52</v>
      </c>
      <c r="H205" s="105" t="s">
        <v>333</v>
      </c>
      <c r="I205" s="105" t="s">
        <v>334</v>
      </c>
      <c r="J205" s="493">
        <v>22</v>
      </c>
      <c r="K205" s="493">
        <v>1</v>
      </c>
      <c r="L205" s="105" t="s">
        <v>335</v>
      </c>
      <c r="M205" s="105" t="s">
        <v>360</v>
      </c>
      <c r="N205" s="105" t="s">
        <v>238</v>
      </c>
      <c r="O205" s="105" t="s">
        <v>238</v>
      </c>
      <c r="P205" s="105" t="s">
        <v>350</v>
      </c>
      <c r="Q205" s="494">
        <v>127937</v>
      </c>
      <c r="R205" s="494">
        <v>127937</v>
      </c>
      <c r="S205" s="494">
        <v>809965</v>
      </c>
      <c r="T205" s="494">
        <v>809965</v>
      </c>
      <c r="U205" s="494">
        <v>73781.243000000002</v>
      </c>
      <c r="V205" s="493">
        <v>2024</v>
      </c>
      <c r="W205" s="495" t="s">
        <v>355</v>
      </c>
      <c r="X205" s="496">
        <f t="shared" si="13"/>
        <v>10.977925649748133</v>
      </c>
      <c r="Y205" s="497" t="str">
        <f t="shared" si="12"/>
        <v/>
      </c>
      <c r="Z205" s="497" t="str">
        <f t="shared" si="12"/>
        <v/>
      </c>
    </row>
    <row r="206" spans="1:26" s="82" customFormat="1" ht="32" x14ac:dyDescent="0.4">
      <c r="A206" s="493">
        <v>2517</v>
      </c>
      <c r="B206" s="105" t="s">
        <v>329</v>
      </c>
      <c r="C206" s="493" t="s">
        <v>330</v>
      </c>
      <c r="D206" s="105" t="s">
        <v>507</v>
      </c>
      <c r="E206" s="105" t="s">
        <v>503</v>
      </c>
      <c r="F206" s="493">
        <v>56505</v>
      </c>
      <c r="G206" s="105" t="s">
        <v>52</v>
      </c>
      <c r="H206" s="105" t="s">
        <v>333</v>
      </c>
      <c r="I206" s="105" t="s">
        <v>334</v>
      </c>
      <c r="J206" s="493">
        <v>22</v>
      </c>
      <c r="K206" s="493">
        <v>1</v>
      </c>
      <c r="L206" s="105" t="s">
        <v>335</v>
      </c>
      <c r="M206" s="105" t="s">
        <v>295</v>
      </c>
      <c r="N206" s="105" t="s">
        <v>226</v>
      </c>
      <c r="O206" s="105" t="s">
        <v>226</v>
      </c>
      <c r="P206" s="105" t="s">
        <v>350</v>
      </c>
      <c r="Q206" s="494">
        <v>697</v>
      </c>
      <c r="R206" s="494">
        <v>697</v>
      </c>
      <c r="S206" s="494">
        <v>4029</v>
      </c>
      <c r="T206" s="494">
        <v>4029</v>
      </c>
      <c r="U206" s="494">
        <v>365.608</v>
      </c>
      <c r="V206" s="493">
        <v>2024</v>
      </c>
      <c r="W206" s="495" t="s">
        <v>355</v>
      </c>
      <c r="X206" s="496">
        <f t="shared" si="13"/>
        <v>11.019999562372815</v>
      </c>
      <c r="Y206" s="497" t="str">
        <f t="shared" si="12"/>
        <v/>
      </c>
      <c r="Z206" s="497" t="str">
        <f t="shared" si="12"/>
        <v/>
      </c>
    </row>
    <row r="207" spans="1:26" s="82" customFormat="1" ht="32" x14ac:dyDescent="0.4">
      <c r="A207" s="493">
        <v>2517</v>
      </c>
      <c r="B207" s="105" t="s">
        <v>329</v>
      </c>
      <c r="C207" s="493" t="s">
        <v>330</v>
      </c>
      <c r="D207" s="105" t="s">
        <v>507</v>
      </c>
      <c r="E207" s="105" t="s">
        <v>503</v>
      </c>
      <c r="F207" s="493">
        <v>56505</v>
      </c>
      <c r="G207" s="105" t="s">
        <v>52</v>
      </c>
      <c r="H207" s="105" t="s">
        <v>333</v>
      </c>
      <c r="I207" s="105" t="s">
        <v>334</v>
      </c>
      <c r="J207" s="493">
        <v>22</v>
      </c>
      <c r="K207" s="493">
        <v>1</v>
      </c>
      <c r="L207" s="105" t="s">
        <v>335</v>
      </c>
      <c r="M207" s="105" t="s">
        <v>295</v>
      </c>
      <c r="N207" s="105" t="s">
        <v>242</v>
      </c>
      <c r="O207" s="105" t="s">
        <v>349</v>
      </c>
      <c r="P207" s="105" t="s">
        <v>350</v>
      </c>
      <c r="Q207" s="494">
        <v>110</v>
      </c>
      <c r="R207" s="494">
        <v>110</v>
      </c>
      <c r="S207" s="494">
        <v>635</v>
      </c>
      <c r="T207" s="494">
        <v>635</v>
      </c>
      <c r="U207" s="494">
        <v>39.866999999999997</v>
      </c>
      <c r="V207" s="493">
        <v>2024</v>
      </c>
      <c r="W207" s="495" t="s">
        <v>355</v>
      </c>
      <c r="X207" s="496">
        <f t="shared" si="13"/>
        <v>15.927960468557956</v>
      </c>
      <c r="Y207" s="497" t="str">
        <f t="shared" si="12"/>
        <v/>
      </c>
      <c r="Z207" s="497" t="str">
        <f t="shared" si="12"/>
        <v/>
      </c>
    </row>
    <row r="208" spans="1:26" s="82" customFormat="1" ht="32" x14ac:dyDescent="0.4">
      <c r="A208" s="493">
        <v>2517</v>
      </c>
      <c r="B208" s="105" t="s">
        <v>329</v>
      </c>
      <c r="C208" s="493" t="s">
        <v>330</v>
      </c>
      <c r="D208" s="105" t="s">
        <v>507</v>
      </c>
      <c r="E208" s="105" t="s">
        <v>503</v>
      </c>
      <c r="F208" s="493">
        <v>56505</v>
      </c>
      <c r="G208" s="105" t="s">
        <v>52</v>
      </c>
      <c r="H208" s="105" t="s">
        <v>333</v>
      </c>
      <c r="I208" s="105" t="s">
        <v>334</v>
      </c>
      <c r="J208" s="493">
        <v>22</v>
      </c>
      <c r="K208" s="493">
        <v>1</v>
      </c>
      <c r="L208" s="105" t="s">
        <v>335</v>
      </c>
      <c r="M208" s="105" t="s">
        <v>295</v>
      </c>
      <c r="N208" s="105" t="s">
        <v>228</v>
      </c>
      <c r="O208" s="105" t="s">
        <v>228</v>
      </c>
      <c r="P208" s="105" t="s">
        <v>356</v>
      </c>
      <c r="Q208" s="494">
        <v>717550</v>
      </c>
      <c r="R208" s="494">
        <v>717550</v>
      </c>
      <c r="S208" s="494">
        <v>741099</v>
      </c>
      <c r="T208" s="494">
        <v>741099</v>
      </c>
      <c r="U208" s="494">
        <v>67173.524999999994</v>
      </c>
      <c r="V208" s="493">
        <v>2024</v>
      </c>
      <c r="W208" s="495" t="s">
        <v>355</v>
      </c>
      <c r="X208" s="496">
        <f t="shared" si="13"/>
        <v>11.03260547961418</v>
      </c>
      <c r="Y208" s="497" t="str">
        <f t="shared" ref="Y208:Z227" si="14">IF(AND($M208=$Y$2,$N208=$Y$3,NOT($Q208=$R208),NOT($U208=0)),IF($K208=5,$S208/($U208+(8/5)*$U208),IF($K208=7,$S208/($U208+(29/25)*$U208),"")),"")</f>
        <v/>
      </c>
      <c r="Z208" s="497" t="str">
        <f t="shared" si="14"/>
        <v/>
      </c>
    </row>
    <row r="209" spans="1:26" s="82" customFormat="1" ht="32" x14ac:dyDescent="0.4">
      <c r="A209" s="493">
        <v>2517</v>
      </c>
      <c r="B209" s="105" t="s">
        <v>329</v>
      </c>
      <c r="C209" s="493" t="s">
        <v>330</v>
      </c>
      <c r="D209" s="105" t="s">
        <v>507</v>
      </c>
      <c r="E209" s="105" t="s">
        <v>503</v>
      </c>
      <c r="F209" s="493">
        <v>56505</v>
      </c>
      <c r="G209" s="105" t="s">
        <v>52</v>
      </c>
      <c r="H209" s="105" t="s">
        <v>333</v>
      </c>
      <c r="I209" s="105" t="s">
        <v>334</v>
      </c>
      <c r="J209" s="493">
        <v>22</v>
      </c>
      <c r="K209" s="493">
        <v>1</v>
      </c>
      <c r="L209" s="105" t="s">
        <v>335</v>
      </c>
      <c r="M209" s="105" t="s">
        <v>360</v>
      </c>
      <c r="N209" s="105" t="s">
        <v>228</v>
      </c>
      <c r="O209" s="105" t="s">
        <v>228</v>
      </c>
      <c r="P209" s="105" t="s">
        <v>356</v>
      </c>
      <c r="Q209" s="494">
        <v>2964308</v>
      </c>
      <c r="R209" s="494">
        <v>2964308</v>
      </c>
      <c r="S209" s="494">
        <v>3058097</v>
      </c>
      <c r="T209" s="494">
        <v>3058097</v>
      </c>
      <c r="U209" s="494">
        <v>247751.03</v>
      </c>
      <c r="V209" s="493">
        <v>2024</v>
      </c>
      <c r="W209" s="495" t="s">
        <v>355</v>
      </c>
      <c r="X209" s="496">
        <f t="shared" si="13"/>
        <v>12.343427997050103</v>
      </c>
      <c r="Y209" s="497" t="str">
        <f t="shared" si="14"/>
        <v/>
      </c>
      <c r="Z209" s="497" t="str">
        <f t="shared" si="14"/>
        <v/>
      </c>
    </row>
    <row r="210" spans="1:26" s="82" customFormat="1" ht="32" x14ac:dyDescent="0.4">
      <c r="A210" s="493">
        <v>2517</v>
      </c>
      <c r="B210" s="105" t="s">
        <v>329</v>
      </c>
      <c r="C210" s="493" t="s">
        <v>330</v>
      </c>
      <c r="D210" s="105" t="s">
        <v>507</v>
      </c>
      <c r="E210" s="105" t="s">
        <v>503</v>
      </c>
      <c r="F210" s="493">
        <v>56505</v>
      </c>
      <c r="G210" s="105" t="s">
        <v>52</v>
      </c>
      <c r="H210" s="105" t="s">
        <v>333</v>
      </c>
      <c r="I210" s="105" t="s">
        <v>334</v>
      </c>
      <c r="J210" s="493">
        <v>22</v>
      </c>
      <c r="K210" s="493">
        <v>1</v>
      </c>
      <c r="L210" s="105" t="s">
        <v>335</v>
      </c>
      <c r="M210" s="105" t="s">
        <v>360</v>
      </c>
      <c r="N210" s="105" t="s">
        <v>238</v>
      </c>
      <c r="O210" s="105" t="s">
        <v>238</v>
      </c>
      <c r="P210" s="105" t="s">
        <v>350</v>
      </c>
      <c r="Q210" s="494">
        <v>24179</v>
      </c>
      <c r="R210" s="494">
        <v>24179</v>
      </c>
      <c r="S210" s="494">
        <v>153703</v>
      </c>
      <c r="T210" s="494">
        <v>153703</v>
      </c>
      <c r="U210" s="494">
        <v>11653.97</v>
      </c>
      <c r="V210" s="493">
        <v>2024</v>
      </c>
      <c r="W210" s="495" t="s">
        <v>355</v>
      </c>
      <c r="X210" s="496">
        <f t="shared" si="13"/>
        <v>13.18889614440401</v>
      </c>
      <c r="Y210" s="497" t="str">
        <f t="shared" si="14"/>
        <v/>
      </c>
      <c r="Z210" s="497" t="str">
        <f t="shared" si="14"/>
        <v/>
      </c>
    </row>
    <row r="211" spans="1:26" s="82" customFormat="1" ht="32" x14ac:dyDescent="0.4">
      <c r="A211" s="493">
        <v>2518</v>
      </c>
      <c r="B211" s="105" t="s">
        <v>329</v>
      </c>
      <c r="C211" s="493" t="s">
        <v>330</v>
      </c>
      <c r="D211" s="105" t="s">
        <v>508</v>
      </c>
      <c r="E211" s="105" t="s">
        <v>503</v>
      </c>
      <c r="F211" s="493">
        <v>56505</v>
      </c>
      <c r="G211" s="105" t="s">
        <v>52</v>
      </c>
      <c r="H211" s="105" t="s">
        <v>333</v>
      </c>
      <c r="I211" s="105" t="s">
        <v>334</v>
      </c>
      <c r="J211" s="493">
        <v>22</v>
      </c>
      <c r="K211" s="493">
        <v>1</v>
      </c>
      <c r="L211" s="105" t="s">
        <v>335</v>
      </c>
      <c r="M211" s="105" t="s">
        <v>295</v>
      </c>
      <c r="N211" s="105" t="s">
        <v>226</v>
      </c>
      <c r="O211" s="105" t="s">
        <v>226</v>
      </c>
      <c r="P211" s="105" t="s">
        <v>350</v>
      </c>
      <c r="Q211" s="494">
        <v>2286</v>
      </c>
      <c r="R211" s="494">
        <v>2286</v>
      </c>
      <c r="S211" s="494">
        <v>13203</v>
      </c>
      <c r="T211" s="494">
        <v>13203</v>
      </c>
      <c r="U211" s="494">
        <v>353</v>
      </c>
      <c r="V211" s="493">
        <v>2024</v>
      </c>
      <c r="W211" s="495"/>
      <c r="X211" s="496">
        <f t="shared" si="13"/>
        <v>37.402266288951843</v>
      </c>
      <c r="Y211" s="497" t="str">
        <f t="shared" si="14"/>
        <v/>
      </c>
      <c r="Z211" s="497" t="str">
        <f t="shared" si="14"/>
        <v/>
      </c>
    </row>
    <row r="212" spans="1:26" s="82" customFormat="1" ht="32" x14ac:dyDescent="0.4">
      <c r="A212" s="493">
        <v>2519</v>
      </c>
      <c r="B212" s="105" t="s">
        <v>329</v>
      </c>
      <c r="C212" s="493" t="s">
        <v>330</v>
      </c>
      <c r="D212" s="105" t="s">
        <v>509</v>
      </c>
      <c r="E212" s="105" t="s">
        <v>503</v>
      </c>
      <c r="F212" s="493">
        <v>56505</v>
      </c>
      <c r="G212" s="105" t="s">
        <v>52</v>
      </c>
      <c r="H212" s="105" t="s">
        <v>333</v>
      </c>
      <c r="I212" s="105" t="s">
        <v>334</v>
      </c>
      <c r="J212" s="493">
        <v>22</v>
      </c>
      <c r="K212" s="493">
        <v>1</v>
      </c>
      <c r="L212" s="105" t="s">
        <v>335</v>
      </c>
      <c r="M212" s="105" t="s">
        <v>295</v>
      </c>
      <c r="N212" s="105" t="s">
        <v>226</v>
      </c>
      <c r="O212" s="105" t="s">
        <v>226</v>
      </c>
      <c r="P212" s="105" t="s">
        <v>350</v>
      </c>
      <c r="Q212" s="494">
        <v>741</v>
      </c>
      <c r="R212" s="494">
        <v>741</v>
      </c>
      <c r="S212" s="494">
        <v>4281</v>
      </c>
      <c r="T212" s="494">
        <v>4281</v>
      </c>
      <c r="U212" s="494">
        <v>42</v>
      </c>
      <c r="V212" s="493">
        <v>2024</v>
      </c>
      <c r="W212" s="495"/>
      <c r="X212" s="496">
        <f t="shared" si="13"/>
        <v>101.92857142857143</v>
      </c>
      <c r="Y212" s="497" t="str">
        <f t="shared" si="14"/>
        <v/>
      </c>
      <c r="Z212" s="497" t="str">
        <f t="shared" si="14"/>
        <v/>
      </c>
    </row>
    <row r="213" spans="1:26" s="82" customFormat="1" ht="32" x14ac:dyDescent="0.4">
      <c r="A213" s="493">
        <v>2520</v>
      </c>
      <c r="B213" s="105" t="s">
        <v>329</v>
      </c>
      <c r="C213" s="493" t="s">
        <v>330</v>
      </c>
      <c r="D213" s="105" t="s">
        <v>510</v>
      </c>
      <c r="E213" s="105" t="s">
        <v>503</v>
      </c>
      <c r="F213" s="493">
        <v>56505</v>
      </c>
      <c r="G213" s="105" t="s">
        <v>52</v>
      </c>
      <c r="H213" s="105" t="s">
        <v>333</v>
      </c>
      <c r="I213" s="105" t="s">
        <v>334</v>
      </c>
      <c r="J213" s="493">
        <v>22</v>
      </c>
      <c r="K213" s="493">
        <v>1</v>
      </c>
      <c r="L213" s="105" t="s">
        <v>335</v>
      </c>
      <c r="M213" s="105" t="s">
        <v>295</v>
      </c>
      <c r="N213" s="105" t="s">
        <v>226</v>
      </c>
      <c r="O213" s="105" t="s">
        <v>226</v>
      </c>
      <c r="P213" s="105" t="s">
        <v>350</v>
      </c>
      <c r="Q213" s="494">
        <v>2645</v>
      </c>
      <c r="R213" s="494">
        <v>2645</v>
      </c>
      <c r="S213" s="494">
        <v>15288</v>
      </c>
      <c r="T213" s="494">
        <v>15288</v>
      </c>
      <c r="U213" s="494">
        <v>686</v>
      </c>
      <c r="V213" s="493">
        <v>2024</v>
      </c>
      <c r="W213" s="495"/>
      <c r="X213" s="496">
        <f t="shared" si="13"/>
        <v>22.285714285714285</v>
      </c>
      <c r="Y213" s="497" t="str">
        <f t="shared" si="14"/>
        <v/>
      </c>
      <c r="Z213" s="497" t="str">
        <f t="shared" si="14"/>
        <v/>
      </c>
    </row>
    <row r="214" spans="1:26" s="82" customFormat="1" ht="32" x14ac:dyDescent="0.4">
      <c r="A214" s="493">
        <v>2522</v>
      </c>
      <c r="B214" s="105" t="s">
        <v>329</v>
      </c>
      <c r="C214" s="493" t="s">
        <v>330</v>
      </c>
      <c r="D214" s="105" t="s">
        <v>511</v>
      </c>
      <c r="E214" s="105" t="s">
        <v>390</v>
      </c>
      <c r="F214" s="493">
        <v>13511</v>
      </c>
      <c r="G214" s="105" t="s">
        <v>52</v>
      </c>
      <c r="H214" s="105" t="s">
        <v>333</v>
      </c>
      <c r="I214" s="105" t="s">
        <v>334</v>
      </c>
      <c r="J214" s="493">
        <v>22</v>
      </c>
      <c r="K214" s="493">
        <v>1</v>
      </c>
      <c r="L214" s="105" t="s">
        <v>335</v>
      </c>
      <c r="M214" s="105" t="s">
        <v>336</v>
      </c>
      <c r="N214" s="105" t="s">
        <v>337</v>
      </c>
      <c r="O214" s="105" t="s">
        <v>338</v>
      </c>
      <c r="P214" s="105" t="s">
        <v>339</v>
      </c>
      <c r="Q214" s="494">
        <v>0</v>
      </c>
      <c r="R214" s="494">
        <v>0</v>
      </c>
      <c r="S214" s="494">
        <v>81125</v>
      </c>
      <c r="T214" s="494">
        <v>81125</v>
      </c>
      <c r="U214" s="494">
        <v>23776</v>
      </c>
      <c r="V214" s="493">
        <v>2024</v>
      </c>
      <c r="W214" s="495"/>
      <c r="X214" s="496">
        <f t="shared" si="13"/>
        <v>3.4120541722745625</v>
      </c>
      <c r="Y214" s="497" t="str">
        <f t="shared" si="14"/>
        <v/>
      </c>
      <c r="Z214" s="497" t="str">
        <f t="shared" si="14"/>
        <v/>
      </c>
    </row>
    <row r="215" spans="1:26" s="82" customFormat="1" ht="32" x14ac:dyDescent="0.4">
      <c r="A215" s="493">
        <v>2527</v>
      </c>
      <c r="B215" s="105" t="s">
        <v>329</v>
      </c>
      <c r="C215" s="493" t="s">
        <v>330</v>
      </c>
      <c r="D215" s="105" t="s">
        <v>512</v>
      </c>
      <c r="E215" s="105" t="s">
        <v>513</v>
      </c>
      <c r="F215" s="493">
        <v>25</v>
      </c>
      <c r="G215" s="105" t="s">
        <v>52</v>
      </c>
      <c r="H215" s="105" t="s">
        <v>333</v>
      </c>
      <c r="I215" s="105" t="s">
        <v>334</v>
      </c>
      <c r="J215" s="493">
        <v>22</v>
      </c>
      <c r="K215" s="493">
        <v>2</v>
      </c>
      <c r="L215" s="105" t="s">
        <v>343</v>
      </c>
      <c r="M215" s="105" t="s">
        <v>360</v>
      </c>
      <c r="N215" s="105" t="s">
        <v>222</v>
      </c>
      <c r="O215" s="105" t="s">
        <v>479</v>
      </c>
      <c r="P215" s="105" t="s">
        <v>388</v>
      </c>
      <c r="Q215" s="494">
        <v>0</v>
      </c>
      <c r="R215" s="494">
        <v>0</v>
      </c>
      <c r="S215" s="494">
        <v>0</v>
      </c>
      <c r="T215" s="494">
        <v>0</v>
      </c>
      <c r="U215" s="494">
        <v>0</v>
      </c>
      <c r="V215" s="493">
        <v>2024</v>
      </c>
      <c r="W215" s="495" t="s">
        <v>355</v>
      </c>
      <c r="X215" s="496" t="str">
        <f t="shared" si="13"/>
        <v/>
      </c>
      <c r="Y215" s="497" t="str">
        <f t="shared" si="14"/>
        <v/>
      </c>
      <c r="Z215" s="497" t="str">
        <f t="shared" si="14"/>
        <v/>
      </c>
    </row>
    <row r="216" spans="1:26" s="82" customFormat="1" ht="32" x14ac:dyDescent="0.4">
      <c r="A216" s="493">
        <v>2527</v>
      </c>
      <c r="B216" s="105" t="s">
        <v>329</v>
      </c>
      <c r="C216" s="493" t="s">
        <v>330</v>
      </c>
      <c r="D216" s="105" t="s">
        <v>512</v>
      </c>
      <c r="E216" s="105" t="s">
        <v>513</v>
      </c>
      <c r="F216" s="493">
        <v>25</v>
      </c>
      <c r="G216" s="105" t="s">
        <v>52</v>
      </c>
      <c r="H216" s="105" t="s">
        <v>333</v>
      </c>
      <c r="I216" s="105" t="s">
        <v>334</v>
      </c>
      <c r="J216" s="493">
        <v>22</v>
      </c>
      <c r="K216" s="493">
        <v>2</v>
      </c>
      <c r="L216" s="105" t="s">
        <v>343</v>
      </c>
      <c r="M216" s="105" t="s">
        <v>360</v>
      </c>
      <c r="N216" s="105" t="s">
        <v>226</v>
      </c>
      <c r="O216" s="105" t="s">
        <v>226</v>
      </c>
      <c r="P216" s="105" t="s">
        <v>350</v>
      </c>
      <c r="Q216" s="494">
        <v>0</v>
      </c>
      <c r="R216" s="494">
        <v>0</v>
      </c>
      <c r="S216" s="494">
        <v>0</v>
      </c>
      <c r="T216" s="494">
        <v>0</v>
      </c>
      <c r="U216" s="494">
        <v>0</v>
      </c>
      <c r="V216" s="493">
        <v>2024</v>
      </c>
      <c r="W216" s="495" t="s">
        <v>355</v>
      </c>
      <c r="X216" s="496" t="str">
        <f t="shared" si="13"/>
        <v/>
      </c>
      <c r="Y216" s="497" t="str">
        <f t="shared" si="14"/>
        <v/>
      </c>
      <c r="Z216" s="497" t="str">
        <f t="shared" si="14"/>
        <v/>
      </c>
    </row>
    <row r="217" spans="1:26" s="82" customFormat="1" ht="32" x14ac:dyDescent="0.4">
      <c r="A217" s="493">
        <v>2527</v>
      </c>
      <c r="B217" s="105" t="s">
        <v>329</v>
      </c>
      <c r="C217" s="493" t="s">
        <v>330</v>
      </c>
      <c r="D217" s="105" t="s">
        <v>512</v>
      </c>
      <c r="E217" s="105" t="s">
        <v>513</v>
      </c>
      <c r="F217" s="493">
        <v>25</v>
      </c>
      <c r="G217" s="105" t="s">
        <v>52</v>
      </c>
      <c r="H217" s="105" t="s">
        <v>333</v>
      </c>
      <c r="I217" s="105" t="s">
        <v>334</v>
      </c>
      <c r="J217" s="493">
        <v>22</v>
      </c>
      <c r="K217" s="493">
        <v>2</v>
      </c>
      <c r="L217" s="105" t="s">
        <v>343</v>
      </c>
      <c r="M217" s="105" t="s">
        <v>360</v>
      </c>
      <c r="N217" s="105" t="s">
        <v>228</v>
      </c>
      <c r="O217" s="105" t="s">
        <v>228</v>
      </c>
      <c r="P217" s="105" t="s">
        <v>356</v>
      </c>
      <c r="Q217" s="494">
        <v>7010821</v>
      </c>
      <c r="R217" s="494">
        <v>7010821</v>
      </c>
      <c r="S217" s="494">
        <v>7207124</v>
      </c>
      <c r="T217" s="494">
        <v>7207124</v>
      </c>
      <c r="U217" s="494">
        <v>673527</v>
      </c>
      <c r="V217" s="493">
        <v>2024</v>
      </c>
      <c r="W217" s="495" t="s">
        <v>355</v>
      </c>
      <c r="X217" s="496">
        <f t="shared" si="13"/>
        <v>10.700571766239513</v>
      </c>
      <c r="Y217" s="497" t="str">
        <f t="shared" si="14"/>
        <v/>
      </c>
      <c r="Z217" s="497" t="str">
        <f t="shared" si="14"/>
        <v/>
      </c>
    </row>
    <row r="218" spans="1:26" s="82" customFormat="1" ht="32" x14ac:dyDescent="0.4">
      <c r="A218" s="493">
        <v>2527</v>
      </c>
      <c r="B218" s="105" t="s">
        <v>329</v>
      </c>
      <c r="C218" s="493" t="s">
        <v>330</v>
      </c>
      <c r="D218" s="105" t="s">
        <v>512</v>
      </c>
      <c r="E218" s="105" t="s">
        <v>513</v>
      </c>
      <c r="F218" s="493">
        <v>25</v>
      </c>
      <c r="G218" s="105" t="s">
        <v>52</v>
      </c>
      <c r="H218" s="105" t="s">
        <v>333</v>
      </c>
      <c r="I218" s="105" t="s">
        <v>334</v>
      </c>
      <c r="J218" s="493">
        <v>22</v>
      </c>
      <c r="K218" s="493">
        <v>2</v>
      </c>
      <c r="L218" s="105" t="s">
        <v>343</v>
      </c>
      <c r="M218" s="105" t="s">
        <v>360</v>
      </c>
      <c r="N218" s="105" t="s">
        <v>224</v>
      </c>
      <c r="O218" s="105" t="s">
        <v>479</v>
      </c>
      <c r="P218" s="105" t="s">
        <v>388</v>
      </c>
      <c r="Q218" s="494">
        <v>0</v>
      </c>
      <c r="R218" s="494">
        <v>0</v>
      </c>
      <c r="S218" s="494">
        <v>0</v>
      </c>
      <c r="T218" s="494">
        <v>0</v>
      </c>
      <c r="U218" s="494">
        <v>0</v>
      </c>
      <c r="V218" s="493">
        <v>2024</v>
      </c>
      <c r="W218" s="495" t="s">
        <v>355</v>
      </c>
      <c r="X218" s="496" t="str">
        <f t="shared" si="13"/>
        <v/>
      </c>
      <c r="Y218" s="497" t="str">
        <f t="shared" si="14"/>
        <v/>
      </c>
      <c r="Z218" s="497" t="str">
        <f t="shared" si="14"/>
        <v/>
      </c>
    </row>
    <row r="219" spans="1:26" s="82" customFormat="1" ht="32" x14ac:dyDescent="0.4">
      <c r="A219" s="493">
        <v>2527</v>
      </c>
      <c r="B219" s="105" t="s">
        <v>329</v>
      </c>
      <c r="C219" s="493" t="s">
        <v>330</v>
      </c>
      <c r="D219" s="105" t="s">
        <v>512</v>
      </c>
      <c r="E219" s="105" t="s">
        <v>513</v>
      </c>
      <c r="F219" s="493">
        <v>25</v>
      </c>
      <c r="G219" s="105" t="s">
        <v>52</v>
      </c>
      <c r="H219" s="105" t="s">
        <v>333</v>
      </c>
      <c r="I219" s="105" t="s">
        <v>334</v>
      </c>
      <c r="J219" s="493">
        <v>22</v>
      </c>
      <c r="K219" s="493">
        <v>2</v>
      </c>
      <c r="L219" s="105" t="s">
        <v>343</v>
      </c>
      <c r="M219" s="105" t="s">
        <v>360</v>
      </c>
      <c r="N219" s="105" t="s">
        <v>258</v>
      </c>
      <c r="O219" s="105" t="s">
        <v>387</v>
      </c>
      <c r="P219" s="105" t="s">
        <v>388</v>
      </c>
      <c r="Q219" s="494">
        <v>0</v>
      </c>
      <c r="R219" s="494">
        <v>0</v>
      </c>
      <c r="S219" s="494">
        <v>0</v>
      </c>
      <c r="T219" s="494">
        <v>0</v>
      </c>
      <c r="U219" s="494">
        <v>0</v>
      </c>
      <c r="V219" s="493">
        <v>2024</v>
      </c>
      <c r="W219" s="495" t="s">
        <v>355</v>
      </c>
      <c r="X219" s="496" t="str">
        <f t="shared" si="13"/>
        <v/>
      </c>
      <c r="Y219" s="497" t="str">
        <f t="shared" si="14"/>
        <v/>
      </c>
      <c r="Z219" s="497" t="str">
        <f t="shared" si="14"/>
        <v/>
      </c>
    </row>
    <row r="220" spans="1:26" s="82" customFormat="1" ht="32" x14ac:dyDescent="0.4">
      <c r="A220" s="493">
        <v>2528</v>
      </c>
      <c r="B220" s="105" t="s">
        <v>329</v>
      </c>
      <c r="C220" s="493" t="s">
        <v>330</v>
      </c>
      <c r="D220" s="105" t="s">
        <v>514</v>
      </c>
      <c r="E220" s="105" t="s">
        <v>390</v>
      </c>
      <c r="F220" s="493">
        <v>13511</v>
      </c>
      <c r="G220" s="105" t="s">
        <v>52</v>
      </c>
      <c r="H220" s="105" t="s">
        <v>333</v>
      </c>
      <c r="I220" s="105" t="s">
        <v>334</v>
      </c>
      <c r="J220" s="493">
        <v>22</v>
      </c>
      <c r="K220" s="493">
        <v>1</v>
      </c>
      <c r="L220" s="105" t="s">
        <v>335</v>
      </c>
      <c r="M220" s="105" t="s">
        <v>359</v>
      </c>
      <c r="N220" s="105" t="s">
        <v>226</v>
      </c>
      <c r="O220" s="105" t="s">
        <v>226</v>
      </c>
      <c r="P220" s="105" t="s">
        <v>350</v>
      </c>
      <c r="Q220" s="494">
        <v>307</v>
      </c>
      <c r="R220" s="494">
        <v>307</v>
      </c>
      <c r="S220" s="494">
        <v>1747</v>
      </c>
      <c r="T220" s="494">
        <v>1747</v>
      </c>
      <c r="U220" s="494">
        <v>1</v>
      </c>
      <c r="V220" s="493">
        <v>2024</v>
      </c>
      <c r="W220" s="495"/>
      <c r="X220" s="496">
        <f t="shared" si="13"/>
        <v>1747</v>
      </c>
      <c r="Y220" s="497" t="str">
        <f t="shared" si="14"/>
        <v/>
      </c>
      <c r="Z220" s="497" t="str">
        <f t="shared" si="14"/>
        <v/>
      </c>
    </row>
    <row r="221" spans="1:26" s="82" customFormat="1" ht="32" x14ac:dyDescent="0.4">
      <c r="A221" s="493">
        <v>2530</v>
      </c>
      <c r="B221" s="105" t="s">
        <v>329</v>
      </c>
      <c r="C221" s="493" t="s">
        <v>330</v>
      </c>
      <c r="D221" s="105" t="s">
        <v>515</v>
      </c>
      <c r="E221" s="105" t="s">
        <v>390</v>
      </c>
      <c r="F221" s="493">
        <v>13511</v>
      </c>
      <c r="G221" s="105" t="s">
        <v>52</v>
      </c>
      <c r="H221" s="105" t="s">
        <v>333</v>
      </c>
      <c r="I221" s="105" t="s">
        <v>334</v>
      </c>
      <c r="J221" s="493">
        <v>22</v>
      </c>
      <c r="K221" s="493">
        <v>1</v>
      </c>
      <c r="L221" s="105" t="s">
        <v>335</v>
      </c>
      <c r="M221" s="105" t="s">
        <v>336</v>
      </c>
      <c r="N221" s="105" t="s">
        <v>337</v>
      </c>
      <c r="O221" s="105" t="s">
        <v>338</v>
      </c>
      <c r="P221" s="105" t="s">
        <v>339</v>
      </c>
      <c r="Q221" s="494">
        <v>0</v>
      </c>
      <c r="R221" s="494">
        <v>0</v>
      </c>
      <c r="S221" s="494">
        <v>220711</v>
      </c>
      <c r="T221" s="494">
        <v>220711</v>
      </c>
      <c r="U221" s="494">
        <v>64687</v>
      </c>
      <c r="V221" s="493">
        <v>2024</v>
      </c>
      <c r="W221" s="495"/>
      <c r="X221" s="496">
        <f t="shared" si="13"/>
        <v>3.4119838607448174</v>
      </c>
      <c r="Y221" s="497" t="str">
        <f t="shared" si="14"/>
        <v/>
      </c>
      <c r="Z221" s="497" t="str">
        <f t="shared" si="14"/>
        <v/>
      </c>
    </row>
    <row r="222" spans="1:26" s="82" customFormat="1" ht="32" x14ac:dyDescent="0.4">
      <c r="A222" s="493">
        <v>2532</v>
      </c>
      <c r="B222" s="105" t="s">
        <v>329</v>
      </c>
      <c r="C222" s="493" t="s">
        <v>330</v>
      </c>
      <c r="D222" s="105" t="s">
        <v>516</v>
      </c>
      <c r="E222" s="105" t="s">
        <v>390</v>
      </c>
      <c r="F222" s="493">
        <v>13511</v>
      </c>
      <c r="G222" s="105" t="s">
        <v>52</v>
      </c>
      <c r="H222" s="105" t="s">
        <v>333</v>
      </c>
      <c r="I222" s="105" t="s">
        <v>334</v>
      </c>
      <c r="J222" s="493">
        <v>22</v>
      </c>
      <c r="K222" s="493">
        <v>1</v>
      </c>
      <c r="L222" s="105" t="s">
        <v>335</v>
      </c>
      <c r="M222" s="105" t="s">
        <v>336</v>
      </c>
      <c r="N222" s="105" t="s">
        <v>337</v>
      </c>
      <c r="O222" s="105" t="s">
        <v>338</v>
      </c>
      <c r="P222" s="105" t="s">
        <v>339</v>
      </c>
      <c r="Q222" s="494">
        <v>0</v>
      </c>
      <c r="R222" s="494">
        <v>0</v>
      </c>
      <c r="S222" s="494">
        <v>0</v>
      </c>
      <c r="T222" s="494">
        <v>0</v>
      </c>
      <c r="U222" s="494">
        <v>0</v>
      </c>
      <c r="V222" s="493">
        <v>2024</v>
      </c>
      <c r="W222" s="495"/>
      <c r="X222" s="496" t="str">
        <f t="shared" si="13"/>
        <v/>
      </c>
      <c r="Y222" s="497" t="str">
        <f t="shared" si="14"/>
        <v/>
      </c>
      <c r="Z222" s="497" t="str">
        <f t="shared" si="14"/>
        <v/>
      </c>
    </row>
    <row r="223" spans="1:26" s="82" customFormat="1" x14ac:dyDescent="0.4">
      <c r="A223" s="493">
        <v>2539</v>
      </c>
      <c r="B223" s="105" t="s">
        <v>329</v>
      </c>
      <c r="C223" s="493" t="s">
        <v>330</v>
      </c>
      <c r="D223" s="105" t="s">
        <v>517</v>
      </c>
      <c r="E223" s="105" t="s">
        <v>518</v>
      </c>
      <c r="F223" s="493">
        <v>65417</v>
      </c>
      <c r="G223" s="105" t="s">
        <v>52</v>
      </c>
      <c r="H223" s="105" t="s">
        <v>333</v>
      </c>
      <c r="I223" s="105" t="s">
        <v>334</v>
      </c>
      <c r="J223" s="493">
        <v>22</v>
      </c>
      <c r="K223" s="493">
        <v>2</v>
      </c>
      <c r="L223" s="105" t="s">
        <v>343</v>
      </c>
      <c r="M223" s="105" t="s">
        <v>380</v>
      </c>
      <c r="N223" s="105" t="s">
        <v>242</v>
      </c>
      <c r="O223" s="105" t="s">
        <v>349</v>
      </c>
      <c r="P223" s="105" t="s">
        <v>350</v>
      </c>
      <c r="Q223" s="494">
        <v>0</v>
      </c>
      <c r="R223" s="494">
        <v>0</v>
      </c>
      <c r="S223" s="494">
        <v>0</v>
      </c>
      <c r="T223" s="494">
        <v>0</v>
      </c>
      <c r="U223" s="494">
        <v>0</v>
      </c>
      <c r="V223" s="493">
        <v>2024</v>
      </c>
      <c r="W223" s="495" t="s">
        <v>355</v>
      </c>
      <c r="X223" s="496" t="str">
        <f t="shared" si="13"/>
        <v/>
      </c>
      <c r="Y223" s="497" t="str">
        <f t="shared" si="14"/>
        <v/>
      </c>
      <c r="Z223" s="497" t="str">
        <f t="shared" si="14"/>
        <v/>
      </c>
    </row>
    <row r="224" spans="1:26" s="82" customFormat="1" x14ac:dyDescent="0.4">
      <c r="A224" s="493">
        <v>2539</v>
      </c>
      <c r="B224" s="105" t="s">
        <v>329</v>
      </c>
      <c r="C224" s="493" t="s">
        <v>330</v>
      </c>
      <c r="D224" s="105" t="s">
        <v>517</v>
      </c>
      <c r="E224" s="105" t="s">
        <v>518</v>
      </c>
      <c r="F224" s="493">
        <v>65417</v>
      </c>
      <c r="G224" s="105" t="s">
        <v>52</v>
      </c>
      <c r="H224" s="105" t="s">
        <v>333</v>
      </c>
      <c r="I224" s="105" t="s">
        <v>334</v>
      </c>
      <c r="J224" s="493">
        <v>22</v>
      </c>
      <c r="K224" s="493">
        <v>2</v>
      </c>
      <c r="L224" s="105" t="s">
        <v>343</v>
      </c>
      <c r="M224" s="105" t="s">
        <v>380</v>
      </c>
      <c r="N224" s="105" t="s">
        <v>228</v>
      </c>
      <c r="O224" s="105" t="s">
        <v>228</v>
      </c>
      <c r="P224" s="105" t="s">
        <v>356</v>
      </c>
      <c r="Q224" s="494">
        <v>0</v>
      </c>
      <c r="R224" s="494">
        <v>0</v>
      </c>
      <c r="S224" s="494">
        <v>0</v>
      </c>
      <c r="T224" s="494">
        <v>0</v>
      </c>
      <c r="U224" s="494">
        <v>0</v>
      </c>
      <c r="V224" s="493">
        <v>2024</v>
      </c>
      <c r="W224" s="495" t="s">
        <v>355</v>
      </c>
      <c r="X224" s="496" t="str">
        <f t="shared" si="13"/>
        <v/>
      </c>
      <c r="Y224" s="497" t="str">
        <f t="shared" si="14"/>
        <v/>
      </c>
      <c r="Z224" s="497" t="str">
        <f t="shared" si="14"/>
        <v/>
      </c>
    </row>
    <row r="225" spans="1:26" s="82" customFormat="1" x14ac:dyDescent="0.4">
      <c r="A225" s="493">
        <v>2539</v>
      </c>
      <c r="B225" s="105" t="s">
        <v>329</v>
      </c>
      <c r="C225" s="493" t="s">
        <v>330</v>
      </c>
      <c r="D225" s="105" t="s">
        <v>517</v>
      </c>
      <c r="E225" s="105" t="s">
        <v>518</v>
      </c>
      <c r="F225" s="493">
        <v>65417</v>
      </c>
      <c r="G225" s="105" t="s">
        <v>52</v>
      </c>
      <c r="H225" s="105" t="s">
        <v>333</v>
      </c>
      <c r="I225" s="105" t="s">
        <v>334</v>
      </c>
      <c r="J225" s="493">
        <v>22</v>
      </c>
      <c r="K225" s="493">
        <v>2</v>
      </c>
      <c r="L225" s="105" t="s">
        <v>343</v>
      </c>
      <c r="M225" s="105" t="s">
        <v>37</v>
      </c>
      <c r="N225" s="105" t="s">
        <v>242</v>
      </c>
      <c r="O225" s="105" t="s">
        <v>349</v>
      </c>
      <c r="P225" s="105" t="s">
        <v>350</v>
      </c>
      <c r="Q225" s="494">
        <v>0</v>
      </c>
      <c r="R225" s="494">
        <v>0</v>
      </c>
      <c r="S225" s="494">
        <v>0</v>
      </c>
      <c r="T225" s="494">
        <v>0</v>
      </c>
      <c r="U225" s="494">
        <v>0</v>
      </c>
      <c r="V225" s="493">
        <v>2024</v>
      </c>
      <c r="W225" s="495" t="s">
        <v>355</v>
      </c>
      <c r="X225" s="496" t="str">
        <f t="shared" si="13"/>
        <v/>
      </c>
      <c r="Y225" s="497" t="str">
        <f t="shared" si="14"/>
        <v/>
      </c>
      <c r="Z225" s="497" t="str">
        <f t="shared" si="14"/>
        <v/>
      </c>
    </row>
    <row r="226" spans="1:26" s="82" customFormat="1" x14ac:dyDescent="0.4">
      <c r="A226" s="493">
        <v>2539</v>
      </c>
      <c r="B226" s="105" t="s">
        <v>329</v>
      </c>
      <c r="C226" s="493" t="s">
        <v>330</v>
      </c>
      <c r="D226" s="105" t="s">
        <v>517</v>
      </c>
      <c r="E226" s="105" t="s">
        <v>518</v>
      </c>
      <c r="F226" s="493">
        <v>65417</v>
      </c>
      <c r="G226" s="105" t="s">
        <v>52</v>
      </c>
      <c r="H226" s="105" t="s">
        <v>333</v>
      </c>
      <c r="I226" s="105" t="s">
        <v>334</v>
      </c>
      <c r="J226" s="493">
        <v>22</v>
      </c>
      <c r="K226" s="493">
        <v>2</v>
      </c>
      <c r="L226" s="105" t="s">
        <v>343</v>
      </c>
      <c r="M226" s="105" t="s">
        <v>37</v>
      </c>
      <c r="N226" s="105" t="s">
        <v>228</v>
      </c>
      <c r="O226" s="105" t="s">
        <v>228</v>
      </c>
      <c r="P226" s="105" t="s">
        <v>356</v>
      </c>
      <c r="Q226" s="494">
        <v>38220787</v>
      </c>
      <c r="R226" s="494">
        <v>38220787</v>
      </c>
      <c r="S226" s="494">
        <v>39367411</v>
      </c>
      <c r="T226" s="494">
        <v>39367411</v>
      </c>
      <c r="U226" s="494">
        <v>3638501</v>
      </c>
      <c r="V226" s="493">
        <v>2024</v>
      </c>
      <c r="W226" s="495" t="s">
        <v>355</v>
      </c>
      <c r="X226" s="496">
        <f t="shared" si="13"/>
        <v>10.819678488476436</v>
      </c>
      <c r="Y226" s="497" t="str">
        <f t="shared" si="14"/>
        <v/>
      </c>
      <c r="Z226" s="497" t="str">
        <f t="shared" si="14"/>
        <v/>
      </c>
    </row>
    <row r="227" spans="1:26" s="82" customFormat="1" ht="32" x14ac:dyDescent="0.4">
      <c r="A227" s="493">
        <v>2540</v>
      </c>
      <c r="B227" s="105" t="s">
        <v>329</v>
      </c>
      <c r="C227" s="493" t="s">
        <v>330</v>
      </c>
      <c r="D227" s="105" t="s">
        <v>519</v>
      </c>
      <c r="E227" s="105" t="s">
        <v>520</v>
      </c>
      <c r="F227" s="493">
        <v>5914</v>
      </c>
      <c r="G227" s="105" t="s">
        <v>52</v>
      </c>
      <c r="H227" s="105" t="s">
        <v>333</v>
      </c>
      <c r="I227" s="105" t="s">
        <v>334</v>
      </c>
      <c r="J227" s="493">
        <v>22</v>
      </c>
      <c r="K227" s="493">
        <v>2</v>
      </c>
      <c r="L227" s="105" t="s">
        <v>343</v>
      </c>
      <c r="M227" s="105" t="s">
        <v>336</v>
      </c>
      <c r="N227" s="105" t="s">
        <v>337</v>
      </c>
      <c r="O227" s="105" t="s">
        <v>338</v>
      </c>
      <c r="P227" s="105" t="s">
        <v>339</v>
      </c>
      <c r="Q227" s="494">
        <v>0</v>
      </c>
      <c r="R227" s="494">
        <v>0</v>
      </c>
      <c r="S227" s="494">
        <v>100494</v>
      </c>
      <c r="T227" s="494">
        <v>100494</v>
      </c>
      <c r="U227" s="494">
        <v>29453</v>
      </c>
      <c r="V227" s="493">
        <v>2024</v>
      </c>
      <c r="W227" s="495"/>
      <c r="X227" s="496">
        <f t="shared" si="13"/>
        <v>3.4120123586731403</v>
      </c>
      <c r="Y227" s="497" t="str">
        <f t="shared" si="14"/>
        <v/>
      </c>
      <c r="Z227" s="497" t="str">
        <f t="shared" si="14"/>
        <v/>
      </c>
    </row>
    <row r="228" spans="1:26" s="82" customFormat="1" ht="32" x14ac:dyDescent="0.4">
      <c r="A228" s="493">
        <v>2543</v>
      </c>
      <c r="B228" s="105" t="s">
        <v>329</v>
      </c>
      <c r="C228" s="493" t="s">
        <v>330</v>
      </c>
      <c r="D228" s="105" t="s">
        <v>521</v>
      </c>
      <c r="E228" s="105" t="s">
        <v>520</v>
      </c>
      <c r="F228" s="493">
        <v>5914</v>
      </c>
      <c r="G228" s="105" t="s">
        <v>52</v>
      </c>
      <c r="H228" s="105" t="s">
        <v>333</v>
      </c>
      <c r="I228" s="105" t="s">
        <v>334</v>
      </c>
      <c r="J228" s="493">
        <v>22</v>
      </c>
      <c r="K228" s="493">
        <v>2</v>
      </c>
      <c r="L228" s="105" t="s">
        <v>343</v>
      </c>
      <c r="M228" s="105" t="s">
        <v>336</v>
      </c>
      <c r="N228" s="105" t="s">
        <v>337</v>
      </c>
      <c r="O228" s="105" t="s">
        <v>338</v>
      </c>
      <c r="P228" s="105" t="s">
        <v>339</v>
      </c>
      <c r="Q228" s="494">
        <v>0</v>
      </c>
      <c r="R228" s="494">
        <v>0</v>
      </c>
      <c r="S228" s="494">
        <v>174325</v>
      </c>
      <c r="T228" s="494">
        <v>174325</v>
      </c>
      <c r="U228" s="494">
        <v>51092</v>
      </c>
      <c r="V228" s="493">
        <v>2024</v>
      </c>
      <c r="W228" s="495"/>
      <c r="X228" s="496">
        <f t="shared" si="13"/>
        <v>3.4119823064276207</v>
      </c>
      <c r="Y228" s="497" t="str">
        <f t="shared" ref="Y228:Z247" si="15">IF(AND($M228=$Y$2,$N228=$Y$3,NOT($Q228=$R228),NOT($U228=0)),IF($K228=5,$S228/($U228+(8/5)*$U228),IF($K228=7,$S228/($U228+(29/25)*$U228),"")),"")</f>
        <v/>
      </c>
      <c r="Z228" s="497" t="str">
        <f t="shared" si="15"/>
        <v/>
      </c>
    </row>
    <row r="229" spans="1:26" s="82" customFormat="1" ht="32" x14ac:dyDescent="0.4">
      <c r="A229" s="493">
        <v>2544</v>
      </c>
      <c r="B229" s="105" t="s">
        <v>329</v>
      </c>
      <c r="C229" s="493" t="s">
        <v>330</v>
      </c>
      <c r="D229" s="105" t="s">
        <v>522</v>
      </c>
      <c r="E229" s="105" t="s">
        <v>520</v>
      </c>
      <c r="F229" s="493">
        <v>5914</v>
      </c>
      <c r="G229" s="105" t="s">
        <v>52</v>
      </c>
      <c r="H229" s="105" t="s">
        <v>333</v>
      </c>
      <c r="I229" s="105" t="s">
        <v>334</v>
      </c>
      <c r="J229" s="493">
        <v>22</v>
      </c>
      <c r="K229" s="493">
        <v>2</v>
      </c>
      <c r="L229" s="105" t="s">
        <v>343</v>
      </c>
      <c r="M229" s="105" t="s">
        <v>336</v>
      </c>
      <c r="N229" s="105" t="s">
        <v>337</v>
      </c>
      <c r="O229" s="105" t="s">
        <v>338</v>
      </c>
      <c r="P229" s="105" t="s">
        <v>339</v>
      </c>
      <c r="Q229" s="494">
        <v>0</v>
      </c>
      <c r="R229" s="494">
        <v>0</v>
      </c>
      <c r="S229" s="494">
        <v>34363</v>
      </c>
      <c r="T229" s="494">
        <v>34363</v>
      </c>
      <c r="U229" s="494">
        <v>10071</v>
      </c>
      <c r="V229" s="493">
        <v>2024</v>
      </c>
      <c r="W229" s="495"/>
      <c r="X229" s="496">
        <f t="shared" si="13"/>
        <v>3.4120742726640851</v>
      </c>
      <c r="Y229" s="497" t="str">
        <f t="shared" si="15"/>
        <v/>
      </c>
      <c r="Z229" s="497" t="str">
        <f t="shared" si="15"/>
        <v/>
      </c>
    </row>
    <row r="230" spans="1:26" s="82" customFormat="1" ht="32" x14ac:dyDescent="0.4">
      <c r="A230" s="493">
        <v>2545</v>
      </c>
      <c r="B230" s="105" t="s">
        <v>329</v>
      </c>
      <c r="C230" s="493" t="s">
        <v>330</v>
      </c>
      <c r="D230" s="105" t="s">
        <v>523</v>
      </c>
      <c r="E230" s="105" t="s">
        <v>520</v>
      </c>
      <c r="F230" s="493">
        <v>5914</v>
      </c>
      <c r="G230" s="105" t="s">
        <v>52</v>
      </c>
      <c r="H230" s="105" t="s">
        <v>333</v>
      </c>
      <c r="I230" s="105" t="s">
        <v>334</v>
      </c>
      <c r="J230" s="493">
        <v>22</v>
      </c>
      <c r="K230" s="493">
        <v>2</v>
      </c>
      <c r="L230" s="105" t="s">
        <v>343</v>
      </c>
      <c r="M230" s="105" t="s">
        <v>336</v>
      </c>
      <c r="N230" s="105" t="s">
        <v>337</v>
      </c>
      <c r="O230" s="105" t="s">
        <v>338</v>
      </c>
      <c r="P230" s="105" t="s">
        <v>339</v>
      </c>
      <c r="Q230" s="494">
        <v>0</v>
      </c>
      <c r="R230" s="494">
        <v>0</v>
      </c>
      <c r="S230" s="494">
        <v>260312</v>
      </c>
      <c r="T230" s="494">
        <v>260312</v>
      </c>
      <c r="U230" s="494">
        <v>76293</v>
      </c>
      <c r="V230" s="493">
        <v>2024</v>
      </c>
      <c r="W230" s="495"/>
      <c r="X230" s="496">
        <f t="shared" si="13"/>
        <v>3.412003722490923</v>
      </c>
      <c r="Y230" s="497" t="str">
        <f t="shared" si="15"/>
        <v/>
      </c>
      <c r="Z230" s="497" t="str">
        <f t="shared" si="15"/>
        <v/>
      </c>
    </row>
    <row r="231" spans="1:26" s="82" customFormat="1" ht="32" x14ac:dyDescent="0.4">
      <c r="A231" s="493">
        <v>2546</v>
      </c>
      <c r="B231" s="105" t="s">
        <v>329</v>
      </c>
      <c r="C231" s="493" t="s">
        <v>330</v>
      </c>
      <c r="D231" s="105" t="s">
        <v>524</v>
      </c>
      <c r="E231" s="105" t="s">
        <v>520</v>
      </c>
      <c r="F231" s="493">
        <v>5914</v>
      </c>
      <c r="G231" s="105" t="s">
        <v>52</v>
      </c>
      <c r="H231" s="105" t="s">
        <v>333</v>
      </c>
      <c r="I231" s="105" t="s">
        <v>334</v>
      </c>
      <c r="J231" s="493">
        <v>22</v>
      </c>
      <c r="K231" s="493">
        <v>2</v>
      </c>
      <c r="L231" s="105" t="s">
        <v>343</v>
      </c>
      <c r="M231" s="105" t="s">
        <v>336</v>
      </c>
      <c r="N231" s="105" t="s">
        <v>337</v>
      </c>
      <c r="O231" s="105" t="s">
        <v>338</v>
      </c>
      <c r="P231" s="105" t="s">
        <v>339</v>
      </c>
      <c r="Q231" s="494">
        <v>0</v>
      </c>
      <c r="R231" s="494">
        <v>0</v>
      </c>
      <c r="S231" s="494">
        <v>92339</v>
      </c>
      <c r="T231" s="494">
        <v>92339</v>
      </c>
      <c r="U231" s="494">
        <v>27063</v>
      </c>
      <c r="V231" s="493">
        <v>2024</v>
      </c>
      <c r="W231" s="495"/>
      <c r="X231" s="496">
        <f t="shared" si="13"/>
        <v>3.4120016258360124</v>
      </c>
      <c r="Y231" s="497" t="str">
        <f t="shared" si="15"/>
        <v/>
      </c>
      <c r="Z231" s="497" t="str">
        <f t="shared" si="15"/>
        <v/>
      </c>
    </row>
    <row r="232" spans="1:26" s="82" customFormat="1" ht="32" x14ac:dyDescent="0.4">
      <c r="A232" s="493">
        <v>2547</v>
      </c>
      <c r="B232" s="105" t="s">
        <v>329</v>
      </c>
      <c r="C232" s="493" t="s">
        <v>330</v>
      </c>
      <c r="D232" s="105" t="s">
        <v>525</v>
      </c>
      <c r="E232" s="105" t="s">
        <v>520</v>
      </c>
      <c r="F232" s="493">
        <v>5914</v>
      </c>
      <c r="G232" s="105" t="s">
        <v>52</v>
      </c>
      <c r="H232" s="105" t="s">
        <v>333</v>
      </c>
      <c r="I232" s="105" t="s">
        <v>334</v>
      </c>
      <c r="J232" s="493">
        <v>22</v>
      </c>
      <c r="K232" s="493">
        <v>2</v>
      </c>
      <c r="L232" s="105" t="s">
        <v>343</v>
      </c>
      <c r="M232" s="105" t="s">
        <v>336</v>
      </c>
      <c r="N232" s="105" t="s">
        <v>337</v>
      </c>
      <c r="O232" s="105" t="s">
        <v>338</v>
      </c>
      <c r="P232" s="105" t="s">
        <v>339</v>
      </c>
      <c r="Q232" s="494">
        <v>0</v>
      </c>
      <c r="R232" s="494">
        <v>0</v>
      </c>
      <c r="S232" s="494">
        <v>221593</v>
      </c>
      <c r="T232" s="494">
        <v>221593</v>
      </c>
      <c r="U232" s="494">
        <v>64945</v>
      </c>
      <c r="V232" s="493">
        <v>2024</v>
      </c>
      <c r="W232" s="495"/>
      <c r="X232" s="496">
        <f t="shared" si="13"/>
        <v>3.4120101624451458</v>
      </c>
      <c r="Y232" s="497" t="str">
        <f t="shared" si="15"/>
        <v/>
      </c>
      <c r="Z232" s="497" t="str">
        <f t="shared" si="15"/>
        <v/>
      </c>
    </row>
    <row r="233" spans="1:26" s="82" customFormat="1" ht="32" x14ac:dyDescent="0.4">
      <c r="A233" s="493">
        <v>2548</v>
      </c>
      <c r="B233" s="105" t="s">
        <v>329</v>
      </c>
      <c r="C233" s="493" t="s">
        <v>330</v>
      </c>
      <c r="D233" s="105" t="s">
        <v>526</v>
      </c>
      <c r="E233" s="105" t="s">
        <v>520</v>
      </c>
      <c r="F233" s="493">
        <v>5914</v>
      </c>
      <c r="G233" s="105" t="s">
        <v>52</v>
      </c>
      <c r="H233" s="105" t="s">
        <v>333</v>
      </c>
      <c r="I233" s="105" t="s">
        <v>334</v>
      </c>
      <c r="J233" s="493">
        <v>22</v>
      </c>
      <c r="K233" s="493">
        <v>2</v>
      </c>
      <c r="L233" s="105" t="s">
        <v>343</v>
      </c>
      <c r="M233" s="105" t="s">
        <v>336</v>
      </c>
      <c r="N233" s="105" t="s">
        <v>337</v>
      </c>
      <c r="O233" s="105" t="s">
        <v>338</v>
      </c>
      <c r="P233" s="105" t="s">
        <v>339</v>
      </c>
      <c r="Q233" s="494">
        <v>0</v>
      </c>
      <c r="R233" s="494">
        <v>0</v>
      </c>
      <c r="S233" s="494">
        <v>154570</v>
      </c>
      <c r="T233" s="494">
        <v>154570</v>
      </c>
      <c r="U233" s="494">
        <v>45302</v>
      </c>
      <c r="V233" s="493">
        <v>2024</v>
      </c>
      <c r="W233" s="495"/>
      <c r="X233" s="496">
        <f t="shared" si="13"/>
        <v>3.4119906405898193</v>
      </c>
      <c r="Y233" s="497" t="str">
        <f t="shared" si="15"/>
        <v/>
      </c>
      <c r="Z233" s="497" t="str">
        <f t="shared" si="15"/>
        <v/>
      </c>
    </row>
    <row r="234" spans="1:26" s="82" customFormat="1" ht="32" x14ac:dyDescent="0.4">
      <c r="A234" s="493">
        <v>2550</v>
      </c>
      <c r="B234" s="105" t="s">
        <v>329</v>
      </c>
      <c r="C234" s="493" t="s">
        <v>330</v>
      </c>
      <c r="D234" s="105" t="s">
        <v>527</v>
      </c>
      <c r="E234" s="105" t="s">
        <v>520</v>
      </c>
      <c r="F234" s="493">
        <v>5914</v>
      </c>
      <c r="G234" s="105" t="s">
        <v>52</v>
      </c>
      <c r="H234" s="105" t="s">
        <v>333</v>
      </c>
      <c r="I234" s="105" t="s">
        <v>334</v>
      </c>
      <c r="J234" s="493">
        <v>22</v>
      </c>
      <c r="K234" s="493">
        <v>2</v>
      </c>
      <c r="L234" s="105" t="s">
        <v>343</v>
      </c>
      <c r="M234" s="105" t="s">
        <v>336</v>
      </c>
      <c r="N234" s="105" t="s">
        <v>337</v>
      </c>
      <c r="O234" s="105" t="s">
        <v>338</v>
      </c>
      <c r="P234" s="105" t="s">
        <v>339</v>
      </c>
      <c r="Q234" s="494">
        <v>0</v>
      </c>
      <c r="R234" s="494">
        <v>0</v>
      </c>
      <c r="S234" s="494">
        <v>93513</v>
      </c>
      <c r="T234" s="494">
        <v>93513</v>
      </c>
      <c r="U234" s="494">
        <v>27407</v>
      </c>
      <c r="V234" s="493">
        <v>2024</v>
      </c>
      <c r="W234" s="495"/>
      <c r="X234" s="496">
        <f t="shared" si="13"/>
        <v>3.41201152990112</v>
      </c>
      <c r="Y234" s="497" t="str">
        <f t="shared" si="15"/>
        <v/>
      </c>
      <c r="Z234" s="497" t="str">
        <f t="shared" si="15"/>
        <v/>
      </c>
    </row>
    <row r="235" spans="1:26" s="82" customFormat="1" ht="32" x14ac:dyDescent="0.4">
      <c r="A235" s="493">
        <v>2551</v>
      </c>
      <c r="B235" s="105" t="s">
        <v>329</v>
      </c>
      <c r="C235" s="493" t="s">
        <v>330</v>
      </c>
      <c r="D235" s="105" t="s">
        <v>528</v>
      </c>
      <c r="E235" s="105" t="s">
        <v>520</v>
      </c>
      <c r="F235" s="493">
        <v>5914</v>
      </c>
      <c r="G235" s="105" t="s">
        <v>52</v>
      </c>
      <c r="H235" s="105" t="s">
        <v>333</v>
      </c>
      <c r="I235" s="105" t="s">
        <v>334</v>
      </c>
      <c r="J235" s="493">
        <v>22</v>
      </c>
      <c r="K235" s="493">
        <v>2</v>
      </c>
      <c r="L235" s="105" t="s">
        <v>343</v>
      </c>
      <c r="M235" s="105" t="s">
        <v>336</v>
      </c>
      <c r="N235" s="105" t="s">
        <v>337</v>
      </c>
      <c r="O235" s="105" t="s">
        <v>338</v>
      </c>
      <c r="P235" s="105" t="s">
        <v>339</v>
      </c>
      <c r="Q235" s="494">
        <v>0</v>
      </c>
      <c r="R235" s="494">
        <v>0</v>
      </c>
      <c r="S235" s="494">
        <v>665355</v>
      </c>
      <c r="T235" s="494">
        <v>665355</v>
      </c>
      <c r="U235" s="494">
        <v>195004</v>
      </c>
      <c r="V235" s="493">
        <v>2024</v>
      </c>
      <c r="W235" s="495"/>
      <c r="X235" s="496">
        <f t="shared" si="13"/>
        <v>3.412006933191114</v>
      </c>
      <c r="Y235" s="497" t="str">
        <f t="shared" si="15"/>
        <v/>
      </c>
      <c r="Z235" s="497" t="str">
        <f t="shared" si="15"/>
        <v/>
      </c>
    </row>
    <row r="236" spans="1:26" s="82" customFormat="1" ht="32" x14ac:dyDescent="0.4">
      <c r="A236" s="493">
        <v>2552</v>
      </c>
      <c r="B236" s="105" t="s">
        <v>329</v>
      </c>
      <c r="C236" s="493" t="s">
        <v>330</v>
      </c>
      <c r="D236" s="105" t="s">
        <v>529</v>
      </c>
      <c r="E236" s="105" t="s">
        <v>520</v>
      </c>
      <c r="F236" s="493">
        <v>5914</v>
      </c>
      <c r="G236" s="105" t="s">
        <v>52</v>
      </c>
      <c r="H236" s="105" t="s">
        <v>333</v>
      </c>
      <c r="I236" s="105" t="s">
        <v>334</v>
      </c>
      <c r="J236" s="493">
        <v>22</v>
      </c>
      <c r="K236" s="493">
        <v>2</v>
      </c>
      <c r="L236" s="105" t="s">
        <v>343</v>
      </c>
      <c r="M236" s="105" t="s">
        <v>336</v>
      </c>
      <c r="N236" s="105" t="s">
        <v>337</v>
      </c>
      <c r="O236" s="105" t="s">
        <v>338</v>
      </c>
      <c r="P236" s="105" t="s">
        <v>339</v>
      </c>
      <c r="Q236" s="494">
        <v>0</v>
      </c>
      <c r="R236" s="494">
        <v>0</v>
      </c>
      <c r="S236" s="494">
        <v>214556</v>
      </c>
      <c r="T236" s="494">
        <v>214556</v>
      </c>
      <c r="U236" s="494">
        <v>62883</v>
      </c>
      <c r="V236" s="493">
        <v>2024</v>
      </c>
      <c r="W236" s="495"/>
      <c r="X236" s="496">
        <f t="shared" si="13"/>
        <v>3.4119873415708537</v>
      </c>
      <c r="Y236" s="497" t="str">
        <f t="shared" si="15"/>
        <v/>
      </c>
      <c r="Z236" s="497" t="str">
        <f t="shared" si="15"/>
        <v/>
      </c>
    </row>
    <row r="237" spans="1:26" s="82" customFormat="1" ht="32" x14ac:dyDescent="0.4">
      <c r="A237" s="493">
        <v>2555</v>
      </c>
      <c r="B237" s="105" t="s">
        <v>329</v>
      </c>
      <c r="C237" s="493" t="s">
        <v>330</v>
      </c>
      <c r="D237" s="105" t="s">
        <v>530</v>
      </c>
      <c r="E237" s="105" t="s">
        <v>520</v>
      </c>
      <c r="F237" s="493">
        <v>5914</v>
      </c>
      <c r="G237" s="105" t="s">
        <v>52</v>
      </c>
      <c r="H237" s="105" t="s">
        <v>333</v>
      </c>
      <c r="I237" s="105" t="s">
        <v>334</v>
      </c>
      <c r="J237" s="493">
        <v>22</v>
      </c>
      <c r="K237" s="493">
        <v>2</v>
      </c>
      <c r="L237" s="105" t="s">
        <v>343</v>
      </c>
      <c r="M237" s="105" t="s">
        <v>336</v>
      </c>
      <c r="N237" s="105" t="s">
        <v>337</v>
      </c>
      <c r="O237" s="105" t="s">
        <v>338</v>
      </c>
      <c r="P237" s="105" t="s">
        <v>339</v>
      </c>
      <c r="Q237" s="494">
        <v>0</v>
      </c>
      <c r="R237" s="494">
        <v>0</v>
      </c>
      <c r="S237" s="494">
        <v>99954</v>
      </c>
      <c r="T237" s="494">
        <v>99954</v>
      </c>
      <c r="U237" s="494">
        <v>29295</v>
      </c>
      <c r="V237" s="493">
        <v>2024</v>
      </c>
      <c r="W237" s="495"/>
      <c r="X237" s="496">
        <f t="shared" si="13"/>
        <v>3.4119815668202764</v>
      </c>
      <c r="Y237" s="497" t="str">
        <f t="shared" si="15"/>
        <v/>
      </c>
      <c r="Z237" s="497" t="str">
        <f t="shared" si="15"/>
        <v/>
      </c>
    </row>
    <row r="238" spans="1:26" s="82" customFormat="1" ht="32" x14ac:dyDescent="0.4">
      <c r="A238" s="493">
        <v>2556</v>
      </c>
      <c r="B238" s="105" t="s">
        <v>329</v>
      </c>
      <c r="C238" s="493" t="s">
        <v>330</v>
      </c>
      <c r="D238" s="105" t="s">
        <v>531</v>
      </c>
      <c r="E238" s="105" t="s">
        <v>520</v>
      </c>
      <c r="F238" s="493">
        <v>5914</v>
      </c>
      <c r="G238" s="105" t="s">
        <v>52</v>
      </c>
      <c r="H238" s="105" t="s">
        <v>333</v>
      </c>
      <c r="I238" s="105" t="s">
        <v>334</v>
      </c>
      <c r="J238" s="493">
        <v>22</v>
      </c>
      <c r="K238" s="493">
        <v>2</v>
      </c>
      <c r="L238" s="105" t="s">
        <v>343</v>
      </c>
      <c r="M238" s="105" t="s">
        <v>336</v>
      </c>
      <c r="N238" s="105" t="s">
        <v>337</v>
      </c>
      <c r="O238" s="105" t="s">
        <v>338</v>
      </c>
      <c r="P238" s="105" t="s">
        <v>339</v>
      </c>
      <c r="Q238" s="494">
        <v>0</v>
      </c>
      <c r="R238" s="494">
        <v>0</v>
      </c>
      <c r="S238" s="494">
        <v>33349</v>
      </c>
      <c r="T238" s="494">
        <v>33349</v>
      </c>
      <c r="U238" s="494">
        <v>9774</v>
      </c>
      <c r="V238" s="493">
        <v>2024</v>
      </c>
      <c r="W238" s="495"/>
      <c r="X238" s="496">
        <f t="shared" si="13"/>
        <v>3.4120114589727848</v>
      </c>
      <c r="Y238" s="497" t="str">
        <f t="shared" si="15"/>
        <v/>
      </c>
      <c r="Z238" s="497" t="str">
        <f t="shared" si="15"/>
        <v/>
      </c>
    </row>
    <row r="239" spans="1:26" s="82" customFormat="1" ht="32" x14ac:dyDescent="0.4">
      <c r="A239" s="493">
        <v>2557</v>
      </c>
      <c r="B239" s="105" t="s">
        <v>329</v>
      </c>
      <c r="C239" s="493" t="s">
        <v>330</v>
      </c>
      <c r="D239" s="105" t="s">
        <v>532</v>
      </c>
      <c r="E239" s="105" t="s">
        <v>520</v>
      </c>
      <c r="F239" s="493">
        <v>5914</v>
      </c>
      <c r="G239" s="105" t="s">
        <v>52</v>
      </c>
      <c r="H239" s="105" t="s">
        <v>333</v>
      </c>
      <c r="I239" s="105" t="s">
        <v>334</v>
      </c>
      <c r="J239" s="493">
        <v>22</v>
      </c>
      <c r="K239" s="493">
        <v>2</v>
      </c>
      <c r="L239" s="105" t="s">
        <v>343</v>
      </c>
      <c r="M239" s="105" t="s">
        <v>336</v>
      </c>
      <c r="N239" s="105" t="s">
        <v>337</v>
      </c>
      <c r="O239" s="105" t="s">
        <v>338</v>
      </c>
      <c r="P239" s="105" t="s">
        <v>339</v>
      </c>
      <c r="Q239" s="494">
        <v>0</v>
      </c>
      <c r="R239" s="494">
        <v>0</v>
      </c>
      <c r="S239" s="494">
        <v>49538</v>
      </c>
      <c r="T239" s="494">
        <v>49538</v>
      </c>
      <c r="U239" s="494">
        <v>14519</v>
      </c>
      <c r="V239" s="493">
        <v>2024</v>
      </c>
      <c r="W239" s="495"/>
      <c r="X239" s="496">
        <f t="shared" si="13"/>
        <v>3.4119429712790139</v>
      </c>
      <c r="Y239" s="497" t="str">
        <f t="shared" si="15"/>
        <v/>
      </c>
      <c r="Z239" s="497" t="str">
        <f t="shared" si="15"/>
        <v/>
      </c>
    </row>
    <row r="240" spans="1:26" s="82" customFormat="1" ht="32" x14ac:dyDescent="0.4">
      <c r="A240" s="493">
        <v>2559</v>
      </c>
      <c r="B240" s="105" t="s">
        <v>329</v>
      </c>
      <c r="C240" s="493" t="s">
        <v>330</v>
      </c>
      <c r="D240" s="105" t="s">
        <v>533</v>
      </c>
      <c r="E240" s="105" t="s">
        <v>520</v>
      </c>
      <c r="F240" s="493">
        <v>5914</v>
      </c>
      <c r="G240" s="105" t="s">
        <v>52</v>
      </c>
      <c r="H240" s="105" t="s">
        <v>333</v>
      </c>
      <c r="I240" s="105" t="s">
        <v>334</v>
      </c>
      <c r="J240" s="493">
        <v>22</v>
      </c>
      <c r="K240" s="493">
        <v>2</v>
      </c>
      <c r="L240" s="105" t="s">
        <v>343</v>
      </c>
      <c r="M240" s="105" t="s">
        <v>336</v>
      </c>
      <c r="N240" s="105" t="s">
        <v>337</v>
      </c>
      <c r="O240" s="105" t="s">
        <v>338</v>
      </c>
      <c r="P240" s="105" t="s">
        <v>339</v>
      </c>
      <c r="Q240" s="494">
        <v>0</v>
      </c>
      <c r="R240" s="494">
        <v>0</v>
      </c>
      <c r="S240" s="494">
        <v>33167</v>
      </c>
      <c r="T240" s="494">
        <v>33167</v>
      </c>
      <c r="U240" s="494">
        <v>9721</v>
      </c>
      <c r="V240" s="493">
        <v>2024</v>
      </c>
      <c r="W240" s="495"/>
      <c r="X240" s="496">
        <f t="shared" si="13"/>
        <v>3.4118917806810001</v>
      </c>
      <c r="Y240" s="497" t="str">
        <f t="shared" si="15"/>
        <v/>
      </c>
      <c r="Z240" s="497" t="str">
        <f t="shared" si="15"/>
        <v/>
      </c>
    </row>
    <row r="241" spans="1:26" s="82" customFormat="1" ht="32" x14ac:dyDescent="0.4">
      <c r="A241" s="493">
        <v>2560</v>
      </c>
      <c r="B241" s="105" t="s">
        <v>329</v>
      </c>
      <c r="C241" s="493" t="s">
        <v>330</v>
      </c>
      <c r="D241" s="105" t="s">
        <v>534</v>
      </c>
      <c r="E241" s="105" t="s">
        <v>520</v>
      </c>
      <c r="F241" s="493">
        <v>5914</v>
      </c>
      <c r="G241" s="105" t="s">
        <v>52</v>
      </c>
      <c r="H241" s="105" t="s">
        <v>333</v>
      </c>
      <c r="I241" s="105" t="s">
        <v>334</v>
      </c>
      <c r="J241" s="493">
        <v>22</v>
      </c>
      <c r="K241" s="493">
        <v>2</v>
      </c>
      <c r="L241" s="105" t="s">
        <v>343</v>
      </c>
      <c r="M241" s="105" t="s">
        <v>336</v>
      </c>
      <c r="N241" s="105" t="s">
        <v>337</v>
      </c>
      <c r="O241" s="105" t="s">
        <v>338</v>
      </c>
      <c r="P241" s="105" t="s">
        <v>339</v>
      </c>
      <c r="Q241" s="494">
        <v>0</v>
      </c>
      <c r="R241" s="494">
        <v>0</v>
      </c>
      <c r="S241" s="494">
        <v>16718</v>
      </c>
      <c r="T241" s="494">
        <v>16718</v>
      </c>
      <c r="U241" s="494">
        <v>4900</v>
      </c>
      <c r="V241" s="493">
        <v>2024</v>
      </c>
      <c r="W241" s="495"/>
      <c r="X241" s="496">
        <f t="shared" si="13"/>
        <v>3.4118367346938774</v>
      </c>
      <c r="Y241" s="497" t="str">
        <f t="shared" si="15"/>
        <v/>
      </c>
      <c r="Z241" s="497" t="str">
        <f t="shared" si="15"/>
        <v/>
      </c>
    </row>
    <row r="242" spans="1:26" s="82" customFormat="1" ht="32" x14ac:dyDescent="0.4">
      <c r="A242" s="493">
        <v>2561</v>
      </c>
      <c r="B242" s="105" t="s">
        <v>329</v>
      </c>
      <c r="C242" s="493" t="s">
        <v>330</v>
      </c>
      <c r="D242" s="105" t="s">
        <v>535</v>
      </c>
      <c r="E242" s="105" t="s">
        <v>520</v>
      </c>
      <c r="F242" s="493">
        <v>5914</v>
      </c>
      <c r="G242" s="105" t="s">
        <v>52</v>
      </c>
      <c r="H242" s="105" t="s">
        <v>333</v>
      </c>
      <c r="I242" s="105" t="s">
        <v>334</v>
      </c>
      <c r="J242" s="493">
        <v>22</v>
      </c>
      <c r="K242" s="493">
        <v>2</v>
      </c>
      <c r="L242" s="105" t="s">
        <v>343</v>
      </c>
      <c r="M242" s="105" t="s">
        <v>336</v>
      </c>
      <c r="N242" s="105" t="s">
        <v>337</v>
      </c>
      <c r="O242" s="105" t="s">
        <v>338</v>
      </c>
      <c r="P242" s="105" t="s">
        <v>339</v>
      </c>
      <c r="Q242" s="494">
        <v>0</v>
      </c>
      <c r="R242" s="494">
        <v>0</v>
      </c>
      <c r="S242" s="494">
        <v>87012</v>
      </c>
      <c r="T242" s="494">
        <v>87012</v>
      </c>
      <c r="U242" s="494">
        <v>25502</v>
      </c>
      <c r="V242" s="493">
        <v>2024</v>
      </c>
      <c r="W242" s="495"/>
      <c r="X242" s="496">
        <f t="shared" si="13"/>
        <v>3.4119676888087209</v>
      </c>
      <c r="Y242" s="497" t="str">
        <f t="shared" si="15"/>
        <v/>
      </c>
      <c r="Z242" s="497" t="str">
        <f t="shared" si="15"/>
        <v/>
      </c>
    </row>
    <row r="243" spans="1:26" s="82" customFormat="1" ht="32" x14ac:dyDescent="0.4">
      <c r="A243" s="493">
        <v>2562</v>
      </c>
      <c r="B243" s="105" t="s">
        <v>329</v>
      </c>
      <c r="C243" s="493" t="s">
        <v>330</v>
      </c>
      <c r="D243" s="105" t="s">
        <v>536</v>
      </c>
      <c r="E243" s="105" t="s">
        <v>520</v>
      </c>
      <c r="F243" s="493">
        <v>5914</v>
      </c>
      <c r="G243" s="105" t="s">
        <v>52</v>
      </c>
      <c r="H243" s="105" t="s">
        <v>333</v>
      </c>
      <c r="I243" s="105" t="s">
        <v>334</v>
      </c>
      <c r="J243" s="493">
        <v>22</v>
      </c>
      <c r="K243" s="493">
        <v>2</v>
      </c>
      <c r="L243" s="105" t="s">
        <v>343</v>
      </c>
      <c r="M243" s="105" t="s">
        <v>336</v>
      </c>
      <c r="N243" s="105" t="s">
        <v>337</v>
      </c>
      <c r="O243" s="105" t="s">
        <v>338</v>
      </c>
      <c r="P243" s="105" t="s">
        <v>339</v>
      </c>
      <c r="Q243" s="494">
        <v>0</v>
      </c>
      <c r="R243" s="494">
        <v>0</v>
      </c>
      <c r="S243" s="494">
        <v>365476</v>
      </c>
      <c r="T243" s="494">
        <v>365476</v>
      </c>
      <c r="U243" s="494">
        <v>107115</v>
      </c>
      <c r="V243" s="493">
        <v>2024</v>
      </c>
      <c r="W243" s="495"/>
      <c r="X243" s="496">
        <f t="shared" si="13"/>
        <v>3.4119964524109601</v>
      </c>
      <c r="Y243" s="497" t="str">
        <f t="shared" si="15"/>
        <v/>
      </c>
      <c r="Z243" s="497" t="str">
        <f t="shared" si="15"/>
        <v/>
      </c>
    </row>
    <row r="244" spans="1:26" s="82" customFormat="1" ht="32" x14ac:dyDescent="0.4">
      <c r="A244" s="493">
        <v>2563</v>
      </c>
      <c r="B244" s="105" t="s">
        <v>329</v>
      </c>
      <c r="C244" s="493" t="s">
        <v>330</v>
      </c>
      <c r="D244" s="105" t="s">
        <v>537</v>
      </c>
      <c r="E244" s="105" t="s">
        <v>520</v>
      </c>
      <c r="F244" s="493">
        <v>5914</v>
      </c>
      <c r="G244" s="105" t="s">
        <v>52</v>
      </c>
      <c r="H244" s="105" t="s">
        <v>333</v>
      </c>
      <c r="I244" s="105" t="s">
        <v>334</v>
      </c>
      <c r="J244" s="493">
        <v>22</v>
      </c>
      <c r="K244" s="493">
        <v>2</v>
      </c>
      <c r="L244" s="105" t="s">
        <v>343</v>
      </c>
      <c r="M244" s="105" t="s">
        <v>336</v>
      </c>
      <c r="N244" s="105" t="s">
        <v>337</v>
      </c>
      <c r="O244" s="105" t="s">
        <v>338</v>
      </c>
      <c r="P244" s="105" t="s">
        <v>339</v>
      </c>
      <c r="Q244" s="494">
        <v>0</v>
      </c>
      <c r="R244" s="494">
        <v>0</v>
      </c>
      <c r="S244" s="494">
        <v>64759</v>
      </c>
      <c r="T244" s="494">
        <v>64759</v>
      </c>
      <c r="U244" s="494">
        <v>18980</v>
      </c>
      <c r="V244" s="493">
        <v>2024</v>
      </c>
      <c r="W244" s="495"/>
      <c r="X244" s="496">
        <f t="shared" si="13"/>
        <v>3.4119599578503688</v>
      </c>
      <c r="Y244" s="497" t="str">
        <f t="shared" si="15"/>
        <v/>
      </c>
      <c r="Z244" s="497" t="str">
        <f t="shared" si="15"/>
        <v/>
      </c>
    </row>
    <row r="245" spans="1:26" s="82" customFormat="1" ht="32" x14ac:dyDescent="0.4">
      <c r="A245" s="493">
        <v>2564</v>
      </c>
      <c r="B245" s="105" t="s">
        <v>329</v>
      </c>
      <c r="C245" s="493" t="s">
        <v>330</v>
      </c>
      <c r="D245" s="105" t="s">
        <v>538</v>
      </c>
      <c r="E245" s="105" t="s">
        <v>520</v>
      </c>
      <c r="F245" s="493">
        <v>5914</v>
      </c>
      <c r="G245" s="105" t="s">
        <v>52</v>
      </c>
      <c r="H245" s="105" t="s">
        <v>333</v>
      </c>
      <c r="I245" s="105" t="s">
        <v>334</v>
      </c>
      <c r="J245" s="493">
        <v>22</v>
      </c>
      <c r="K245" s="493">
        <v>2</v>
      </c>
      <c r="L245" s="105" t="s">
        <v>343</v>
      </c>
      <c r="M245" s="105" t="s">
        <v>336</v>
      </c>
      <c r="N245" s="105" t="s">
        <v>337</v>
      </c>
      <c r="O245" s="105" t="s">
        <v>338</v>
      </c>
      <c r="P245" s="105" t="s">
        <v>339</v>
      </c>
      <c r="Q245" s="494">
        <v>0</v>
      </c>
      <c r="R245" s="494">
        <v>0</v>
      </c>
      <c r="S245" s="494">
        <v>41138</v>
      </c>
      <c r="T245" s="494">
        <v>41138</v>
      </c>
      <c r="U245" s="494">
        <v>12057</v>
      </c>
      <c r="V245" s="493">
        <v>2024</v>
      </c>
      <c r="W245" s="495"/>
      <c r="X245" s="496">
        <f t="shared" si="13"/>
        <v>3.4119598573442813</v>
      </c>
      <c r="Y245" s="497" t="str">
        <f t="shared" si="15"/>
        <v/>
      </c>
      <c r="Z245" s="497" t="str">
        <f t="shared" si="15"/>
        <v/>
      </c>
    </row>
    <row r="246" spans="1:26" s="82" customFormat="1" ht="32" x14ac:dyDescent="0.4">
      <c r="A246" s="493">
        <v>2566</v>
      </c>
      <c r="B246" s="105" t="s">
        <v>329</v>
      </c>
      <c r="C246" s="493" t="s">
        <v>330</v>
      </c>
      <c r="D246" s="105" t="s">
        <v>539</v>
      </c>
      <c r="E246" s="105" t="s">
        <v>520</v>
      </c>
      <c r="F246" s="493">
        <v>5914</v>
      </c>
      <c r="G246" s="105" t="s">
        <v>52</v>
      </c>
      <c r="H246" s="105" t="s">
        <v>333</v>
      </c>
      <c r="I246" s="105" t="s">
        <v>334</v>
      </c>
      <c r="J246" s="493">
        <v>22</v>
      </c>
      <c r="K246" s="493">
        <v>2</v>
      </c>
      <c r="L246" s="105" t="s">
        <v>343</v>
      </c>
      <c r="M246" s="105" t="s">
        <v>336</v>
      </c>
      <c r="N246" s="105" t="s">
        <v>337</v>
      </c>
      <c r="O246" s="105" t="s">
        <v>338</v>
      </c>
      <c r="P246" s="105" t="s">
        <v>339</v>
      </c>
      <c r="Q246" s="494">
        <v>0</v>
      </c>
      <c r="R246" s="494">
        <v>0</v>
      </c>
      <c r="S246" s="494">
        <v>19103</v>
      </c>
      <c r="T246" s="494">
        <v>19103</v>
      </c>
      <c r="U246" s="494">
        <v>5599</v>
      </c>
      <c r="V246" s="493">
        <v>2024</v>
      </c>
      <c r="W246" s="495"/>
      <c r="X246" s="496">
        <f t="shared" si="13"/>
        <v>3.4118592605822466</v>
      </c>
      <c r="Y246" s="497" t="str">
        <f t="shared" si="15"/>
        <v/>
      </c>
      <c r="Z246" s="497" t="str">
        <f t="shared" si="15"/>
        <v/>
      </c>
    </row>
    <row r="247" spans="1:26" s="82" customFormat="1" ht="32" x14ac:dyDescent="0.4">
      <c r="A247" s="493">
        <v>2568</v>
      </c>
      <c r="B247" s="105" t="s">
        <v>329</v>
      </c>
      <c r="C247" s="493" t="s">
        <v>330</v>
      </c>
      <c r="D247" s="105" t="s">
        <v>540</v>
      </c>
      <c r="E247" s="105" t="s">
        <v>520</v>
      </c>
      <c r="F247" s="493">
        <v>5914</v>
      </c>
      <c r="G247" s="105" t="s">
        <v>52</v>
      </c>
      <c r="H247" s="105" t="s">
        <v>333</v>
      </c>
      <c r="I247" s="105" t="s">
        <v>334</v>
      </c>
      <c r="J247" s="493">
        <v>22</v>
      </c>
      <c r="K247" s="493">
        <v>2</v>
      </c>
      <c r="L247" s="105" t="s">
        <v>343</v>
      </c>
      <c r="M247" s="105" t="s">
        <v>336</v>
      </c>
      <c r="N247" s="105" t="s">
        <v>337</v>
      </c>
      <c r="O247" s="105" t="s">
        <v>338</v>
      </c>
      <c r="P247" s="105" t="s">
        <v>339</v>
      </c>
      <c r="Q247" s="494">
        <v>0</v>
      </c>
      <c r="R247" s="494">
        <v>0</v>
      </c>
      <c r="S247" s="494">
        <v>20695</v>
      </c>
      <c r="T247" s="494">
        <v>20695</v>
      </c>
      <c r="U247" s="494">
        <v>6065</v>
      </c>
      <c r="V247" s="493">
        <v>2024</v>
      </c>
      <c r="W247" s="495"/>
      <c r="X247" s="496">
        <f t="shared" si="13"/>
        <v>3.4122011541632316</v>
      </c>
      <c r="Y247" s="497" t="str">
        <f t="shared" si="15"/>
        <v/>
      </c>
      <c r="Z247" s="497" t="str">
        <f t="shared" si="15"/>
        <v/>
      </c>
    </row>
    <row r="248" spans="1:26" s="82" customFormat="1" ht="32" x14ac:dyDescent="0.4">
      <c r="A248" s="493">
        <v>2569</v>
      </c>
      <c r="B248" s="105" t="s">
        <v>329</v>
      </c>
      <c r="C248" s="493" t="s">
        <v>330</v>
      </c>
      <c r="D248" s="105" t="s">
        <v>541</v>
      </c>
      <c r="E248" s="105" t="s">
        <v>520</v>
      </c>
      <c r="F248" s="493">
        <v>5914</v>
      </c>
      <c r="G248" s="105" t="s">
        <v>52</v>
      </c>
      <c r="H248" s="105" t="s">
        <v>333</v>
      </c>
      <c r="I248" s="105" t="s">
        <v>334</v>
      </c>
      <c r="J248" s="493">
        <v>22</v>
      </c>
      <c r="K248" s="493">
        <v>2</v>
      </c>
      <c r="L248" s="105" t="s">
        <v>343</v>
      </c>
      <c r="M248" s="105" t="s">
        <v>336</v>
      </c>
      <c r="N248" s="105" t="s">
        <v>337</v>
      </c>
      <c r="O248" s="105" t="s">
        <v>338</v>
      </c>
      <c r="P248" s="105" t="s">
        <v>339</v>
      </c>
      <c r="Q248" s="494">
        <v>0</v>
      </c>
      <c r="R248" s="494">
        <v>0</v>
      </c>
      <c r="S248" s="494">
        <v>121399</v>
      </c>
      <c r="T248" s="494">
        <v>121399</v>
      </c>
      <c r="U248" s="494">
        <v>35580</v>
      </c>
      <c r="V248" s="493">
        <v>2024</v>
      </c>
      <c r="W248" s="495"/>
      <c r="X248" s="496">
        <f t="shared" si="13"/>
        <v>3.412001124227094</v>
      </c>
      <c r="Y248" s="497" t="str">
        <f t="shared" ref="Y248:Z267" si="16">IF(AND($M248=$Y$2,$N248=$Y$3,NOT($Q248=$R248),NOT($U248=0)),IF($K248=5,$S248/($U248+(8/5)*$U248),IF($K248=7,$S248/($U248+(29/25)*$U248),"")),"")</f>
        <v/>
      </c>
      <c r="Z248" s="497" t="str">
        <f t="shared" si="16"/>
        <v/>
      </c>
    </row>
    <row r="249" spans="1:26" s="82" customFormat="1" ht="32" x14ac:dyDescent="0.4">
      <c r="A249" s="493">
        <v>2571</v>
      </c>
      <c r="B249" s="105" t="s">
        <v>329</v>
      </c>
      <c r="C249" s="493" t="s">
        <v>330</v>
      </c>
      <c r="D249" s="105" t="s">
        <v>542</v>
      </c>
      <c r="E249" s="105" t="s">
        <v>520</v>
      </c>
      <c r="F249" s="493">
        <v>5914</v>
      </c>
      <c r="G249" s="105" t="s">
        <v>52</v>
      </c>
      <c r="H249" s="105" t="s">
        <v>333</v>
      </c>
      <c r="I249" s="105" t="s">
        <v>334</v>
      </c>
      <c r="J249" s="493">
        <v>22</v>
      </c>
      <c r="K249" s="493">
        <v>2</v>
      </c>
      <c r="L249" s="105" t="s">
        <v>343</v>
      </c>
      <c r="M249" s="105" t="s">
        <v>336</v>
      </c>
      <c r="N249" s="105" t="s">
        <v>337</v>
      </c>
      <c r="O249" s="105" t="s">
        <v>338</v>
      </c>
      <c r="P249" s="105" t="s">
        <v>339</v>
      </c>
      <c r="Q249" s="494">
        <v>0</v>
      </c>
      <c r="R249" s="494">
        <v>0</v>
      </c>
      <c r="S249" s="494">
        <v>179189</v>
      </c>
      <c r="T249" s="494">
        <v>179189</v>
      </c>
      <c r="U249" s="494">
        <v>52517</v>
      </c>
      <c r="V249" s="493">
        <v>2024</v>
      </c>
      <c r="W249" s="495"/>
      <c r="X249" s="496">
        <f t="shared" si="13"/>
        <v>3.4120189652874306</v>
      </c>
      <c r="Y249" s="497" t="str">
        <f t="shared" si="16"/>
        <v/>
      </c>
      <c r="Z249" s="497" t="str">
        <f t="shared" si="16"/>
        <v/>
      </c>
    </row>
    <row r="250" spans="1:26" s="82" customFormat="1" ht="32" x14ac:dyDescent="0.4">
      <c r="A250" s="493">
        <v>2572</v>
      </c>
      <c r="B250" s="105" t="s">
        <v>329</v>
      </c>
      <c r="C250" s="493" t="s">
        <v>330</v>
      </c>
      <c r="D250" s="105" t="s">
        <v>543</v>
      </c>
      <c r="E250" s="105" t="s">
        <v>520</v>
      </c>
      <c r="F250" s="493">
        <v>5914</v>
      </c>
      <c r="G250" s="105" t="s">
        <v>52</v>
      </c>
      <c r="H250" s="105" t="s">
        <v>333</v>
      </c>
      <c r="I250" s="105" t="s">
        <v>334</v>
      </c>
      <c r="J250" s="493">
        <v>22</v>
      </c>
      <c r="K250" s="493">
        <v>2</v>
      </c>
      <c r="L250" s="105" t="s">
        <v>343</v>
      </c>
      <c r="M250" s="105" t="s">
        <v>336</v>
      </c>
      <c r="N250" s="105" t="s">
        <v>337</v>
      </c>
      <c r="O250" s="105" t="s">
        <v>338</v>
      </c>
      <c r="P250" s="105" t="s">
        <v>339</v>
      </c>
      <c r="Q250" s="494">
        <v>0</v>
      </c>
      <c r="R250" s="494">
        <v>0</v>
      </c>
      <c r="S250" s="494">
        <v>78556</v>
      </c>
      <c r="T250" s="494">
        <v>78556</v>
      </c>
      <c r="U250" s="494">
        <v>23024</v>
      </c>
      <c r="V250" s="493">
        <v>2024</v>
      </c>
      <c r="W250" s="495"/>
      <c r="X250" s="496">
        <f t="shared" si="13"/>
        <v>3.411917998610146</v>
      </c>
      <c r="Y250" s="497" t="str">
        <f t="shared" si="16"/>
        <v/>
      </c>
      <c r="Z250" s="497" t="str">
        <f t="shared" si="16"/>
        <v/>
      </c>
    </row>
    <row r="251" spans="1:26" s="82" customFormat="1" ht="32" x14ac:dyDescent="0.4">
      <c r="A251" s="493">
        <v>2573</v>
      </c>
      <c r="B251" s="105" t="s">
        <v>329</v>
      </c>
      <c r="C251" s="493" t="s">
        <v>330</v>
      </c>
      <c r="D251" s="105" t="s">
        <v>544</v>
      </c>
      <c r="E251" s="105" t="s">
        <v>520</v>
      </c>
      <c r="F251" s="493">
        <v>5914</v>
      </c>
      <c r="G251" s="105" t="s">
        <v>52</v>
      </c>
      <c r="H251" s="105" t="s">
        <v>333</v>
      </c>
      <c r="I251" s="105" t="s">
        <v>334</v>
      </c>
      <c r="J251" s="493">
        <v>22</v>
      </c>
      <c r="K251" s="493">
        <v>2</v>
      </c>
      <c r="L251" s="105" t="s">
        <v>343</v>
      </c>
      <c r="M251" s="105" t="s">
        <v>336</v>
      </c>
      <c r="N251" s="105" t="s">
        <v>337</v>
      </c>
      <c r="O251" s="105" t="s">
        <v>338</v>
      </c>
      <c r="P251" s="105" t="s">
        <v>339</v>
      </c>
      <c r="Q251" s="494">
        <v>0</v>
      </c>
      <c r="R251" s="494">
        <v>0</v>
      </c>
      <c r="S251" s="494">
        <v>17089</v>
      </c>
      <c r="T251" s="494">
        <v>17089</v>
      </c>
      <c r="U251" s="494">
        <v>5009</v>
      </c>
      <c r="V251" s="493">
        <v>2024</v>
      </c>
      <c r="W251" s="495"/>
      <c r="X251" s="496">
        <f t="shared" si="13"/>
        <v>3.4116590137752048</v>
      </c>
      <c r="Y251" s="497" t="str">
        <f t="shared" si="16"/>
        <v/>
      </c>
      <c r="Z251" s="497" t="str">
        <f t="shared" si="16"/>
        <v/>
      </c>
    </row>
    <row r="252" spans="1:26" s="82" customFormat="1" x14ac:dyDescent="0.4">
      <c r="A252" s="493">
        <v>2574</v>
      </c>
      <c r="B252" s="105" t="s">
        <v>329</v>
      </c>
      <c r="C252" s="493" t="s">
        <v>330</v>
      </c>
      <c r="D252" s="105" t="s">
        <v>545</v>
      </c>
      <c r="E252" s="105" t="s">
        <v>546</v>
      </c>
      <c r="F252" s="493">
        <v>14240</v>
      </c>
      <c r="G252" s="105" t="s">
        <v>52</v>
      </c>
      <c r="H252" s="105" t="s">
        <v>333</v>
      </c>
      <c r="I252" s="105" t="s">
        <v>334</v>
      </c>
      <c r="J252" s="493">
        <v>22</v>
      </c>
      <c r="K252" s="493">
        <v>1</v>
      </c>
      <c r="L252" s="105" t="s">
        <v>335</v>
      </c>
      <c r="M252" s="105" t="s">
        <v>336</v>
      </c>
      <c r="N252" s="105" t="s">
        <v>337</v>
      </c>
      <c r="O252" s="105" t="s">
        <v>338</v>
      </c>
      <c r="P252" s="105" t="s">
        <v>339</v>
      </c>
      <c r="Q252" s="494">
        <v>0</v>
      </c>
      <c r="R252" s="494">
        <v>0</v>
      </c>
      <c r="S252" s="494">
        <v>87190</v>
      </c>
      <c r="T252" s="494">
        <v>87190</v>
      </c>
      <c r="U252" s="494">
        <v>25554</v>
      </c>
      <c r="V252" s="493">
        <v>2024</v>
      </c>
      <c r="W252" s="495"/>
      <c r="X252" s="496">
        <f t="shared" si="13"/>
        <v>3.4119902950614387</v>
      </c>
      <c r="Y252" s="497" t="str">
        <f t="shared" si="16"/>
        <v/>
      </c>
      <c r="Z252" s="497" t="str">
        <f t="shared" si="16"/>
        <v/>
      </c>
    </row>
    <row r="253" spans="1:26" s="82" customFormat="1" ht="32" x14ac:dyDescent="0.4">
      <c r="A253" s="493">
        <v>2575</v>
      </c>
      <c r="B253" s="105" t="s">
        <v>329</v>
      </c>
      <c r="C253" s="493" t="s">
        <v>330</v>
      </c>
      <c r="D253" s="105" t="s">
        <v>547</v>
      </c>
      <c r="E253" s="105" t="s">
        <v>520</v>
      </c>
      <c r="F253" s="493">
        <v>5914</v>
      </c>
      <c r="G253" s="105" t="s">
        <v>52</v>
      </c>
      <c r="H253" s="105" t="s">
        <v>333</v>
      </c>
      <c r="I253" s="105" t="s">
        <v>334</v>
      </c>
      <c r="J253" s="493">
        <v>22</v>
      </c>
      <c r="K253" s="493">
        <v>2</v>
      </c>
      <c r="L253" s="105" t="s">
        <v>343</v>
      </c>
      <c r="M253" s="105" t="s">
        <v>336</v>
      </c>
      <c r="N253" s="105" t="s">
        <v>337</v>
      </c>
      <c r="O253" s="105" t="s">
        <v>338</v>
      </c>
      <c r="P253" s="105" t="s">
        <v>339</v>
      </c>
      <c r="Q253" s="494">
        <v>0</v>
      </c>
      <c r="R253" s="494">
        <v>0</v>
      </c>
      <c r="S253" s="494">
        <v>99651</v>
      </c>
      <c r="T253" s="494">
        <v>99651</v>
      </c>
      <c r="U253" s="494">
        <v>29206</v>
      </c>
      <c r="V253" s="493">
        <v>2024</v>
      </c>
      <c r="W253" s="495"/>
      <c r="X253" s="496">
        <f t="shared" si="13"/>
        <v>3.4120043826610971</v>
      </c>
      <c r="Y253" s="497" t="str">
        <f t="shared" si="16"/>
        <v/>
      </c>
      <c r="Z253" s="497" t="str">
        <f t="shared" si="16"/>
        <v/>
      </c>
    </row>
    <row r="254" spans="1:26" s="82" customFormat="1" ht="32" x14ac:dyDescent="0.4">
      <c r="A254" s="493">
        <v>2576</v>
      </c>
      <c r="B254" s="105" t="s">
        <v>329</v>
      </c>
      <c r="C254" s="493" t="s">
        <v>330</v>
      </c>
      <c r="D254" s="105" t="s">
        <v>548</v>
      </c>
      <c r="E254" s="105" t="s">
        <v>520</v>
      </c>
      <c r="F254" s="493">
        <v>5914</v>
      </c>
      <c r="G254" s="105" t="s">
        <v>52</v>
      </c>
      <c r="H254" s="105" t="s">
        <v>333</v>
      </c>
      <c r="I254" s="105" t="s">
        <v>334</v>
      </c>
      <c r="J254" s="493">
        <v>22</v>
      </c>
      <c r="K254" s="493">
        <v>2</v>
      </c>
      <c r="L254" s="105" t="s">
        <v>343</v>
      </c>
      <c r="M254" s="105" t="s">
        <v>336</v>
      </c>
      <c r="N254" s="105" t="s">
        <v>337</v>
      </c>
      <c r="O254" s="105" t="s">
        <v>338</v>
      </c>
      <c r="P254" s="105" t="s">
        <v>339</v>
      </c>
      <c r="Q254" s="494">
        <v>0</v>
      </c>
      <c r="R254" s="494">
        <v>0</v>
      </c>
      <c r="S254" s="494">
        <v>126888</v>
      </c>
      <c r="T254" s="494">
        <v>126888</v>
      </c>
      <c r="U254" s="494">
        <v>37189</v>
      </c>
      <c r="V254" s="493">
        <v>2024</v>
      </c>
      <c r="W254" s="495"/>
      <c r="X254" s="496">
        <f t="shared" si="13"/>
        <v>3.4119766597649841</v>
      </c>
      <c r="Y254" s="497" t="str">
        <f t="shared" si="16"/>
        <v/>
      </c>
      <c r="Z254" s="497" t="str">
        <f t="shared" si="16"/>
        <v/>
      </c>
    </row>
    <row r="255" spans="1:26" s="82" customFormat="1" ht="32" x14ac:dyDescent="0.4">
      <c r="A255" s="493">
        <v>2578</v>
      </c>
      <c r="B255" s="105" t="s">
        <v>329</v>
      </c>
      <c r="C255" s="493" t="s">
        <v>330</v>
      </c>
      <c r="D255" s="105" t="s">
        <v>549</v>
      </c>
      <c r="E255" s="105" t="s">
        <v>520</v>
      </c>
      <c r="F255" s="493">
        <v>5914</v>
      </c>
      <c r="G255" s="105" t="s">
        <v>52</v>
      </c>
      <c r="H255" s="105" t="s">
        <v>333</v>
      </c>
      <c r="I255" s="105" t="s">
        <v>334</v>
      </c>
      <c r="J255" s="493">
        <v>22</v>
      </c>
      <c r="K255" s="493">
        <v>2</v>
      </c>
      <c r="L255" s="105" t="s">
        <v>343</v>
      </c>
      <c r="M255" s="105" t="s">
        <v>336</v>
      </c>
      <c r="N255" s="105" t="s">
        <v>337</v>
      </c>
      <c r="O255" s="105" t="s">
        <v>338</v>
      </c>
      <c r="P255" s="105" t="s">
        <v>339</v>
      </c>
      <c r="Q255" s="494">
        <v>0</v>
      </c>
      <c r="R255" s="494">
        <v>0</v>
      </c>
      <c r="S255" s="494">
        <v>34285</v>
      </c>
      <c r="T255" s="494">
        <v>34285</v>
      </c>
      <c r="U255" s="494">
        <v>10049</v>
      </c>
      <c r="V255" s="493">
        <v>2024</v>
      </c>
      <c r="W255" s="495"/>
      <c r="X255" s="496">
        <f t="shared" si="13"/>
        <v>3.411782266892228</v>
      </c>
      <c r="Y255" s="497" t="str">
        <f t="shared" si="16"/>
        <v/>
      </c>
      <c r="Z255" s="497" t="str">
        <f t="shared" si="16"/>
        <v/>
      </c>
    </row>
    <row r="256" spans="1:26" s="82" customFormat="1" ht="32" x14ac:dyDescent="0.4">
      <c r="A256" s="493">
        <v>2579</v>
      </c>
      <c r="B256" s="105" t="s">
        <v>329</v>
      </c>
      <c r="C256" s="493" t="s">
        <v>330</v>
      </c>
      <c r="D256" s="105" t="s">
        <v>550</v>
      </c>
      <c r="E256" s="105" t="s">
        <v>520</v>
      </c>
      <c r="F256" s="493">
        <v>5914</v>
      </c>
      <c r="G256" s="105" t="s">
        <v>52</v>
      </c>
      <c r="H256" s="105" t="s">
        <v>333</v>
      </c>
      <c r="I256" s="105" t="s">
        <v>334</v>
      </c>
      <c r="J256" s="493">
        <v>22</v>
      </c>
      <c r="K256" s="493">
        <v>2</v>
      </c>
      <c r="L256" s="105" t="s">
        <v>343</v>
      </c>
      <c r="M256" s="105" t="s">
        <v>336</v>
      </c>
      <c r="N256" s="105" t="s">
        <v>337</v>
      </c>
      <c r="O256" s="105" t="s">
        <v>338</v>
      </c>
      <c r="P256" s="105" t="s">
        <v>339</v>
      </c>
      <c r="Q256" s="494">
        <v>0</v>
      </c>
      <c r="R256" s="494">
        <v>0</v>
      </c>
      <c r="S256" s="494">
        <v>92258</v>
      </c>
      <c r="T256" s="494">
        <v>92258</v>
      </c>
      <c r="U256" s="494">
        <v>27039</v>
      </c>
      <c r="V256" s="493">
        <v>2024</v>
      </c>
      <c r="W256" s="495"/>
      <c r="X256" s="496">
        <f t="shared" si="13"/>
        <v>3.4120344687303525</v>
      </c>
      <c r="Y256" s="497" t="str">
        <f t="shared" si="16"/>
        <v/>
      </c>
      <c r="Z256" s="497" t="str">
        <f t="shared" si="16"/>
        <v/>
      </c>
    </row>
    <row r="257" spans="1:26" s="82" customFormat="1" ht="32" x14ac:dyDescent="0.4">
      <c r="A257" s="493">
        <v>2580</v>
      </c>
      <c r="B257" s="105" t="s">
        <v>329</v>
      </c>
      <c r="C257" s="493" t="s">
        <v>330</v>
      </c>
      <c r="D257" s="105" t="s">
        <v>551</v>
      </c>
      <c r="E257" s="105" t="s">
        <v>520</v>
      </c>
      <c r="F257" s="493">
        <v>5914</v>
      </c>
      <c r="G257" s="105" t="s">
        <v>52</v>
      </c>
      <c r="H257" s="105" t="s">
        <v>333</v>
      </c>
      <c r="I257" s="105" t="s">
        <v>334</v>
      </c>
      <c r="J257" s="493">
        <v>22</v>
      </c>
      <c r="K257" s="493">
        <v>2</v>
      </c>
      <c r="L257" s="105" t="s">
        <v>343</v>
      </c>
      <c r="M257" s="105" t="s">
        <v>336</v>
      </c>
      <c r="N257" s="105" t="s">
        <v>337</v>
      </c>
      <c r="O257" s="105" t="s">
        <v>338</v>
      </c>
      <c r="P257" s="105" t="s">
        <v>339</v>
      </c>
      <c r="Q257" s="494">
        <v>0</v>
      </c>
      <c r="R257" s="494">
        <v>0</v>
      </c>
      <c r="S257" s="494">
        <v>27217</v>
      </c>
      <c r="T257" s="494">
        <v>27217</v>
      </c>
      <c r="U257" s="494">
        <v>7977</v>
      </c>
      <c r="V257" s="493">
        <v>2024</v>
      </c>
      <c r="W257" s="495"/>
      <c r="X257" s="496">
        <f t="shared" si="13"/>
        <v>3.4119343111445404</v>
      </c>
      <c r="Y257" s="497" t="str">
        <f t="shared" si="16"/>
        <v/>
      </c>
      <c r="Z257" s="497" t="str">
        <f t="shared" si="16"/>
        <v/>
      </c>
    </row>
    <row r="258" spans="1:26" s="82" customFormat="1" ht="32" x14ac:dyDescent="0.4">
      <c r="A258" s="493">
        <v>2581</v>
      </c>
      <c r="B258" s="105" t="s">
        <v>329</v>
      </c>
      <c r="C258" s="493" t="s">
        <v>330</v>
      </c>
      <c r="D258" s="105" t="s">
        <v>552</v>
      </c>
      <c r="E258" s="105" t="s">
        <v>520</v>
      </c>
      <c r="F258" s="493">
        <v>5914</v>
      </c>
      <c r="G258" s="105" t="s">
        <v>52</v>
      </c>
      <c r="H258" s="105" t="s">
        <v>333</v>
      </c>
      <c r="I258" s="105" t="s">
        <v>334</v>
      </c>
      <c r="J258" s="493">
        <v>22</v>
      </c>
      <c r="K258" s="493">
        <v>2</v>
      </c>
      <c r="L258" s="105" t="s">
        <v>343</v>
      </c>
      <c r="M258" s="105" t="s">
        <v>336</v>
      </c>
      <c r="N258" s="105" t="s">
        <v>337</v>
      </c>
      <c r="O258" s="105" t="s">
        <v>338</v>
      </c>
      <c r="P258" s="105" t="s">
        <v>339</v>
      </c>
      <c r="Q258" s="494">
        <v>0</v>
      </c>
      <c r="R258" s="494">
        <v>0</v>
      </c>
      <c r="S258" s="494">
        <v>93810</v>
      </c>
      <c r="T258" s="494">
        <v>93810</v>
      </c>
      <c r="U258" s="494">
        <v>27494</v>
      </c>
      <c r="V258" s="493">
        <v>2024</v>
      </c>
      <c r="W258" s="495"/>
      <c r="X258" s="496">
        <f t="shared" si="13"/>
        <v>3.4120171673819741</v>
      </c>
      <c r="Y258" s="497" t="str">
        <f t="shared" si="16"/>
        <v/>
      </c>
      <c r="Z258" s="497" t="str">
        <f t="shared" si="16"/>
        <v/>
      </c>
    </row>
    <row r="259" spans="1:26" s="82" customFormat="1" ht="32" x14ac:dyDescent="0.4">
      <c r="A259" s="493">
        <v>2582</v>
      </c>
      <c r="B259" s="105" t="s">
        <v>329</v>
      </c>
      <c r="C259" s="493" t="s">
        <v>330</v>
      </c>
      <c r="D259" s="105" t="s">
        <v>553</v>
      </c>
      <c r="E259" s="105" t="s">
        <v>520</v>
      </c>
      <c r="F259" s="493">
        <v>5914</v>
      </c>
      <c r="G259" s="105" t="s">
        <v>52</v>
      </c>
      <c r="H259" s="105" t="s">
        <v>333</v>
      </c>
      <c r="I259" s="105" t="s">
        <v>334</v>
      </c>
      <c r="J259" s="493">
        <v>22</v>
      </c>
      <c r="K259" s="493">
        <v>2</v>
      </c>
      <c r="L259" s="105" t="s">
        <v>343</v>
      </c>
      <c r="M259" s="105" t="s">
        <v>336</v>
      </c>
      <c r="N259" s="105" t="s">
        <v>337</v>
      </c>
      <c r="O259" s="105" t="s">
        <v>338</v>
      </c>
      <c r="P259" s="105" t="s">
        <v>339</v>
      </c>
      <c r="Q259" s="494">
        <v>0</v>
      </c>
      <c r="R259" s="494">
        <v>0</v>
      </c>
      <c r="S259" s="494">
        <v>65618</v>
      </c>
      <c r="T259" s="494">
        <v>65618</v>
      </c>
      <c r="U259" s="494">
        <v>19232</v>
      </c>
      <c r="V259" s="493">
        <v>2024</v>
      </c>
      <c r="W259" s="495"/>
      <c r="X259" s="496">
        <f t="shared" si="13"/>
        <v>3.4119176372712148</v>
      </c>
      <c r="Y259" s="497" t="str">
        <f t="shared" si="16"/>
        <v/>
      </c>
      <c r="Z259" s="497" t="str">
        <f t="shared" si="16"/>
        <v/>
      </c>
    </row>
    <row r="260" spans="1:26" s="82" customFormat="1" ht="32" x14ac:dyDescent="0.4">
      <c r="A260" s="493">
        <v>2583</v>
      </c>
      <c r="B260" s="105" t="s">
        <v>329</v>
      </c>
      <c r="C260" s="493" t="s">
        <v>330</v>
      </c>
      <c r="D260" s="105" t="s">
        <v>554</v>
      </c>
      <c r="E260" s="105" t="s">
        <v>520</v>
      </c>
      <c r="F260" s="493">
        <v>5914</v>
      </c>
      <c r="G260" s="105" t="s">
        <v>52</v>
      </c>
      <c r="H260" s="105" t="s">
        <v>333</v>
      </c>
      <c r="I260" s="105" t="s">
        <v>334</v>
      </c>
      <c r="J260" s="493">
        <v>22</v>
      </c>
      <c r="K260" s="493">
        <v>2</v>
      </c>
      <c r="L260" s="105" t="s">
        <v>343</v>
      </c>
      <c r="M260" s="105" t="s">
        <v>336</v>
      </c>
      <c r="N260" s="105" t="s">
        <v>337</v>
      </c>
      <c r="O260" s="105" t="s">
        <v>338</v>
      </c>
      <c r="P260" s="105" t="s">
        <v>339</v>
      </c>
      <c r="Q260" s="494">
        <v>0</v>
      </c>
      <c r="R260" s="494">
        <v>0</v>
      </c>
      <c r="S260" s="494">
        <v>25694</v>
      </c>
      <c r="T260" s="494">
        <v>25694</v>
      </c>
      <c r="U260" s="494">
        <v>7530</v>
      </c>
      <c r="V260" s="493">
        <v>2024</v>
      </c>
      <c r="W260" s="495"/>
      <c r="X260" s="496">
        <f t="shared" si="13"/>
        <v>3.4122177954847279</v>
      </c>
      <c r="Y260" s="497" t="str">
        <f t="shared" si="16"/>
        <v/>
      </c>
      <c r="Z260" s="497" t="str">
        <f t="shared" si="16"/>
        <v/>
      </c>
    </row>
    <row r="261" spans="1:26" s="82" customFormat="1" ht="32" x14ac:dyDescent="0.4">
      <c r="A261" s="493">
        <v>2586</v>
      </c>
      <c r="B261" s="105" t="s">
        <v>329</v>
      </c>
      <c r="C261" s="493" t="s">
        <v>330</v>
      </c>
      <c r="D261" s="105" t="s">
        <v>555</v>
      </c>
      <c r="E261" s="105" t="s">
        <v>520</v>
      </c>
      <c r="F261" s="493">
        <v>5914</v>
      </c>
      <c r="G261" s="105" t="s">
        <v>52</v>
      </c>
      <c r="H261" s="105" t="s">
        <v>333</v>
      </c>
      <c r="I261" s="105" t="s">
        <v>334</v>
      </c>
      <c r="J261" s="493">
        <v>22</v>
      </c>
      <c r="K261" s="493">
        <v>2</v>
      </c>
      <c r="L261" s="105" t="s">
        <v>343</v>
      </c>
      <c r="M261" s="105" t="s">
        <v>336</v>
      </c>
      <c r="N261" s="105" t="s">
        <v>337</v>
      </c>
      <c r="O261" s="105" t="s">
        <v>338</v>
      </c>
      <c r="P261" s="105" t="s">
        <v>339</v>
      </c>
      <c r="Q261" s="494">
        <v>0</v>
      </c>
      <c r="R261" s="494">
        <v>0</v>
      </c>
      <c r="S261" s="494">
        <v>111140</v>
      </c>
      <c r="T261" s="494">
        <v>111140</v>
      </c>
      <c r="U261" s="494">
        <v>32573</v>
      </c>
      <c r="V261" s="493">
        <v>2024</v>
      </c>
      <c r="W261" s="495"/>
      <c r="X261" s="496">
        <f t="shared" si="13"/>
        <v>3.4120283670524669</v>
      </c>
      <c r="Y261" s="497" t="str">
        <f t="shared" si="16"/>
        <v/>
      </c>
      <c r="Z261" s="497" t="str">
        <f t="shared" si="16"/>
        <v/>
      </c>
    </row>
    <row r="262" spans="1:26" s="82" customFormat="1" ht="32" x14ac:dyDescent="0.4">
      <c r="A262" s="493">
        <v>2588</v>
      </c>
      <c r="B262" s="105" t="s">
        <v>329</v>
      </c>
      <c r="C262" s="493" t="s">
        <v>330</v>
      </c>
      <c r="D262" s="105" t="s">
        <v>556</v>
      </c>
      <c r="E262" s="105" t="s">
        <v>520</v>
      </c>
      <c r="F262" s="493">
        <v>5914</v>
      </c>
      <c r="G262" s="105" t="s">
        <v>52</v>
      </c>
      <c r="H262" s="105" t="s">
        <v>333</v>
      </c>
      <c r="I262" s="105" t="s">
        <v>334</v>
      </c>
      <c r="J262" s="493">
        <v>22</v>
      </c>
      <c r="K262" s="493">
        <v>2</v>
      </c>
      <c r="L262" s="105" t="s">
        <v>343</v>
      </c>
      <c r="M262" s="105" t="s">
        <v>336</v>
      </c>
      <c r="N262" s="105" t="s">
        <v>337</v>
      </c>
      <c r="O262" s="105" t="s">
        <v>338</v>
      </c>
      <c r="P262" s="105" t="s">
        <v>339</v>
      </c>
      <c r="Q262" s="494">
        <v>0</v>
      </c>
      <c r="R262" s="494">
        <v>0</v>
      </c>
      <c r="S262" s="494">
        <v>129868</v>
      </c>
      <c r="T262" s="494">
        <v>129868</v>
      </c>
      <c r="U262" s="494">
        <v>38062</v>
      </c>
      <c r="V262" s="493">
        <v>2024</v>
      </c>
      <c r="W262" s="495"/>
      <c r="X262" s="496">
        <f t="shared" si="13"/>
        <v>3.4120119804529452</v>
      </c>
      <c r="Y262" s="497" t="str">
        <f t="shared" si="16"/>
        <v/>
      </c>
      <c r="Z262" s="497" t="str">
        <f t="shared" si="16"/>
        <v/>
      </c>
    </row>
    <row r="263" spans="1:26" s="82" customFormat="1" x14ac:dyDescent="0.4">
      <c r="A263" s="493">
        <v>2589</v>
      </c>
      <c r="B263" s="105" t="s">
        <v>329</v>
      </c>
      <c r="C263" s="493">
        <v>2</v>
      </c>
      <c r="D263" s="105" t="s">
        <v>557</v>
      </c>
      <c r="E263" s="105" t="s">
        <v>558</v>
      </c>
      <c r="F263" s="493">
        <v>55951</v>
      </c>
      <c r="G263" s="105" t="s">
        <v>52</v>
      </c>
      <c r="H263" s="105" t="s">
        <v>333</v>
      </c>
      <c r="I263" s="105" t="s">
        <v>334</v>
      </c>
      <c r="J263" s="493">
        <v>22</v>
      </c>
      <c r="K263" s="493">
        <v>2</v>
      </c>
      <c r="L263" s="105" t="s">
        <v>343</v>
      </c>
      <c r="M263" s="105" t="s">
        <v>360</v>
      </c>
      <c r="N263" s="105" t="s">
        <v>377</v>
      </c>
      <c r="O263" s="105" t="s">
        <v>377</v>
      </c>
      <c r="P263" s="105" t="s">
        <v>339</v>
      </c>
      <c r="Q263" s="494">
        <v>0</v>
      </c>
      <c r="R263" s="494">
        <v>0</v>
      </c>
      <c r="S263" s="494">
        <v>106855407</v>
      </c>
      <c r="T263" s="494">
        <v>106855407</v>
      </c>
      <c r="U263" s="494">
        <v>10232642</v>
      </c>
      <c r="V263" s="493">
        <v>2024</v>
      </c>
      <c r="W263" s="495"/>
      <c r="X263" s="496">
        <f t="shared" si="13"/>
        <v>10.442601920403352</v>
      </c>
      <c r="Y263" s="497" t="str">
        <f t="shared" si="16"/>
        <v/>
      </c>
      <c r="Z263" s="497" t="str">
        <f t="shared" si="16"/>
        <v/>
      </c>
    </row>
    <row r="264" spans="1:26" s="82" customFormat="1" x14ac:dyDescent="0.4">
      <c r="A264" s="493">
        <v>2589</v>
      </c>
      <c r="B264" s="105" t="s">
        <v>329</v>
      </c>
      <c r="C264" s="493">
        <v>1</v>
      </c>
      <c r="D264" s="105" t="s">
        <v>557</v>
      </c>
      <c r="E264" s="105" t="s">
        <v>558</v>
      </c>
      <c r="F264" s="493">
        <v>55951</v>
      </c>
      <c r="G264" s="105" t="s">
        <v>52</v>
      </c>
      <c r="H264" s="105" t="s">
        <v>333</v>
      </c>
      <c r="I264" s="105" t="s">
        <v>334</v>
      </c>
      <c r="J264" s="493">
        <v>22</v>
      </c>
      <c r="K264" s="493">
        <v>2</v>
      </c>
      <c r="L264" s="105" t="s">
        <v>343</v>
      </c>
      <c r="M264" s="105" t="s">
        <v>360</v>
      </c>
      <c r="N264" s="105" t="s">
        <v>377</v>
      </c>
      <c r="O264" s="105" t="s">
        <v>377</v>
      </c>
      <c r="P264" s="105" t="s">
        <v>339</v>
      </c>
      <c r="Q264" s="494">
        <v>0</v>
      </c>
      <c r="R264" s="494">
        <v>0</v>
      </c>
      <c r="S264" s="494">
        <v>54843511</v>
      </c>
      <c r="T264" s="494">
        <v>54843511</v>
      </c>
      <c r="U264" s="494">
        <v>5251901</v>
      </c>
      <c r="V264" s="493">
        <v>2024</v>
      </c>
      <c r="W264" s="495"/>
      <c r="X264" s="496">
        <f t="shared" si="13"/>
        <v>10.442601831222637</v>
      </c>
      <c r="Y264" s="497" t="str">
        <f t="shared" si="16"/>
        <v/>
      </c>
      <c r="Z264" s="497" t="str">
        <f t="shared" si="16"/>
        <v/>
      </c>
    </row>
    <row r="265" spans="1:26" s="82" customFormat="1" ht="32" x14ac:dyDescent="0.4">
      <c r="A265" s="493">
        <v>2590</v>
      </c>
      <c r="B265" s="105" t="s">
        <v>329</v>
      </c>
      <c r="C265" s="493" t="s">
        <v>330</v>
      </c>
      <c r="D265" s="105" t="s">
        <v>559</v>
      </c>
      <c r="E265" s="105" t="s">
        <v>520</v>
      </c>
      <c r="F265" s="493">
        <v>5914</v>
      </c>
      <c r="G265" s="105" t="s">
        <v>52</v>
      </c>
      <c r="H265" s="105" t="s">
        <v>333</v>
      </c>
      <c r="I265" s="105" t="s">
        <v>334</v>
      </c>
      <c r="J265" s="493">
        <v>22</v>
      </c>
      <c r="K265" s="493">
        <v>2</v>
      </c>
      <c r="L265" s="105" t="s">
        <v>343</v>
      </c>
      <c r="M265" s="105" t="s">
        <v>336</v>
      </c>
      <c r="N265" s="105" t="s">
        <v>337</v>
      </c>
      <c r="O265" s="105" t="s">
        <v>338</v>
      </c>
      <c r="P265" s="105" t="s">
        <v>339</v>
      </c>
      <c r="Q265" s="494">
        <v>0</v>
      </c>
      <c r="R265" s="494">
        <v>0</v>
      </c>
      <c r="S265" s="494">
        <v>95987</v>
      </c>
      <c r="T265" s="494">
        <v>95987</v>
      </c>
      <c r="U265" s="494">
        <v>28132</v>
      </c>
      <c r="V265" s="493">
        <v>2024</v>
      </c>
      <c r="W265" s="495"/>
      <c r="X265" s="496">
        <f t="shared" ref="X265:X328" si="17">IF(OR(K265&gt;3,T265=0,NOT(U265&gt;0)),"",T265/U265)</f>
        <v>3.4120218967723588</v>
      </c>
      <c r="Y265" s="497" t="str">
        <f t="shared" si="16"/>
        <v/>
      </c>
      <c r="Z265" s="497" t="str">
        <f t="shared" si="16"/>
        <v/>
      </c>
    </row>
    <row r="266" spans="1:26" s="82" customFormat="1" ht="32" x14ac:dyDescent="0.4">
      <c r="A266" s="493">
        <v>2591</v>
      </c>
      <c r="B266" s="105" t="s">
        <v>329</v>
      </c>
      <c r="C266" s="493" t="s">
        <v>330</v>
      </c>
      <c r="D266" s="105" t="s">
        <v>560</v>
      </c>
      <c r="E266" s="105" t="s">
        <v>520</v>
      </c>
      <c r="F266" s="493">
        <v>5914</v>
      </c>
      <c r="G266" s="105" t="s">
        <v>52</v>
      </c>
      <c r="H266" s="105" t="s">
        <v>333</v>
      </c>
      <c r="I266" s="105" t="s">
        <v>334</v>
      </c>
      <c r="J266" s="493">
        <v>22</v>
      </c>
      <c r="K266" s="493">
        <v>2</v>
      </c>
      <c r="L266" s="105" t="s">
        <v>343</v>
      </c>
      <c r="M266" s="105" t="s">
        <v>336</v>
      </c>
      <c r="N266" s="105" t="s">
        <v>337</v>
      </c>
      <c r="O266" s="105" t="s">
        <v>338</v>
      </c>
      <c r="P266" s="105" t="s">
        <v>339</v>
      </c>
      <c r="Q266" s="494">
        <v>0</v>
      </c>
      <c r="R266" s="494">
        <v>0</v>
      </c>
      <c r="S266" s="494">
        <v>44634</v>
      </c>
      <c r="T266" s="494">
        <v>44634</v>
      </c>
      <c r="U266" s="494">
        <v>13081</v>
      </c>
      <c r="V266" s="493">
        <v>2024</v>
      </c>
      <c r="W266" s="495"/>
      <c r="X266" s="496">
        <f t="shared" si="17"/>
        <v>3.4121244553168717</v>
      </c>
      <c r="Y266" s="497" t="str">
        <f t="shared" si="16"/>
        <v/>
      </c>
      <c r="Z266" s="497" t="str">
        <f t="shared" si="16"/>
        <v/>
      </c>
    </row>
    <row r="267" spans="1:26" s="82" customFormat="1" x14ac:dyDescent="0.4">
      <c r="A267" s="493">
        <v>2594</v>
      </c>
      <c r="B267" s="105" t="s">
        <v>329</v>
      </c>
      <c r="C267" s="493" t="s">
        <v>330</v>
      </c>
      <c r="D267" s="105" t="s">
        <v>561</v>
      </c>
      <c r="E267" s="105" t="s">
        <v>561</v>
      </c>
      <c r="F267" s="493">
        <v>64701</v>
      </c>
      <c r="G267" s="105" t="s">
        <v>52</v>
      </c>
      <c r="H267" s="105" t="s">
        <v>333</v>
      </c>
      <c r="I267" s="105" t="s">
        <v>334</v>
      </c>
      <c r="J267" s="493">
        <v>22</v>
      </c>
      <c r="K267" s="493">
        <v>2</v>
      </c>
      <c r="L267" s="105" t="s">
        <v>343</v>
      </c>
      <c r="M267" s="105" t="s">
        <v>360</v>
      </c>
      <c r="N267" s="105" t="s">
        <v>226</v>
      </c>
      <c r="O267" s="105" t="s">
        <v>226</v>
      </c>
      <c r="P267" s="105" t="s">
        <v>350</v>
      </c>
      <c r="Q267" s="494">
        <v>0</v>
      </c>
      <c r="R267" s="494">
        <v>0</v>
      </c>
      <c r="S267" s="494">
        <v>0</v>
      </c>
      <c r="T267" s="494">
        <v>0</v>
      </c>
      <c r="U267" s="494">
        <v>0</v>
      </c>
      <c r="V267" s="493">
        <v>2024</v>
      </c>
      <c r="W267" s="495" t="s">
        <v>355</v>
      </c>
      <c r="X267" s="496" t="str">
        <f t="shared" si="17"/>
        <v/>
      </c>
      <c r="Y267" s="497" t="str">
        <f t="shared" si="16"/>
        <v/>
      </c>
      <c r="Z267" s="497" t="str">
        <f t="shared" si="16"/>
        <v/>
      </c>
    </row>
    <row r="268" spans="1:26" s="82" customFormat="1" x14ac:dyDescent="0.4">
      <c r="A268" s="493">
        <v>2594</v>
      </c>
      <c r="B268" s="105" t="s">
        <v>329</v>
      </c>
      <c r="C268" s="493" t="s">
        <v>330</v>
      </c>
      <c r="D268" s="105" t="s">
        <v>561</v>
      </c>
      <c r="E268" s="105" t="s">
        <v>561</v>
      </c>
      <c r="F268" s="493">
        <v>64701</v>
      </c>
      <c r="G268" s="105" t="s">
        <v>52</v>
      </c>
      <c r="H268" s="105" t="s">
        <v>333</v>
      </c>
      <c r="I268" s="105" t="s">
        <v>334</v>
      </c>
      <c r="J268" s="493">
        <v>22</v>
      </c>
      <c r="K268" s="493">
        <v>2</v>
      </c>
      <c r="L268" s="105" t="s">
        <v>343</v>
      </c>
      <c r="M268" s="105" t="s">
        <v>360</v>
      </c>
      <c r="N268" s="105" t="s">
        <v>228</v>
      </c>
      <c r="O268" s="105" t="s">
        <v>228</v>
      </c>
      <c r="P268" s="105" t="s">
        <v>356</v>
      </c>
      <c r="Q268" s="494">
        <v>0</v>
      </c>
      <c r="R268" s="494">
        <v>0</v>
      </c>
      <c r="S268" s="494">
        <v>0</v>
      </c>
      <c r="T268" s="494">
        <v>0</v>
      </c>
      <c r="U268" s="494">
        <v>0</v>
      </c>
      <c r="V268" s="493">
        <v>2024</v>
      </c>
      <c r="W268" s="495" t="s">
        <v>355</v>
      </c>
      <c r="X268" s="496" t="str">
        <f t="shared" si="17"/>
        <v/>
      </c>
      <c r="Y268" s="497" t="str">
        <f t="shared" ref="Y268:Z287" si="18">IF(AND($M268=$Y$2,$N268=$Y$3,NOT($Q268=$R268),NOT($U268=0)),IF($K268=5,$S268/($U268+(8/5)*$U268),IF($K268=7,$S268/($U268+(29/25)*$U268),"")),"")</f>
        <v/>
      </c>
      <c r="Z268" s="497" t="str">
        <f t="shared" si="18"/>
        <v/>
      </c>
    </row>
    <row r="269" spans="1:26" s="82" customFormat="1" x14ac:dyDescent="0.4">
      <c r="A269" s="493">
        <v>2594</v>
      </c>
      <c r="B269" s="105" t="s">
        <v>329</v>
      </c>
      <c r="C269" s="493" t="s">
        <v>330</v>
      </c>
      <c r="D269" s="105" t="s">
        <v>561</v>
      </c>
      <c r="E269" s="105" t="s">
        <v>561</v>
      </c>
      <c r="F269" s="493">
        <v>64701</v>
      </c>
      <c r="G269" s="105" t="s">
        <v>52</v>
      </c>
      <c r="H269" s="105" t="s">
        <v>333</v>
      </c>
      <c r="I269" s="105" t="s">
        <v>334</v>
      </c>
      <c r="J269" s="493">
        <v>22</v>
      </c>
      <c r="K269" s="493">
        <v>2</v>
      </c>
      <c r="L269" s="105" t="s">
        <v>343</v>
      </c>
      <c r="M269" s="105" t="s">
        <v>360</v>
      </c>
      <c r="N269" s="105" t="s">
        <v>238</v>
      </c>
      <c r="O269" s="105" t="s">
        <v>238</v>
      </c>
      <c r="P269" s="105" t="s">
        <v>350</v>
      </c>
      <c r="Q269" s="494">
        <v>95252</v>
      </c>
      <c r="R269" s="494">
        <v>95252</v>
      </c>
      <c r="S269" s="494">
        <v>555319</v>
      </c>
      <c r="T269" s="494">
        <v>555319</v>
      </c>
      <c r="U269" s="494">
        <v>44307</v>
      </c>
      <c r="V269" s="493">
        <v>2024</v>
      </c>
      <c r="W269" s="495" t="s">
        <v>355</v>
      </c>
      <c r="X269" s="496">
        <f t="shared" si="17"/>
        <v>12.533437154399982</v>
      </c>
      <c r="Y269" s="497" t="str">
        <f t="shared" si="18"/>
        <v/>
      </c>
      <c r="Z269" s="497" t="str">
        <f t="shared" si="18"/>
        <v/>
      </c>
    </row>
    <row r="270" spans="1:26" s="82" customFormat="1" ht="32" x14ac:dyDescent="0.4">
      <c r="A270" s="493">
        <v>2595</v>
      </c>
      <c r="B270" s="105" t="s">
        <v>329</v>
      </c>
      <c r="C270" s="493" t="s">
        <v>330</v>
      </c>
      <c r="D270" s="105" t="s">
        <v>562</v>
      </c>
      <c r="E270" s="105" t="s">
        <v>520</v>
      </c>
      <c r="F270" s="493">
        <v>5914</v>
      </c>
      <c r="G270" s="105" t="s">
        <v>52</v>
      </c>
      <c r="H270" s="105" t="s">
        <v>333</v>
      </c>
      <c r="I270" s="105" t="s">
        <v>334</v>
      </c>
      <c r="J270" s="493">
        <v>22</v>
      </c>
      <c r="K270" s="493">
        <v>2</v>
      </c>
      <c r="L270" s="105" t="s">
        <v>343</v>
      </c>
      <c r="M270" s="105" t="s">
        <v>336</v>
      </c>
      <c r="N270" s="105" t="s">
        <v>337</v>
      </c>
      <c r="O270" s="105" t="s">
        <v>338</v>
      </c>
      <c r="P270" s="105" t="s">
        <v>339</v>
      </c>
      <c r="Q270" s="494">
        <v>0</v>
      </c>
      <c r="R270" s="494">
        <v>0</v>
      </c>
      <c r="S270" s="494">
        <v>78760</v>
      </c>
      <c r="T270" s="494">
        <v>78760</v>
      </c>
      <c r="U270" s="494">
        <v>23083</v>
      </c>
      <c r="V270" s="493">
        <v>2024</v>
      </c>
      <c r="W270" s="495"/>
      <c r="X270" s="496">
        <f t="shared" si="17"/>
        <v>3.4120348308278818</v>
      </c>
      <c r="Y270" s="497" t="str">
        <f t="shared" si="18"/>
        <v/>
      </c>
      <c r="Z270" s="497" t="str">
        <f t="shared" si="18"/>
        <v/>
      </c>
    </row>
    <row r="271" spans="1:26" s="82" customFormat="1" ht="32" x14ac:dyDescent="0.4">
      <c r="A271" s="493">
        <v>2596</v>
      </c>
      <c r="B271" s="105" t="s">
        <v>329</v>
      </c>
      <c r="C271" s="493" t="s">
        <v>330</v>
      </c>
      <c r="D271" s="105" t="s">
        <v>563</v>
      </c>
      <c r="E271" s="105" t="s">
        <v>520</v>
      </c>
      <c r="F271" s="493">
        <v>5914</v>
      </c>
      <c r="G271" s="105" t="s">
        <v>52</v>
      </c>
      <c r="H271" s="105" t="s">
        <v>333</v>
      </c>
      <c r="I271" s="105" t="s">
        <v>334</v>
      </c>
      <c r="J271" s="493">
        <v>22</v>
      </c>
      <c r="K271" s="493">
        <v>2</v>
      </c>
      <c r="L271" s="105" t="s">
        <v>343</v>
      </c>
      <c r="M271" s="105" t="s">
        <v>336</v>
      </c>
      <c r="N271" s="105" t="s">
        <v>337</v>
      </c>
      <c r="O271" s="105" t="s">
        <v>338</v>
      </c>
      <c r="P271" s="105" t="s">
        <v>339</v>
      </c>
      <c r="Q271" s="494">
        <v>0</v>
      </c>
      <c r="R271" s="494">
        <v>0</v>
      </c>
      <c r="S271" s="494">
        <v>27657</v>
      </c>
      <c r="T271" s="494">
        <v>27657</v>
      </c>
      <c r="U271" s="494">
        <v>8106</v>
      </c>
      <c r="V271" s="493">
        <v>2024</v>
      </c>
      <c r="W271" s="495"/>
      <c r="X271" s="496">
        <f t="shared" si="17"/>
        <v>3.411917098445596</v>
      </c>
      <c r="Y271" s="497" t="str">
        <f t="shared" si="18"/>
        <v/>
      </c>
      <c r="Z271" s="497" t="str">
        <f t="shared" si="18"/>
        <v/>
      </c>
    </row>
    <row r="272" spans="1:26" s="82" customFormat="1" ht="32" x14ac:dyDescent="0.4">
      <c r="A272" s="493">
        <v>2597</v>
      </c>
      <c r="B272" s="105" t="s">
        <v>329</v>
      </c>
      <c r="C272" s="493" t="s">
        <v>330</v>
      </c>
      <c r="D272" s="105" t="s">
        <v>564</v>
      </c>
      <c r="E272" s="105" t="s">
        <v>520</v>
      </c>
      <c r="F272" s="493">
        <v>5914</v>
      </c>
      <c r="G272" s="105" t="s">
        <v>52</v>
      </c>
      <c r="H272" s="105" t="s">
        <v>333</v>
      </c>
      <c r="I272" s="105" t="s">
        <v>334</v>
      </c>
      <c r="J272" s="493">
        <v>22</v>
      </c>
      <c r="K272" s="493">
        <v>2</v>
      </c>
      <c r="L272" s="105" t="s">
        <v>343</v>
      </c>
      <c r="M272" s="105" t="s">
        <v>336</v>
      </c>
      <c r="N272" s="105" t="s">
        <v>337</v>
      </c>
      <c r="O272" s="105" t="s">
        <v>338</v>
      </c>
      <c r="P272" s="105" t="s">
        <v>339</v>
      </c>
      <c r="Q272" s="494">
        <v>0</v>
      </c>
      <c r="R272" s="494">
        <v>0</v>
      </c>
      <c r="S272" s="494">
        <v>53314</v>
      </c>
      <c r="T272" s="494">
        <v>53314</v>
      </c>
      <c r="U272" s="494">
        <v>15625</v>
      </c>
      <c r="V272" s="493">
        <v>2024</v>
      </c>
      <c r="W272" s="495"/>
      <c r="X272" s="496">
        <f t="shared" si="17"/>
        <v>3.412096</v>
      </c>
      <c r="Y272" s="497" t="str">
        <f t="shared" si="18"/>
        <v/>
      </c>
      <c r="Z272" s="497" t="str">
        <f t="shared" si="18"/>
        <v/>
      </c>
    </row>
    <row r="273" spans="1:26" s="82" customFormat="1" ht="32" x14ac:dyDescent="0.4">
      <c r="A273" s="493">
        <v>2598</v>
      </c>
      <c r="B273" s="105" t="s">
        <v>329</v>
      </c>
      <c r="C273" s="493" t="s">
        <v>330</v>
      </c>
      <c r="D273" s="105" t="s">
        <v>565</v>
      </c>
      <c r="E273" s="105" t="s">
        <v>520</v>
      </c>
      <c r="F273" s="493">
        <v>5914</v>
      </c>
      <c r="G273" s="105" t="s">
        <v>52</v>
      </c>
      <c r="H273" s="105" t="s">
        <v>333</v>
      </c>
      <c r="I273" s="105" t="s">
        <v>334</v>
      </c>
      <c r="J273" s="493">
        <v>22</v>
      </c>
      <c r="K273" s="493">
        <v>2</v>
      </c>
      <c r="L273" s="105" t="s">
        <v>343</v>
      </c>
      <c r="M273" s="105" t="s">
        <v>336</v>
      </c>
      <c r="N273" s="105" t="s">
        <v>337</v>
      </c>
      <c r="O273" s="105" t="s">
        <v>338</v>
      </c>
      <c r="P273" s="105" t="s">
        <v>339</v>
      </c>
      <c r="Q273" s="494">
        <v>0</v>
      </c>
      <c r="R273" s="494">
        <v>0</v>
      </c>
      <c r="S273" s="494">
        <v>47177</v>
      </c>
      <c r="T273" s="494">
        <v>47177</v>
      </c>
      <c r="U273" s="494">
        <v>13827</v>
      </c>
      <c r="V273" s="493">
        <v>2024</v>
      </c>
      <c r="W273" s="495"/>
      <c r="X273" s="496">
        <f t="shared" si="17"/>
        <v>3.4119476386779488</v>
      </c>
      <c r="Y273" s="497" t="str">
        <f t="shared" si="18"/>
        <v/>
      </c>
      <c r="Z273" s="497" t="str">
        <f t="shared" si="18"/>
        <v/>
      </c>
    </row>
    <row r="274" spans="1:26" s="82" customFormat="1" ht="32" x14ac:dyDescent="0.4">
      <c r="A274" s="493">
        <v>2599</v>
      </c>
      <c r="B274" s="105" t="s">
        <v>329</v>
      </c>
      <c r="C274" s="493" t="s">
        <v>330</v>
      </c>
      <c r="D274" s="105" t="s">
        <v>566</v>
      </c>
      <c r="E274" s="105" t="s">
        <v>520</v>
      </c>
      <c r="F274" s="493">
        <v>5914</v>
      </c>
      <c r="G274" s="105" t="s">
        <v>52</v>
      </c>
      <c r="H274" s="105" t="s">
        <v>333</v>
      </c>
      <c r="I274" s="105" t="s">
        <v>334</v>
      </c>
      <c r="J274" s="493">
        <v>22</v>
      </c>
      <c r="K274" s="493">
        <v>2</v>
      </c>
      <c r="L274" s="105" t="s">
        <v>343</v>
      </c>
      <c r="M274" s="105" t="s">
        <v>336</v>
      </c>
      <c r="N274" s="105" t="s">
        <v>337</v>
      </c>
      <c r="O274" s="105" t="s">
        <v>338</v>
      </c>
      <c r="P274" s="105" t="s">
        <v>339</v>
      </c>
      <c r="Q274" s="494">
        <v>0</v>
      </c>
      <c r="R274" s="494">
        <v>0</v>
      </c>
      <c r="S274" s="494">
        <v>235914</v>
      </c>
      <c r="T274" s="494">
        <v>235914</v>
      </c>
      <c r="U274" s="494">
        <v>69142</v>
      </c>
      <c r="V274" s="493">
        <v>2024</v>
      </c>
      <c r="W274" s="495"/>
      <c r="X274" s="496">
        <f t="shared" si="17"/>
        <v>3.412021636631859</v>
      </c>
      <c r="Y274" s="497" t="str">
        <f t="shared" si="18"/>
        <v/>
      </c>
      <c r="Z274" s="497" t="str">
        <f t="shared" si="18"/>
        <v/>
      </c>
    </row>
    <row r="275" spans="1:26" s="82" customFormat="1" ht="32" x14ac:dyDescent="0.4">
      <c r="A275" s="493">
        <v>2600</v>
      </c>
      <c r="B275" s="105" t="s">
        <v>329</v>
      </c>
      <c r="C275" s="493" t="s">
        <v>330</v>
      </c>
      <c r="D275" s="105" t="s">
        <v>567</v>
      </c>
      <c r="E275" s="105" t="s">
        <v>520</v>
      </c>
      <c r="F275" s="493">
        <v>5914</v>
      </c>
      <c r="G275" s="105" t="s">
        <v>52</v>
      </c>
      <c r="H275" s="105" t="s">
        <v>333</v>
      </c>
      <c r="I275" s="105" t="s">
        <v>334</v>
      </c>
      <c r="J275" s="493">
        <v>22</v>
      </c>
      <c r="K275" s="493">
        <v>2</v>
      </c>
      <c r="L275" s="105" t="s">
        <v>343</v>
      </c>
      <c r="M275" s="105" t="s">
        <v>336</v>
      </c>
      <c r="N275" s="105" t="s">
        <v>337</v>
      </c>
      <c r="O275" s="105" t="s">
        <v>338</v>
      </c>
      <c r="P275" s="105" t="s">
        <v>339</v>
      </c>
      <c r="Q275" s="494">
        <v>0</v>
      </c>
      <c r="R275" s="494">
        <v>0</v>
      </c>
      <c r="S275" s="494">
        <v>370830</v>
      </c>
      <c r="T275" s="494">
        <v>370830</v>
      </c>
      <c r="U275" s="494">
        <v>108684</v>
      </c>
      <c r="V275" s="493">
        <v>2024</v>
      </c>
      <c r="W275" s="495"/>
      <c r="X275" s="496">
        <f t="shared" si="17"/>
        <v>3.4120017665893783</v>
      </c>
      <c r="Y275" s="497" t="str">
        <f t="shared" si="18"/>
        <v/>
      </c>
      <c r="Z275" s="497" t="str">
        <f t="shared" si="18"/>
        <v/>
      </c>
    </row>
    <row r="276" spans="1:26" s="82" customFormat="1" ht="32" x14ac:dyDescent="0.4">
      <c r="A276" s="493">
        <v>2601</v>
      </c>
      <c r="B276" s="105" t="s">
        <v>329</v>
      </c>
      <c r="C276" s="493" t="s">
        <v>330</v>
      </c>
      <c r="D276" s="105" t="s">
        <v>568</v>
      </c>
      <c r="E276" s="105" t="s">
        <v>520</v>
      </c>
      <c r="F276" s="493">
        <v>5914</v>
      </c>
      <c r="G276" s="105" t="s">
        <v>52</v>
      </c>
      <c r="H276" s="105" t="s">
        <v>333</v>
      </c>
      <c r="I276" s="105" t="s">
        <v>334</v>
      </c>
      <c r="J276" s="493">
        <v>22</v>
      </c>
      <c r="K276" s="493">
        <v>2</v>
      </c>
      <c r="L276" s="105" t="s">
        <v>343</v>
      </c>
      <c r="M276" s="105" t="s">
        <v>336</v>
      </c>
      <c r="N276" s="105" t="s">
        <v>337</v>
      </c>
      <c r="O276" s="105" t="s">
        <v>338</v>
      </c>
      <c r="P276" s="105" t="s">
        <v>339</v>
      </c>
      <c r="Q276" s="494">
        <v>0</v>
      </c>
      <c r="R276" s="494">
        <v>0</v>
      </c>
      <c r="S276" s="494">
        <v>45981</v>
      </c>
      <c r="T276" s="494">
        <v>45981</v>
      </c>
      <c r="U276" s="494">
        <v>13476</v>
      </c>
      <c r="V276" s="493">
        <v>2024</v>
      </c>
      <c r="W276" s="495"/>
      <c r="X276" s="496">
        <f t="shared" si="17"/>
        <v>3.4120658949243099</v>
      </c>
      <c r="Y276" s="497" t="str">
        <f t="shared" si="18"/>
        <v/>
      </c>
      <c r="Z276" s="497" t="str">
        <f t="shared" si="18"/>
        <v/>
      </c>
    </row>
    <row r="277" spans="1:26" s="82" customFormat="1" ht="32" x14ac:dyDescent="0.4">
      <c r="A277" s="493">
        <v>2604</v>
      </c>
      <c r="B277" s="105" t="s">
        <v>329</v>
      </c>
      <c r="C277" s="493" t="s">
        <v>330</v>
      </c>
      <c r="D277" s="105" t="s">
        <v>569</v>
      </c>
      <c r="E277" s="105" t="s">
        <v>520</v>
      </c>
      <c r="F277" s="493">
        <v>5914</v>
      </c>
      <c r="G277" s="105" t="s">
        <v>52</v>
      </c>
      <c r="H277" s="105" t="s">
        <v>333</v>
      </c>
      <c r="I277" s="105" t="s">
        <v>334</v>
      </c>
      <c r="J277" s="493">
        <v>22</v>
      </c>
      <c r="K277" s="493">
        <v>2</v>
      </c>
      <c r="L277" s="105" t="s">
        <v>343</v>
      </c>
      <c r="M277" s="105" t="s">
        <v>336</v>
      </c>
      <c r="N277" s="105" t="s">
        <v>337</v>
      </c>
      <c r="O277" s="105" t="s">
        <v>338</v>
      </c>
      <c r="P277" s="105" t="s">
        <v>339</v>
      </c>
      <c r="Q277" s="494">
        <v>0</v>
      </c>
      <c r="R277" s="494">
        <v>0</v>
      </c>
      <c r="S277" s="494">
        <v>76635</v>
      </c>
      <c r="T277" s="494">
        <v>76635</v>
      </c>
      <c r="U277" s="494">
        <v>22460</v>
      </c>
      <c r="V277" s="493">
        <v>2024</v>
      </c>
      <c r="W277" s="495"/>
      <c r="X277" s="496">
        <f t="shared" si="17"/>
        <v>3.4120658949243099</v>
      </c>
      <c r="Y277" s="497" t="str">
        <f t="shared" si="18"/>
        <v/>
      </c>
      <c r="Z277" s="497" t="str">
        <f t="shared" si="18"/>
        <v/>
      </c>
    </row>
    <row r="278" spans="1:26" s="82" customFormat="1" ht="32" x14ac:dyDescent="0.4">
      <c r="A278" s="493">
        <v>2605</v>
      </c>
      <c r="B278" s="105" t="s">
        <v>329</v>
      </c>
      <c r="C278" s="493" t="s">
        <v>330</v>
      </c>
      <c r="D278" s="105" t="s">
        <v>570</v>
      </c>
      <c r="E278" s="105" t="s">
        <v>520</v>
      </c>
      <c r="F278" s="493">
        <v>5914</v>
      </c>
      <c r="G278" s="105" t="s">
        <v>52</v>
      </c>
      <c r="H278" s="105" t="s">
        <v>333</v>
      </c>
      <c r="I278" s="105" t="s">
        <v>334</v>
      </c>
      <c r="J278" s="493">
        <v>22</v>
      </c>
      <c r="K278" s="493">
        <v>2</v>
      </c>
      <c r="L278" s="105" t="s">
        <v>343</v>
      </c>
      <c r="M278" s="105" t="s">
        <v>336</v>
      </c>
      <c r="N278" s="105" t="s">
        <v>337</v>
      </c>
      <c r="O278" s="105" t="s">
        <v>338</v>
      </c>
      <c r="P278" s="105" t="s">
        <v>339</v>
      </c>
      <c r="Q278" s="494">
        <v>0</v>
      </c>
      <c r="R278" s="494">
        <v>0</v>
      </c>
      <c r="S278" s="494">
        <v>541744</v>
      </c>
      <c r="T278" s="494">
        <v>541744</v>
      </c>
      <c r="U278" s="494">
        <v>158776</v>
      </c>
      <c r="V278" s="493">
        <v>2024</v>
      </c>
      <c r="W278" s="495"/>
      <c r="X278" s="496">
        <f t="shared" si="17"/>
        <v>3.4120018138761528</v>
      </c>
      <c r="Y278" s="497" t="str">
        <f t="shared" si="18"/>
        <v/>
      </c>
      <c r="Z278" s="497" t="str">
        <f t="shared" si="18"/>
        <v/>
      </c>
    </row>
    <row r="279" spans="1:26" s="82" customFormat="1" ht="32" x14ac:dyDescent="0.4">
      <c r="A279" s="493">
        <v>2606</v>
      </c>
      <c r="B279" s="105" t="s">
        <v>329</v>
      </c>
      <c r="C279" s="493" t="s">
        <v>330</v>
      </c>
      <c r="D279" s="105" t="s">
        <v>571</v>
      </c>
      <c r="E279" s="105" t="s">
        <v>520</v>
      </c>
      <c r="F279" s="493">
        <v>5914</v>
      </c>
      <c r="G279" s="105" t="s">
        <v>52</v>
      </c>
      <c r="H279" s="105" t="s">
        <v>333</v>
      </c>
      <c r="I279" s="105" t="s">
        <v>334</v>
      </c>
      <c r="J279" s="493">
        <v>22</v>
      </c>
      <c r="K279" s="493">
        <v>2</v>
      </c>
      <c r="L279" s="105" t="s">
        <v>343</v>
      </c>
      <c r="M279" s="105" t="s">
        <v>336</v>
      </c>
      <c r="N279" s="105" t="s">
        <v>337</v>
      </c>
      <c r="O279" s="105" t="s">
        <v>338</v>
      </c>
      <c r="P279" s="105" t="s">
        <v>339</v>
      </c>
      <c r="Q279" s="494">
        <v>0</v>
      </c>
      <c r="R279" s="494">
        <v>0</v>
      </c>
      <c r="S279" s="494">
        <v>201345</v>
      </c>
      <c r="T279" s="494">
        <v>201345</v>
      </c>
      <c r="U279" s="494">
        <v>59011</v>
      </c>
      <c r="V279" s="493">
        <v>2024</v>
      </c>
      <c r="W279" s="495"/>
      <c r="X279" s="496">
        <f t="shared" si="17"/>
        <v>3.4119909847316601</v>
      </c>
      <c r="Y279" s="497" t="str">
        <f t="shared" si="18"/>
        <v/>
      </c>
      <c r="Z279" s="497" t="str">
        <f t="shared" si="18"/>
        <v/>
      </c>
    </row>
    <row r="280" spans="1:26" s="82" customFormat="1" ht="32" x14ac:dyDescent="0.4">
      <c r="A280" s="493">
        <v>2607</v>
      </c>
      <c r="B280" s="105" t="s">
        <v>329</v>
      </c>
      <c r="C280" s="493" t="s">
        <v>330</v>
      </c>
      <c r="D280" s="105" t="s">
        <v>572</v>
      </c>
      <c r="E280" s="105" t="s">
        <v>520</v>
      </c>
      <c r="F280" s="493">
        <v>5914</v>
      </c>
      <c r="G280" s="105" t="s">
        <v>52</v>
      </c>
      <c r="H280" s="105" t="s">
        <v>333</v>
      </c>
      <c r="I280" s="105" t="s">
        <v>334</v>
      </c>
      <c r="J280" s="493">
        <v>22</v>
      </c>
      <c r="K280" s="493">
        <v>2</v>
      </c>
      <c r="L280" s="105" t="s">
        <v>343</v>
      </c>
      <c r="M280" s="105" t="s">
        <v>336</v>
      </c>
      <c r="N280" s="105" t="s">
        <v>337</v>
      </c>
      <c r="O280" s="105" t="s">
        <v>338</v>
      </c>
      <c r="P280" s="105" t="s">
        <v>339</v>
      </c>
      <c r="Q280" s="494">
        <v>0</v>
      </c>
      <c r="R280" s="494">
        <v>0</v>
      </c>
      <c r="S280" s="494">
        <v>21857</v>
      </c>
      <c r="T280" s="494">
        <v>21857</v>
      </c>
      <c r="U280" s="494">
        <v>6406</v>
      </c>
      <c r="V280" s="493">
        <v>2024</v>
      </c>
      <c r="W280" s="495"/>
      <c r="X280" s="496">
        <f t="shared" si="17"/>
        <v>3.4119575398064317</v>
      </c>
      <c r="Y280" s="497" t="str">
        <f t="shared" si="18"/>
        <v/>
      </c>
      <c r="Z280" s="497" t="str">
        <f t="shared" si="18"/>
        <v/>
      </c>
    </row>
    <row r="281" spans="1:26" s="82" customFormat="1" ht="32" x14ac:dyDescent="0.4">
      <c r="A281" s="493">
        <v>2608</v>
      </c>
      <c r="B281" s="105" t="s">
        <v>329</v>
      </c>
      <c r="C281" s="493" t="s">
        <v>330</v>
      </c>
      <c r="D281" s="105" t="s">
        <v>573</v>
      </c>
      <c r="E281" s="105" t="s">
        <v>520</v>
      </c>
      <c r="F281" s="493">
        <v>5914</v>
      </c>
      <c r="G281" s="105" t="s">
        <v>52</v>
      </c>
      <c r="H281" s="105" t="s">
        <v>333</v>
      </c>
      <c r="I281" s="105" t="s">
        <v>334</v>
      </c>
      <c r="J281" s="493">
        <v>22</v>
      </c>
      <c r="K281" s="493">
        <v>2</v>
      </c>
      <c r="L281" s="105" t="s">
        <v>343</v>
      </c>
      <c r="M281" s="105" t="s">
        <v>336</v>
      </c>
      <c r="N281" s="105" t="s">
        <v>337</v>
      </c>
      <c r="O281" s="105" t="s">
        <v>338</v>
      </c>
      <c r="P281" s="105" t="s">
        <v>339</v>
      </c>
      <c r="Q281" s="494">
        <v>0</v>
      </c>
      <c r="R281" s="494">
        <v>0</v>
      </c>
      <c r="S281" s="494">
        <v>51504</v>
      </c>
      <c r="T281" s="494">
        <v>51504</v>
      </c>
      <c r="U281" s="494">
        <v>15095</v>
      </c>
      <c r="V281" s="493">
        <v>2024</v>
      </c>
      <c r="W281" s="495"/>
      <c r="X281" s="496">
        <f t="shared" si="17"/>
        <v>3.4119907254057633</v>
      </c>
      <c r="Y281" s="497" t="str">
        <f t="shared" si="18"/>
        <v/>
      </c>
      <c r="Z281" s="497" t="str">
        <f t="shared" si="18"/>
        <v/>
      </c>
    </row>
    <row r="282" spans="1:26" s="82" customFormat="1" ht="32" x14ac:dyDescent="0.4">
      <c r="A282" s="493">
        <v>2609</v>
      </c>
      <c r="B282" s="105" t="s">
        <v>329</v>
      </c>
      <c r="C282" s="493" t="s">
        <v>330</v>
      </c>
      <c r="D282" s="105" t="s">
        <v>574</v>
      </c>
      <c r="E282" s="105" t="s">
        <v>520</v>
      </c>
      <c r="F282" s="493">
        <v>5914</v>
      </c>
      <c r="G282" s="105" t="s">
        <v>52</v>
      </c>
      <c r="H282" s="105" t="s">
        <v>333</v>
      </c>
      <c r="I282" s="105" t="s">
        <v>334</v>
      </c>
      <c r="J282" s="493">
        <v>22</v>
      </c>
      <c r="K282" s="493">
        <v>2</v>
      </c>
      <c r="L282" s="105" t="s">
        <v>343</v>
      </c>
      <c r="M282" s="105" t="s">
        <v>336</v>
      </c>
      <c r="N282" s="105" t="s">
        <v>337</v>
      </c>
      <c r="O282" s="105" t="s">
        <v>338</v>
      </c>
      <c r="P282" s="105" t="s">
        <v>339</v>
      </c>
      <c r="Q282" s="494">
        <v>0</v>
      </c>
      <c r="R282" s="494">
        <v>0</v>
      </c>
      <c r="S282" s="494">
        <v>597114</v>
      </c>
      <c r="T282" s="494">
        <v>597114</v>
      </c>
      <c r="U282" s="494">
        <v>175004</v>
      </c>
      <c r="V282" s="493">
        <v>2024</v>
      </c>
      <c r="W282" s="495"/>
      <c r="X282" s="496">
        <f t="shared" si="17"/>
        <v>3.4120020113825968</v>
      </c>
      <c r="Y282" s="497" t="str">
        <f t="shared" si="18"/>
        <v/>
      </c>
      <c r="Z282" s="497" t="str">
        <f t="shared" si="18"/>
        <v/>
      </c>
    </row>
    <row r="283" spans="1:26" s="82" customFormat="1" ht="32" x14ac:dyDescent="0.4">
      <c r="A283" s="493">
        <v>2610</v>
      </c>
      <c r="B283" s="105" t="s">
        <v>329</v>
      </c>
      <c r="C283" s="493" t="s">
        <v>330</v>
      </c>
      <c r="D283" s="105" t="s">
        <v>575</v>
      </c>
      <c r="E283" s="105" t="s">
        <v>520</v>
      </c>
      <c r="F283" s="493">
        <v>5914</v>
      </c>
      <c r="G283" s="105" t="s">
        <v>52</v>
      </c>
      <c r="H283" s="105" t="s">
        <v>333</v>
      </c>
      <c r="I283" s="105" t="s">
        <v>334</v>
      </c>
      <c r="J283" s="493">
        <v>22</v>
      </c>
      <c r="K283" s="493">
        <v>2</v>
      </c>
      <c r="L283" s="105" t="s">
        <v>343</v>
      </c>
      <c r="M283" s="105" t="s">
        <v>336</v>
      </c>
      <c r="N283" s="105" t="s">
        <v>337</v>
      </c>
      <c r="O283" s="105" t="s">
        <v>338</v>
      </c>
      <c r="P283" s="105" t="s">
        <v>339</v>
      </c>
      <c r="Q283" s="494">
        <v>0</v>
      </c>
      <c r="R283" s="494">
        <v>0</v>
      </c>
      <c r="S283" s="494">
        <v>130956</v>
      </c>
      <c r="T283" s="494">
        <v>130956</v>
      </c>
      <c r="U283" s="494">
        <v>38381</v>
      </c>
      <c r="V283" s="493">
        <v>2024</v>
      </c>
      <c r="W283" s="495"/>
      <c r="X283" s="496">
        <f t="shared" si="17"/>
        <v>3.4120007295276307</v>
      </c>
      <c r="Y283" s="497" t="str">
        <f t="shared" si="18"/>
        <v/>
      </c>
      <c r="Z283" s="497" t="str">
        <f t="shared" si="18"/>
        <v/>
      </c>
    </row>
    <row r="284" spans="1:26" s="82" customFormat="1" ht="32" x14ac:dyDescent="0.4">
      <c r="A284" s="493">
        <v>2611</v>
      </c>
      <c r="B284" s="105" t="s">
        <v>329</v>
      </c>
      <c r="C284" s="493" t="s">
        <v>330</v>
      </c>
      <c r="D284" s="105" t="s">
        <v>576</v>
      </c>
      <c r="E284" s="105" t="s">
        <v>520</v>
      </c>
      <c r="F284" s="493">
        <v>5914</v>
      </c>
      <c r="G284" s="105" t="s">
        <v>52</v>
      </c>
      <c r="H284" s="105" t="s">
        <v>333</v>
      </c>
      <c r="I284" s="105" t="s">
        <v>334</v>
      </c>
      <c r="J284" s="493">
        <v>22</v>
      </c>
      <c r="K284" s="493">
        <v>2</v>
      </c>
      <c r="L284" s="105" t="s">
        <v>343</v>
      </c>
      <c r="M284" s="105" t="s">
        <v>336</v>
      </c>
      <c r="N284" s="105" t="s">
        <v>337</v>
      </c>
      <c r="O284" s="105" t="s">
        <v>338</v>
      </c>
      <c r="P284" s="105" t="s">
        <v>339</v>
      </c>
      <c r="Q284" s="494">
        <v>0</v>
      </c>
      <c r="R284" s="494">
        <v>0</v>
      </c>
      <c r="S284" s="494">
        <v>305596</v>
      </c>
      <c r="T284" s="494">
        <v>305596</v>
      </c>
      <c r="U284" s="494">
        <v>89565</v>
      </c>
      <c r="V284" s="493">
        <v>2024</v>
      </c>
      <c r="W284" s="495"/>
      <c r="X284" s="496">
        <f t="shared" si="17"/>
        <v>3.4120024563166416</v>
      </c>
      <c r="Y284" s="497" t="str">
        <f t="shared" si="18"/>
        <v/>
      </c>
      <c r="Z284" s="497" t="str">
        <f t="shared" si="18"/>
        <v/>
      </c>
    </row>
    <row r="285" spans="1:26" s="82" customFormat="1" ht="32" x14ac:dyDescent="0.4">
      <c r="A285" s="493">
        <v>2612</v>
      </c>
      <c r="B285" s="105" t="s">
        <v>329</v>
      </c>
      <c r="C285" s="493" t="s">
        <v>330</v>
      </c>
      <c r="D285" s="105" t="s">
        <v>577</v>
      </c>
      <c r="E285" s="105" t="s">
        <v>520</v>
      </c>
      <c r="F285" s="493">
        <v>5914</v>
      </c>
      <c r="G285" s="105" t="s">
        <v>52</v>
      </c>
      <c r="H285" s="105" t="s">
        <v>333</v>
      </c>
      <c r="I285" s="105" t="s">
        <v>334</v>
      </c>
      <c r="J285" s="493">
        <v>22</v>
      </c>
      <c r="K285" s="493">
        <v>2</v>
      </c>
      <c r="L285" s="105" t="s">
        <v>343</v>
      </c>
      <c r="M285" s="105" t="s">
        <v>336</v>
      </c>
      <c r="N285" s="105" t="s">
        <v>337</v>
      </c>
      <c r="O285" s="105" t="s">
        <v>338</v>
      </c>
      <c r="P285" s="105" t="s">
        <v>339</v>
      </c>
      <c r="Q285" s="494">
        <v>0</v>
      </c>
      <c r="R285" s="494">
        <v>0</v>
      </c>
      <c r="S285" s="494">
        <v>634934</v>
      </c>
      <c r="T285" s="494">
        <v>634934</v>
      </c>
      <c r="U285" s="494">
        <v>186089</v>
      </c>
      <c r="V285" s="493">
        <v>2024</v>
      </c>
      <c r="W285" s="495"/>
      <c r="X285" s="496">
        <f t="shared" si="17"/>
        <v>3.4119910365470285</v>
      </c>
      <c r="Y285" s="497" t="str">
        <f t="shared" si="18"/>
        <v/>
      </c>
      <c r="Z285" s="497" t="str">
        <f t="shared" si="18"/>
        <v/>
      </c>
    </row>
    <row r="286" spans="1:26" s="82" customFormat="1" ht="32" x14ac:dyDescent="0.4">
      <c r="A286" s="493">
        <v>2613</v>
      </c>
      <c r="B286" s="105" t="s">
        <v>329</v>
      </c>
      <c r="C286" s="493" t="s">
        <v>330</v>
      </c>
      <c r="D286" s="105" t="s">
        <v>578</v>
      </c>
      <c r="E286" s="105" t="s">
        <v>520</v>
      </c>
      <c r="F286" s="493">
        <v>5914</v>
      </c>
      <c r="G286" s="105" t="s">
        <v>52</v>
      </c>
      <c r="H286" s="105" t="s">
        <v>333</v>
      </c>
      <c r="I286" s="105" t="s">
        <v>334</v>
      </c>
      <c r="J286" s="493">
        <v>22</v>
      </c>
      <c r="K286" s="493">
        <v>2</v>
      </c>
      <c r="L286" s="105" t="s">
        <v>343</v>
      </c>
      <c r="M286" s="105" t="s">
        <v>336</v>
      </c>
      <c r="N286" s="105" t="s">
        <v>337</v>
      </c>
      <c r="O286" s="105" t="s">
        <v>338</v>
      </c>
      <c r="P286" s="105" t="s">
        <v>339</v>
      </c>
      <c r="Q286" s="494">
        <v>0</v>
      </c>
      <c r="R286" s="494">
        <v>0</v>
      </c>
      <c r="S286" s="494">
        <v>351481</v>
      </c>
      <c r="T286" s="494">
        <v>351481</v>
      </c>
      <c r="U286" s="494">
        <v>103013</v>
      </c>
      <c r="V286" s="493">
        <v>2024</v>
      </c>
      <c r="W286" s="495"/>
      <c r="X286" s="496">
        <f t="shared" si="17"/>
        <v>3.4120062516381426</v>
      </c>
      <c r="Y286" s="497" t="str">
        <f t="shared" si="18"/>
        <v/>
      </c>
      <c r="Z286" s="497" t="str">
        <f t="shared" si="18"/>
        <v/>
      </c>
    </row>
    <row r="287" spans="1:26" s="82" customFormat="1" ht="32" x14ac:dyDescent="0.4">
      <c r="A287" s="493">
        <v>2614</v>
      </c>
      <c r="B287" s="105" t="s">
        <v>329</v>
      </c>
      <c r="C287" s="493" t="s">
        <v>330</v>
      </c>
      <c r="D287" s="105" t="s">
        <v>579</v>
      </c>
      <c r="E287" s="105" t="s">
        <v>520</v>
      </c>
      <c r="F287" s="493">
        <v>5914</v>
      </c>
      <c r="G287" s="105" t="s">
        <v>52</v>
      </c>
      <c r="H287" s="105" t="s">
        <v>333</v>
      </c>
      <c r="I287" s="105" t="s">
        <v>334</v>
      </c>
      <c r="J287" s="493">
        <v>22</v>
      </c>
      <c r="K287" s="493">
        <v>2</v>
      </c>
      <c r="L287" s="105" t="s">
        <v>343</v>
      </c>
      <c r="M287" s="105" t="s">
        <v>336</v>
      </c>
      <c r="N287" s="105" t="s">
        <v>337</v>
      </c>
      <c r="O287" s="105" t="s">
        <v>338</v>
      </c>
      <c r="P287" s="105" t="s">
        <v>339</v>
      </c>
      <c r="Q287" s="494">
        <v>0</v>
      </c>
      <c r="R287" s="494">
        <v>0</v>
      </c>
      <c r="S287" s="494">
        <v>452634</v>
      </c>
      <c r="T287" s="494">
        <v>452634</v>
      </c>
      <c r="U287" s="494">
        <v>132660</v>
      </c>
      <c r="V287" s="493">
        <v>2024</v>
      </c>
      <c r="W287" s="495"/>
      <c r="X287" s="496">
        <f t="shared" si="17"/>
        <v>3.4119855269108998</v>
      </c>
      <c r="Y287" s="497" t="str">
        <f t="shared" si="18"/>
        <v/>
      </c>
      <c r="Z287" s="497" t="str">
        <f t="shared" si="18"/>
        <v/>
      </c>
    </row>
    <row r="288" spans="1:26" s="82" customFormat="1" ht="32" x14ac:dyDescent="0.4">
      <c r="A288" s="493">
        <v>2616</v>
      </c>
      <c r="B288" s="105" t="s">
        <v>329</v>
      </c>
      <c r="C288" s="493" t="s">
        <v>330</v>
      </c>
      <c r="D288" s="105" t="s">
        <v>580</v>
      </c>
      <c r="E288" s="105" t="s">
        <v>520</v>
      </c>
      <c r="F288" s="493">
        <v>5914</v>
      </c>
      <c r="G288" s="105" t="s">
        <v>52</v>
      </c>
      <c r="H288" s="105" t="s">
        <v>333</v>
      </c>
      <c r="I288" s="105" t="s">
        <v>334</v>
      </c>
      <c r="J288" s="493">
        <v>22</v>
      </c>
      <c r="K288" s="493">
        <v>2</v>
      </c>
      <c r="L288" s="105" t="s">
        <v>343</v>
      </c>
      <c r="M288" s="105" t="s">
        <v>336</v>
      </c>
      <c r="N288" s="105" t="s">
        <v>337</v>
      </c>
      <c r="O288" s="105" t="s">
        <v>338</v>
      </c>
      <c r="P288" s="105" t="s">
        <v>339</v>
      </c>
      <c r="Q288" s="494">
        <v>0</v>
      </c>
      <c r="R288" s="494">
        <v>0</v>
      </c>
      <c r="S288" s="494">
        <v>95922</v>
      </c>
      <c r="T288" s="494">
        <v>95922</v>
      </c>
      <c r="U288" s="494">
        <v>28113</v>
      </c>
      <c r="V288" s="493">
        <v>2024</v>
      </c>
      <c r="W288" s="495"/>
      <c r="X288" s="496">
        <f t="shared" si="17"/>
        <v>3.4120157934051862</v>
      </c>
      <c r="Y288" s="497" t="str">
        <f t="shared" ref="Y288:Z307" si="19">IF(AND($M288=$Y$2,$N288=$Y$3,NOT($Q288=$R288),NOT($U288=0)),IF($K288=5,$S288/($U288+(8/5)*$U288),IF($K288=7,$S288/($U288+(29/25)*$U288),"")),"")</f>
        <v/>
      </c>
      <c r="Z288" s="497" t="str">
        <f t="shared" si="19"/>
        <v/>
      </c>
    </row>
    <row r="289" spans="1:26" s="82" customFormat="1" ht="32" x14ac:dyDescent="0.4">
      <c r="A289" s="493">
        <v>2617</v>
      </c>
      <c r="B289" s="105" t="s">
        <v>329</v>
      </c>
      <c r="C289" s="493" t="s">
        <v>330</v>
      </c>
      <c r="D289" s="105" t="s">
        <v>581</v>
      </c>
      <c r="E289" s="105" t="s">
        <v>520</v>
      </c>
      <c r="F289" s="493">
        <v>5914</v>
      </c>
      <c r="G289" s="105" t="s">
        <v>52</v>
      </c>
      <c r="H289" s="105" t="s">
        <v>333</v>
      </c>
      <c r="I289" s="105" t="s">
        <v>334</v>
      </c>
      <c r="J289" s="493">
        <v>22</v>
      </c>
      <c r="K289" s="493">
        <v>2</v>
      </c>
      <c r="L289" s="105" t="s">
        <v>343</v>
      </c>
      <c r="M289" s="105" t="s">
        <v>336</v>
      </c>
      <c r="N289" s="105" t="s">
        <v>337</v>
      </c>
      <c r="O289" s="105" t="s">
        <v>338</v>
      </c>
      <c r="P289" s="105" t="s">
        <v>339</v>
      </c>
      <c r="Q289" s="494">
        <v>0</v>
      </c>
      <c r="R289" s="494">
        <v>0</v>
      </c>
      <c r="S289" s="494">
        <v>76133</v>
      </c>
      <c r="T289" s="494">
        <v>76133</v>
      </c>
      <c r="U289" s="494">
        <v>22313</v>
      </c>
      <c r="V289" s="493">
        <v>2024</v>
      </c>
      <c r="W289" s="495"/>
      <c r="X289" s="496">
        <f t="shared" si="17"/>
        <v>3.4120467888674764</v>
      </c>
      <c r="Y289" s="497" t="str">
        <f t="shared" si="19"/>
        <v/>
      </c>
      <c r="Z289" s="497" t="str">
        <f t="shared" si="19"/>
        <v/>
      </c>
    </row>
    <row r="290" spans="1:26" s="82" customFormat="1" ht="32" x14ac:dyDescent="0.4">
      <c r="A290" s="493">
        <v>2619</v>
      </c>
      <c r="B290" s="105" t="s">
        <v>329</v>
      </c>
      <c r="C290" s="493" t="s">
        <v>330</v>
      </c>
      <c r="D290" s="105" t="s">
        <v>582</v>
      </c>
      <c r="E290" s="105" t="s">
        <v>520</v>
      </c>
      <c r="F290" s="493">
        <v>5914</v>
      </c>
      <c r="G290" s="105" t="s">
        <v>52</v>
      </c>
      <c r="H290" s="105" t="s">
        <v>333</v>
      </c>
      <c r="I290" s="105" t="s">
        <v>334</v>
      </c>
      <c r="J290" s="493">
        <v>22</v>
      </c>
      <c r="K290" s="493">
        <v>2</v>
      </c>
      <c r="L290" s="105" t="s">
        <v>343</v>
      </c>
      <c r="M290" s="105" t="s">
        <v>336</v>
      </c>
      <c r="N290" s="105" t="s">
        <v>337</v>
      </c>
      <c r="O290" s="105" t="s">
        <v>338</v>
      </c>
      <c r="P290" s="105" t="s">
        <v>339</v>
      </c>
      <c r="Q290" s="494">
        <v>0</v>
      </c>
      <c r="R290" s="494">
        <v>0</v>
      </c>
      <c r="S290" s="494">
        <v>479780</v>
      </c>
      <c r="T290" s="494">
        <v>479780</v>
      </c>
      <c r="U290" s="494">
        <v>140615</v>
      </c>
      <c r="V290" s="493">
        <v>2024</v>
      </c>
      <c r="W290" s="495"/>
      <c r="X290" s="496">
        <f t="shared" si="17"/>
        <v>3.4120115208192581</v>
      </c>
      <c r="Y290" s="497" t="str">
        <f t="shared" si="19"/>
        <v/>
      </c>
      <c r="Z290" s="497" t="str">
        <f t="shared" si="19"/>
        <v/>
      </c>
    </row>
    <row r="291" spans="1:26" s="82" customFormat="1" ht="32" x14ac:dyDescent="0.4">
      <c r="A291" s="493">
        <v>2621</v>
      </c>
      <c r="B291" s="105" t="s">
        <v>329</v>
      </c>
      <c r="C291" s="493" t="s">
        <v>330</v>
      </c>
      <c r="D291" s="105" t="s">
        <v>583</v>
      </c>
      <c r="E291" s="105" t="s">
        <v>520</v>
      </c>
      <c r="F291" s="493">
        <v>5914</v>
      </c>
      <c r="G291" s="105" t="s">
        <v>52</v>
      </c>
      <c r="H291" s="105" t="s">
        <v>333</v>
      </c>
      <c r="I291" s="105" t="s">
        <v>334</v>
      </c>
      <c r="J291" s="493">
        <v>22</v>
      </c>
      <c r="K291" s="493">
        <v>2</v>
      </c>
      <c r="L291" s="105" t="s">
        <v>343</v>
      </c>
      <c r="M291" s="105" t="s">
        <v>336</v>
      </c>
      <c r="N291" s="105" t="s">
        <v>337</v>
      </c>
      <c r="O291" s="105" t="s">
        <v>338</v>
      </c>
      <c r="P291" s="105" t="s">
        <v>339</v>
      </c>
      <c r="Q291" s="494">
        <v>0</v>
      </c>
      <c r="R291" s="494">
        <v>0</v>
      </c>
      <c r="S291" s="494">
        <v>75751</v>
      </c>
      <c r="T291" s="494">
        <v>75751</v>
      </c>
      <c r="U291" s="494">
        <v>22201</v>
      </c>
      <c r="V291" s="493">
        <v>2024</v>
      </c>
      <c r="W291" s="495"/>
      <c r="X291" s="496">
        <f t="shared" si="17"/>
        <v>3.4120535111031036</v>
      </c>
      <c r="Y291" s="497" t="str">
        <f t="shared" si="19"/>
        <v/>
      </c>
      <c r="Z291" s="497" t="str">
        <f t="shared" si="19"/>
        <v/>
      </c>
    </row>
    <row r="292" spans="1:26" s="82" customFormat="1" ht="32" x14ac:dyDescent="0.4">
      <c r="A292" s="493">
        <v>2623</v>
      </c>
      <c r="B292" s="105" t="s">
        <v>329</v>
      </c>
      <c r="C292" s="493" t="s">
        <v>330</v>
      </c>
      <c r="D292" s="105" t="s">
        <v>584</v>
      </c>
      <c r="E292" s="105" t="s">
        <v>520</v>
      </c>
      <c r="F292" s="493">
        <v>5914</v>
      </c>
      <c r="G292" s="105" t="s">
        <v>52</v>
      </c>
      <c r="H292" s="105" t="s">
        <v>333</v>
      </c>
      <c r="I292" s="105" t="s">
        <v>334</v>
      </c>
      <c r="J292" s="493">
        <v>22</v>
      </c>
      <c r="K292" s="493">
        <v>2</v>
      </c>
      <c r="L292" s="105" t="s">
        <v>343</v>
      </c>
      <c r="M292" s="105" t="s">
        <v>336</v>
      </c>
      <c r="N292" s="105" t="s">
        <v>337</v>
      </c>
      <c r="O292" s="105" t="s">
        <v>338</v>
      </c>
      <c r="P292" s="105" t="s">
        <v>339</v>
      </c>
      <c r="Q292" s="494">
        <v>0</v>
      </c>
      <c r="R292" s="494">
        <v>0</v>
      </c>
      <c r="S292" s="494">
        <v>42059</v>
      </c>
      <c r="T292" s="494">
        <v>42059</v>
      </c>
      <c r="U292" s="494">
        <v>12327</v>
      </c>
      <c r="V292" s="493">
        <v>2024</v>
      </c>
      <c r="W292" s="495"/>
      <c r="X292" s="496">
        <f t="shared" si="17"/>
        <v>3.4119412671371787</v>
      </c>
      <c r="Y292" s="497" t="str">
        <f t="shared" si="19"/>
        <v/>
      </c>
      <c r="Z292" s="497" t="str">
        <f t="shared" si="19"/>
        <v/>
      </c>
    </row>
    <row r="293" spans="1:26" s="82" customFormat="1" ht="32" x14ac:dyDescent="0.4">
      <c r="A293" s="493">
        <v>2624</v>
      </c>
      <c r="B293" s="105" t="s">
        <v>329</v>
      </c>
      <c r="C293" s="493" t="s">
        <v>330</v>
      </c>
      <c r="D293" s="105" t="s">
        <v>585</v>
      </c>
      <c r="E293" s="105" t="s">
        <v>520</v>
      </c>
      <c r="F293" s="493">
        <v>5914</v>
      </c>
      <c r="G293" s="105" t="s">
        <v>52</v>
      </c>
      <c r="H293" s="105" t="s">
        <v>333</v>
      </c>
      <c r="I293" s="105" t="s">
        <v>334</v>
      </c>
      <c r="J293" s="493">
        <v>22</v>
      </c>
      <c r="K293" s="493">
        <v>2</v>
      </c>
      <c r="L293" s="105" t="s">
        <v>343</v>
      </c>
      <c r="M293" s="105" t="s">
        <v>336</v>
      </c>
      <c r="N293" s="105" t="s">
        <v>337</v>
      </c>
      <c r="O293" s="105" t="s">
        <v>338</v>
      </c>
      <c r="P293" s="105" t="s">
        <v>339</v>
      </c>
      <c r="Q293" s="494">
        <v>0</v>
      </c>
      <c r="R293" s="494">
        <v>0</v>
      </c>
      <c r="S293" s="494">
        <v>12505</v>
      </c>
      <c r="T293" s="494">
        <v>12505</v>
      </c>
      <c r="U293" s="494">
        <v>3665</v>
      </c>
      <c r="V293" s="493">
        <v>2024</v>
      </c>
      <c r="W293" s="495"/>
      <c r="X293" s="496">
        <f t="shared" si="17"/>
        <v>3.4120054570259208</v>
      </c>
      <c r="Y293" s="497" t="str">
        <f t="shared" si="19"/>
        <v/>
      </c>
      <c r="Z293" s="497" t="str">
        <f t="shared" si="19"/>
        <v/>
      </c>
    </row>
    <row r="294" spans="1:26" s="82" customFormat="1" x14ac:dyDescent="0.4">
      <c r="A294" s="493">
        <v>2625</v>
      </c>
      <c r="B294" s="105" t="s">
        <v>329</v>
      </c>
      <c r="C294" s="493" t="s">
        <v>330</v>
      </c>
      <c r="D294" s="105" t="s">
        <v>586</v>
      </c>
      <c r="E294" s="105" t="s">
        <v>587</v>
      </c>
      <c r="F294" s="493">
        <v>64082</v>
      </c>
      <c r="G294" s="105" t="s">
        <v>52</v>
      </c>
      <c r="H294" s="105" t="s">
        <v>333</v>
      </c>
      <c r="I294" s="105" t="s">
        <v>334</v>
      </c>
      <c r="J294" s="493">
        <v>22</v>
      </c>
      <c r="K294" s="493">
        <v>2</v>
      </c>
      <c r="L294" s="105" t="s">
        <v>343</v>
      </c>
      <c r="M294" s="105" t="s">
        <v>360</v>
      </c>
      <c r="N294" s="105" t="s">
        <v>228</v>
      </c>
      <c r="O294" s="105" t="s">
        <v>228</v>
      </c>
      <c r="P294" s="105" t="s">
        <v>356</v>
      </c>
      <c r="Q294" s="494">
        <v>13066500</v>
      </c>
      <c r="R294" s="494">
        <v>13066500</v>
      </c>
      <c r="S294" s="494">
        <v>13412753</v>
      </c>
      <c r="T294" s="494">
        <v>13412753</v>
      </c>
      <c r="U294" s="494">
        <v>1285748.3</v>
      </c>
      <c r="V294" s="493">
        <v>2024</v>
      </c>
      <c r="W294" s="495" t="s">
        <v>355</v>
      </c>
      <c r="X294" s="496">
        <f t="shared" si="17"/>
        <v>10.43186524143178</v>
      </c>
      <c r="Y294" s="497" t="str">
        <f t="shared" si="19"/>
        <v/>
      </c>
      <c r="Z294" s="497" t="str">
        <f t="shared" si="19"/>
        <v/>
      </c>
    </row>
    <row r="295" spans="1:26" s="82" customFormat="1" x14ac:dyDescent="0.4">
      <c r="A295" s="493">
        <v>2625</v>
      </c>
      <c r="B295" s="105" t="s">
        <v>329</v>
      </c>
      <c r="C295" s="493" t="s">
        <v>330</v>
      </c>
      <c r="D295" s="105" t="s">
        <v>586</v>
      </c>
      <c r="E295" s="105" t="s">
        <v>587</v>
      </c>
      <c r="F295" s="493">
        <v>64082</v>
      </c>
      <c r="G295" s="105" t="s">
        <v>52</v>
      </c>
      <c r="H295" s="105" t="s">
        <v>333</v>
      </c>
      <c r="I295" s="105" t="s">
        <v>334</v>
      </c>
      <c r="J295" s="493">
        <v>22</v>
      </c>
      <c r="K295" s="493">
        <v>2</v>
      </c>
      <c r="L295" s="105" t="s">
        <v>343</v>
      </c>
      <c r="M295" s="105" t="s">
        <v>360</v>
      </c>
      <c r="N295" s="105" t="s">
        <v>238</v>
      </c>
      <c r="O295" s="105" t="s">
        <v>238</v>
      </c>
      <c r="P295" s="105" t="s">
        <v>350</v>
      </c>
      <c r="Q295" s="494">
        <v>360</v>
      </c>
      <c r="R295" s="494">
        <v>360</v>
      </c>
      <c r="S295" s="494">
        <v>2203</v>
      </c>
      <c r="T295" s="494">
        <v>2203</v>
      </c>
      <c r="U295" s="494">
        <v>195.72800000000001</v>
      </c>
      <c r="V295" s="493">
        <v>2024</v>
      </c>
      <c r="W295" s="495" t="s">
        <v>355</v>
      </c>
      <c r="X295" s="496">
        <f t="shared" si="17"/>
        <v>11.255415678901333</v>
      </c>
      <c r="Y295" s="497" t="str">
        <f t="shared" si="19"/>
        <v/>
      </c>
      <c r="Z295" s="497" t="str">
        <f t="shared" si="19"/>
        <v/>
      </c>
    </row>
    <row r="296" spans="1:26" s="82" customFormat="1" ht="32" x14ac:dyDescent="0.4">
      <c r="A296" s="493">
        <v>2627</v>
      </c>
      <c r="B296" s="105" t="s">
        <v>329</v>
      </c>
      <c r="C296" s="493" t="s">
        <v>330</v>
      </c>
      <c r="D296" s="105" t="s">
        <v>588</v>
      </c>
      <c r="E296" s="105" t="s">
        <v>332</v>
      </c>
      <c r="F296" s="493">
        <v>15296</v>
      </c>
      <c r="G296" s="105" t="s">
        <v>52</v>
      </c>
      <c r="H296" s="105" t="s">
        <v>333</v>
      </c>
      <c r="I296" s="105" t="s">
        <v>334</v>
      </c>
      <c r="J296" s="493">
        <v>22</v>
      </c>
      <c r="K296" s="493">
        <v>1</v>
      </c>
      <c r="L296" s="105" t="s">
        <v>335</v>
      </c>
      <c r="M296" s="105" t="s">
        <v>336</v>
      </c>
      <c r="N296" s="105" t="s">
        <v>337</v>
      </c>
      <c r="O296" s="105" t="s">
        <v>338</v>
      </c>
      <c r="P296" s="105" t="s">
        <v>339</v>
      </c>
      <c r="Q296" s="494">
        <v>0</v>
      </c>
      <c r="R296" s="494">
        <v>0</v>
      </c>
      <c r="S296" s="494">
        <v>280972</v>
      </c>
      <c r="T296" s="494">
        <v>280972</v>
      </c>
      <c r="U296" s="494">
        <v>82348</v>
      </c>
      <c r="V296" s="493">
        <v>2024</v>
      </c>
      <c r="W296" s="495"/>
      <c r="X296" s="496">
        <f t="shared" si="17"/>
        <v>3.4120075775975129</v>
      </c>
      <c r="Y296" s="497" t="str">
        <f t="shared" si="19"/>
        <v/>
      </c>
      <c r="Z296" s="497" t="str">
        <f t="shared" si="19"/>
        <v/>
      </c>
    </row>
    <row r="297" spans="1:26" s="82" customFormat="1" x14ac:dyDescent="0.4">
      <c r="A297" s="493">
        <v>2628</v>
      </c>
      <c r="B297" s="105" t="s">
        <v>329</v>
      </c>
      <c r="C297" s="493" t="s">
        <v>330</v>
      </c>
      <c r="D297" s="105" t="s">
        <v>589</v>
      </c>
      <c r="E297" s="105" t="s">
        <v>590</v>
      </c>
      <c r="F297" s="493">
        <v>56142</v>
      </c>
      <c r="G297" s="105" t="s">
        <v>52</v>
      </c>
      <c r="H297" s="105" t="s">
        <v>333</v>
      </c>
      <c r="I297" s="105" t="s">
        <v>334</v>
      </c>
      <c r="J297" s="493">
        <v>22</v>
      </c>
      <c r="K297" s="493">
        <v>2</v>
      </c>
      <c r="L297" s="105" t="s">
        <v>343</v>
      </c>
      <c r="M297" s="105" t="s">
        <v>295</v>
      </c>
      <c r="N297" s="105" t="s">
        <v>240</v>
      </c>
      <c r="O297" s="105" t="s">
        <v>349</v>
      </c>
      <c r="P297" s="105" t="s">
        <v>350</v>
      </c>
      <c r="Q297" s="494">
        <v>0</v>
      </c>
      <c r="R297" s="494">
        <v>0</v>
      </c>
      <c r="S297" s="494">
        <v>0</v>
      </c>
      <c r="T297" s="494">
        <v>0</v>
      </c>
      <c r="U297" s="494">
        <v>0</v>
      </c>
      <c r="V297" s="493">
        <v>2024</v>
      </c>
      <c r="W297" s="495" t="s">
        <v>355</v>
      </c>
      <c r="X297" s="496" t="str">
        <f t="shared" si="17"/>
        <v/>
      </c>
      <c r="Y297" s="497" t="str">
        <f t="shared" si="19"/>
        <v/>
      </c>
      <c r="Z297" s="497" t="str">
        <f t="shared" si="19"/>
        <v/>
      </c>
    </row>
    <row r="298" spans="1:26" s="82" customFormat="1" x14ac:dyDescent="0.4">
      <c r="A298" s="493">
        <v>2628</v>
      </c>
      <c r="B298" s="105" t="s">
        <v>329</v>
      </c>
      <c r="C298" s="493" t="s">
        <v>330</v>
      </c>
      <c r="D298" s="105" t="s">
        <v>589</v>
      </c>
      <c r="E298" s="105" t="s">
        <v>590</v>
      </c>
      <c r="F298" s="493">
        <v>56142</v>
      </c>
      <c r="G298" s="105" t="s">
        <v>52</v>
      </c>
      <c r="H298" s="105" t="s">
        <v>333</v>
      </c>
      <c r="I298" s="105" t="s">
        <v>334</v>
      </c>
      <c r="J298" s="493">
        <v>22</v>
      </c>
      <c r="K298" s="493">
        <v>2</v>
      </c>
      <c r="L298" s="105" t="s">
        <v>343</v>
      </c>
      <c r="M298" s="105" t="s">
        <v>295</v>
      </c>
      <c r="N298" s="105" t="s">
        <v>242</v>
      </c>
      <c r="O298" s="105" t="s">
        <v>349</v>
      </c>
      <c r="P298" s="105" t="s">
        <v>350</v>
      </c>
      <c r="Q298" s="494">
        <v>0</v>
      </c>
      <c r="R298" s="494">
        <v>0</v>
      </c>
      <c r="S298" s="494">
        <v>0</v>
      </c>
      <c r="T298" s="494">
        <v>0</v>
      </c>
      <c r="U298" s="494">
        <v>0</v>
      </c>
      <c r="V298" s="493">
        <v>2024</v>
      </c>
      <c r="W298" s="495" t="s">
        <v>355</v>
      </c>
      <c r="X298" s="496" t="str">
        <f t="shared" si="17"/>
        <v/>
      </c>
      <c r="Y298" s="497" t="str">
        <f t="shared" si="19"/>
        <v/>
      </c>
      <c r="Z298" s="497" t="str">
        <f t="shared" si="19"/>
        <v/>
      </c>
    </row>
    <row r="299" spans="1:26" s="82" customFormat="1" x14ac:dyDescent="0.4">
      <c r="A299" s="493">
        <v>2628</v>
      </c>
      <c r="B299" s="105" t="s">
        <v>329</v>
      </c>
      <c r="C299" s="493" t="s">
        <v>330</v>
      </c>
      <c r="D299" s="105" t="s">
        <v>589</v>
      </c>
      <c r="E299" s="105" t="s">
        <v>590</v>
      </c>
      <c r="F299" s="493">
        <v>56142</v>
      </c>
      <c r="G299" s="105" t="s">
        <v>52</v>
      </c>
      <c r="H299" s="105" t="s">
        <v>333</v>
      </c>
      <c r="I299" s="105" t="s">
        <v>334</v>
      </c>
      <c r="J299" s="493">
        <v>22</v>
      </c>
      <c r="K299" s="493">
        <v>2</v>
      </c>
      <c r="L299" s="105" t="s">
        <v>343</v>
      </c>
      <c r="M299" s="105" t="s">
        <v>295</v>
      </c>
      <c r="N299" s="105" t="s">
        <v>228</v>
      </c>
      <c r="O299" s="105" t="s">
        <v>228</v>
      </c>
      <c r="P299" s="105" t="s">
        <v>356</v>
      </c>
      <c r="Q299" s="494">
        <v>9677</v>
      </c>
      <c r="R299" s="494">
        <v>9677</v>
      </c>
      <c r="S299" s="494">
        <v>9938</v>
      </c>
      <c r="T299" s="494">
        <v>9938</v>
      </c>
      <c r="U299" s="494">
        <v>527</v>
      </c>
      <c r="V299" s="493">
        <v>2024</v>
      </c>
      <c r="W299" s="495" t="s">
        <v>355</v>
      </c>
      <c r="X299" s="496">
        <f t="shared" si="17"/>
        <v>18.857685009487668</v>
      </c>
      <c r="Y299" s="497" t="str">
        <f t="shared" si="19"/>
        <v/>
      </c>
      <c r="Z299" s="497" t="str">
        <f t="shared" si="19"/>
        <v/>
      </c>
    </row>
    <row r="300" spans="1:26" s="82" customFormat="1" ht="32" x14ac:dyDescent="0.4">
      <c r="A300" s="493">
        <v>2630</v>
      </c>
      <c r="B300" s="105" t="s">
        <v>329</v>
      </c>
      <c r="C300" s="493" t="s">
        <v>330</v>
      </c>
      <c r="D300" s="105" t="s">
        <v>591</v>
      </c>
      <c r="E300" s="105" t="s">
        <v>592</v>
      </c>
      <c r="F300" s="493">
        <v>57280</v>
      </c>
      <c r="G300" s="105" t="s">
        <v>52</v>
      </c>
      <c r="H300" s="105" t="s">
        <v>333</v>
      </c>
      <c r="I300" s="105" t="s">
        <v>334</v>
      </c>
      <c r="J300" s="493">
        <v>22</v>
      </c>
      <c r="K300" s="493">
        <v>2</v>
      </c>
      <c r="L300" s="105" t="s">
        <v>343</v>
      </c>
      <c r="M300" s="105" t="s">
        <v>336</v>
      </c>
      <c r="N300" s="105" t="s">
        <v>337</v>
      </c>
      <c r="O300" s="105" t="s">
        <v>338</v>
      </c>
      <c r="P300" s="105" t="s">
        <v>339</v>
      </c>
      <c r="Q300" s="494">
        <v>0</v>
      </c>
      <c r="R300" s="494">
        <v>0</v>
      </c>
      <c r="S300" s="494">
        <v>34263</v>
      </c>
      <c r="T300" s="494">
        <v>34263</v>
      </c>
      <c r="U300" s="494">
        <v>10042</v>
      </c>
      <c r="V300" s="493">
        <v>2024</v>
      </c>
      <c r="W300" s="495"/>
      <c r="X300" s="496">
        <f t="shared" si="17"/>
        <v>3.411969727145987</v>
      </c>
      <c r="Y300" s="497" t="str">
        <f t="shared" si="19"/>
        <v/>
      </c>
      <c r="Z300" s="497" t="str">
        <f t="shared" si="19"/>
        <v/>
      </c>
    </row>
    <row r="301" spans="1:26" s="82" customFormat="1" ht="32" x14ac:dyDescent="0.4">
      <c r="A301" s="493">
        <v>2631</v>
      </c>
      <c r="B301" s="105" t="s">
        <v>329</v>
      </c>
      <c r="C301" s="493" t="s">
        <v>330</v>
      </c>
      <c r="D301" s="105" t="s">
        <v>593</v>
      </c>
      <c r="E301" s="105" t="s">
        <v>592</v>
      </c>
      <c r="F301" s="493">
        <v>57280</v>
      </c>
      <c r="G301" s="105" t="s">
        <v>52</v>
      </c>
      <c r="H301" s="105" t="s">
        <v>333</v>
      </c>
      <c r="I301" s="105" t="s">
        <v>334</v>
      </c>
      <c r="J301" s="493">
        <v>22</v>
      </c>
      <c r="K301" s="493">
        <v>2</v>
      </c>
      <c r="L301" s="105" t="s">
        <v>343</v>
      </c>
      <c r="M301" s="105" t="s">
        <v>336</v>
      </c>
      <c r="N301" s="105" t="s">
        <v>337</v>
      </c>
      <c r="O301" s="105" t="s">
        <v>338</v>
      </c>
      <c r="P301" s="105" t="s">
        <v>339</v>
      </c>
      <c r="Q301" s="494">
        <v>0</v>
      </c>
      <c r="R301" s="494">
        <v>0</v>
      </c>
      <c r="S301" s="494">
        <v>72403</v>
      </c>
      <c r="T301" s="494">
        <v>72403</v>
      </c>
      <c r="U301" s="494">
        <v>21220</v>
      </c>
      <c r="V301" s="493">
        <v>2024</v>
      </c>
      <c r="W301" s="495"/>
      <c r="X301" s="496">
        <f t="shared" si="17"/>
        <v>3.4120169651272385</v>
      </c>
      <c r="Y301" s="497" t="str">
        <f t="shared" si="19"/>
        <v/>
      </c>
      <c r="Z301" s="497" t="str">
        <f t="shared" si="19"/>
        <v/>
      </c>
    </row>
    <row r="302" spans="1:26" s="82" customFormat="1" x14ac:dyDescent="0.4">
      <c r="A302" s="493">
        <v>2632</v>
      </c>
      <c r="B302" s="105" t="s">
        <v>329</v>
      </c>
      <c r="C302" s="493" t="s">
        <v>330</v>
      </c>
      <c r="D302" s="105" t="s">
        <v>594</v>
      </c>
      <c r="E302" s="105" t="s">
        <v>590</v>
      </c>
      <c r="F302" s="493">
        <v>56142</v>
      </c>
      <c r="G302" s="105" t="s">
        <v>52</v>
      </c>
      <c r="H302" s="105" t="s">
        <v>333</v>
      </c>
      <c r="I302" s="105" t="s">
        <v>334</v>
      </c>
      <c r="J302" s="493">
        <v>22</v>
      </c>
      <c r="K302" s="493">
        <v>2</v>
      </c>
      <c r="L302" s="105" t="s">
        <v>343</v>
      </c>
      <c r="M302" s="105" t="s">
        <v>295</v>
      </c>
      <c r="N302" s="105" t="s">
        <v>240</v>
      </c>
      <c r="O302" s="105" t="s">
        <v>349</v>
      </c>
      <c r="P302" s="105" t="s">
        <v>350</v>
      </c>
      <c r="Q302" s="494">
        <v>0</v>
      </c>
      <c r="R302" s="494">
        <v>0</v>
      </c>
      <c r="S302" s="494">
        <v>0</v>
      </c>
      <c r="T302" s="494">
        <v>0</v>
      </c>
      <c r="U302" s="494">
        <v>0</v>
      </c>
      <c r="V302" s="493">
        <v>2024</v>
      </c>
      <c r="W302" s="495" t="s">
        <v>355</v>
      </c>
      <c r="X302" s="496" t="str">
        <f t="shared" si="17"/>
        <v/>
      </c>
      <c r="Y302" s="497" t="str">
        <f t="shared" si="19"/>
        <v/>
      </c>
      <c r="Z302" s="497" t="str">
        <f t="shared" si="19"/>
        <v/>
      </c>
    </row>
    <row r="303" spans="1:26" s="82" customFormat="1" x14ac:dyDescent="0.4">
      <c r="A303" s="493">
        <v>2632</v>
      </c>
      <c r="B303" s="105" t="s">
        <v>329</v>
      </c>
      <c r="C303" s="493" t="s">
        <v>330</v>
      </c>
      <c r="D303" s="105" t="s">
        <v>594</v>
      </c>
      <c r="E303" s="105" t="s">
        <v>590</v>
      </c>
      <c r="F303" s="493">
        <v>56142</v>
      </c>
      <c r="G303" s="105" t="s">
        <v>52</v>
      </c>
      <c r="H303" s="105" t="s">
        <v>333</v>
      </c>
      <c r="I303" s="105" t="s">
        <v>334</v>
      </c>
      <c r="J303" s="493">
        <v>22</v>
      </c>
      <c r="K303" s="493">
        <v>2</v>
      </c>
      <c r="L303" s="105" t="s">
        <v>343</v>
      </c>
      <c r="M303" s="105" t="s">
        <v>295</v>
      </c>
      <c r="N303" s="105" t="s">
        <v>242</v>
      </c>
      <c r="O303" s="105" t="s">
        <v>349</v>
      </c>
      <c r="P303" s="105" t="s">
        <v>350</v>
      </c>
      <c r="Q303" s="494">
        <v>0</v>
      </c>
      <c r="R303" s="494">
        <v>0</v>
      </c>
      <c r="S303" s="494">
        <v>0</v>
      </c>
      <c r="T303" s="494">
        <v>0</v>
      </c>
      <c r="U303" s="494">
        <v>0</v>
      </c>
      <c r="V303" s="493">
        <v>2024</v>
      </c>
      <c r="W303" s="495" t="s">
        <v>355</v>
      </c>
      <c r="X303" s="496" t="str">
        <f t="shared" si="17"/>
        <v/>
      </c>
      <c r="Y303" s="497" t="str">
        <f t="shared" si="19"/>
        <v/>
      </c>
      <c r="Z303" s="497" t="str">
        <f t="shared" si="19"/>
        <v/>
      </c>
    </row>
    <row r="304" spans="1:26" s="82" customFormat="1" x14ac:dyDescent="0.4">
      <c r="A304" s="493">
        <v>2632</v>
      </c>
      <c r="B304" s="105" t="s">
        <v>329</v>
      </c>
      <c r="C304" s="493" t="s">
        <v>330</v>
      </c>
      <c r="D304" s="105" t="s">
        <v>594</v>
      </c>
      <c r="E304" s="105" t="s">
        <v>590</v>
      </c>
      <c r="F304" s="493">
        <v>56142</v>
      </c>
      <c r="G304" s="105" t="s">
        <v>52</v>
      </c>
      <c r="H304" s="105" t="s">
        <v>333</v>
      </c>
      <c r="I304" s="105" t="s">
        <v>334</v>
      </c>
      <c r="J304" s="493">
        <v>22</v>
      </c>
      <c r="K304" s="493">
        <v>2</v>
      </c>
      <c r="L304" s="105" t="s">
        <v>343</v>
      </c>
      <c r="M304" s="105" t="s">
        <v>295</v>
      </c>
      <c r="N304" s="105" t="s">
        <v>228</v>
      </c>
      <c r="O304" s="105" t="s">
        <v>228</v>
      </c>
      <c r="P304" s="105" t="s">
        <v>356</v>
      </c>
      <c r="Q304" s="494">
        <v>5324</v>
      </c>
      <c r="R304" s="494">
        <v>5324</v>
      </c>
      <c r="S304" s="494">
        <v>5462</v>
      </c>
      <c r="T304" s="494">
        <v>5462</v>
      </c>
      <c r="U304" s="494">
        <v>289</v>
      </c>
      <c r="V304" s="493">
        <v>2024</v>
      </c>
      <c r="W304" s="495" t="s">
        <v>355</v>
      </c>
      <c r="X304" s="496">
        <f t="shared" si="17"/>
        <v>18.899653979238753</v>
      </c>
      <c r="Y304" s="497" t="str">
        <f t="shared" si="19"/>
        <v/>
      </c>
      <c r="Z304" s="497" t="str">
        <f t="shared" si="19"/>
        <v/>
      </c>
    </row>
    <row r="305" spans="1:26" s="82" customFormat="1" ht="32" x14ac:dyDescent="0.4">
      <c r="A305" s="493">
        <v>2634</v>
      </c>
      <c r="B305" s="105" t="s">
        <v>329</v>
      </c>
      <c r="C305" s="493" t="s">
        <v>330</v>
      </c>
      <c r="D305" s="105" t="s">
        <v>595</v>
      </c>
      <c r="E305" s="105" t="s">
        <v>592</v>
      </c>
      <c r="F305" s="493">
        <v>57280</v>
      </c>
      <c r="G305" s="105" t="s">
        <v>52</v>
      </c>
      <c r="H305" s="105" t="s">
        <v>333</v>
      </c>
      <c r="I305" s="105" t="s">
        <v>334</v>
      </c>
      <c r="J305" s="493">
        <v>22</v>
      </c>
      <c r="K305" s="493">
        <v>2</v>
      </c>
      <c r="L305" s="105" t="s">
        <v>343</v>
      </c>
      <c r="M305" s="105" t="s">
        <v>336</v>
      </c>
      <c r="N305" s="105" t="s">
        <v>337</v>
      </c>
      <c r="O305" s="105" t="s">
        <v>338</v>
      </c>
      <c r="P305" s="105" t="s">
        <v>339</v>
      </c>
      <c r="Q305" s="494">
        <v>0</v>
      </c>
      <c r="R305" s="494">
        <v>0</v>
      </c>
      <c r="S305" s="494">
        <v>55490</v>
      </c>
      <c r="T305" s="494">
        <v>55490</v>
      </c>
      <c r="U305" s="494">
        <v>16263</v>
      </c>
      <c r="V305" s="493">
        <v>2024</v>
      </c>
      <c r="W305" s="495"/>
      <c r="X305" s="496">
        <f t="shared" si="17"/>
        <v>3.412039599089959</v>
      </c>
      <c r="Y305" s="497" t="str">
        <f t="shared" si="19"/>
        <v/>
      </c>
      <c r="Z305" s="497" t="str">
        <f t="shared" si="19"/>
        <v/>
      </c>
    </row>
    <row r="306" spans="1:26" s="82" customFormat="1" ht="32" x14ac:dyDescent="0.4">
      <c r="A306" s="493">
        <v>2638</v>
      </c>
      <c r="B306" s="105" t="s">
        <v>329</v>
      </c>
      <c r="C306" s="493" t="s">
        <v>330</v>
      </c>
      <c r="D306" s="105" t="s">
        <v>596</v>
      </c>
      <c r="E306" s="105" t="s">
        <v>597</v>
      </c>
      <c r="F306" s="493">
        <v>16183</v>
      </c>
      <c r="G306" s="105" t="s">
        <v>52</v>
      </c>
      <c r="H306" s="105" t="s">
        <v>333</v>
      </c>
      <c r="I306" s="105" t="s">
        <v>334</v>
      </c>
      <c r="J306" s="493">
        <v>22</v>
      </c>
      <c r="K306" s="493">
        <v>1</v>
      </c>
      <c r="L306" s="105" t="s">
        <v>335</v>
      </c>
      <c r="M306" s="105" t="s">
        <v>336</v>
      </c>
      <c r="N306" s="105" t="s">
        <v>337</v>
      </c>
      <c r="O306" s="105" t="s">
        <v>338</v>
      </c>
      <c r="P306" s="105" t="s">
        <v>339</v>
      </c>
      <c r="Q306" s="494">
        <v>0</v>
      </c>
      <c r="R306" s="494">
        <v>0</v>
      </c>
      <c r="S306" s="494">
        <v>16993</v>
      </c>
      <c r="T306" s="494">
        <v>16993</v>
      </c>
      <c r="U306" s="494">
        <v>4980</v>
      </c>
      <c r="V306" s="493">
        <v>2024</v>
      </c>
      <c r="W306" s="495"/>
      <c r="X306" s="496">
        <f t="shared" si="17"/>
        <v>3.4122489959839357</v>
      </c>
      <c r="Y306" s="497" t="str">
        <f t="shared" si="19"/>
        <v/>
      </c>
      <c r="Z306" s="497" t="str">
        <f t="shared" si="19"/>
        <v/>
      </c>
    </row>
    <row r="307" spans="1:26" s="82" customFormat="1" ht="32" x14ac:dyDescent="0.4">
      <c r="A307" s="493">
        <v>2641</v>
      </c>
      <c r="B307" s="105" t="s">
        <v>329</v>
      </c>
      <c r="C307" s="493" t="s">
        <v>330</v>
      </c>
      <c r="D307" s="105" t="s">
        <v>598</v>
      </c>
      <c r="E307" s="105" t="s">
        <v>597</v>
      </c>
      <c r="F307" s="493">
        <v>16183</v>
      </c>
      <c r="G307" s="105" t="s">
        <v>52</v>
      </c>
      <c r="H307" s="105" t="s">
        <v>333</v>
      </c>
      <c r="I307" s="105" t="s">
        <v>334</v>
      </c>
      <c r="J307" s="493">
        <v>22</v>
      </c>
      <c r="K307" s="493">
        <v>1</v>
      </c>
      <c r="L307" s="105" t="s">
        <v>335</v>
      </c>
      <c r="M307" s="105" t="s">
        <v>336</v>
      </c>
      <c r="N307" s="105" t="s">
        <v>337</v>
      </c>
      <c r="O307" s="105" t="s">
        <v>338</v>
      </c>
      <c r="P307" s="105" t="s">
        <v>339</v>
      </c>
      <c r="Q307" s="494">
        <v>0</v>
      </c>
      <c r="R307" s="494">
        <v>0</v>
      </c>
      <c r="S307" s="494">
        <v>0</v>
      </c>
      <c r="T307" s="494">
        <v>0</v>
      </c>
      <c r="U307" s="494">
        <v>0</v>
      </c>
      <c r="V307" s="493">
        <v>2024</v>
      </c>
      <c r="W307" s="495"/>
      <c r="X307" s="496" t="str">
        <f t="shared" si="17"/>
        <v/>
      </c>
      <c r="Y307" s="497" t="str">
        <f t="shared" si="19"/>
        <v/>
      </c>
      <c r="Z307" s="497" t="str">
        <f t="shared" si="19"/>
        <v/>
      </c>
    </row>
    <row r="308" spans="1:26" s="82" customFormat="1" x14ac:dyDescent="0.4">
      <c r="A308" s="493">
        <v>2678</v>
      </c>
      <c r="B308" s="105" t="s">
        <v>329</v>
      </c>
      <c r="C308" s="493" t="s">
        <v>330</v>
      </c>
      <c r="D308" s="105" t="s">
        <v>599</v>
      </c>
      <c r="E308" s="105" t="s">
        <v>600</v>
      </c>
      <c r="F308" s="493">
        <v>6775</v>
      </c>
      <c r="G308" s="105" t="s">
        <v>52</v>
      </c>
      <c r="H308" s="105" t="s">
        <v>333</v>
      </c>
      <c r="I308" s="105" t="s">
        <v>334</v>
      </c>
      <c r="J308" s="493">
        <v>22</v>
      </c>
      <c r="K308" s="493">
        <v>1</v>
      </c>
      <c r="L308" s="105" t="s">
        <v>335</v>
      </c>
      <c r="M308" s="105" t="s">
        <v>359</v>
      </c>
      <c r="N308" s="105" t="s">
        <v>226</v>
      </c>
      <c r="O308" s="105" t="s">
        <v>226</v>
      </c>
      <c r="P308" s="105" t="s">
        <v>350</v>
      </c>
      <c r="Q308" s="494">
        <v>42</v>
      </c>
      <c r="R308" s="494">
        <v>42</v>
      </c>
      <c r="S308" s="494">
        <v>238</v>
      </c>
      <c r="T308" s="494">
        <v>238</v>
      </c>
      <c r="U308" s="494">
        <v>17</v>
      </c>
      <c r="V308" s="493">
        <v>2024</v>
      </c>
      <c r="W308" s="495"/>
      <c r="X308" s="496">
        <f t="shared" si="17"/>
        <v>14</v>
      </c>
      <c r="Y308" s="497" t="str">
        <f t="shared" ref="Y308:Z327" si="20">IF(AND($M308=$Y$2,$N308=$Y$3,NOT($Q308=$R308),NOT($U308=0)),IF($K308=5,$S308/($U308+(8/5)*$U308),IF($K308=7,$S308/($U308+(29/25)*$U308),"")),"")</f>
        <v/>
      </c>
      <c r="Z308" s="497" t="str">
        <f t="shared" si="20"/>
        <v/>
      </c>
    </row>
    <row r="309" spans="1:26" s="82" customFormat="1" x14ac:dyDescent="0.4">
      <c r="A309" s="493">
        <v>2679</v>
      </c>
      <c r="B309" s="105" t="s">
        <v>329</v>
      </c>
      <c r="C309" s="493" t="s">
        <v>330</v>
      </c>
      <c r="D309" s="105" t="s">
        <v>601</v>
      </c>
      <c r="E309" s="105" t="s">
        <v>600</v>
      </c>
      <c r="F309" s="493">
        <v>6775</v>
      </c>
      <c r="G309" s="105" t="s">
        <v>52</v>
      </c>
      <c r="H309" s="105" t="s">
        <v>333</v>
      </c>
      <c r="I309" s="105" t="s">
        <v>334</v>
      </c>
      <c r="J309" s="493">
        <v>22</v>
      </c>
      <c r="K309" s="493">
        <v>1</v>
      </c>
      <c r="L309" s="105" t="s">
        <v>335</v>
      </c>
      <c r="M309" s="105" t="s">
        <v>295</v>
      </c>
      <c r="N309" s="105" t="s">
        <v>226</v>
      </c>
      <c r="O309" s="105" t="s">
        <v>226</v>
      </c>
      <c r="P309" s="105" t="s">
        <v>350</v>
      </c>
      <c r="Q309" s="494">
        <v>0</v>
      </c>
      <c r="R309" s="494">
        <v>0</v>
      </c>
      <c r="S309" s="494">
        <v>0</v>
      </c>
      <c r="T309" s="494">
        <v>0</v>
      </c>
      <c r="U309" s="494">
        <v>0</v>
      </c>
      <c r="V309" s="493">
        <v>2024</v>
      </c>
      <c r="W309" s="495" t="s">
        <v>355</v>
      </c>
      <c r="X309" s="496" t="str">
        <f t="shared" si="17"/>
        <v/>
      </c>
      <c r="Y309" s="497" t="str">
        <f t="shared" si="20"/>
        <v/>
      </c>
      <c r="Z309" s="497" t="str">
        <f t="shared" si="20"/>
        <v/>
      </c>
    </row>
    <row r="310" spans="1:26" s="82" customFormat="1" x14ac:dyDescent="0.4">
      <c r="A310" s="493">
        <v>2679</v>
      </c>
      <c r="B310" s="105" t="s">
        <v>329</v>
      </c>
      <c r="C310" s="493" t="s">
        <v>330</v>
      </c>
      <c r="D310" s="105" t="s">
        <v>601</v>
      </c>
      <c r="E310" s="105" t="s">
        <v>600</v>
      </c>
      <c r="F310" s="493">
        <v>6775</v>
      </c>
      <c r="G310" s="105" t="s">
        <v>52</v>
      </c>
      <c r="H310" s="105" t="s">
        <v>333</v>
      </c>
      <c r="I310" s="105" t="s">
        <v>334</v>
      </c>
      <c r="J310" s="493">
        <v>22</v>
      </c>
      <c r="K310" s="493">
        <v>1</v>
      </c>
      <c r="L310" s="105" t="s">
        <v>335</v>
      </c>
      <c r="M310" s="105" t="s">
        <v>295</v>
      </c>
      <c r="N310" s="105" t="s">
        <v>242</v>
      </c>
      <c r="O310" s="105" t="s">
        <v>349</v>
      </c>
      <c r="P310" s="105" t="s">
        <v>350</v>
      </c>
      <c r="Q310" s="494">
        <v>170</v>
      </c>
      <c r="R310" s="494">
        <v>170</v>
      </c>
      <c r="S310" s="494">
        <v>964</v>
      </c>
      <c r="T310" s="494">
        <v>964</v>
      </c>
      <c r="U310" s="494">
        <v>94.096999999999994</v>
      </c>
      <c r="V310" s="493">
        <v>2024</v>
      </c>
      <c r="W310" s="495" t="s">
        <v>355</v>
      </c>
      <c r="X310" s="496">
        <f t="shared" si="17"/>
        <v>10.244747441469974</v>
      </c>
      <c r="Y310" s="497" t="str">
        <f t="shared" si="20"/>
        <v/>
      </c>
      <c r="Z310" s="497" t="str">
        <f t="shared" si="20"/>
        <v/>
      </c>
    </row>
    <row r="311" spans="1:26" s="82" customFormat="1" x14ac:dyDescent="0.4">
      <c r="A311" s="493">
        <v>2679</v>
      </c>
      <c r="B311" s="105" t="s">
        <v>329</v>
      </c>
      <c r="C311" s="493" t="s">
        <v>330</v>
      </c>
      <c r="D311" s="105" t="s">
        <v>601</v>
      </c>
      <c r="E311" s="105" t="s">
        <v>600</v>
      </c>
      <c r="F311" s="493">
        <v>6775</v>
      </c>
      <c r="G311" s="105" t="s">
        <v>52</v>
      </c>
      <c r="H311" s="105" t="s">
        <v>333</v>
      </c>
      <c r="I311" s="105" t="s">
        <v>334</v>
      </c>
      <c r="J311" s="493">
        <v>22</v>
      </c>
      <c r="K311" s="493">
        <v>1</v>
      </c>
      <c r="L311" s="105" t="s">
        <v>335</v>
      </c>
      <c r="M311" s="105" t="s">
        <v>295</v>
      </c>
      <c r="N311" s="105" t="s">
        <v>228</v>
      </c>
      <c r="O311" s="105" t="s">
        <v>228</v>
      </c>
      <c r="P311" s="105" t="s">
        <v>356</v>
      </c>
      <c r="Q311" s="494">
        <v>306206</v>
      </c>
      <c r="R311" s="494">
        <v>306206</v>
      </c>
      <c r="S311" s="494">
        <v>315392</v>
      </c>
      <c r="T311" s="494">
        <v>315392</v>
      </c>
      <c r="U311" s="494">
        <v>30970.903999999999</v>
      </c>
      <c r="V311" s="493">
        <v>2024</v>
      </c>
      <c r="W311" s="495" t="s">
        <v>355</v>
      </c>
      <c r="X311" s="496">
        <f t="shared" si="17"/>
        <v>10.18349351378313</v>
      </c>
      <c r="Y311" s="497" t="str">
        <f t="shared" si="20"/>
        <v/>
      </c>
      <c r="Z311" s="497" t="str">
        <f t="shared" si="20"/>
        <v/>
      </c>
    </row>
    <row r="312" spans="1:26" s="82" customFormat="1" ht="32" x14ac:dyDescent="0.4">
      <c r="A312" s="493">
        <v>2681</v>
      </c>
      <c r="B312" s="105" t="s">
        <v>329</v>
      </c>
      <c r="C312" s="493" t="s">
        <v>330</v>
      </c>
      <c r="D312" s="105" t="s">
        <v>602</v>
      </c>
      <c r="E312" s="105" t="s">
        <v>603</v>
      </c>
      <c r="F312" s="493">
        <v>7630</v>
      </c>
      <c r="G312" s="105" t="s">
        <v>52</v>
      </c>
      <c r="H312" s="105" t="s">
        <v>333</v>
      </c>
      <c r="I312" s="105" t="s">
        <v>334</v>
      </c>
      <c r="J312" s="493">
        <v>22</v>
      </c>
      <c r="K312" s="493">
        <v>1</v>
      </c>
      <c r="L312" s="105" t="s">
        <v>335</v>
      </c>
      <c r="M312" s="105" t="s">
        <v>359</v>
      </c>
      <c r="N312" s="105" t="s">
        <v>226</v>
      </c>
      <c r="O312" s="105" t="s">
        <v>226</v>
      </c>
      <c r="P312" s="105" t="s">
        <v>350</v>
      </c>
      <c r="Q312" s="494">
        <v>21</v>
      </c>
      <c r="R312" s="494">
        <v>21</v>
      </c>
      <c r="S312" s="494">
        <v>122</v>
      </c>
      <c r="T312" s="494">
        <v>122</v>
      </c>
      <c r="U312" s="494">
        <v>15</v>
      </c>
      <c r="V312" s="493">
        <v>2024</v>
      </c>
      <c r="W312" s="495"/>
      <c r="X312" s="496">
        <f t="shared" si="17"/>
        <v>8.1333333333333329</v>
      </c>
      <c r="Y312" s="497" t="str">
        <f t="shared" si="20"/>
        <v/>
      </c>
      <c r="Z312" s="497" t="str">
        <f t="shared" si="20"/>
        <v/>
      </c>
    </row>
    <row r="313" spans="1:26" s="82" customFormat="1" ht="32" x14ac:dyDescent="0.4">
      <c r="A313" s="493">
        <v>2682</v>
      </c>
      <c r="B313" s="105" t="s">
        <v>329</v>
      </c>
      <c r="C313" s="493" t="s">
        <v>330</v>
      </c>
      <c r="D313" s="105" t="s">
        <v>604</v>
      </c>
      <c r="E313" s="105" t="s">
        <v>605</v>
      </c>
      <c r="F313" s="493">
        <v>9645</v>
      </c>
      <c r="G313" s="105" t="s">
        <v>52</v>
      </c>
      <c r="H313" s="105" t="s">
        <v>333</v>
      </c>
      <c r="I313" s="105" t="s">
        <v>334</v>
      </c>
      <c r="J313" s="493">
        <v>22</v>
      </c>
      <c r="K313" s="493">
        <v>1</v>
      </c>
      <c r="L313" s="105" t="s">
        <v>335</v>
      </c>
      <c r="M313" s="105" t="s">
        <v>295</v>
      </c>
      <c r="N313" s="105" t="s">
        <v>222</v>
      </c>
      <c r="O313" s="105" t="s">
        <v>479</v>
      </c>
      <c r="P313" s="105" t="s">
        <v>388</v>
      </c>
      <c r="Q313" s="494">
        <v>0</v>
      </c>
      <c r="R313" s="494">
        <v>0</v>
      </c>
      <c r="S313" s="494">
        <v>0</v>
      </c>
      <c r="T313" s="494">
        <v>0</v>
      </c>
      <c r="U313" s="494">
        <v>0</v>
      </c>
      <c r="V313" s="493">
        <v>2024</v>
      </c>
      <c r="W313" s="495" t="s">
        <v>355</v>
      </c>
      <c r="X313" s="496" t="str">
        <f t="shared" si="17"/>
        <v/>
      </c>
      <c r="Y313" s="497" t="str">
        <f t="shared" si="20"/>
        <v/>
      </c>
      <c r="Z313" s="497" t="str">
        <f t="shared" si="20"/>
        <v/>
      </c>
    </row>
    <row r="314" spans="1:26" s="82" customFormat="1" ht="32" x14ac:dyDescent="0.4">
      <c r="A314" s="493">
        <v>2682</v>
      </c>
      <c r="B314" s="105" t="s">
        <v>329</v>
      </c>
      <c r="C314" s="493" t="s">
        <v>330</v>
      </c>
      <c r="D314" s="105" t="s">
        <v>604</v>
      </c>
      <c r="E314" s="105" t="s">
        <v>605</v>
      </c>
      <c r="F314" s="493">
        <v>9645</v>
      </c>
      <c r="G314" s="105" t="s">
        <v>52</v>
      </c>
      <c r="H314" s="105" t="s">
        <v>333</v>
      </c>
      <c r="I314" s="105" t="s">
        <v>334</v>
      </c>
      <c r="J314" s="493">
        <v>22</v>
      </c>
      <c r="K314" s="493">
        <v>1</v>
      </c>
      <c r="L314" s="105" t="s">
        <v>335</v>
      </c>
      <c r="M314" s="105" t="s">
        <v>295</v>
      </c>
      <c r="N314" s="105" t="s">
        <v>228</v>
      </c>
      <c r="O314" s="105" t="s">
        <v>228</v>
      </c>
      <c r="P314" s="105" t="s">
        <v>356</v>
      </c>
      <c r="Q314" s="494">
        <v>277611</v>
      </c>
      <c r="R314" s="494">
        <v>277611</v>
      </c>
      <c r="S314" s="494">
        <v>286216</v>
      </c>
      <c r="T314" s="494">
        <v>286216</v>
      </c>
      <c r="U314" s="494">
        <v>28324</v>
      </c>
      <c r="V314" s="493">
        <v>2024</v>
      </c>
      <c r="W314" s="495" t="s">
        <v>355</v>
      </c>
      <c r="X314" s="496">
        <f t="shared" si="17"/>
        <v>10.105069905380596</v>
      </c>
      <c r="Y314" s="497" t="str">
        <f t="shared" si="20"/>
        <v/>
      </c>
      <c r="Z314" s="497" t="str">
        <f t="shared" si="20"/>
        <v/>
      </c>
    </row>
    <row r="315" spans="1:26" s="82" customFormat="1" ht="32" x14ac:dyDescent="0.4">
      <c r="A315" s="493">
        <v>2682</v>
      </c>
      <c r="B315" s="105" t="s">
        <v>329</v>
      </c>
      <c r="C315" s="493" t="s">
        <v>330</v>
      </c>
      <c r="D315" s="105" t="s">
        <v>604</v>
      </c>
      <c r="E315" s="105" t="s">
        <v>605</v>
      </c>
      <c r="F315" s="493">
        <v>9645</v>
      </c>
      <c r="G315" s="105" t="s">
        <v>52</v>
      </c>
      <c r="H315" s="105" t="s">
        <v>333</v>
      </c>
      <c r="I315" s="105" t="s">
        <v>334</v>
      </c>
      <c r="J315" s="493">
        <v>22</v>
      </c>
      <c r="K315" s="493">
        <v>1</v>
      </c>
      <c r="L315" s="105" t="s">
        <v>335</v>
      </c>
      <c r="M315" s="105" t="s">
        <v>360</v>
      </c>
      <c r="N315" s="105" t="s">
        <v>222</v>
      </c>
      <c r="O315" s="105" t="s">
        <v>479</v>
      </c>
      <c r="P315" s="105" t="s">
        <v>388</v>
      </c>
      <c r="Q315" s="494">
        <v>0</v>
      </c>
      <c r="R315" s="494">
        <v>0</v>
      </c>
      <c r="S315" s="494">
        <v>0</v>
      </c>
      <c r="T315" s="494">
        <v>0</v>
      </c>
      <c r="U315" s="494">
        <v>0</v>
      </c>
      <c r="V315" s="493">
        <v>2024</v>
      </c>
      <c r="W315" s="495" t="s">
        <v>355</v>
      </c>
      <c r="X315" s="496" t="str">
        <f t="shared" si="17"/>
        <v/>
      </c>
      <c r="Y315" s="497" t="str">
        <f t="shared" si="20"/>
        <v/>
      </c>
      <c r="Z315" s="497" t="str">
        <f t="shared" si="20"/>
        <v/>
      </c>
    </row>
    <row r="316" spans="1:26" s="82" customFormat="1" ht="32" x14ac:dyDescent="0.4">
      <c r="A316" s="493">
        <v>2682</v>
      </c>
      <c r="B316" s="105" t="s">
        <v>329</v>
      </c>
      <c r="C316" s="493" t="s">
        <v>330</v>
      </c>
      <c r="D316" s="105" t="s">
        <v>604</v>
      </c>
      <c r="E316" s="105" t="s">
        <v>605</v>
      </c>
      <c r="F316" s="493">
        <v>9645</v>
      </c>
      <c r="G316" s="105" t="s">
        <v>52</v>
      </c>
      <c r="H316" s="105" t="s">
        <v>333</v>
      </c>
      <c r="I316" s="105" t="s">
        <v>334</v>
      </c>
      <c r="J316" s="493">
        <v>22</v>
      </c>
      <c r="K316" s="493">
        <v>1</v>
      </c>
      <c r="L316" s="105" t="s">
        <v>335</v>
      </c>
      <c r="M316" s="105" t="s">
        <v>360</v>
      </c>
      <c r="N316" s="105" t="s">
        <v>226</v>
      </c>
      <c r="O316" s="105" t="s">
        <v>226</v>
      </c>
      <c r="P316" s="105" t="s">
        <v>350</v>
      </c>
      <c r="Q316" s="494">
        <v>0</v>
      </c>
      <c r="R316" s="494">
        <v>0</v>
      </c>
      <c r="S316" s="494">
        <v>0</v>
      </c>
      <c r="T316" s="494">
        <v>0</v>
      </c>
      <c r="U316" s="494">
        <v>0</v>
      </c>
      <c r="V316" s="493">
        <v>2024</v>
      </c>
      <c r="W316" s="495" t="s">
        <v>355</v>
      </c>
      <c r="X316" s="496" t="str">
        <f t="shared" si="17"/>
        <v/>
      </c>
      <c r="Y316" s="497" t="str">
        <f t="shared" si="20"/>
        <v/>
      </c>
      <c r="Z316" s="497" t="str">
        <f t="shared" si="20"/>
        <v/>
      </c>
    </row>
    <row r="317" spans="1:26" s="82" customFormat="1" ht="32" x14ac:dyDescent="0.4">
      <c r="A317" s="493">
        <v>2682</v>
      </c>
      <c r="B317" s="105" t="s">
        <v>329</v>
      </c>
      <c r="C317" s="493" t="s">
        <v>330</v>
      </c>
      <c r="D317" s="105" t="s">
        <v>604</v>
      </c>
      <c r="E317" s="105" t="s">
        <v>605</v>
      </c>
      <c r="F317" s="493">
        <v>9645</v>
      </c>
      <c r="G317" s="105" t="s">
        <v>52</v>
      </c>
      <c r="H317" s="105" t="s">
        <v>333</v>
      </c>
      <c r="I317" s="105" t="s">
        <v>334</v>
      </c>
      <c r="J317" s="493">
        <v>22</v>
      </c>
      <c r="K317" s="493">
        <v>1</v>
      </c>
      <c r="L317" s="105" t="s">
        <v>335</v>
      </c>
      <c r="M317" s="105" t="s">
        <v>360</v>
      </c>
      <c r="N317" s="105" t="s">
        <v>228</v>
      </c>
      <c r="O317" s="105" t="s">
        <v>228</v>
      </c>
      <c r="P317" s="105" t="s">
        <v>356</v>
      </c>
      <c r="Q317" s="494">
        <v>41368</v>
      </c>
      <c r="R317" s="494">
        <v>41368</v>
      </c>
      <c r="S317" s="494">
        <v>42650</v>
      </c>
      <c r="T317" s="494">
        <v>42650</v>
      </c>
      <c r="U317" s="494">
        <v>5177</v>
      </c>
      <c r="V317" s="493">
        <v>2024</v>
      </c>
      <c r="W317" s="495" t="s">
        <v>355</v>
      </c>
      <c r="X317" s="496">
        <f t="shared" si="17"/>
        <v>8.2383619857060069</v>
      </c>
      <c r="Y317" s="497" t="str">
        <f t="shared" si="20"/>
        <v/>
      </c>
      <c r="Z317" s="497" t="str">
        <f t="shared" si="20"/>
        <v/>
      </c>
    </row>
    <row r="318" spans="1:26" s="82" customFormat="1" ht="32" x14ac:dyDescent="0.4">
      <c r="A318" s="493">
        <v>2685</v>
      </c>
      <c r="B318" s="105" t="s">
        <v>329</v>
      </c>
      <c r="C318" s="493" t="s">
        <v>330</v>
      </c>
      <c r="D318" s="105" t="s">
        <v>606</v>
      </c>
      <c r="E318" s="105" t="s">
        <v>332</v>
      </c>
      <c r="F318" s="493">
        <v>15296</v>
      </c>
      <c r="G318" s="105" t="s">
        <v>52</v>
      </c>
      <c r="H318" s="105" t="s">
        <v>333</v>
      </c>
      <c r="I318" s="105" t="s">
        <v>334</v>
      </c>
      <c r="J318" s="493">
        <v>22</v>
      </c>
      <c r="K318" s="493">
        <v>1</v>
      </c>
      <c r="L318" s="105" t="s">
        <v>335</v>
      </c>
      <c r="M318" s="105" t="s">
        <v>336</v>
      </c>
      <c r="N318" s="105" t="s">
        <v>337</v>
      </c>
      <c r="O318" s="105" t="s">
        <v>338</v>
      </c>
      <c r="P318" s="105" t="s">
        <v>339</v>
      </c>
      <c r="Q318" s="494">
        <v>0</v>
      </c>
      <c r="R318" s="494">
        <v>0</v>
      </c>
      <c r="S318" s="494">
        <v>190395</v>
      </c>
      <c r="T318" s="494">
        <v>190395</v>
      </c>
      <c r="U318" s="494">
        <v>55802</v>
      </c>
      <c r="V318" s="493">
        <v>2024</v>
      </c>
      <c r="W318" s="495"/>
      <c r="X318" s="496">
        <f t="shared" si="17"/>
        <v>3.4119744812013906</v>
      </c>
      <c r="Y318" s="497" t="str">
        <f t="shared" si="20"/>
        <v/>
      </c>
      <c r="Z318" s="497" t="str">
        <f t="shared" si="20"/>
        <v/>
      </c>
    </row>
    <row r="319" spans="1:26" s="82" customFormat="1" ht="32" x14ac:dyDescent="0.4">
      <c r="A319" s="493">
        <v>2686</v>
      </c>
      <c r="B319" s="105" t="s">
        <v>329</v>
      </c>
      <c r="C319" s="493" t="s">
        <v>330</v>
      </c>
      <c r="D319" s="105" t="s">
        <v>607</v>
      </c>
      <c r="E319" s="105" t="s">
        <v>332</v>
      </c>
      <c r="F319" s="493">
        <v>15296</v>
      </c>
      <c r="G319" s="105" t="s">
        <v>52</v>
      </c>
      <c r="H319" s="105" t="s">
        <v>333</v>
      </c>
      <c r="I319" s="105" t="s">
        <v>334</v>
      </c>
      <c r="J319" s="493">
        <v>22</v>
      </c>
      <c r="K319" s="493">
        <v>1</v>
      </c>
      <c r="L319" s="105" t="s">
        <v>335</v>
      </c>
      <c r="M319" s="105" t="s">
        <v>336</v>
      </c>
      <c r="N319" s="105" t="s">
        <v>337</v>
      </c>
      <c r="O319" s="105" t="s">
        <v>338</v>
      </c>
      <c r="P319" s="105" t="s">
        <v>339</v>
      </c>
      <c r="Q319" s="494">
        <v>0</v>
      </c>
      <c r="R319" s="494">
        <v>0</v>
      </c>
      <c r="S319" s="494">
        <v>189610</v>
      </c>
      <c r="T319" s="494">
        <v>189610</v>
      </c>
      <c r="U319" s="494">
        <v>55571</v>
      </c>
      <c r="V319" s="493">
        <v>2024</v>
      </c>
      <c r="W319" s="495"/>
      <c r="X319" s="496">
        <f t="shared" si="17"/>
        <v>3.4120314552554389</v>
      </c>
      <c r="Y319" s="497" t="str">
        <f t="shared" si="20"/>
        <v/>
      </c>
      <c r="Z319" s="497" t="str">
        <f t="shared" si="20"/>
        <v/>
      </c>
    </row>
    <row r="320" spans="1:26" s="82" customFormat="1" ht="32" x14ac:dyDescent="0.4">
      <c r="A320" s="493">
        <v>2691</v>
      </c>
      <c r="B320" s="105" t="s">
        <v>329</v>
      </c>
      <c r="C320" s="493" t="s">
        <v>330</v>
      </c>
      <c r="D320" s="105" t="s">
        <v>608</v>
      </c>
      <c r="E320" s="105" t="s">
        <v>332</v>
      </c>
      <c r="F320" s="493">
        <v>15296</v>
      </c>
      <c r="G320" s="105" t="s">
        <v>52</v>
      </c>
      <c r="H320" s="105" t="s">
        <v>333</v>
      </c>
      <c r="I320" s="105" t="s">
        <v>334</v>
      </c>
      <c r="J320" s="493">
        <v>22</v>
      </c>
      <c r="K320" s="493">
        <v>1</v>
      </c>
      <c r="L320" s="105" t="s">
        <v>335</v>
      </c>
      <c r="M320" s="105" t="s">
        <v>344</v>
      </c>
      <c r="N320" s="105" t="s">
        <v>337</v>
      </c>
      <c r="O320" s="105" t="s">
        <v>345</v>
      </c>
      <c r="P320" s="105" t="s">
        <v>346</v>
      </c>
      <c r="Q320" s="494">
        <v>525828</v>
      </c>
      <c r="R320" s="494">
        <v>525828</v>
      </c>
      <c r="S320" s="494">
        <v>0</v>
      </c>
      <c r="T320" s="494">
        <v>0</v>
      </c>
      <c r="U320" s="494">
        <v>-171223</v>
      </c>
      <c r="V320" s="493">
        <v>2024</v>
      </c>
      <c r="W320" s="495"/>
      <c r="X320" s="496" t="str">
        <f t="shared" si="17"/>
        <v/>
      </c>
      <c r="Y320" s="497" t="str">
        <f t="shared" si="20"/>
        <v/>
      </c>
      <c r="Z320" s="497" t="str">
        <f t="shared" si="20"/>
        <v/>
      </c>
    </row>
    <row r="321" spans="1:26" s="82" customFormat="1" ht="32" x14ac:dyDescent="0.4">
      <c r="A321" s="493">
        <v>2692</v>
      </c>
      <c r="B321" s="105" t="s">
        <v>329</v>
      </c>
      <c r="C321" s="493" t="s">
        <v>330</v>
      </c>
      <c r="D321" s="105" t="s">
        <v>609</v>
      </c>
      <c r="E321" s="105" t="s">
        <v>332</v>
      </c>
      <c r="F321" s="493">
        <v>15296</v>
      </c>
      <c r="G321" s="105" t="s">
        <v>52</v>
      </c>
      <c r="H321" s="105" t="s">
        <v>333</v>
      </c>
      <c r="I321" s="105" t="s">
        <v>334</v>
      </c>
      <c r="J321" s="493">
        <v>22</v>
      </c>
      <c r="K321" s="493">
        <v>1</v>
      </c>
      <c r="L321" s="105" t="s">
        <v>335</v>
      </c>
      <c r="M321" s="105" t="s">
        <v>344</v>
      </c>
      <c r="N321" s="105" t="s">
        <v>337</v>
      </c>
      <c r="O321" s="105" t="s">
        <v>345</v>
      </c>
      <c r="P321" s="105" t="s">
        <v>346</v>
      </c>
      <c r="Q321" s="494">
        <v>674884</v>
      </c>
      <c r="R321" s="494">
        <v>674884</v>
      </c>
      <c r="S321" s="494">
        <v>0</v>
      </c>
      <c r="T321" s="494">
        <v>0</v>
      </c>
      <c r="U321" s="494">
        <v>-238354</v>
      </c>
      <c r="V321" s="493">
        <v>2024</v>
      </c>
      <c r="W321" s="495"/>
      <c r="X321" s="496" t="str">
        <f t="shared" si="17"/>
        <v/>
      </c>
      <c r="Y321" s="497" t="str">
        <f t="shared" si="20"/>
        <v/>
      </c>
      <c r="Z321" s="497" t="str">
        <f t="shared" si="20"/>
        <v/>
      </c>
    </row>
    <row r="322" spans="1:26" s="82" customFormat="1" ht="32" x14ac:dyDescent="0.4">
      <c r="A322" s="493">
        <v>2693</v>
      </c>
      <c r="B322" s="105" t="s">
        <v>329</v>
      </c>
      <c r="C322" s="493" t="s">
        <v>330</v>
      </c>
      <c r="D322" s="105" t="s">
        <v>610</v>
      </c>
      <c r="E322" s="105" t="s">
        <v>332</v>
      </c>
      <c r="F322" s="493">
        <v>15296</v>
      </c>
      <c r="G322" s="105" t="s">
        <v>52</v>
      </c>
      <c r="H322" s="105" t="s">
        <v>333</v>
      </c>
      <c r="I322" s="105" t="s">
        <v>334</v>
      </c>
      <c r="J322" s="493">
        <v>22</v>
      </c>
      <c r="K322" s="493">
        <v>1</v>
      </c>
      <c r="L322" s="105" t="s">
        <v>335</v>
      </c>
      <c r="M322" s="105" t="s">
        <v>336</v>
      </c>
      <c r="N322" s="105" t="s">
        <v>337</v>
      </c>
      <c r="O322" s="105" t="s">
        <v>338</v>
      </c>
      <c r="P322" s="105" t="s">
        <v>339</v>
      </c>
      <c r="Q322" s="494">
        <v>0</v>
      </c>
      <c r="R322" s="494">
        <v>0</v>
      </c>
      <c r="S322" s="494">
        <v>53079024</v>
      </c>
      <c r="T322" s="494">
        <v>53079024</v>
      </c>
      <c r="U322" s="494">
        <v>15556572</v>
      </c>
      <c r="V322" s="493">
        <v>2024</v>
      </c>
      <c r="W322" s="495"/>
      <c r="X322" s="496">
        <f t="shared" si="17"/>
        <v>3.4120000215985886</v>
      </c>
      <c r="Y322" s="497" t="str">
        <f t="shared" si="20"/>
        <v/>
      </c>
      <c r="Z322" s="497" t="str">
        <f t="shared" si="20"/>
        <v/>
      </c>
    </row>
    <row r="323" spans="1:26" s="82" customFormat="1" ht="32" x14ac:dyDescent="0.4">
      <c r="A323" s="493">
        <v>2694</v>
      </c>
      <c r="B323" s="105" t="s">
        <v>329</v>
      </c>
      <c r="C323" s="493" t="s">
        <v>330</v>
      </c>
      <c r="D323" s="105" t="s">
        <v>611</v>
      </c>
      <c r="E323" s="105" t="s">
        <v>332</v>
      </c>
      <c r="F323" s="493">
        <v>15296</v>
      </c>
      <c r="G323" s="105" t="s">
        <v>52</v>
      </c>
      <c r="H323" s="105" t="s">
        <v>333</v>
      </c>
      <c r="I323" s="105" t="s">
        <v>334</v>
      </c>
      <c r="J323" s="493">
        <v>22</v>
      </c>
      <c r="K323" s="493">
        <v>1</v>
      </c>
      <c r="L323" s="105" t="s">
        <v>335</v>
      </c>
      <c r="M323" s="105" t="s">
        <v>336</v>
      </c>
      <c r="N323" s="105" t="s">
        <v>337</v>
      </c>
      <c r="O323" s="105" t="s">
        <v>338</v>
      </c>
      <c r="P323" s="105" t="s">
        <v>339</v>
      </c>
      <c r="Q323" s="494">
        <v>0</v>
      </c>
      <c r="R323" s="494">
        <v>0</v>
      </c>
      <c r="S323" s="494">
        <v>25142370</v>
      </c>
      <c r="T323" s="494">
        <v>25142370</v>
      </c>
      <c r="U323" s="494">
        <v>7368807</v>
      </c>
      <c r="V323" s="493">
        <v>2024</v>
      </c>
      <c r="W323" s="495"/>
      <c r="X323" s="496">
        <f t="shared" si="17"/>
        <v>3.4120000700249036</v>
      </c>
      <c r="Y323" s="497" t="str">
        <f t="shared" si="20"/>
        <v/>
      </c>
      <c r="Z323" s="497" t="str">
        <f t="shared" si="20"/>
        <v/>
      </c>
    </row>
    <row r="324" spans="1:26" s="82" customFormat="1" ht="32" x14ac:dyDescent="0.4">
      <c r="A324" s="493">
        <v>2695</v>
      </c>
      <c r="B324" s="105" t="s">
        <v>329</v>
      </c>
      <c r="C324" s="493" t="s">
        <v>330</v>
      </c>
      <c r="D324" s="105" t="s">
        <v>612</v>
      </c>
      <c r="E324" s="105" t="s">
        <v>613</v>
      </c>
      <c r="F324" s="493">
        <v>16217</v>
      </c>
      <c r="G324" s="105" t="s">
        <v>52</v>
      </c>
      <c r="H324" s="105" t="s">
        <v>333</v>
      </c>
      <c r="I324" s="105" t="s">
        <v>334</v>
      </c>
      <c r="J324" s="493">
        <v>22</v>
      </c>
      <c r="K324" s="493">
        <v>1</v>
      </c>
      <c r="L324" s="105" t="s">
        <v>335</v>
      </c>
      <c r="M324" s="105" t="s">
        <v>359</v>
      </c>
      <c r="N324" s="105" t="s">
        <v>226</v>
      </c>
      <c r="O324" s="105" t="s">
        <v>226</v>
      </c>
      <c r="P324" s="105" t="s">
        <v>350</v>
      </c>
      <c r="Q324" s="494">
        <v>113</v>
      </c>
      <c r="R324" s="494">
        <v>113</v>
      </c>
      <c r="S324" s="494">
        <v>652</v>
      </c>
      <c r="T324" s="494">
        <v>652</v>
      </c>
      <c r="U324" s="494">
        <v>22.887</v>
      </c>
      <c r="V324" s="493">
        <v>2024</v>
      </c>
      <c r="W324" s="495"/>
      <c r="X324" s="496">
        <f t="shared" si="17"/>
        <v>28.487787827150783</v>
      </c>
      <c r="Y324" s="497" t="str">
        <f t="shared" si="20"/>
        <v/>
      </c>
      <c r="Z324" s="497" t="str">
        <f t="shared" si="20"/>
        <v/>
      </c>
    </row>
    <row r="325" spans="1:26" s="82" customFormat="1" ht="32" x14ac:dyDescent="0.4">
      <c r="A325" s="493">
        <v>2695</v>
      </c>
      <c r="B325" s="105" t="s">
        <v>329</v>
      </c>
      <c r="C325" s="493" t="s">
        <v>330</v>
      </c>
      <c r="D325" s="105" t="s">
        <v>612</v>
      </c>
      <c r="E325" s="105" t="s">
        <v>613</v>
      </c>
      <c r="F325" s="493">
        <v>16217</v>
      </c>
      <c r="G325" s="105" t="s">
        <v>52</v>
      </c>
      <c r="H325" s="105" t="s">
        <v>333</v>
      </c>
      <c r="I325" s="105" t="s">
        <v>334</v>
      </c>
      <c r="J325" s="493">
        <v>22</v>
      </c>
      <c r="K325" s="493">
        <v>1</v>
      </c>
      <c r="L325" s="105" t="s">
        <v>335</v>
      </c>
      <c r="M325" s="105" t="s">
        <v>359</v>
      </c>
      <c r="N325" s="105" t="s">
        <v>228</v>
      </c>
      <c r="O325" s="105" t="s">
        <v>228</v>
      </c>
      <c r="P325" s="105" t="s">
        <v>356</v>
      </c>
      <c r="Q325" s="494">
        <v>2754</v>
      </c>
      <c r="R325" s="494">
        <v>2754</v>
      </c>
      <c r="S325" s="494">
        <v>2841</v>
      </c>
      <c r="T325" s="494">
        <v>2841</v>
      </c>
      <c r="U325" s="494">
        <v>100.113</v>
      </c>
      <c r="V325" s="493">
        <v>2024</v>
      </c>
      <c r="W325" s="495"/>
      <c r="X325" s="496">
        <f t="shared" si="17"/>
        <v>28.377932935782567</v>
      </c>
      <c r="Y325" s="497" t="str">
        <f t="shared" si="20"/>
        <v/>
      </c>
      <c r="Z325" s="497" t="str">
        <f t="shared" si="20"/>
        <v/>
      </c>
    </row>
    <row r="326" spans="1:26" s="82" customFormat="1" x14ac:dyDescent="0.4">
      <c r="A326" s="493">
        <v>2700</v>
      </c>
      <c r="B326" s="105" t="s">
        <v>329</v>
      </c>
      <c r="C326" s="493" t="s">
        <v>330</v>
      </c>
      <c r="D326" s="105" t="s">
        <v>614</v>
      </c>
      <c r="E326" s="105" t="s">
        <v>615</v>
      </c>
      <c r="F326" s="493">
        <v>20188</v>
      </c>
      <c r="G326" s="105" t="s">
        <v>52</v>
      </c>
      <c r="H326" s="105" t="s">
        <v>333</v>
      </c>
      <c r="I326" s="105" t="s">
        <v>334</v>
      </c>
      <c r="J326" s="493">
        <v>22</v>
      </c>
      <c r="K326" s="493">
        <v>1</v>
      </c>
      <c r="L326" s="105" t="s">
        <v>335</v>
      </c>
      <c r="M326" s="105" t="s">
        <v>336</v>
      </c>
      <c r="N326" s="105" t="s">
        <v>337</v>
      </c>
      <c r="O326" s="105" t="s">
        <v>338</v>
      </c>
      <c r="P326" s="105" t="s">
        <v>339</v>
      </c>
      <c r="Q326" s="494">
        <v>0</v>
      </c>
      <c r="R326" s="494">
        <v>0</v>
      </c>
      <c r="S326" s="494">
        <v>73863</v>
      </c>
      <c r="T326" s="494">
        <v>73863</v>
      </c>
      <c r="U326" s="494">
        <v>21648</v>
      </c>
      <c r="V326" s="493">
        <v>2024</v>
      </c>
      <c r="W326" s="495"/>
      <c r="X326" s="496">
        <f t="shared" si="17"/>
        <v>3.4120011086474502</v>
      </c>
      <c r="Y326" s="497" t="str">
        <f t="shared" si="20"/>
        <v/>
      </c>
      <c r="Z326" s="497" t="str">
        <f t="shared" si="20"/>
        <v/>
      </c>
    </row>
    <row r="327" spans="1:26" s="82" customFormat="1" x14ac:dyDescent="0.4">
      <c r="A327" s="493">
        <v>3236</v>
      </c>
      <c r="B327" s="105" t="s">
        <v>329</v>
      </c>
      <c r="C327" s="493" t="s">
        <v>330</v>
      </c>
      <c r="D327" s="105" t="s">
        <v>616</v>
      </c>
      <c r="E327" s="105" t="s">
        <v>617</v>
      </c>
      <c r="F327" s="493">
        <v>63350</v>
      </c>
      <c r="G327" s="105" t="s">
        <v>38</v>
      </c>
      <c r="H327" s="105" t="s">
        <v>342</v>
      </c>
      <c r="I327" s="105" t="s">
        <v>334</v>
      </c>
      <c r="J327" s="493">
        <v>22</v>
      </c>
      <c r="K327" s="493">
        <v>2</v>
      </c>
      <c r="L327" s="105" t="s">
        <v>343</v>
      </c>
      <c r="M327" s="105" t="s">
        <v>380</v>
      </c>
      <c r="N327" s="105" t="s">
        <v>226</v>
      </c>
      <c r="O327" s="105" t="s">
        <v>226</v>
      </c>
      <c r="P327" s="105" t="s">
        <v>350</v>
      </c>
      <c r="Q327" s="494">
        <v>0</v>
      </c>
      <c r="R327" s="494">
        <v>0</v>
      </c>
      <c r="S327" s="494">
        <v>0</v>
      </c>
      <c r="T327" s="494">
        <v>0</v>
      </c>
      <c r="U327" s="494">
        <v>1676.55</v>
      </c>
      <c r="V327" s="493">
        <v>2024</v>
      </c>
      <c r="W327" s="495" t="s">
        <v>355</v>
      </c>
      <c r="X327" s="496" t="str">
        <f t="shared" si="17"/>
        <v/>
      </c>
      <c r="Y327" s="497" t="str">
        <f t="shared" si="20"/>
        <v/>
      </c>
      <c r="Z327" s="497" t="str">
        <f t="shared" si="20"/>
        <v/>
      </c>
    </row>
    <row r="328" spans="1:26" s="82" customFormat="1" x14ac:dyDescent="0.4">
      <c r="A328" s="493">
        <v>3236</v>
      </c>
      <c r="B328" s="105" t="s">
        <v>329</v>
      </c>
      <c r="C328" s="493" t="s">
        <v>330</v>
      </c>
      <c r="D328" s="105" t="s">
        <v>616</v>
      </c>
      <c r="E328" s="105" t="s">
        <v>617</v>
      </c>
      <c r="F328" s="493">
        <v>63350</v>
      </c>
      <c r="G328" s="105" t="s">
        <v>38</v>
      </c>
      <c r="H328" s="105" t="s">
        <v>342</v>
      </c>
      <c r="I328" s="105" t="s">
        <v>334</v>
      </c>
      <c r="J328" s="493">
        <v>22</v>
      </c>
      <c r="K328" s="493">
        <v>2</v>
      </c>
      <c r="L328" s="105" t="s">
        <v>343</v>
      </c>
      <c r="M328" s="105" t="s">
        <v>380</v>
      </c>
      <c r="N328" s="105" t="s">
        <v>228</v>
      </c>
      <c r="O328" s="105" t="s">
        <v>228</v>
      </c>
      <c r="P328" s="105" t="s">
        <v>356</v>
      </c>
      <c r="Q328" s="494">
        <v>0</v>
      </c>
      <c r="R328" s="494">
        <v>0</v>
      </c>
      <c r="S328" s="494">
        <v>0</v>
      </c>
      <c r="T328" s="494">
        <v>0</v>
      </c>
      <c r="U328" s="494">
        <v>433699.45</v>
      </c>
      <c r="V328" s="493">
        <v>2024</v>
      </c>
      <c r="W328" s="495" t="s">
        <v>355</v>
      </c>
      <c r="X328" s="496" t="str">
        <f t="shared" si="17"/>
        <v/>
      </c>
      <c r="Y328" s="497" t="str">
        <f t="shared" ref="Y328:Z347" si="21">IF(AND($M328=$Y$2,$N328=$Y$3,NOT($Q328=$R328),NOT($U328=0)),IF($K328=5,$S328/($U328+(8/5)*$U328),IF($K328=7,$S328/($U328+(29/25)*$U328),"")),"")</f>
        <v/>
      </c>
      <c r="Z328" s="497" t="str">
        <f t="shared" si="21"/>
        <v/>
      </c>
    </row>
    <row r="329" spans="1:26" s="82" customFormat="1" x14ac:dyDescent="0.4">
      <c r="A329" s="493">
        <v>3236</v>
      </c>
      <c r="B329" s="105" t="s">
        <v>329</v>
      </c>
      <c r="C329" s="493" t="s">
        <v>330</v>
      </c>
      <c r="D329" s="105" t="s">
        <v>616</v>
      </c>
      <c r="E329" s="105" t="s">
        <v>617</v>
      </c>
      <c r="F329" s="493">
        <v>63350</v>
      </c>
      <c r="G329" s="105" t="s">
        <v>38</v>
      </c>
      <c r="H329" s="105" t="s">
        <v>342</v>
      </c>
      <c r="I329" s="105" t="s">
        <v>334</v>
      </c>
      <c r="J329" s="493">
        <v>22</v>
      </c>
      <c r="K329" s="493">
        <v>2</v>
      </c>
      <c r="L329" s="105" t="s">
        <v>343</v>
      </c>
      <c r="M329" s="105" t="s">
        <v>37</v>
      </c>
      <c r="N329" s="105" t="s">
        <v>226</v>
      </c>
      <c r="O329" s="105" t="s">
        <v>226</v>
      </c>
      <c r="P329" s="105" t="s">
        <v>350</v>
      </c>
      <c r="Q329" s="494">
        <v>7812</v>
      </c>
      <c r="R329" s="494">
        <v>7812</v>
      </c>
      <c r="S329" s="494">
        <v>45333</v>
      </c>
      <c r="T329" s="494">
        <v>45333</v>
      </c>
      <c r="U329" s="494">
        <v>3797.83</v>
      </c>
      <c r="V329" s="493">
        <v>2024</v>
      </c>
      <c r="W329" s="495" t="s">
        <v>355</v>
      </c>
      <c r="X329" s="496">
        <f t="shared" ref="X329:X392" si="22">IF(OR(K329&gt;3,T329=0,NOT(U329&gt;0)),"",T329/U329)</f>
        <v>11.93655324224623</v>
      </c>
      <c r="Y329" s="497" t="str">
        <f t="shared" si="21"/>
        <v/>
      </c>
      <c r="Z329" s="497" t="str">
        <f t="shared" si="21"/>
        <v/>
      </c>
    </row>
    <row r="330" spans="1:26" s="82" customFormat="1" x14ac:dyDescent="0.4">
      <c r="A330" s="493">
        <v>3236</v>
      </c>
      <c r="B330" s="105" t="s">
        <v>329</v>
      </c>
      <c r="C330" s="493" t="s">
        <v>330</v>
      </c>
      <c r="D330" s="105" t="s">
        <v>616</v>
      </c>
      <c r="E330" s="105" t="s">
        <v>617</v>
      </c>
      <c r="F330" s="493">
        <v>63350</v>
      </c>
      <c r="G330" s="105" t="s">
        <v>38</v>
      </c>
      <c r="H330" s="105" t="s">
        <v>342</v>
      </c>
      <c r="I330" s="105" t="s">
        <v>334</v>
      </c>
      <c r="J330" s="493">
        <v>22</v>
      </c>
      <c r="K330" s="493">
        <v>2</v>
      </c>
      <c r="L330" s="105" t="s">
        <v>343</v>
      </c>
      <c r="M330" s="105" t="s">
        <v>37</v>
      </c>
      <c r="N330" s="105" t="s">
        <v>228</v>
      </c>
      <c r="O330" s="105" t="s">
        <v>228</v>
      </c>
      <c r="P330" s="105" t="s">
        <v>356</v>
      </c>
      <c r="Q330" s="494">
        <v>10378922</v>
      </c>
      <c r="R330" s="494">
        <v>10378922</v>
      </c>
      <c r="S330" s="494">
        <v>10663107</v>
      </c>
      <c r="T330" s="494">
        <v>10663107</v>
      </c>
      <c r="U330" s="494">
        <v>905842.17</v>
      </c>
      <c r="V330" s="493">
        <v>2024</v>
      </c>
      <c r="W330" s="495" t="s">
        <v>355</v>
      </c>
      <c r="X330" s="496">
        <f t="shared" si="22"/>
        <v>11.771484429787586</v>
      </c>
      <c r="Y330" s="497" t="str">
        <f t="shared" si="21"/>
        <v/>
      </c>
      <c r="Z330" s="497" t="str">
        <f t="shared" si="21"/>
        <v/>
      </c>
    </row>
    <row r="331" spans="1:26" s="82" customFormat="1" ht="32" x14ac:dyDescent="0.4">
      <c r="A331" s="493">
        <v>3708</v>
      </c>
      <c r="B331" s="105" t="s">
        <v>329</v>
      </c>
      <c r="C331" s="493" t="s">
        <v>330</v>
      </c>
      <c r="D331" s="105" t="s">
        <v>618</v>
      </c>
      <c r="E331" s="105" t="s">
        <v>394</v>
      </c>
      <c r="F331" s="493">
        <v>7601</v>
      </c>
      <c r="G331" s="105" t="s">
        <v>36</v>
      </c>
      <c r="H331" s="105" t="s">
        <v>342</v>
      </c>
      <c r="I331" s="105" t="s">
        <v>334</v>
      </c>
      <c r="J331" s="493">
        <v>22</v>
      </c>
      <c r="K331" s="493">
        <v>1</v>
      </c>
      <c r="L331" s="105" t="s">
        <v>335</v>
      </c>
      <c r="M331" s="105" t="s">
        <v>295</v>
      </c>
      <c r="N331" s="105" t="s">
        <v>226</v>
      </c>
      <c r="O331" s="105" t="s">
        <v>226</v>
      </c>
      <c r="P331" s="105" t="s">
        <v>350</v>
      </c>
      <c r="Q331" s="494">
        <v>1010</v>
      </c>
      <c r="R331" s="494">
        <v>1010</v>
      </c>
      <c r="S331" s="494">
        <v>5857</v>
      </c>
      <c r="T331" s="494">
        <v>5857</v>
      </c>
      <c r="U331" s="494">
        <v>191</v>
      </c>
      <c r="V331" s="493">
        <v>2024</v>
      </c>
      <c r="W331" s="495"/>
      <c r="X331" s="496">
        <f t="shared" si="22"/>
        <v>30.664921465968586</v>
      </c>
      <c r="Y331" s="497" t="str">
        <f t="shared" si="21"/>
        <v/>
      </c>
      <c r="Z331" s="497" t="str">
        <f t="shared" si="21"/>
        <v/>
      </c>
    </row>
    <row r="332" spans="1:26" s="82" customFormat="1" ht="32" x14ac:dyDescent="0.4">
      <c r="A332" s="493">
        <v>3709</v>
      </c>
      <c r="B332" s="105" t="s">
        <v>329</v>
      </c>
      <c r="C332" s="493" t="s">
        <v>330</v>
      </c>
      <c r="D332" s="105" t="s">
        <v>619</v>
      </c>
      <c r="E332" s="105" t="s">
        <v>394</v>
      </c>
      <c r="F332" s="493">
        <v>7601</v>
      </c>
      <c r="G332" s="105" t="s">
        <v>36</v>
      </c>
      <c r="H332" s="105" t="s">
        <v>342</v>
      </c>
      <c r="I332" s="105" t="s">
        <v>334</v>
      </c>
      <c r="J332" s="493">
        <v>22</v>
      </c>
      <c r="K332" s="493">
        <v>1</v>
      </c>
      <c r="L332" s="105" t="s">
        <v>335</v>
      </c>
      <c r="M332" s="105" t="s">
        <v>336</v>
      </c>
      <c r="N332" s="105" t="s">
        <v>337</v>
      </c>
      <c r="O332" s="105" t="s">
        <v>338</v>
      </c>
      <c r="P332" s="105" t="s">
        <v>339</v>
      </c>
      <c r="Q332" s="494">
        <v>0</v>
      </c>
      <c r="R332" s="494">
        <v>0</v>
      </c>
      <c r="S332" s="494">
        <v>5603</v>
      </c>
      <c r="T332" s="494">
        <v>5603</v>
      </c>
      <c r="U332" s="494">
        <v>1598</v>
      </c>
      <c r="V332" s="493">
        <v>2024</v>
      </c>
      <c r="W332" s="495"/>
      <c r="X332" s="496">
        <f t="shared" si="22"/>
        <v>3.5062578222778473</v>
      </c>
      <c r="Y332" s="497" t="str">
        <f t="shared" si="21"/>
        <v/>
      </c>
      <c r="Z332" s="497" t="str">
        <f t="shared" si="21"/>
        <v/>
      </c>
    </row>
    <row r="333" spans="1:26" s="82" customFormat="1" ht="32" x14ac:dyDescent="0.4">
      <c r="A333" s="493">
        <v>3710</v>
      </c>
      <c r="B333" s="105" t="s">
        <v>329</v>
      </c>
      <c r="C333" s="493" t="s">
        <v>330</v>
      </c>
      <c r="D333" s="105" t="s">
        <v>620</v>
      </c>
      <c r="E333" s="105" t="s">
        <v>394</v>
      </c>
      <c r="F333" s="493">
        <v>7601</v>
      </c>
      <c r="G333" s="105" t="s">
        <v>36</v>
      </c>
      <c r="H333" s="105" t="s">
        <v>342</v>
      </c>
      <c r="I333" s="105" t="s">
        <v>334</v>
      </c>
      <c r="J333" s="493">
        <v>22</v>
      </c>
      <c r="K333" s="493">
        <v>1</v>
      </c>
      <c r="L333" s="105" t="s">
        <v>335</v>
      </c>
      <c r="M333" s="105" t="s">
        <v>336</v>
      </c>
      <c r="N333" s="105" t="s">
        <v>337</v>
      </c>
      <c r="O333" s="105" t="s">
        <v>338</v>
      </c>
      <c r="P333" s="105" t="s">
        <v>339</v>
      </c>
      <c r="Q333" s="494">
        <v>0</v>
      </c>
      <c r="R333" s="494">
        <v>0</v>
      </c>
      <c r="S333" s="494">
        <v>2848</v>
      </c>
      <c r="T333" s="494">
        <v>2848</v>
      </c>
      <c r="U333" s="494">
        <v>830</v>
      </c>
      <c r="V333" s="493">
        <v>2024</v>
      </c>
      <c r="W333" s="495"/>
      <c r="X333" s="496">
        <f t="shared" si="22"/>
        <v>3.4313253012048195</v>
      </c>
      <c r="Y333" s="497" t="str">
        <f t="shared" si="21"/>
        <v/>
      </c>
      <c r="Z333" s="497" t="str">
        <f t="shared" si="21"/>
        <v/>
      </c>
    </row>
    <row r="334" spans="1:26" s="82" customFormat="1" ht="32" x14ac:dyDescent="0.4">
      <c r="A334" s="493">
        <v>3711</v>
      </c>
      <c r="B334" s="105" t="s">
        <v>329</v>
      </c>
      <c r="C334" s="493" t="s">
        <v>330</v>
      </c>
      <c r="D334" s="105" t="s">
        <v>621</v>
      </c>
      <c r="E334" s="105" t="s">
        <v>394</v>
      </c>
      <c r="F334" s="493">
        <v>7601</v>
      </c>
      <c r="G334" s="105" t="s">
        <v>36</v>
      </c>
      <c r="H334" s="105" t="s">
        <v>342</v>
      </c>
      <c r="I334" s="105" t="s">
        <v>334</v>
      </c>
      <c r="J334" s="493">
        <v>22</v>
      </c>
      <c r="K334" s="493">
        <v>1</v>
      </c>
      <c r="L334" s="105" t="s">
        <v>335</v>
      </c>
      <c r="M334" s="105" t="s">
        <v>336</v>
      </c>
      <c r="N334" s="105" t="s">
        <v>337</v>
      </c>
      <c r="O334" s="105" t="s">
        <v>338</v>
      </c>
      <c r="P334" s="105" t="s">
        <v>339</v>
      </c>
      <c r="Q334" s="494">
        <v>0</v>
      </c>
      <c r="R334" s="494">
        <v>0</v>
      </c>
      <c r="S334" s="494">
        <v>57918</v>
      </c>
      <c r="T334" s="494">
        <v>57918</v>
      </c>
      <c r="U334" s="494">
        <v>16975</v>
      </c>
      <c r="V334" s="493">
        <v>2024</v>
      </c>
      <c r="W334" s="495"/>
      <c r="X334" s="496">
        <f t="shared" si="22"/>
        <v>3.4119587628865977</v>
      </c>
      <c r="Y334" s="497" t="str">
        <f t="shared" si="21"/>
        <v/>
      </c>
      <c r="Z334" s="497" t="str">
        <f t="shared" si="21"/>
        <v/>
      </c>
    </row>
    <row r="335" spans="1:26" s="82" customFormat="1" ht="32" x14ac:dyDescent="0.4">
      <c r="A335" s="493">
        <v>3712</v>
      </c>
      <c r="B335" s="105" t="s">
        <v>329</v>
      </c>
      <c r="C335" s="493" t="s">
        <v>330</v>
      </c>
      <c r="D335" s="105" t="s">
        <v>622</v>
      </c>
      <c r="E335" s="105" t="s">
        <v>394</v>
      </c>
      <c r="F335" s="493">
        <v>7601</v>
      </c>
      <c r="G335" s="105" t="s">
        <v>36</v>
      </c>
      <c r="H335" s="105" t="s">
        <v>342</v>
      </c>
      <c r="I335" s="105" t="s">
        <v>334</v>
      </c>
      <c r="J335" s="493">
        <v>22</v>
      </c>
      <c r="K335" s="493">
        <v>1</v>
      </c>
      <c r="L335" s="105" t="s">
        <v>335</v>
      </c>
      <c r="M335" s="105" t="s">
        <v>336</v>
      </c>
      <c r="N335" s="105" t="s">
        <v>337</v>
      </c>
      <c r="O335" s="105" t="s">
        <v>338</v>
      </c>
      <c r="P335" s="105" t="s">
        <v>339</v>
      </c>
      <c r="Q335" s="494">
        <v>0</v>
      </c>
      <c r="R335" s="494">
        <v>0</v>
      </c>
      <c r="S335" s="494">
        <v>69601</v>
      </c>
      <c r="T335" s="494">
        <v>69601</v>
      </c>
      <c r="U335" s="494">
        <v>20399</v>
      </c>
      <c r="V335" s="493">
        <v>2024</v>
      </c>
      <c r="W335" s="495"/>
      <c r="X335" s="496">
        <f t="shared" si="22"/>
        <v>3.4119809794597775</v>
      </c>
      <c r="Y335" s="497" t="str">
        <f t="shared" si="21"/>
        <v/>
      </c>
      <c r="Z335" s="497" t="str">
        <f t="shared" si="21"/>
        <v/>
      </c>
    </row>
    <row r="336" spans="1:26" s="82" customFormat="1" ht="32" x14ac:dyDescent="0.4">
      <c r="A336" s="493">
        <v>3714</v>
      </c>
      <c r="B336" s="105" t="s">
        <v>329</v>
      </c>
      <c r="C336" s="493" t="s">
        <v>330</v>
      </c>
      <c r="D336" s="105" t="s">
        <v>623</v>
      </c>
      <c r="E336" s="105" t="s">
        <v>394</v>
      </c>
      <c r="F336" s="493">
        <v>7601</v>
      </c>
      <c r="G336" s="105" t="s">
        <v>36</v>
      </c>
      <c r="H336" s="105" t="s">
        <v>342</v>
      </c>
      <c r="I336" s="105" t="s">
        <v>334</v>
      </c>
      <c r="J336" s="493">
        <v>22</v>
      </c>
      <c r="K336" s="493">
        <v>1</v>
      </c>
      <c r="L336" s="105" t="s">
        <v>335</v>
      </c>
      <c r="M336" s="105" t="s">
        <v>336</v>
      </c>
      <c r="N336" s="105" t="s">
        <v>337</v>
      </c>
      <c r="O336" s="105" t="s">
        <v>338</v>
      </c>
      <c r="P336" s="105" t="s">
        <v>339</v>
      </c>
      <c r="Q336" s="494">
        <v>0</v>
      </c>
      <c r="R336" s="494">
        <v>0</v>
      </c>
      <c r="S336" s="494">
        <v>20713</v>
      </c>
      <c r="T336" s="494">
        <v>20713</v>
      </c>
      <c r="U336" s="494">
        <v>6063</v>
      </c>
      <c r="V336" s="493">
        <v>2024</v>
      </c>
      <c r="W336" s="495"/>
      <c r="X336" s="496">
        <f t="shared" si="22"/>
        <v>3.4162955632525152</v>
      </c>
      <c r="Y336" s="497" t="str">
        <f t="shared" si="21"/>
        <v/>
      </c>
      <c r="Z336" s="497" t="str">
        <f t="shared" si="21"/>
        <v/>
      </c>
    </row>
    <row r="337" spans="1:26" s="82" customFormat="1" ht="32" x14ac:dyDescent="0.4">
      <c r="A337" s="493">
        <v>3716</v>
      </c>
      <c r="B337" s="105" t="s">
        <v>329</v>
      </c>
      <c r="C337" s="493" t="s">
        <v>330</v>
      </c>
      <c r="D337" s="105" t="s">
        <v>624</v>
      </c>
      <c r="E337" s="105" t="s">
        <v>394</v>
      </c>
      <c r="F337" s="493">
        <v>7601</v>
      </c>
      <c r="G337" s="105" t="s">
        <v>36</v>
      </c>
      <c r="H337" s="105" t="s">
        <v>342</v>
      </c>
      <c r="I337" s="105" t="s">
        <v>334</v>
      </c>
      <c r="J337" s="493">
        <v>22</v>
      </c>
      <c r="K337" s="493">
        <v>1</v>
      </c>
      <c r="L337" s="105" t="s">
        <v>335</v>
      </c>
      <c r="M337" s="105" t="s">
        <v>336</v>
      </c>
      <c r="N337" s="105" t="s">
        <v>337</v>
      </c>
      <c r="O337" s="105" t="s">
        <v>338</v>
      </c>
      <c r="P337" s="105" t="s">
        <v>339</v>
      </c>
      <c r="Q337" s="494">
        <v>0</v>
      </c>
      <c r="R337" s="494">
        <v>0</v>
      </c>
      <c r="S337" s="494">
        <v>14568</v>
      </c>
      <c r="T337" s="494">
        <v>14568</v>
      </c>
      <c r="U337" s="494">
        <v>4261</v>
      </c>
      <c r="V337" s="493">
        <v>2024</v>
      </c>
      <c r="W337" s="495"/>
      <c r="X337" s="496">
        <f t="shared" si="22"/>
        <v>3.4189157474771181</v>
      </c>
      <c r="Y337" s="497" t="str">
        <f t="shared" si="21"/>
        <v/>
      </c>
      <c r="Z337" s="497" t="str">
        <f t="shared" si="21"/>
        <v/>
      </c>
    </row>
    <row r="338" spans="1:26" s="82" customFormat="1" ht="32" x14ac:dyDescent="0.4">
      <c r="A338" s="493">
        <v>3717</v>
      </c>
      <c r="B338" s="105" t="s">
        <v>329</v>
      </c>
      <c r="C338" s="493" t="s">
        <v>330</v>
      </c>
      <c r="D338" s="105" t="s">
        <v>625</v>
      </c>
      <c r="E338" s="105" t="s">
        <v>394</v>
      </c>
      <c r="F338" s="493">
        <v>7601</v>
      </c>
      <c r="G338" s="105" t="s">
        <v>36</v>
      </c>
      <c r="H338" s="105" t="s">
        <v>342</v>
      </c>
      <c r="I338" s="105" t="s">
        <v>334</v>
      </c>
      <c r="J338" s="493">
        <v>22</v>
      </c>
      <c r="K338" s="493">
        <v>1</v>
      </c>
      <c r="L338" s="105" t="s">
        <v>335</v>
      </c>
      <c r="M338" s="105" t="s">
        <v>336</v>
      </c>
      <c r="N338" s="105" t="s">
        <v>337</v>
      </c>
      <c r="O338" s="105" t="s">
        <v>338</v>
      </c>
      <c r="P338" s="105" t="s">
        <v>339</v>
      </c>
      <c r="Q338" s="494">
        <v>0</v>
      </c>
      <c r="R338" s="494">
        <v>0</v>
      </c>
      <c r="S338" s="494">
        <v>151444</v>
      </c>
      <c r="T338" s="494">
        <v>151444</v>
      </c>
      <c r="U338" s="494">
        <v>44386</v>
      </c>
      <c r="V338" s="493">
        <v>2024</v>
      </c>
      <c r="W338" s="495"/>
      <c r="X338" s="496">
        <f t="shared" si="22"/>
        <v>3.4119767494254947</v>
      </c>
      <c r="Y338" s="497" t="str">
        <f t="shared" si="21"/>
        <v/>
      </c>
      <c r="Z338" s="497" t="str">
        <f t="shared" si="21"/>
        <v/>
      </c>
    </row>
    <row r="339" spans="1:26" s="82" customFormat="1" ht="32" x14ac:dyDescent="0.4">
      <c r="A339" s="493">
        <v>3720</v>
      </c>
      <c r="B339" s="105" t="s">
        <v>329</v>
      </c>
      <c r="C339" s="493" t="s">
        <v>330</v>
      </c>
      <c r="D339" s="105" t="s">
        <v>626</v>
      </c>
      <c r="E339" s="105" t="s">
        <v>394</v>
      </c>
      <c r="F339" s="493">
        <v>7601</v>
      </c>
      <c r="G339" s="105" t="s">
        <v>36</v>
      </c>
      <c r="H339" s="105" t="s">
        <v>342</v>
      </c>
      <c r="I339" s="105" t="s">
        <v>334</v>
      </c>
      <c r="J339" s="493">
        <v>22</v>
      </c>
      <c r="K339" s="493">
        <v>1</v>
      </c>
      <c r="L339" s="105" t="s">
        <v>335</v>
      </c>
      <c r="M339" s="105" t="s">
        <v>336</v>
      </c>
      <c r="N339" s="105" t="s">
        <v>337</v>
      </c>
      <c r="O339" s="105" t="s">
        <v>338</v>
      </c>
      <c r="P339" s="105" t="s">
        <v>339</v>
      </c>
      <c r="Q339" s="494">
        <v>0</v>
      </c>
      <c r="R339" s="494">
        <v>0</v>
      </c>
      <c r="S339" s="494">
        <v>106766</v>
      </c>
      <c r="T339" s="494">
        <v>106766</v>
      </c>
      <c r="U339" s="494">
        <v>31291</v>
      </c>
      <c r="V339" s="493">
        <v>2024</v>
      </c>
      <c r="W339" s="495"/>
      <c r="X339" s="496">
        <f t="shared" si="22"/>
        <v>3.4120354095426801</v>
      </c>
      <c r="Y339" s="497" t="str">
        <f t="shared" si="21"/>
        <v/>
      </c>
      <c r="Z339" s="497" t="str">
        <f t="shared" si="21"/>
        <v/>
      </c>
    </row>
    <row r="340" spans="1:26" s="82" customFormat="1" ht="32" x14ac:dyDescent="0.4">
      <c r="A340" s="493">
        <v>3722</v>
      </c>
      <c r="B340" s="105" t="s">
        <v>329</v>
      </c>
      <c r="C340" s="493" t="s">
        <v>330</v>
      </c>
      <c r="D340" s="105" t="s">
        <v>627</v>
      </c>
      <c r="E340" s="105" t="s">
        <v>394</v>
      </c>
      <c r="F340" s="493">
        <v>7601</v>
      </c>
      <c r="G340" s="105" t="s">
        <v>36</v>
      </c>
      <c r="H340" s="105" t="s">
        <v>342</v>
      </c>
      <c r="I340" s="105" t="s">
        <v>334</v>
      </c>
      <c r="J340" s="493">
        <v>22</v>
      </c>
      <c r="K340" s="493">
        <v>1</v>
      </c>
      <c r="L340" s="105" t="s">
        <v>335</v>
      </c>
      <c r="M340" s="105" t="s">
        <v>336</v>
      </c>
      <c r="N340" s="105" t="s">
        <v>337</v>
      </c>
      <c r="O340" s="105" t="s">
        <v>338</v>
      </c>
      <c r="P340" s="105" t="s">
        <v>339</v>
      </c>
      <c r="Q340" s="494">
        <v>0</v>
      </c>
      <c r="R340" s="494">
        <v>0</v>
      </c>
      <c r="S340" s="494">
        <v>27252</v>
      </c>
      <c r="T340" s="494">
        <v>27252</v>
      </c>
      <c r="U340" s="494">
        <v>7987</v>
      </c>
      <c r="V340" s="493">
        <v>2024</v>
      </c>
      <c r="W340" s="495"/>
      <c r="X340" s="496">
        <f t="shared" si="22"/>
        <v>3.4120445724301991</v>
      </c>
      <c r="Y340" s="497" t="str">
        <f t="shared" si="21"/>
        <v/>
      </c>
      <c r="Z340" s="497" t="str">
        <f t="shared" si="21"/>
        <v/>
      </c>
    </row>
    <row r="341" spans="1:26" s="82" customFormat="1" ht="32" x14ac:dyDescent="0.4">
      <c r="A341" s="493">
        <v>3723</v>
      </c>
      <c r="B341" s="105" t="s">
        <v>329</v>
      </c>
      <c r="C341" s="493" t="s">
        <v>330</v>
      </c>
      <c r="D341" s="105" t="s">
        <v>628</v>
      </c>
      <c r="E341" s="105" t="s">
        <v>394</v>
      </c>
      <c r="F341" s="493">
        <v>7601</v>
      </c>
      <c r="G341" s="105" t="s">
        <v>36</v>
      </c>
      <c r="H341" s="105" t="s">
        <v>342</v>
      </c>
      <c r="I341" s="105" t="s">
        <v>334</v>
      </c>
      <c r="J341" s="493">
        <v>22</v>
      </c>
      <c r="K341" s="493">
        <v>1</v>
      </c>
      <c r="L341" s="105" t="s">
        <v>335</v>
      </c>
      <c r="M341" s="105" t="s">
        <v>295</v>
      </c>
      <c r="N341" s="105" t="s">
        <v>226</v>
      </c>
      <c r="O341" s="105" t="s">
        <v>226</v>
      </c>
      <c r="P341" s="105" t="s">
        <v>350</v>
      </c>
      <c r="Q341" s="494">
        <v>205</v>
      </c>
      <c r="R341" s="494">
        <v>205</v>
      </c>
      <c r="S341" s="494">
        <v>1189</v>
      </c>
      <c r="T341" s="494">
        <v>1189</v>
      </c>
      <c r="U341" s="494">
        <v>32</v>
      </c>
      <c r="V341" s="493">
        <v>2024</v>
      </c>
      <c r="W341" s="495"/>
      <c r="X341" s="496">
        <f t="shared" si="22"/>
        <v>37.15625</v>
      </c>
      <c r="Y341" s="497" t="str">
        <f t="shared" si="21"/>
        <v/>
      </c>
      <c r="Z341" s="497" t="str">
        <f t="shared" si="21"/>
        <v/>
      </c>
    </row>
    <row r="342" spans="1:26" s="82" customFormat="1" ht="32" x14ac:dyDescent="0.4">
      <c r="A342" s="493">
        <v>3723</v>
      </c>
      <c r="B342" s="105" t="s">
        <v>329</v>
      </c>
      <c r="C342" s="493" t="s">
        <v>330</v>
      </c>
      <c r="D342" s="105" t="s">
        <v>628</v>
      </c>
      <c r="E342" s="105" t="s">
        <v>394</v>
      </c>
      <c r="F342" s="493">
        <v>7601</v>
      </c>
      <c r="G342" s="105" t="s">
        <v>36</v>
      </c>
      <c r="H342" s="105" t="s">
        <v>342</v>
      </c>
      <c r="I342" s="105" t="s">
        <v>334</v>
      </c>
      <c r="J342" s="493">
        <v>22</v>
      </c>
      <c r="K342" s="493">
        <v>1</v>
      </c>
      <c r="L342" s="105" t="s">
        <v>335</v>
      </c>
      <c r="M342" s="105" t="s">
        <v>359</v>
      </c>
      <c r="N342" s="105" t="s">
        <v>226</v>
      </c>
      <c r="O342" s="105" t="s">
        <v>226</v>
      </c>
      <c r="P342" s="105" t="s">
        <v>350</v>
      </c>
      <c r="Q342" s="494">
        <v>0</v>
      </c>
      <c r="R342" s="494">
        <v>0</v>
      </c>
      <c r="S342" s="494">
        <v>0</v>
      </c>
      <c r="T342" s="494">
        <v>0</v>
      </c>
      <c r="U342" s="494">
        <v>0</v>
      </c>
      <c r="V342" s="493">
        <v>2024</v>
      </c>
      <c r="W342" s="495"/>
      <c r="X342" s="496" t="str">
        <f t="shared" si="22"/>
        <v/>
      </c>
      <c r="Y342" s="497" t="str">
        <f t="shared" si="21"/>
        <v/>
      </c>
      <c r="Z342" s="497" t="str">
        <f t="shared" si="21"/>
        <v/>
      </c>
    </row>
    <row r="343" spans="1:26" s="82" customFormat="1" ht="32" x14ac:dyDescent="0.4">
      <c r="A343" s="493">
        <v>3724</v>
      </c>
      <c r="B343" s="105" t="s">
        <v>329</v>
      </c>
      <c r="C343" s="493" t="s">
        <v>330</v>
      </c>
      <c r="D343" s="105" t="s">
        <v>629</v>
      </c>
      <c r="E343" s="105" t="s">
        <v>394</v>
      </c>
      <c r="F343" s="493">
        <v>7601</v>
      </c>
      <c r="G343" s="105" t="s">
        <v>36</v>
      </c>
      <c r="H343" s="105" t="s">
        <v>342</v>
      </c>
      <c r="I343" s="105" t="s">
        <v>334</v>
      </c>
      <c r="J343" s="493">
        <v>22</v>
      </c>
      <c r="K343" s="493">
        <v>1</v>
      </c>
      <c r="L343" s="105" t="s">
        <v>335</v>
      </c>
      <c r="M343" s="105" t="s">
        <v>336</v>
      </c>
      <c r="N343" s="105" t="s">
        <v>337</v>
      </c>
      <c r="O343" s="105" t="s">
        <v>338</v>
      </c>
      <c r="P343" s="105" t="s">
        <v>339</v>
      </c>
      <c r="Q343" s="494">
        <v>0</v>
      </c>
      <c r="R343" s="494">
        <v>0</v>
      </c>
      <c r="S343" s="494">
        <v>7059</v>
      </c>
      <c r="T343" s="494">
        <v>7059</v>
      </c>
      <c r="U343" s="494">
        <v>2010</v>
      </c>
      <c r="V343" s="493">
        <v>2024</v>
      </c>
      <c r="W343" s="495"/>
      <c r="X343" s="496">
        <f t="shared" si="22"/>
        <v>3.5119402985074628</v>
      </c>
      <c r="Y343" s="497" t="str">
        <f t="shared" si="21"/>
        <v/>
      </c>
      <c r="Z343" s="497" t="str">
        <f t="shared" si="21"/>
        <v/>
      </c>
    </row>
    <row r="344" spans="1:26" s="82" customFormat="1" ht="32" x14ac:dyDescent="0.4">
      <c r="A344" s="493">
        <v>3725</v>
      </c>
      <c r="B344" s="105" t="s">
        <v>329</v>
      </c>
      <c r="C344" s="493" t="s">
        <v>330</v>
      </c>
      <c r="D344" s="105" t="s">
        <v>630</v>
      </c>
      <c r="E344" s="105" t="s">
        <v>394</v>
      </c>
      <c r="F344" s="493">
        <v>7601</v>
      </c>
      <c r="G344" s="105" t="s">
        <v>36</v>
      </c>
      <c r="H344" s="105" t="s">
        <v>342</v>
      </c>
      <c r="I344" s="105" t="s">
        <v>334</v>
      </c>
      <c r="J344" s="493">
        <v>22</v>
      </c>
      <c r="K344" s="493">
        <v>1</v>
      </c>
      <c r="L344" s="105" t="s">
        <v>335</v>
      </c>
      <c r="M344" s="105" t="s">
        <v>336</v>
      </c>
      <c r="N344" s="105" t="s">
        <v>337</v>
      </c>
      <c r="O344" s="105" t="s">
        <v>338</v>
      </c>
      <c r="P344" s="105" t="s">
        <v>339</v>
      </c>
      <c r="Q344" s="494">
        <v>0</v>
      </c>
      <c r="R344" s="494">
        <v>0</v>
      </c>
      <c r="S344" s="494">
        <v>15585</v>
      </c>
      <c r="T344" s="494">
        <v>15585</v>
      </c>
      <c r="U344" s="494">
        <v>4568</v>
      </c>
      <c r="V344" s="493">
        <v>2024</v>
      </c>
      <c r="W344" s="495"/>
      <c r="X344" s="496">
        <f t="shared" si="22"/>
        <v>3.4117775831873907</v>
      </c>
      <c r="Y344" s="497" t="str">
        <f t="shared" si="21"/>
        <v/>
      </c>
      <c r="Z344" s="497" t="str">
        <f t="shared" si="21"/>
        <v/>
      </c>
    </row>
    <row r="345" spans="1:26" s="82" customFormat="1" ht="32" x14ac:dyDescent="0.4">
      <c r="A345" s="493">
        <v>3728</v>
      </c>
      <c r="B345" s="105" t="s">
        <v>329</v>
      </c>
      <c r="C345" s="493" t="s">
        <v>330</v>
      </c>
      <c r="D345" s="105" t="s">
        <v>631</v>
      </c>
      <c r="E345" s="105" t="s">
        <v>394</v>
      </c>
      <c r="F345" s="493">
        <v>7601</v>
      </c>
      <c r="G345" s="105" t="s">
        <v>36</v>
      </c>
      <c r="H345" s="105" t="s">
        <v>342</v>
      </c>
      <c r="I345" s="105" t="s">
        <v>334</v>
      </c>
      <c r="J345" s="493">
        <v>22</v>
      </c>
      <c r="K345" s="493">
        <v>1</v>
      </c>
      <c r="L345" s="105" t="s">
        <v>335</v>
      </c>
      <c r="M345" s="105" t="s">
        <v>336</v>
      </c>
      <c r="N345" s="105" t="s">
        <v>337</v>
      </c>
      <c r="O345" s="105" t="s">
        <v>338</v>
      </c>
      <c r="P345" s="105" t="s">
        <v>339</v>
      </c>
      <c r="Q345" s="494">
        <v>0</v>
      </c>
      <c r="R345" s="494">
        <v>0</v>
      </c>
      <c r="S345" s="494">
        <v>48038</v>
      </c>
      <c r="T345" s="494">
        <v>48038</v>
      </c>
      <c r="U345" s="494">
        <v>14079</v>
      </c>
      <c r="V345" s="493">
        <v>2024</v>
      </c>
      <c r="W345" s="495"/>
      <c r="X345" s="496">
        <f t="shared" si="22"/>
        <v>3.4120321045528801</v>
      </c>
      <c r="Y345" s="497" t="str">
        <f t="shared" si="21"/>
        <v/>
      </c>
      <c r="Z345" s="497" t="str">
        <f t="shared" si="21"/>
        <v/>
      </c>
    </row>
    <row r="346" spans="1:26" s="82" customFormat="1" x14ac:dyDescent="0.4">
      <c r="A346" s="493">
        <v>3731</v>
      </c>
      <c r="B346" s="105" t="s">
        <v>329</v>
      </c>
      <c r="C346" s="493" t="s">
        <v>330</v>
      </c>
      <c r="D346" s="105" t="s">
        <v>632</v>
      </c>
      <c r="E346" s="105" t="s">
        <v>633</v>
      </c>
      <c r="F346" s="493">
        <v>49852</v>
      </c>
      <c r="G346" s="105" t="s">
        <v>36</v>
      </c>
      <c r="H346" s="105" t="s">
        <v>342</v>
      </c>
      <c r="I346" s="105" t="s">
        <v>334</v>
      </c>
      <c r="J346" s="493">
        <v>22</v>
      </c>
      <c r="K346" s="493">
        <v>2</v>
      </c>
      <c r="L346" s="105" t="s">
        <v>343</v>
      </c>
      <c r="M346" s="105" t="s">
        <v>336</v>
      </c>
      <c r="N346" s="105" t="s">
        <v>337</v>
      </c>
      <c r="O346" s="105" t="s">
        <v>338</v>
      </c>
      <c r="P346" s="105" t="s">
        <v>339</v>
      </c>
      <c r="Q346" s="494">
        <v>0</v>
      </c>
      <c r="R346" s="494">
        <v>0</v>
      </c>
      <c r="S346" s="494">
        <v>70442</v>
      </c>
      <c r="T346" s="494">
        <v>70442</v>
      </c>
      <c r="U346" s="494">
        <v>20645</v>
      </c>
      <c r="V346" s="493">
        <v>2024</v>
      </c>
      <c r="W346" s="495"/>
      <c r="X346" s="496">
        <f t="shared" si="22"/>
        <v>3.4120610317268105</v>
      </c>
      <c r="Y346" s="497" t="str">
        <f t="shared" si="21"/>
        <v/>
      </c>
      <c r="Z346" s="497" t="str">
        <f t="shared" si="21"/>
        <v/>
      </c>
    </row>
    <row r="347" spans="1:26" s="82" customFormat="1" ht="32" x14ac:dyDescent="0.4">
      <c r="A347" s="493">
        <v>3734</v>
      </c>
      <c r="B347" s="105" t="s">
        <v>329</v>
      </c>
      <c r="C347" s="493" t="s">
        <v>330</v>
      </c>
      <c r="D347" s="105" t="s">
        <v>634</v>
      </c>
      <c r="E347" s="105" t="s">
        <v>394</v>
      </c>
      <c r="F347" s="493">
        <v>7601</v>
      </c>
      <c r="G347" s="105" t="s">
        <v>36</v>
      </c>
      <c r="H347" s="105" t="s">
        <v>342</v>
      </c>
      <c r="I347" s="105" t="s">
        <v>334</v>
      </c>
      <c r="J347" s="493">
        <v>22</v>
      </c>
      <c r="K347" s="493">
        <v>1</v>
      </c>
      <c r="L347" s="105" t="s">
        <v>335</v>
      </c>
      <c r="M347" s="105" t="s">
        <v>295</v>
      </c>
      <c r="N347" s="105" t="s">
        <v>226</v>
      </c>
      <c r="O347" s="105" t="s">
        <v>226</v>
      </c>
      <c r="P347" s="105" t="s">
        <v>350</v>
      </c>
      <c r="Q347" s="494">
        <v>0</v>
      </c>
      <c r="R347" s="494">
        <v>0</v>
      </c>
      <c r="S347" s="494">
        <v>0</v>
      </c>
      <c r="T347" s="494">
        <v>0</v>
      </c>
      <c r="U347" s="494">
        <v>0</v>
      </c>
      <c r="V347" s="493">
        <v>2024</v>
      </c>
      <c r="W347" s="495" t="s">
        <v>355</v>
      </c>
      <c r="X347" s="496" t="str">
        <f t="shared" si="22"/>
        <v/>
      </c>
      <c r="Y347" s="497" t="str">
        <f t="shared" si="21"/>
        <v/>
      </c>
      <c r="Z347" s="497" t="str">
        <f t="shared" si="21"/>
        <v/>
      </c>
    </row>
    <row r="348" spans="1:26" s="82" customFormat="1" ht="32" x14ac:dyDescent="0.4">
      <c r="A348" s="493">
        <v>3734</v>
      </c>
      <c r="B348" s="105" t="s">
        <v>329</v>
      </c>
      <c r="C348" s="493" t="s">
        <v>330</v>
      </c>
      <c r="D348" s="105" t="s">
        <v>634</v>
      </c>
      <c r="E348" s="105" t="s">
        <v>394</v>
      </c>
      <c r="F348" s="493">
        <v>7601</v>
      </c>
      <c r="G348" s="105" t="s">
        <v>36</v>
      </c>
      <c r="H348" s="105" t="s">
        <v>342</v>
      </c>
      <c r="I348" s="105" t="s">
        <v>334</v>
      </c>
      <c r="J348" s="493">
        <v>22</v>
      </c>
      <c r="K348" s="493">
        <v>1</v>
      </c>
      <c r="L348" s="105" t="s">
        <v>335</v>
      </c>
      <c r="M348" s="105" t="s">
        <v>295</v>
      </c>
      <c r="N348" s="105" t="s">
        <v>240</v>
      </c>
      <c r="O348" s="105" t="s">
        <v>349</v>
      </c>
      <c r="P348" s="105" t="s">
        <v>350</v>
      </c>
      <c r="Q348" s="494">
        <v>0</v>
      </c>
      <c r="R348" s="494">
        <v>0</v>
      </c>
      <c r="S348" s="494">
        <v>0</v>
      </c>
      <c r="T348" s="494">
        <v>0</v>
      </c>
      <c r="U348" s="494">
        <v>0</v>
      </c>
      <c r="V348" s="493">
        <v>2024</v>
      </c>
      <c r="W348" s="495" t="s">
        <v>355</v>
      </c>
      <c r="X348" s="496" t="str">
        <f t="shared" si="22"/>
        <v/>
      </c>
      <c r="Y348" s="497" t="str">
        <f t="shared" ref="Y348:Z367" si="23">IF(AND($M348=$Y$2,$N348=$Y$3,NOT($Q348=$R348),NOT($U348=0)),IF($K348=5,$S348/($U348+(8/5)*$U348),IF($K348=7,$S348/($U348+(29/25)*$U348),"")),"")</f>
        <v/>
      </c>
      <c r="Z348" s="497" t="str">
        <f t="shared" si="23"/>
        <v/>
      </c>
    </row>
    <row r="349" spans="1:26" s="82" customFormat="1" ht="32" x14ac:dyDescent="0.4">
      <c r="A349" s="493">
        <v>3734</v>
      </c>
      <c r="B349" s="105" t="s">
        <v>329</v>
      </c>
      <c r="C349" s="493" t="s">
        <v>330</v>
      </c>
      <c r="D349" s="105" t="s">
        <v>634</v>
      </c>
      <c r="E349" s="105" t="s">
        <v>394</v>
      </c>
      <c r="F349" s="493">
        <v>7601</v>
      </c>
      <c r="G349" s="105" t="s">
        <v>36</v>
      </c>
      <c r="H349" s="105" t="s">
        <v>342</v>
      </c>
      <c r="I349" s="105" t="s">
        <v>334</v>
      </c>
      <c r="J349" s="493">
        <v>22</v>
      </c>
      <c r="K349" s="493">
        <v>1</v>
      </c>
      <c r="L349" s="105" t="s">
        <v>335</v>
      </c>
      <c r="M349" s="105" t="s">
        <v>295</v>
      </c>
      <c r="N349" s="105" t="s">
        <v>242</v>
      </c>
      <c r="O349" s="105" t="s">
        <v>349</v>
      </c>
      <c r="P349" s="105" t="s">
        <v>350</v>
      </c>
      <c r="Q349" s="494">
        <v>2617</v>
      </c>
      <c r="R349" s="494">
        <v>2617</v>
      </c>
      <c r="S349" s="494">
        <v>15178</v>
      </c>
      <c r="T349" s="494">
        <v>15178</v>
      </c>
      <c r="U349" s="494">
        <v>903</v>
      </c>
      <c r="V349" s="493">
        <v>2024</v>
      </c>
      <c r="W349" s="495" t="s">
        <v>355</v>
      </c>
      <c r="X349" s="496">
        <f t="shared" si="22"/>
        <v>16.80841638981174</v>
      </c>
      <c r="Y349" s="497" t="str">
        <f t="shared" si="23"/>
        <v/>
      </c>
      <c r="Z349" s="497" t="str">
        <f t="shared" si="23"/>
        <v/>
      </c>
    </row>
    <row r="350" spans="1:26" s="82" customFormat="1" ht="32" x14ac:dyDescent="0.4">
      <c r="A350" s="493">
        <v>3735</v>
      </c>
      <c r="B350" s="105" t="s">
        <v>329</v>
      </c>
      <c r="C350" s="493" t="s">
        <v>330</v>
      </c>
      <c r="D350" s="105" t="s">
        <v>635</v>
      </c>
      <c r="E350" s="105" t="s">
        <v>394</v>
      </c>
      <c r="F350" s="493">
        <v>7601</v>
      </c>
      <c r="G350" s="105" t="s">
        <v>36</v>
      </c>
      <c r="H350" s="105" t="s">
        <v>342</v>
      </c>
      <c r="I350" s="105" t="s">
        <v>334</v>
      </c>
      <c r="J350" s="493">
        <v>22</v>
      </c>
      <c r="K350" s="493">
        <v>1</v>
      </c>
      <c r="L350" s="105" t="s">
        <v>335</v>
      </c>
      <c r="M350" s="105" t="s">
        <v>295</v>
      </c>
      <c r="N350" s="105" t="s">
        <v>226</v>
      </c>
      <c r="O350" s="105" t="s">
        <v>226</v>
      </c>
      <c r="P350" s="105" t="s">
        <v>350</v>
      </c>
      <c r="Q350" s="494">
        <v>2670</v>
      </c>
      <c r="R350" s="494">
        <v>2670</v>
      </c>
      <c r="S350" s="494">
        <v>15486</v>
      </c>
      <c r="T350" s="494">
        <v>15486</v>
      </c>
      <c r="U350" s="494">
        <v>279</v>
      </c>
      <c r="V350" s="493">
        <v>2024</v>
      </c>
      <c r="W350" s="495"/>
      <c r="X350" s="496">
        <f t="shared" si="22"/>
        <v>55.505376344086024</v>
      </c>
      <c r="Y350" s="497" t="str">
        <f t="shared" si="23"/>
        <v/>
      </c>
      <c r="Z350" s="497" t="str">
        <f t="shared" si="23"/>
        <v/>
      </c>
    </row>
    <row r="351" spans="1:26" s="82" customFormat="1" ht="32" x14ac:dyDescent="0.4">
      <c r="A351" s="493">
        <v>3737</v>
      </c>
      <c r="B351" s="105" t="s">
        <v>329</v>
      </c>
      <c r="C351" s="493" t="s">
        <v>330</v>
      </c>
      <c r="D351" s="105" t="s">
        <v>636</v>
      </c>
      <c r="E351" s="105" t="s">
        <v>394</v>
      </c>
      <c r="F351" s="493">
        <v>7601</v>
      </c>
      <c r="G351" s="105" t="s">
        <v>36</v>
      </c>
      <c r="H351" s="105" t="s">
        <v>342</v>
      </c>
      <c r="I351" s="105" t="s">
        <v>334</v>
      </c>
      <c r="J351" s="493">
        <v>22</v>
      </c>
      <c r="K351" s="493">
        <v>1</v>
      </c>
      <c r="L351" s="105" t="s">
        <v>335</v>
      </c>
      <c r="M351" s="105" t="s">
        <v>336</v>
      </c>
      <c r="N351" s="105" t="s">
        <v>337</v>
      </c>
      <c r="O351" s="105" t="s">
        <v>338</v>
      </c>
      <c r="P351" s="105" t="s">
        <v>339</v>
      </c>
      <c r="Q351" s="494">
        <v>0</v>
      </c>
      <c r="R351" s="494">
        <v>0</v>
      </c>
      <c r="S351" s="494">
        <v>142656</v>
      </c>
      <c r="T351" s="494">
        <v>142656</v>
      </c>
      <c r="U351" s="494">
        <v>41810</v>
      </c>
      <c r="V351" s="493">
        <v>2024</v>
      </c>
      <c r="W351" s="495"/>
      <c r="X351" s="496">
        <f t="shared" si="22"/>
        <v>3.412006696962449</v>
      </c>
      <c r="Y351" s="497" t="str">
        <f t="shared" si="23"/>
        <v/>
      </c>
      <c r="Z351" s="497" t="str">
        <f t="shared" si="23"/>
        <v/>
      </c>
    </row>
    <row r="352" spans="1:26" s="82" customFormat="1" ht="32" x14ac:dyDescent="0.4">
      <c r="A352" s="493">
        <v>3737</v>
      </c>
      <c r="B352" s="105" t="s">
        <v>329</v>
      </c>
      <c r="C352" s="493" t="s">
        <v>330</v>
      </c>
      <c r="D352" s="105" t="s">
        <v>636</v>
      </c>
      <c r="E352" s="105" t="s">
        <v>394</v>
      </c>
      <c r="F352" s="493">
        <v>7601</v>
      </c>
      <c r="G352" s="105" t="s">
        <v>36</v>
      </c>
      <c r="H352" s="105" t="s">
        <v>342</v>
      </c>
      <c r="I352" s="105" t="s">
        <v>334</v>
      </c>
      <c r="J352" s="493">
        <v>22</v>
      </c>
      <c r="K352" s="493">
        <v>1</v>
      </c>
      <c r="L352" s="105" t="s">
        <v>335</v>
      </c>
      <c r="M352" s="105" t="s">
        <v>359</v>
      </c>
      <c r="N352" s="105" t="s">
        <v>226</v>
      </c>
      <c r="O352" s="105" t="s">
        <v>226</v>
      </c>
      <c r="P352" s="105" t="s">
        <v>350</v>
      </c>
      <c r="Q352" s="494">
        <v>223</v>
      </c>
      <c r="R352" s="494">
        <v>223</v>
      </c>
      <c r="S352" s="494">
        <v>1295</v>
      </c>
      <c r="T352" s="494">
        <v>1295</v>
      </c>
      <c r="U352" s="494">
        <v>158</v>
      </c>
      <c r="V352" s="493">
        <v>2024</v>
      </c>
      <c r="W352" s="495"/>
      <c r="X352" s="496">
        <f t="shared" si="22"/>
        <v>8.1962025316455698</v>
      </c>
      <c r="Y352" s="497" t="str">
        <f t="shared" si="23"/>
        <v/>
      </c>
      <c r="Z352" s="497" t="str">
        <f t="shared" si="23"/>
        <v/>
      </c>
    </row>
    <row r="353" spans="1:26" s="82" customFormat="1" ht="32" x14ac:dyDescent="0.4">
      <c r="A353" s="493">
        <v>3739</v>
      </c>
      <c r="B353" s="105" t="s">
        <v>329</v>
      </c>
      <c r="C353" s="493" t="s">
        <v>330</v>
      </c>
      <c r="D353" s="105" t="s">
        <v>637</v>
      </c>
      <c r="E353" s="105" t="s">
        <v>394</v>
      </c>
      <c r="F353" s="493">
        <v>7601</v>
      </c>
      <c r="G353" s="105" t="s">
        <v>36</v>
      </c>
      <c r="H353" s="105" t="s">
        <v>342</v>
      </c>
      <c r="I353" s="105" t="s">
        <v>334</v>
      </c>
      <c r="J353" s="493">
        <v>22</v>
      </c>
      <c r="K353" s="493">
        <v>1</v>
      </c>
      <c r="L353" s="105" t="s">
        <v>335</v>
      </c>
      <c r="M353" s="105" t="s">
        <v>336</v>
      </c>
      <c r="N353" s="105" t="s">
        <v>337</v>
      </c>
      <c r="O353" s="105" t="s">
        <v>338</v>
      </c>
      <c r="P353" s="105" t="s">
        <v>339</v>
      </c>
      <c r="Q353" s="494">
        <v>0</v>
      </c>
      <c r="R353" s="494">
        <v>0</v>
      </c>
      <c r="S353" s="494">
        <v>27639</v>
      </c>
      <c r="T353" s="494">
        <v>27639</v>
      </c>
      <c r="U353" s="494">
        <v>8100</v>
      </c>
      <c r="V353" s="493">
        <v>2024</v>
      </c>
      <c r="W353" s="495"/>
      <c r="X353" s="496">
        <f t="shared" si="22"/>
        <v>3.4122222222222223</v>
      </c>
      <c r="Y353" s="497" t="str">
        <f t="shared" si="23"/>
        <v/>
      </c>
      <c r="Z353" s="497" t="str">
        <f t="shared" si="23"/>
        <v/>
      </c>
    </row>
    <row r="354" spans="1:26" s="82" customFormat="1" ht="32" x14ac:dyDescent="0.4">
      <c r="A354" s="493">
        <v>3740</v>
      </c>
      <c r="B354" s="105" t="s">
        <v>329</v>
      </c>
      <c r="C354" s="493" t="s">
        <v>330</v>
      </c>
      <c r="D354" s="105" t="s">
        <v>638</v>
      </c>
      <c r="E354" s="105" t="s">
        <v>394</v>
      </c>
      <c r="F354" s="493">
        <v>7601</v>
      </c>
      <c r="G354" s="105" t="s">
        <v>36</v>
      </c>
      <c r="H354" s="105" t="s">
        <v>342</v>
      </c>
      <c r="I354" s="105" t="s">
        <v>334</v>
      </c>
      <c r="J354" s="493">
        <v>22</v>
      </c>
      <c r="K354" s="493">
        <v>1</v>
      </c>
      <c r="L354" s="105" t="s">
        <v>335</v>
      </c>
      <c r="M354" s="105" t="s">
        <v>336</v>
      </c>
      <c r="N354" s="105" t="s">
        <v>337</v>
      </c>
      <c r="O354" s="105" t="s">
        <v>338</v>
      </c>
      <c r="P354" s="105" t="s">
        <v>339</v>
      </c>
      <c r="Q354" s="494">
        <v>0</v>
      </c>
      <c r="R354" s="494">
        <v>0</v>
      </c>
      <c r="S354" s="494">
        <v>33551</v>
      </c>
      <c r="T354" s="494">
        <v>33551</v>
      </c>
      <c r="U354" s="494">
        <v>9834</v>
      </c>
      <c r="V354" s="493">
        <v>2024</v>
      </c>
      <c r="W354" s="495"/>
      <c r="X354" s="496">
        <f t="shared" si="22"/>
        <v>3.4117347976408379</v>
      </c>
      <c r="Y354" s="497" t="str">
        <f t="shared" si="23"/>
        <v/>
      </c>
      <c r="Z354" s="497" t="str">
        <f t="shared" si="23"/>
        <v/>
      </c>
    </row>
    <row r="355" spans="1:26" s="82" customFormat="1" ht="32" x14ac:dyDescent="0.4">
      <c r="A355" s="493">
        <v>3743</v>
      </c>
      <c r="B355" s="105" t="s">
        <v>329</v>
      </c>
      <c r="C355" s="493" t="s">
        <v>330</v>
      </c>
      <c r="D355" s="105" t="s">
        <v>639</v>
      </c>
      <c r="E355" s="105" t="s">
        <v>394</v>
      </c>
      <c r="F355" s="493">
        <v>7601</v>
      </c>
      <c r="G355" s="105" t="s">
        <v>36</v>
      </c>
      <c r="H355" s="105" t="s">
        <v>342</v>
      </c>
      <c r="I355" s="105" t="s">
        <v>334</v>
      </c>
      <c r="J355" s="493">
        <v>22</v>
      </c>
      <c r="K355" s="493">
        <v>1</v>
      </c>
      <c r="L355" s="105" t="s">
        <v>335</v>
      </c>
      <c r="M355" s="105" t="s">
        <v>336</v>
      </c>
      <c r="N355" s="105" t="s">
        <v>337</v>
      </c>
      <c r="O355" s="105" t="s">
        <v>338</v>
      </c>
      <c r="P355" s="105" t="s">
        <v>339</v>
      </c>
      <c r="Q355" s="494">
        <v>0</v>
      </c>
      <c r="R355" s="494">
        <v>0</v>
      </c>
      <c r="S355" s="494">
        <v>9003</v>
      </c>
      <c r="T355" s="494">
        <v>9003</v>
      </c>
      <c r="U355" s="494">
        <v>2637</v>
      </c>
      <c r="V355" s="493">
        <v>2024</v>
      </c>
      <c r="W355" s="495"/>
      <c r="X355" s="496">
        <f t="shared" si="22"/>
        <v>3.4141069397042094</v>
      </c>
      <c r="Y355" s="497" t="str">
        <f t="shared" si="23"/>
        <v/>
      </c>
      <c r="Z355" s="497" t="str">
        <f t="shared" si="23"/>
        <v/>
      </c>
    </row>
    <row r="356" spans="1:26" s="82" customFormat="1" x14ac:dyDescent="0.4">
      <c r="A356" s="493">
        <v>3745</v>
      </c>
      <c r="B356" s="105" t="s">
        <v>329</v>
      </c>
      <c r="C356" s="493" t="s">
        <v>330</v>
      </c>
      <c r="D356" s="105" t="s">
        <v>640</v>
      </c>
      <c r="E356" s="105" t="s">
        <v>449</v>
      </c>
      <c r="F356" s="493">
        <v>61122</v>
      </c>
      <c r="G356" s="105" t="s">
        <v>36</v>
      </c>
      <c r="H356" s="105" t="s">
        <v>342</v>
      </c>
      <c r="I356" s="105" t="s">
        <v>334</v>
      </c>
      <c r="J356" s="493">
        <v>22</v>
      </c>
      <c r="K356" s="493">
        <v>2</v>
      </c>
      <c r="L356" s="105" t="s">
        <v>343</v>
      </c>
      <c r="M356" s="105" t="s">
        <v>336</v>
      </c>
      <c r="N356" s="105" t="s">
        <v>337</v>
      </c>
      <c r="O356" s="105" t="s">
        <v>338</v>
      </c>
      <c r="P356" s="105" t="s">
        <v>339</v>
      </c>
      <c r="Q356" s="494">
        <v>0</v>
      </c>
      <c r="R356" s="494">
        <v>0</v>
      </c>
      <c r="S356" s="494">
        <v>902015</v>
      </c>
      <c r="T356" s="494">
        <v>902015</v>
      </c>
      <c r="U356" s="494">
        <v>264365</v>
      </c>
      <c r="V356" s="493">
        <v>2024</v>
      </c>
      <c r="W356" s="495"/>
      <c r="X356" s="496">
        <f t="shared" si="22"/>
        <v>3.4120061278913623</v>
      </c>
      <c r="Y356" s="497" t="str">
        <f t="shared" si="23"/>
        <v/>
      </c>
      <c r="Z356" s="497" t="str">
        <f t="shared" si="23"/>
        <v/>
      </c>
    </row>
    <row r="357" spans="1:26" s="82" customFormat="1" x14ac:dyDescent="0.4">
      <c r="A357" s="493">
        <v>3746</v>
      </c>
      <c r="B357" s="105" t="s">
        <v>329</v>
      </c>
      <c r="C357" s="493" t="s">
        <v>330</v>
      </c>
      <c r="D357" s="105" t="s">
        <v>641</v>
      </c>
      <c r="E357" s="105" t="s">
        <v>449</v>
      </c>
      <c r="F357" s="493">
        <v>61122</v>
      </c>
      <c r="G357" s="105" t="s">
        <v>36</v>
      </c>
      <c r="H357" s="105" t="s">
        <v>342</v>
      </c>
      <c r="I357" s="105" t="s">
        <v>334</v>
      </c>
      <c r="J357" s="493">
        <v>22</v>
      </c>
      <c r="K357" s="493">
        <v>2</v>
      </c>
      <c r="L357" s="105" t="s">
        <v>343</v>
      </c>
      <c r="M357" s="105" t="s">
        <v>336</v>
      </c>
      <c r="N357" s="105" t="s">
        <v>337</v>
      </c>
      <c r="O357" s="105" t="s">
        <v>338</v>
      </c>
      <c r="P357" s="105" t="s">
        <v>339</v>
      </c>
      <c r="Q357" s="494">
        <v>0</v>
      </c>
      <c r="R357" s="494">
        <v>0</v>
      </c>
      <c r="S357" s="494">
        <v>312082</v>
      </c>
      <c r="T357" s="494">
        <v>312082</v>
      </c>
      <c r="U357" s="494">
        <v>91466</v>
      </c>
      <c r="V357" s="493">
        <v>2024</v>
      </c>
      <c r="W357" s="495"/>
      <c r="X357" s="496">
        <f t="shared" si="22"/>
        <v>3.4120000874641945</v>
      </c>
      <c r="Y357" s="497" t="str">
        <f t="shared" si="23"/>
        <v/>
      </c>
      <c r="Z357" s="497" t="str">
        <f t="shared" si="23"/>
        <v/>
      </c>
    </row>
    <row r="358" spans="1:26" s="82" customFormat="1" ht="32" x14ac:dyDescent="0.4">
      <c r="A358" s="493">
        <v>3750</v>
      </c>
      <c r="B358" s="105" t="s">
        <v>329</v>
      </c>
      <c r="C358" s="493" t="s">
        <v>330</v>
      </c>
      <c r="D358" s="105" t="s">
        <v>642</v>
      </c>
      <c r="E358" s="105" t="s">
        <v>469</v>
      </c>
      <c r="F358" s="493">
        <v>62775</v>
      </c>
      <c r="G358" s="105" t="s">
        <v>36</v>
      </c>
      <c r="H358" s="105" t="s">
        <v>342</v>
      </c>
      <c r="I358" s="105" t="s">
        <v>334</v>
      </c>
      <c r="J358" s="493">
        <v>22</v>
      </c>
      <c r="K358" s="493">
        <v>2</v>
      </c>
      <c r="L358" s="105" t="s">
        <v>343</v>
      </c>
      <c r="M358" s="105" t="s">
        <v>336</v>
      </c>
      <c r="N358" s="105" t="s">
        <v>337</v>
      </c>
      <c r="O358" s="105" t="s">
        <v>338</v>
      </c>
      <c r="P358" s="105" t="s">
        <v>339</v>
      </c>
      <c r="Q358" s="494">
        <v>0</v>
      </c>
      <c r="R358" s="494">
        <v>0</v>
      </c>
      <c r="S358" s="494">
        <v>22046</v>
      </c>
      <c r="T358" s="494">
        <v>22046</v>
      </c>
      <c r="U358" s="494">
        <v>6461</v>
      </c>
      <c r="V358" s="493">
        <v>2024</v>
      </c>
      <c r="W358" s="495"/>
      <c r="X358" s="496">
        <f t="shared" si="22"/>
        <v>3.4121652994892431</v>
      </c>
      <c r="Y358" s="497" t="str">
        <f t="shared" si="23"/>
        <v/>
      </c>
      <c r="Z358" s="497" t="str">
        <f t="shared" si="23"/>
        <v/>
      </c>
    </row>
    <row r="359" spans="1:26" s="82" customFormat="1" x14ac:dyDescent="0.4">
      <c r="A359" s="493">
        <v>3753</v>
      </c>
      <c r="B359" s="105" t="s">
        <v>329</v>
      </c>
      <c r="C359" s="493" t="s">
        <v>330</v>
      </c>
      <c r="D359" s="105" t="s">
        <v>643</v>
      </c>
      <c r="E359" s="105" t="s">
        <v>644</v>
      </c>
      <c r="F359" s="493">
        <v>1299</v>
      </c>
      <c r="G359" s="105" t="s">
        <v>36</v>
      </c>
      <c r="H359" s="105" t="s">
        <v>342</v>
      </c>
      <c r="I359" s="105" t="s">
        <v>334</v>
      </c>
      <c r="J359" s="493">
        <v>22</v>
      </c>
      <c r="K359" s="493">
        <v>1</v>
      </c>
      <c r="L359" s="105" t="s">
        <v>335</v>
      </c>
      <c r="M359" s="105" t="s">
        <v>336</v>
      </c>
      <c r="N359" s="105" t="s">
        <v>337</v>
      </c>
      <c r="O359" s="105" t="s">
        <v>338</v>
      </c>
      <c r="P359" s="105" t="s">
        <v>339</v>
      </c>
      <c r="Q359" s="494">
        <v>0</v>
      </c>
      <c r="R359" s="494">
        <v>0</v>
      </c>
      <c r="S359" s="494">
        <v>23617</v>
      </c>
      <c r="T359" s="494">
        <v>23617</v>
      </c>
      <c r="U359" s="494">
        <v>6922</v>
      </c>
      <c r="V359" s="493">
        <v>2024</v>
      </c>
      <c r="W359" s="495"/>
      <c r="X359" s="496">
        <f t="shared" si="22"/>
        <v>3.4118751805836465</v>
      </c>
      <c r="Y359" s="497" t="str">
        <f t="shared" si="23"/>
        <v/>
      </c>
      <c r="Z359" s="497" t="str">
        <f t="shared" si="23"/>
        <v/>
      </c>
    </row>
    <row r="360" spans="1:26" s="82" customFormat="1" x14ac:dyDescent="0.4">
      <c r="A360" s="493">
        <v>3753</v>
      </c>
      <c r="B360" s="105" t="s">
        <v>329</v>
      </c>
      <c r="C360" s="493" t="s">
        <v>330</v>
      </c>
      <c r="D360" s="105" t="s">
        <v>643</v>
      </c>
      <c r="E360" s="105" t="s">
        <v>644</v>
      </c>
      <c r="F360" s="493">
        <v>1299</v>
      </c>
      <c r="G360" s="105" t="s">
        <v>36</v>
      </c>
      <c r="H360" s="105" t="s">
        <v>342</v>
      </c>
      <c r="I360" s="105" t="s">
        <v>334</v>
      </c>
      <c r="J360" s="493">
        <v>22</v>
      </c>
      <c r="K360" s="493">
        <v>1</v>
      </c>
      <c r="L360" s="105" t="s">
        <v>335</v>
      </c>
      <c r="M360" s="105" t="s">
        <v>360</v>
      </c>
      <c r="N360" s="105" t="s">
        <v>226</v>
      </c>
      <c r="O360" s="105" t="s">
        <v>226</v>
      </c>
      <c r="P360" s="105" t="s">
        <v>350</v>
      </c>
      <c r="Q360" s="494">
        <v>0</v>
      </c>
      <c r="R360" s="494">
        <v>0</v>
      </c>
      <c r="S360" s="494">
        <v>0</v>
      </c>
      <c r="T360" s="494">
        <v>0</v>
      </c>
      <c r="U360" s="494">
        <v>0</v>
      </c>
      <c r="V360" s="493">
        <v>2024</v>
      </c>
      <c r="W360" s="495"/>
      <c r="X360" s="496" t="str">
        <f t="shared" si="22"/>
        <v/>
      </c>
      <c r="Y360" s="497" t="str">
        <f t="shared" si="23"/>
        <v/>
      </c>
      <c r="Z360" s="497" t="str">
        <f t="shared" si="23"/>
        <v/>
      </c>
    </row>
    <row r="361" spans="1:26" s="82" customFormat="1" ht="32" x14ac:dyDescent="0.4">
      <c r="A361" s="493">
        <v>3754</v>
      </c>
      <c r="B361" s="105" t="s">
        <v>329</v>
      </c>
      <c r="C361" s="493" t="s">
        <v>330</v>
      </c>
      <c r="D361" s="105" t="s">
        <v>645</v>
      </c>
      <c r="E361" s="105" t="s">
        <v>386</v>
      </c>
      <c r="F361" s="493">
        <v>2548</v>
      </c>
      <c r="G361" s="105" t="s">
        <v>36</v>
      </c>
      <c r="H361" s="105" t="s">
        <v>342</v>
      </c>
      <c r="I361" s="105" t="s">
        <v>334</v>
      </c>
      <c r="J361" s="493">
        <v>22</v>
      </c>
      <c r="K361" s="493">
        <v>1</v>
      </c>
      <c r="L361" s="105" t="s">
        <v>335</v>
      </c>
      <c r="M361" s="105" t="s">
        <v>295</v>
      </c>
      <c r="N361" s="105" t="s">
        <v>226</v>
      </c>
      <c r="O361" s="105" t="s">
        <v>226</v>
      </c>
      <c r="P361" s="105" t="s">
        <v>350</v>
      </c>
      <c r="Q361" s="494">
        <v>1198</v>
      </c>
      <c r="R361" s="494">
        <v>1198</v>
      </c>
      <c r="S361" s="494">
        <v>6630</v>
      </c>
      <c r="T361" s="494">
        <v>6630</v>
      </c>
      <c r="U361" s="494">
        <v>358</v>
      </c>
      <c r="V361" s="493">
        <v>2024</v>
      </c>
      <c r="W361" s="495" t="s">
        <v>355</v>
      </c>
      <c r="X361" s="496">
        <f t="shared" si="22"/>
        <v>18.519553072625698</v>
      </c>
      <c r="Y361" s="497" t="str">
        <f t="shared" si="23"/>
        <v/>
      </c>
      <c r="Z361" s="497" t="str">
        <f t="shared" si="23"/>
        <v/>
      </c>
    </row>
    <row r="362" spans="1:26" s="82" customFormat="1" ht="32" x14ac:dyDescent="0.4">
      <c r="A362" s="493">
        <v>3754</v>
      </c>
      <c r="B362" s="105" t="s">
        <v>329</v>
      </c>
      <c r="C362" s="493" t="s">
        <v>330</v>
      </c>
      <c r="D362" s="105" t="s">
        <v>645</v>
      </c>
      <c r="E362" s="105" t="s">
        <v>386</v>
      </c>
      <c r="F362" s="493">
        <v>2548</v>
      </c>
      <c r="G362" s="105" t="s">
        <v>36</v>
      </c>
      <c r="H362" s="105" t="s">
        <v>342</v>
      </c>
      <c r="I362" s="105" t="s">
        <v>334</v>
      </c>
      <c r="J362" s="493">
        <v>22</v>
      </c>
      <c r="K362" s="493">
        <v>1</v>
      </c>
      <c r="L362" s="105" t="s">
        <v>335</v>
      </c>
      <c r="M362" s="105" t="s">
        <v>295</v>
      </c>
      <c r="N362" s="105" t="s">
        <v>238</v>
      </c>
      <c r="O362" s="105" t="s">
        <v>238</v>
      </c>
      <c r="P362" s="105" t="s">
        <v>350</v>
      </c>
      <c r="Q362" s="494">
        <v>0</v>
      </c>
      <c r="R362" s="494">
        <v>0</v>
      </c>
      <c r="S362" s="494">
        <v>0</v>
      </c>
      <c r="T362" s="494">
        <v>0</v>
      </c>
      <c r="U362" s="494">
        <v>0</v>
      </c>
      <c r="V362" s="493">
        <v>2024</v>
      </c>
      <c r="W362" s="495" t="s">
        <v>355</v>
      </c>
      <c r="X362" s="496" t="str">
        <f t="shared" si="22"/>
        <v/>
      </c>
      <c r="Y362" s="497" t="str">
        <f t="shared" si="23"/>
        <v/>
      </c>
      <c r="Z362" s="497" t="str">
        <f t="shared" si="23"/>
        <v/>
      </c>
    </row>
    <row r="363" spans="1:26" s="82" customFormat="1" ht="32" x14ac:dyDescent="0.4">
      <c r="A363" s="493">
        <v>3762</v>
      </c>
      <c r="B363" s="105" t="s">
        <v>329</v>
      </c>
      <c r="C363" s="493" t="s">
        <v>330</v>
      </c>
      <c r="D363" s="105" t="s">
        <v>646</v>
      </c>
      <c r="E363" s="105" t="s">
        <v>647</v>
      </c>
      <c r="F363" s="493">
        <v>11359</v>
      </c>
      <c r="G363" s="105" t="s">
        <v>36</v>
      </c>
      <c r="H363" s="105" t="s">
        <v>342</v>
      </c>
      <c r="I363" s="105" t="s">
        <v>334</v>
      </c>
      <c r="J363" s="493">
        <v>22</v>
      </c>
      <c r="K363" s="493">
        <v>1</v>
      </c>
      <c r="L363" s="105" t="s">
        <v>335</v>
      </c>
      <c r="M363" s="105" t="s">
        <v>336</v>
      </c>
      <c r="N363" s="105" t="s">
        <v>337</v>
      </c>
      <c r="O363" s="105" t="s">
        <v>338</v>
      </c>
      <c r="P363" s="105" t="s">
        <v>339</v>
      </c>
      <c r="Q363" s="494">
        <v>0</v>
      </c>
      <c r="R363" s="494">
        <v>0</v>
      </c>
      <c r="S363" s="494">
        <v>10379</v>
      </c>
      <c r="T363" s="494">
        <v>10379</v>
      </c>
      <c r="U363" s="494">
        <v>3042</v>
      </c>
      <c r="V363" s="493">
        <v>2024</v>
      </c>
      <c r="W363" s="495"/>
      <c r="X363" s="496">
        <f t="shared" si="22"/>
        <v>3.4119000657462197</v>
      </c>
      <c r="Y363" s="497" t="str">
        <f t="shared" si="23"/>
        <v/>
      </c>
      <c r="Z363" s="497" t="str">
        <f t="shared" si="23"/>
        <v/>
      </c>
    </row>
    <row r="364" spans="1:26" s="82" customFormat="1" ht="32" x14ac:dyDescent="0.4">
      <c r="A364" s="493">
        <v>3764</v>
      </c>
      <c r="B364" s="105" t="s">
        <v>329</v>
      </c>
      <c r="C364" s="493" t="s">
        <v>330</v>
      </c>
      <c r="D364" s="105" t="s">
        <v>648</v>
      </c>
      <c r="E364" s="105" t="s">
        <v>392</v>
      </c>
      <c r="F364" s="493">
        <v>12989</v>
      </c>
      <c r="G364" s="105" t="s">
        <v>36</v>
      </c>
      <c r="H364" s="105" t="s">
        <v>342</v>
      </c>
      <c r="I364" s="105" t="s">
        <v>334</v>
      </c>
      <c r="J364" s="493">
        <v>22</v>
      </c>
      <c r="K364" s="493">
        <v>1</v>
      </c>
      <c r="L364" s="105" t="s">
        <v>335</v>
      </c>
      <c r="M364" s="105" t="s">
        <v>336</v>
      </c>
      <c r="N364" s="105" t="s">
        <v>337</v>
      </c>
      <c r="O364" s="105" t="s">
        <v>338</v>
      </c>
      <c r="P364" s="105" t="s">
        <v>339</v>
      </c>
      <c r="Q364" s="494">
        <v>0</v>
      </c>
      <c r="R364" s="494">
        <v>0</v>
      </c>
      <c r="S364" s="494">
        <v>16784</v>
      </c>
      <c r="T364" s="494">
        <v>16784</v>
      </c>
      <c r="U364" s="494">
        <v>4919</v>
      </c>
      <c r="V364" s="493">
        <v>2024</v>
      </c>
      <c r="W364" s="495"/>
      <c r="X364" s="496">
        <f t="shared" si="22"/>
        <v>3.4120756251270583</v>
      </c>
      <c r="Y364" s="497" t="str">
        <f t="shared" si="23"/>
        <v/>
      </c>
      <c r="Z364" s="497" t="str">
        <f t="shared" si="23"/>
        <v/>
      </c>
    </row>
    <row r="365" spans="1:26" s="82" customFormat="1" ht="32" x14ac:dyDescent="0.4">
      <c r="A365" s="493">
        <v>3765</v>
      </c>
      <c r="B365" s="105" t="s">
        <v>329</v>
      </c>
      <c r="C365" s="493" t="s">
        <v>330</v>
      </c>
      <c r="D365" s="105" t="s">
        <v>649</v>
      </c>
      <c r="E365" s="105" t="s">
        <v>392</v>
      </c>
      <c r="F365" s="493">
        <v>12989</v>
      </c>
      <c r="G365" s="105" t="s">
        <v>36</v>
      </c>
      <c r="H365" s="105" t="s">
        <v>342</v>
      </c>
      <c r="I365" s="105" t="s">
        <v>334</v>
      </c>
      <c r="J365" s="493">
        <v>22</v>
      </c>
      <c r="K365" s="493">
        <v>1</v>
      </c>
      <c r="L365" s="105" t="s">
        <v>335</v>
      </c>
      <c r="M365" s="105" t="s">
        <v>336</v>
      </c>
      <c r="N365" s="105" t="s">
        <v>337</v>
      </c>
      <c r="O365" s="105" t="s">
        <v>338</v>
      </c>
      <c r="P365" s="105" t="s">
        <v>339</v>
      </c>
      <c r="Q365" s="494">
        <v>0</v>
      </c>
      <c r="R365" s="494">
        <v>0</v>
      </c>
      <c r="S365" s="494">
        <v>474</v>
      </c>
      <c r="T365" s="494">
        <v>474</v>
      </c>
      <c r="U365" s="494">
        <v>139</v>
      </c>
      <c r="V365" s="493">
        <v>2024</v>
      </c>
      <c r="W365" s="495"/>
      <c r="X365" s="496">
        <f t="shared" si="22"/>
        <v>3.4100719424460433</v>
      </c>
      <c r="Y365" s="497" t="str">
        <f t="shared" si="23"/>
        <v/>
      </c>
      <c r="Z365" s="497" t="str">
        <f t="shared" si="23"/>
        <v/>
      </c>
    </row>
    <row r="366" spans="1:26" s="82" customFormat="1" x14ac:dyDescent="0.4">
      <c r="A366" s="493">
        <v>6012</v>
      </c>
      <c r="B366" s="105" t="s">
        <v>329</v>
      </c>
      <c r="C366" s="493" t="s">
        <v>330</v>
      </c>
      <c r="D366" s="105" t="s">
        <v>650</v>
      </c>
      <c r="E366" s="105" t="s">
        <v>449</v>
      </c>
      <c r="F366" s="493">
        <v>61122</v>
      </c>
      <c r="G366" s="105" t="s">
        <v>33</v>
      </c>
      <c r="H366" s="105" t="s">
        <v>342</v>
      </c>
      <c r="I366" s="105" t="s">
        <v>334</v>
      </c>
      <c r="J366" s="493">
        <v>22</v>
      </c>
      <c r="K366" s="493">
        <v>2</v>
      </c>
      <c r="L366" s="105" t="s">
        <v>343</v>
      </c>
      <c r="M366" s="105" t="s">
        <v>336</v>
      </c>
      <c r="N366" s="105" t="s">
        <v>337</v>
      </c>
      <c r="O366" s="105" t="s">
        <v>338</v>
      </c>
      <c r="P366" s="105" t="s">
        <v>339</v>
      </c>
      <c r="Q366" s="494">
        <v>0</v>
      </c>
      <c r="R366" s="494">
        <v>0</v>
      </c>
      <c r="S366" s="494">
        <v>90555</v>
      </c>
      <c r="T366" s="494">
        <v>90555</v>
      </c>
      <c r="U366" s="494">
        <v>26540</v>
      </c>
      <c r="V366" s="493">
        <v>2024</v>
      </c>
      <c r="W366" s="495"/>
      <c r="X366" s="496">
        <f t="shared" si="22"/>
        <v>3.4120195930670687</v>
      </c>
      <c r="Y366" s="497" t="str">
        <f t="shared" si="23"/>
        <v/>
      </c>
      <c r="Z366" s="497" t="str">
        <f t="shared" si="23"/>
        <v/>
      </c>
    </row>
    <row r="367" spans="1:26" s="82" customFormat="1" x14ac:dyDescent="0.4">
      <c r="A367" s="493">
        <v>6047</v>
      </c>
      <c r="B367" s="105" t="s">
        <v>329</v>
      </c>
      <c r="C367" s="493" t="s">
        <v>330</v>
      </c>
      <c r="D367" s="105" t="s">
        <v>651</v>
      </c>
      <c r="E367" s="105" t="s">
        <v>449</v>
      </c>
      <c r="F367" s="493">
        <v>61122</v>
      </c>
      <c r="G367" s="105" t="s">
        <v>33</v>
      </c>
      <c r="H367" s="105" t="s">
        <v>342</v>
      </c>
      <c r="I367" s="105" t="s">
        <v>334</v>
      </c>
      <c r="J367" s="493">
        <v>22</v>
      </c>
      <c r="K367" s="493">
        <v>2</v>
      </c>
      <c r="L367" s="105" t="s">
        <v>343</v>
      </c>
      <c r="M367" s="105" t="s">
        <v>336</v>
      </c>
      <c r="N367" s="105" t="s">
        <v>337</v>
      </c>
      <c r="O367" s="105" t="s">
        <v>338</v>
      </c>
      <c r="P367" s="105" t="s">
        <v>339</v>
      </c>
      <c r="Q367" s="494">
        <v>0</v>
      </c>
      <c r="R367" s="494">
        <v>0</v>
      </c>
      <c r="S367" s="494">
        <v>99501</v>
      </c>
      <c r="T367" s="494">
        <v>99501</v>
      </c>
      <c r="U367" s="494">
        <v>29162</v>
      </c>
      <c r="V367" s="493">
        <v>2024</v>
      </c>
      <c r="W367" s="495"/>
      <c r="X367" s="496">
        <f t="shared" si="22"/>
        <v>3.4120087785474249</v>
      </c>
      <c r="Y367" s="497" t="str">
        <f t="shared" si="23"/>
        <v/>
      </c>
      <c r="Z367" s="497" t="str">
        <f t="shared" si="23"/>
        <v/>
      </c>
    </row>
    <row r="368" spans="1:26" s="82" customFormat="1" x14ac:dyDescent="0.4">
      <c r="A368" s="493">
        <v>6049</v>
      </c>
      <c r="B368" s="105" t="s">
        <v>329</v>
      </c>
      <c r="C368" s="493" t="s">
        <v>330</v>
      </c>
      <c r="D368" s="105" t="s">
        <v>652</v>
      </c>
      <c r="E368" s="105" t="s">
        <v>438</v>
      </c>
      <c r="F368" s="493">
        <v>64488</v>
      </c>
      <c r="G368" s="105" t="s">
        <v>33</v>
      </c>
      <c r="H368" s="105" t="s">
        <v>342</v>
      </c>
      <c r="I368" s="105" t="s">
        <v>334</v>
      </c>
      <c r="J368" s="493">
        <v>22</v>
      </c>
      <c r="K368" s="493">
        <v>2</v>
      </c>
      <c r="L368" s="105" t="s">
        <v>343</v>
      </c>
      <c r="M368" s="105" t="s">
        <v>359</v>
      </c>
      <c r="N368" s="105" t="s">
        <v>226</v>
      </c>
      <c r="O368" s="105" t="s">
        <v>226</v>
      </c>
      <c r="P368" s="105" t="s">
        <v>350</v>
      </c>
      <c r="Q368" s="494">
        <v>5339</v>
      </c>
      <c r="R368" s="494">
        <v>5339</v>
      </c>
      <c r="S368" s="494">
        <v>30832</v>
      </c>
      <c r="T368" s="494">
        <v>30832</v>
      </c>
      <c r="U368" s="494">
        <v>3037</v>
      </c>
      <c r="V368" s="493">
        <v>2024</v>
      </c>
      <c r="W368" s="495"/>
      <c r="X368" s="496">
        <f t="shared" si="22"/>
        <v>10.152123806387882</v>
      </c>
      <c r="Y368" s="497" t="str">
        <f t="shared" ref="Y368:Z387" si="24">IF(AND($M368=$Y$2,$N368=$Y$3,NOT($Q368=$R368),NOT($U368=0)),IF($K368=5,$S368/($U368+(8/5)*$U368),IF($K368=7,$S368/($U368+(29/25)*$U368),"")),"")</f>
        <v/>
      </c>
      <c r="Z368" s="497" t="str">
        <f t="shared" si="24"/>
        <v/>
      </c>
    </row>
    <row r="369" spans="1:26" s="82" customFormat="1" ht="32" x14ac:dyDescent="0.4">
      <c r="A369" s="493">
        <v>6081</v>
      </c>
      <c r="B369" s="105" t="s">
        <v>329</v>
      </c>
      <c r="C369" s="493" t="s">
        <v>330</v>
      </c>
      <c r="D369" s="105" t="s">
        <v>653</v>
      </c>
      <c r="E369" s="105" t="s">
        <v>654</v>
      </c>
      <c r="F369" s="493">
        <v>11806</v>
      </c>
      <c r="G369" s="105" t="s">
        <v>33</v>
      </c>
      <c r="H369" s="105" t="s">
        <v>342</v>
      </c>
      <c r="I369" s="105" t="s">
        <v>334</v>
      </c>
      <c r="J369" s="493">
        <v>22</v>
      </c>
      <c r="K369" s="493">
        <v>1</v>
      </c>
      <c r="L369" s="105" t="s">
        <v>335</v>
      </c>
      <c r="M369" s="105" t="s">
        <v>380</v>
      </c>
      <c r="N369" s="105" t="s">
        <v>226</v>
      </c>
      <c r="O369" s="105" t="s">
        <v>226</v>
      </c>
      <c r="P369" s="105" t="s">
        <v>350</v>
      </c>
      <c r="Q369" s="494">
        <v>0</v>
      </c>
      <c r="R369" s="494">
        <v>0</v>
      </c>
      <c r="S369" s="494">
        <v>0</v>
      </c>
      <c r="T369" s="494">
        <v>0</v>
      </c>
      <c r="U369" s="494">
        <v>0</v>
      </c>
      <c r="V369" s="493">
        <v>2024</v>
      </c>
      <c r="W369" s="495" t="s">
        <v>355</v>
      </c>
      <c r="X369" s="496" t="str">
        <f t="shared" si="22"/>
        <v/>
      </c>
      <c r="Y369" s="497" t="str">
        <f t="shared" si="24"/>
        <v/>
      </c>
      <c r="Z369" s="497" t="str">
        <f t="shared" si="24"/>
        <v/>
      </c>
    </row>
    <row r="370" spans="1:26" s="82" customFormat="1" ht="32" x14ac:dyDescent="0.4">
      <c r="A370" s="493">
        <v>6081</v>
      </c>
      <c r="B370" s="105" t="s">
        <v>329</v>
      </c>
      <c r="C370" s="493" t="s">
        <v>330</v>
      </c>
      <c r="D370" s="105" t="s">
        <v>653</v>
      </c>
      <c r="E370" s="105" t="s">
        <v>654</v>
      </c>
      <c r="F370" s="493">
        <v>11806</v>
      </c>
      <c r="G370" s="105" t="s">
        <v>33</v>
      </c>
      <c r="H370" s="105" t="s">
        <v>342</v>
      </c>
      <c r="I370" s="105" t="s">
        <v>334</v>
      </c>
      <c r="J370" s="493">
        <v>22</v>
      </c>
      <c r="K370" s="493">
        <v>1</v>
      </c>
      <c r="L370" s="105" t="s">
        <v>335</v>
      </c>
      <c r="M370" s="105" t="s">
        <v>380</v>
      </c>
      <c r="N370" s="105" t="s">
        <v>228</v>
      </c>
      <c r="O370" s="105" t="s">
        <v>228</v>
      </c>
      <c r="P370" s="105" t="s">
        <v>356</v>
      </c>
      <c r="Q370" s="494">
        <v>0</v>
      </c>
      <c r="R370" s="494">
        <v>0</v>
      </c>
      <c r="S370" s="494">
        <v>0</v>
      </c>
      <c r="T370" s="494">
        <v>0</v>
      </c>
      <c r="U370" s="494">
        <v>0</v>
      </c>
      <c r="V370" s="493">
        <v>2024</v>
      </c>
      <c r="W370" s="495" t="s">
        <v>355</v>
      </c>
      <c r="X370" s="496" t="str">
        <f t="shared" si="22"/>
        <v/>
      </c>
      <c r="Y370" s="497" t="str">
        <f t="shared" si="24"/>
        <v/>
      </c>
      <c r="Z370" s="497" t="str">
        <f t="shared" si="24"/>
        <v/>
      </c>
    </row>
    <row r="371" spans="1:26" s="82" customFormat="1" ht="32" x14ac:dyDescent="0.4">
      <c r="A371" s="493">
        <v>6081</v>
      </c>
      <c r="B371" s="105" t="s">
        <v>329</v>
      </c>
      <c r="C371" s="493" t="s">
        <v>330</v>
      </c>
      <c r="D371" s="105" t="s">
        <v>653</v>
      </c>
      <c r="E371" s="105" t="s">
        <v>654</v>
      </c>
      <c r="F371" s="493">
        <v>11806</v>
      </c>
      <c r="G371" s="105" t="s">
        <v>33</v>
      </c>
      <c r="H371" s="105" t="s">
        <v>342</v>
      </c>
      <c r="I371" s="105" t="s">
        <v>334</v>
      </c>
      <c r="J371" s="493">
        <v>22</v>
      </c>
      <c r="K371" s="493">
        <v>1</v>
      </c>
      <c r="L371" s="105" t="s">
        <v>335</v>
      </c>
      <c r="M371" s="105" t="s">
        <v>37</v>
      </c>
      <c r="N371" s="105" t="s">
        <v>226</v>
      </c>
      <c r="O371" s="105" t="s">
        <v>226</v>
      </c>
      <c r="P371" s="105" t="s">
        <v>350</v>
      </c>
      <c r="Q371" s="494">
        <v>38706</v>
      </c>
      <c r="R371" s="494">
        <v>38706</v>
      </c>
      <c r="S371" s="494">
        <v>223335</v>
      </c>
      <c r="T371" s="494">
        <v>223335</v>
      </c>
      <c r="U371" s="494">
        <v>24325.856</v>
      </c>
      <c r="V371" s="493">
        <v>2024</v>
      </c>
      <c r="W371" s="495" t="s">
        <v>355</v>
      </c>
      <c r="X371" s="496">
        <f t="shared" si="22"/>
        <v>9.1809718844015187</v>
      </c>
      <c r="Y371" s="497" t="str">
        <f t="shared" si="24"/>
        <v/>
      </c>
      <c r="Z371" s="497" t="str">
        <f t="shared" si="24"/>
        <v/>
      </c>
    </row>
    <row r="372" spans="1:26" s="82" customFormat="1" ht="32" x14ac:dyDescent="0.4">
      <c r="A372" s="493">
        <v>6081</v>
      </c>
      <c r="B372" s="105" t="s">
        <v>329</v>
      </c>
      <c r="C372" s="493" t="s">
        <v>330</v>
      </c>
      <c r="D372" s="105" t="s">
        <v>653</v>
      </c>
      <c r="E372" s="105" t="s">
        <v>654</v>
      </c>
      <c r="F372" s="493">
        <v>11806</v>
      </c>
      <c r="G372" s="105" t="s">
        <v>33</v>
      </c>
      <c r="H372" s="105" t="s">
        <v>342</v>
      </c>
      <c r="I372" s="105" t="s">
        <v>334</v>
      </c>
      <c r="J372" s="493">
        <v>22</v>
      </c>
      <c r="K372" s="493">
        <v>1</v>
      </c>
      <c r="L372" s="105" t="s">
        <v>335</v>
      </c>
      <c r="M372" s="105" t="s">
        <v>37</v>
      </c>
      <c r="N372" s="105" t="s">
        <v>228</v>
      </c>
      <c r="O372" s="105" t="s">
        <v>228</v>
      </c>
      <c r="P372" s="105" t="s">
        <v>356</v>
      </c>
      <c r="Q372" s="494">
        <v>149022</v>
      </c>
      <c r="R372" s="494">
        <v>149022</v>
      </c>
      <c r="S372" s="494">
        <v>152002</v>
      </c>
      <c r="T372" s="494">
        <v>152002</v>
      </c>
      <c r="U372" s="494">
        <v>16772.144</v>
      </c>
      <c r="V372" s="493">
        <v>2024</v>
      </c>
      <c r="W372" s="495" t="s">
        <v>355</v>
      </c>
      <c r="X372" s="496">
        <f t="shared" si="22"/>
        <v>9.0627650227663192</v>
      </c>
      <c r="Y372" s="497" t="str">
        <f t="shared" si="24"/>
        <v/>
      </c>
      <c r="Z372" s="497" t="str">
        <f t="shared" si="24"/>
        <v/>
      </c>
    </row>
    <row r="373" spans="1:26" s="82" customFormat="1" ht="32" x14ac:dyDescent="0.4">
      <c r="A373" s="493">
        <v>6081</v>
      </c>
      <c r="B373" s="105" t="s">
        <v>329</v>
      </c>
      <c r="C373" s="493" t="s">
        <v>330</v>
      </c>
      <c r="D373" s="105" t="s">
        <v>653</v>
      </c>
      <c r="E373" s="105" t="s">
        <v>654</v>
      </c>
      <c r="F373" s="493">
        <v>11806</v>
      </c>
      <c r="G373" s="105" t="s">
        <v>33</v>
      </c>
      <c r="H373" s="105" t="s">
        <v>342</v>
      </c>
      <c r="I373" s="105" t="s">
        <v>334</v>
      </c>
      <c r="J373" s="493">
        <v>22</v>
      </c>
      <c r="K373" s="493">
        <v>1</v>
      </c>
      <c r="L373" s="105" t="s">
        <v>335</v>
      </c>
      <c r="M373" s="105" t="s">
        <v>295</v>
      </c>
      <c r="N373" s="105" t="s">
        <v>226</v>
      </c>
      <c r="O373" s="105" t="s">
        <v>226</v>
      </c>
      <c r="P373" s="105" t="s">
        <v>350</v>
      </c>
      <c r="Q373" s="494">
        <v>14901</v>
      </c>
      <c r="R373" s="494">
        <v>14901</v>
      </c>
      <c r="S373" s="494">
        <v>85977</v>
      </c>
      <c r="T373" s="494">
        <v>85977</v>
      </c>
      <c r="U373" s="494">
        <v>6615</v>
      </c>
      <c r="V373" s="493">
        <v>2024</v>
      </c>
      <c r="W373" s="495" t="s">
        <v>355</v>
      </c>
      <c r="X373" s="496">
        <f t="shared" si="22"/>
        <v>12.997278911564626</v>
      </c>
      <c r="Y373" s="497" t="str">
        <f t="shared" si="24"/>
        <v/>
      </c>
      <c r="Z373" s="497" t="str">
        <f t="shared" si="24"/>
        <v/>
      </c>
    </row>
    <row r="374" spans="1:26" s="82" customFormat="1" ht="32" x14ac:dyDescent="0.4">
      <c r="A374" s="493">
        <v>6081</v>
      </c>
      <c r="B374" s="105" t="s">
        <v>329</v>
      </c>
      <c r="C374" s="493" t="s">
        <v>330</v>
      </c>
      <c r="D374" s="105" t="s">
        <v>653</v>
      </c>
      <c r="E374" s="105" t="s">
        <v>654</v>
      </c>
      <c r="F374" s="493">
        <v>11806</v>
      </c>
      <c r="G374" s="105" t="s">
        <v>33</v>
      </c>
      <c r="H374" s="105" t="s">
        <v>342</v>
      </c>
      <c r="I374" s="105" t="s">
        <v>334</v>
      </c>
      <c r="J374" s="493">
        <v>22</v>
      </c>
      <c r="K374" s="493">
        <v>1</v>
      </c>
      <c r="L374" s="105" t="s">
        <v>335</v>
      </c>
      <c r="M374" s="105" t="s">
        <v>359</v>
      </c>
      <c r="N374" s="105" t="s">
        <v>226</v>
      </c>
      <c r="O374" s="105" t="s">
        <v>226</v>
      </c>
      <c r="P374" s="105" t="s">
        <v>350</v>
      </c>
      <c r="Q374" s="494">
        <v>0</v>
      </c>
      <c r="R374" s="494">
        <v>0</v>
      </c>
      <c r="S374" s="494">
        <v>0</v>
      </c>
      <c r="T374" s="494">
        <v>0</v>
      </c>
      <c r="U374" s="494">
        <v>0</v>
      </c>
      <c r="V374" s="493">
        <v>2024</v>
      </c>
      <c r="W374" s="495"/>
      <c r="X374" s="496" t="str">
        <f t="shared" si="22"/>
        <v/>
      </c>
      <c r="Y374" s="497" t="str">
        <f t="shared" si="24"/>
        <v/>
      </c>
      <c r="Z374" s="497" t="str">
        <f t="shared" si="24"/>
        <v/>
      </c>
    </row>
    <row r="375" spans="1:26" s="82" customFormat="1" ht="32" x14ac:dyDescent="0.4">
      <c r="A375" s="493">
        <v>6081</v>
      </c>
      <c r="B375" s="105" t="s">
        <v>329</v>
      </c>
      <c r="C375" s="493" t="s">
        <v>330</v>
      </c>
      <c r="D375" s="105" t="s">
        <v>653</v>
      </c>
      <c r="E375" s="105" t="s">
        <v>654</v>
      </c>
      <c r="F375" s="493">
        <v>11806</v>
      </c>
      <c r="G375" s="105" t="s">
        <v>33</v>
      </c>
      <c r="H375" s="105" t="s">
        <v>342</v>
      </c>
      <c r="I375" s="105" t="s">
        <v>334</v>
      </c>
      <c r="J375" s="493">
        <v>22</v>
      </c>
      <c r="K375" s="493">
        <v>1</v>
      </c>
      <c r="L375" s="105" t="s">
        <v>335</v>
      </c>
      <c r="M375" s="105" t="s">
        <v>655</v>
      </c>
      <c r="N375" s="105" t="s">
        <v>656</v>
      </c>
      <c r="O375" s="105" t="s">
        <v>656</v>
      </c>
      <c r="P375" s="105" t="s">
        <v>339</v>
      </c>
      <c r="Q375" s="494">
        <v>0</v>
      </c>
      <c r="R375" s="494">
        <v>0</v>
      </c>
      <c r="S375" s="494">
        <v>0</v>
      </c>
      <c r="T375" s="494">
        <v>0</v>
      </c>
      <c r="U375" s="494">
        <v>0</v>
      </c>
      <c r="V375" s="493">
        <v>2024</v>
      </c>
      <c r="W375" s="495"/>
      <c r="X375" s="496" t="str">
        <f t="shared" si="22"/>
        <v/>
      </c>
      <c r="Y375" s="497" t="str">
        <f t="shared" si="24"/>
        <v/>
      </c>
      <c r="Z375" s="497" t="str">
        <f t="shared" si="24"/>
        <v/>
      </c>
    </row>
    <row r="376" spans="1:26" s="82" customFormat="1" x14ac:dyDescent="0.4">
      <c r="A376" s="493">
        <v>6083</v>
      </c>
      <c r="B376" s="105" t="s">
        <v>329</v>
      </c>
      <c r="C376" s="493" t="s">
        <v>330</v>
      </c>
      <c r="D376" s="105" t="s">
        <v>657</v>
      </c>
      <c r="E376" s="105" t="s">
        <v>449</v>
      </c>
      <c r="F376" s="493">
        <v>61122</v>
      </c>
      <c r="G376" s="105" t="s">
        <v>33</v>
      </c>
      <c r="H376" s="105" t="s">
        <v>342</v>
      </c>
      <c r="I376" s="105" t="s">
        <v>334</v>
      </c>
      <c r="J376" s="493">
        <v>22</v>
      </c>
      <c r="K376" s="493">
        <v>2</v>
      </c>
      <c r="L376" s="105" t="s">
        <v>343</v>
      </c>
      <c r="M376" s="105" t="s">
        <v>336</v>
      </c>
      <c r="N376" s="105" t="s">
        <v>337</v>
      </c>
      <c r="O376" s="105" t="s">
        <v>338</v>
      </c>
      <c r="P376" s="105" t="s">
        <v>339</v>
      </c>
      <c r="Q376" s="494">
        <v>0</v>
      </c>
      <c r="R376" s="494">
        <v>0</v>
      </c>
      <c r="S376" s="494">
        <v>85191</v>
      </c>
      <c r="T376" s="494">
        <v>85191</v>
      </c>
      <c r="U376" s="494">
        <v>24968</v>
      </c>
      <c r="V376" s="493">
        <v>2024</v>
      </c>
      <c r="W376" s="495"/>
      <c r="X376" s="496">
        <f t="shared" si="22"/>
        <v>3.4120073694328741</v>
      </c>
      <c r="Y376" s="497" t="str">
        <f t="shared" si="24"/>
        <v/>
      </c>
      <c r="Z376" s="497" t="str">
        <f t="shared" si="24"/>
        <v/>
      </c>
    </row>
    <row r="377" spans="1:26" s="82" customFormat="1" x14ac:dyDescent="0.4">
      <c r="A377" s="493">
        <v>6110</v>
      </c>
      <c r="B377" s="105" t="s">
        <v>329</v>
      </c>
      <c r="C377" s="493">
        <v>1</v>
      </c>
      <c r="D377" s="105" t="s">
        <v>658</v>
      </c>
      <c r="E377" s="105" t="s">
        <v>558</v>
      </c>
      <c r="F377" s="493">
        <v>55951</v>
      </c>
      <c r="G377" s="105" t="s">
        <v>52</v>
      </c>
      <c r="H377" s="105" t="s">
        <v>333</v>
      </c>
      <c r="I377" s="105" t="s">
        <v>334</v>
      </c>
      <c r="J377" s="493">
        <v>22</v>
      </c>
      <c r="K377" s="493">
        <v>2</v>
      </c>
      <c r="L377" s="105" t="s">
        <v>343</v>
      </c>
      <c r="M377" s="105" t="s">
        <v>360</v>
      </c>
      <c r="N377" s="105" t="s">
        <v>377</v>
      </c>
      <c r="O377" s="105" t="s">
        <v>377</v>
      </c>
      <c r="P377" s="105" t="s">
        <v>339</v>
      </c>
      <c r="Q377" s="494">
        <v>0</v>
      </c>
      <c r="R377" s="494">
        <v>0</v>
      </c>
      <c r="S377" s="494">
        <v>70902039</v>
      </c>
      <c r="T377" s="494">
        <v>70902039</v>
      </c>
      <c r="U377" s="494">
        <v>6789691</v>
      </c>
      <c r="V377" s="493">
        <v>2024</v>
      </c>
      <c r="W377" s="495"/>
      <c r="X377" s="496">
        <f t="shared" si="22"/>
        <v>10.442601732538344</v>
      </c>
      <c r="Y377" s="497" t="str">
        <f t="shared" si="24"/>
        <v/>
      </c>
      <c r="Z377" s="497" t="str">
        <f t="shared" si="24"/>
        <v/>
      </c>
    </row>
    <row r="378" spans="1:26" s="82" customFormat="1" ht="32" x14ac:dyDescent="0.4">
      <c r="A378" s="493">
        <v>6115</v>
      </c>
      <c r="B378" s="105" t="s">
        <v>329</v>
      </c>
      <c r="C378" s="493">
        <v>1</v>
      </c>
      <c r="D378" s="105" t="s">
        <v>659</v>
      </c>
      <c r="E378" s="105" t="s">
        <v>660</v>
      </c>
      <c r="F378" s="493">
        <v>6854</v>
      </c>
      <c r="G378" s="105" t="s">
        <v>35</v>
      </c>
      <c r="H378" s="105" t="s">
        <v>342</v>
      </c>
      <c r="I378" s="105" t="s">
        <v>334</v>
      </c>
      <c r="J378" s="493">
        <v>22</v>
      </c>
      <c r="K378" s="493">
        <v>2</v>
      </c>
      <c r="L378" s="105" t="s">
        <v>343</v>
      </c>
      <c r="M378" s="105" t="s">
        <v>360</v>
      </c>
      <c r="N378" s="105" t="s">
        <v>377</v>
      </c>
      <c r="O378" s="105" t="s">
        <v>377</v>
      </c>
      <c r="P378" s="105" t="s">
        <v>339</v>
      </c>
      <c r="Q378" s="494">
        <v>0</v>
      </c>
      <c r="R378" s="494">
        <v>0</v>
      </c>
      <c r="S378" s="494">
        <v>101051617</v>
      </c>
      <c r="T378" s="494">
        <v>101051617</v>
      </c>
      <c r="U378" s="494">
        <v>9676862</v>
      </c>
      <c r="V378" s="493">
        <v>2024</v>
      </c>
      <c r="W378" s="495"/>
      <c r="X378" s="496">
        <f t="shared" si="22"/>
        <v>10.442601847582408</v>
      </c>
      <c r="Y378" s="497" t="str">
        <f t="shared" si="24"/>
        <v/>
      </c>
      <c r="Z378" s="497" t="str">
        <f t="shared" si="24"/>
        <v/>
      </c>
    </row>
    <row r="379" spans="1:26" s="82" customFormat="1" x14ac:dyDescent="0.4">
      <c r="A379" s="493">
        <v>6119</v>
      </c>
      <c r="B379" s="105" t="s">
        <v>329</v>
      </c>
      <c r="C379" s="493" t="s">
        <v>330</v>
      </c>
      <c r="D379" s="105" t="s">
        <v>661</v>
      </c>
      <c r="E379" s="105" t="s">
        <v>449</v>
      </c>
      <c r="F379" s="493">
        <v>61122</v>
      </c>
      <c r="G379" s="105" t="s">
        <v>33</v>
      </c>
      <c r="H379" s="105" t="s">
        <v>342</v>
      </c>
      <c r="I379" s="105" t="s">
        <v>334</v>
      </c>
      <c r="J379" s="493">
        <v>22</v>
      </c>
      <c r="K379" s="493">
        <v>2</v>
      </c>
      <c r="L379" s="105" t="s">
        <v>343</v>
      </c>
      <c r="M379" s="105" t="s">
        <v>336</v>
      </c>
      <c r="N379" s="105" t="s">
        <v>337</v>
      </c>
      <c r="O379" s="105" t="s">
        <v>338</v>
      </c>
      <c r="P379" s="105" t="s">
        <v>339</v>
      </c>
      <c r="Q379" s="494">
        <v>0</v>
      </c>
      <c r="R379" s="494">
        <v>0</v>
      </c>
      <c r="S379" s="494">
        <v>68978</v>
      </c>
      <c r="T379" s="494">
        <v>68978</v>
      </c>
      <c r="U379" s="494">
        <v>20216</v>
      </c>
      <c r="V379" s="493">
        <v>2024</v>
      </c>
      <c r="W379" s="495"/>
      <c r="X379" s="496">
        <f t="shared" si="22"/>
        <v>3.412049861495845</v>
      </c>
      <c r="Y379" s="497" t="str">
        <f t="shared" si="24"/>
        <v/>
      </c>
      <c r="Z379" s="497" t="str">
        <f t="shared" si="24"/>
        <v/>
      </c>
    </row>
    <row r="380" spans="1:26" s="82" customFormat="1" x14ac:dyDescent="0.4">
      <c r="A380" s="493">
        <v>6122</v>
      </c>
      <c r="B380" s="105" t="s">
        <v>329</v>
      </c>
      <c r="C380" s="493">
        <v>1</v>
      </c>
      <c r="D380" s="105" t="s">
        <v>662</v>
      </c>
      <c r="E380" s="105" t="s">
        <v>558</v>
      </c>
      <c r="F380" s="493">
        <v>55951</v>
      </c>
      <c r="G380" s="105" t="s">
        <v>52</v>
      </c>
      <c r="H380" s="105" t="s">
        <v>333</v>
      </c>
      <c r="I380" s="105" t="s">
        <v>334</v>
      </c>
      <c r="J380" s="493">
        <v>22</v>
      </c>
      <c r="K380" s="493">
        <v>2</v>
      </c>
      <c r="L380" s="105" t="s">
        <v>343</v>
      </c>
      <c r="M380" s="105" t="s">
        <v>360</v>
      </c>
      <c r="N380" s="105" t="s">
        <v>377</v>
      </c>
      <c r="O380" s="105" t="s">
        <v>377</v>
      </c>
      <c r="P380" s="105" t="s">
        <v>339</v>
      </c>
      <c r="Q380" s="494">
        <v>0</v>
      </c>
      <c r="R380" s="494">
        <v>0</v>
      </c>
      <c r="S380" s="494">
        <v>50114945</v>
      </c>
      <c r="T380" s="494">
        <v>50114945</v>
      </c>
      <c r="U380" s="494">
        <v>4799086</v>
      </c>
      <c r="V380" s="493">
        <v>2024</v>
      </c>
      <c r="W380" s="495"/>
      <c r="X380" s="496">
        <f t="shared" si="22"/>
        <v>10.442601987128382</v>
      </c>
      <c r="Y380" s="497" t="str">
        <f t="shared" si="24"/>
        <v/>
      </c>
      <c r="Z380" s="497" t="str">
        <f t="shared" si="24"/>
        <v/>
      </c>
    </row>
    <row r="381" spans="1:26" s="82" customFormat="1" ht="32" x14ac:dyDescent="0.4">
      <c r="A381" s="493">
        <v>6125</v>
      </c>
      <c r="B381" s="105" t="s">
        <v>329</v>
      </c>
      <c r="C381" s="493" t="s">
        <v>330</v>
      </c>
      <c r="D381" s="105" t="s">
        <v>663</v>
      </c>
      <c r="E381" s="105" t="s">
        <v>664</v>
      </c>
      <c r="F381" s="493">
        <v>17127</v>
      </c>
      <c r="G381" s="105" t="s">
        <v>33</v>
      </c>
      <c r="H381" s="105" t="s">
        <v>342</v>
      </c>
      <c r="I381" s="105" t="s">
        <v>334</v>
      </c>
      <c r="J381" s="493">
        <v>22</v>
      </c>
      <c r="K381" s="493">
        <v>1</v>
      </c>
      <c r="L381" s="105" t="s">
        <v>335</v>
      </c>
      <c r="M381" s="105" t="s">
        <v>359</v>
      </c>
      <c r="N381" s="105" t="s">
        <v>226</v>
      </c>
      <c r="O381" s="105" t="s">
        <v>226</v>
      </c>
      <c r="P381" s="105" t="s">
        <v>350</v>
      </c>
      <c r="Q381" s="494">
        <v>971</v>
      </c>
      <c r="R381" s="494">
        <v>971</v>
      </c>
      <c r="S381" s="494">
        <v>5709</v>
      </c>
      <c r="T381" s="494">
        <v>5709</v>
      </c>
      <c r="U381" s="494">
        <v>34</v>
      </c>
      <c r="V381" s="493">
        <v>2024</v>
      </c>
      <c r="W381" s="495"/>
      <c r="X381" s="496">
        <f t="shared" si="22"/>
        <v>167.91176470588235</v>
      </c>
      <c r="Y381" s="497" t="str">
        <f t="shared" si="24"/>
        <v/>
      </c>
      <c r="Z381" s="497" t="str">
        <f t="shared" si="24"/>
        <v/>
      </c>
    </row>
    <row r="382" spans="1:26" s="82" customFormat="1" ht="32" x14ac:dyDescent="0.4">
      <c r="A382" s="493">
        <v>6125</v>
      </c>
      <c r="B382" s="105" t="s">
        <v>329</v>
      </c>
      <c r="C382" s="493" t="s">
        <v>330</v>
      </c>
      <c r="D382" s="105" t="s">
        <v>663</v>
      </c>
      <c r="E382" s="105" t="s">
        <v>664</v>
      </c>
      <c r="F382" s="493">
        <v>17127</v>
      </c>
      <c r="G382" s="105" t="s">
        <v>33</v>
      </c>
      <c r="H382" s="105" t="s">
        <v>342</v>
      </c>
      <c r="I382" s="105" t="s">
        <v>334</v>
      </c>
      <c r="J382" s="493">
        <v>22</v>
      </c>
      <c r="K382" s="493">
        <v>1</v>
      </c>
      <c r="L382" s="105" t="s">
        <v>335</v>
      </c>
      <c r="M382" s="105" t="s">
        <v>359</v>
      </c>
      <c r="N382" s="105" t="s">
        <v>228</v>
      </c>
      <c r="O382" s="105" t="s">
        <v>228</v>
      </c>
      <c r="P382" s="105" t="s">
        <v>356</v>
      </c>
      <c r="Q382" s="494">
        <v>0</v>
      </c>
      <c r="R382" s="494">
        <v>0</v>
      </c>
      <c r="S382" s="494">
        <v>0</v>
      </c>
      <c r="T382" s="494">
        <v>0</v>
      </c>
      <c r="U382" s="494">
        <v>0</v>
      </c>
      <c r="V382" s="493">
        <v>2024</v>
      </c>
      <c r="W382" s="495"/>
      <c r="X382" s="496" t="str">
        <f t="shared" si="22"/>
        <v/>
      </c>
      <c r="Y382" s="497" t="str">
        <f t="shared" si="24"/>
        <v/>
      </c>
      <c r="Z382" s="497" t="str">
        <f t="shared" si="24"/>
        <v/>
      </c>
    </row>
    <row r="383" spans="1:26" s="82" customFormat="1" ht="32" x14ac:dyDescent="0.4">
      <c r="A383" s="493">
        <v>6156</v>
      </c>
      <c r="B383" s="105" t="s">
        <v>329</v>
      </c>
      <c r="C383" s="493" t="s">
        <v>330</v>
      </c>
      <c r="D383" s="105" t="s">
        <v>665</v>
      </c>
      <c r="E383" s="105" t="s">
        <v>379</v>
      </c>
      <c r="F383" s="493">
        <v>65448</v>
      </c>
      <c r="G383" s="105" t="s">
        <v>37</v>
      </c>
      <c r="H383" s="105" t="s">
        <v>342</v>
      </c>
      <c r="I383" s="105" t="s">
        <v>334</v>
      </c>
      <c r="J383" s="493">
        <v>22</v>
      </c>
      <c r="K383" s="493">
        <v>2</v>
      </c>
      <c r="L383" s="105" t="s">
        <v>343</v>
      </c>
      <c r="M383" s="105" t="s">
        <v>295</v>
      </c>
      <c r="N383" s="105" t="s">
        <v>242</v>
      </c>
      <c r="O383" s="105" t="s">
        <v>349</v>
      </c>
      <c r="P383" s="105" t="s">
        <v>350</v>
      </c>
      <c r="Q383" s="494">
        <v>8120</v>
      </c>
      <c r="R383" s="494">
        <v>8120</v>
      </c>
      <c r="S383" s="494">
        <v>47340</v>
      </c>
      <c r="T383" s="494">
        <v>47340</v>
      </c>
      <c r="U383" s="494">
        <v>4634.9949999999999</v>
      </c>
      <c r="V383" s="493">
        <v>2024</v>
      </c>
      <c r="W383" s="495" t="s">
        <v>355</v>
      </c>
      <c r="X383" s="496">
        <f t="shared" si="22"/>
        <v>10.213603250920443</v>
      </c>
      <c r="Y383" s="497" t="str">
        <f t="shared" si="24"/>
        <v/>
      </c>
      <c r="Z383" s="497" t="str">
        <f t="shared" si="24"/>
        <v/>
      </c>
    </row>
    <row r="384" spans="1:26" s="82" customFormat="1" ht="32" x14ac:dyDescent="0.4">
      <c r="A384" s="493">
        <v>6156</v>
      </c>
      <c r="B384" s="105" t="s">
        <v>329</v>
      </c>
      <c r="C384" s="493" t="s">
        <v>330</v>
      </c>
      <c r="D384" s="105" t="s">
        <v>665</v>
      </c>
      <c r="E384" s="105" t="s">
        <v>379</v>
      </c>
      <c r="F384" s="493">
        <v>65448</v>
      </c>
      <c r="G384" s="105" t="s">
        <v>37</v>
      </c>
      <c r="H384" s="105" t="s">
        <v>342</v>
      </c>
      <c r="I384" s="105" t="s">
        <v>334</v>
      </c>
      <c r="J384" s="493">
        <v>22</v>
      </c>
      <c r="K384" s="493">
        <v>2</v>
      </c>
      <c r="L384" s="105" t="s">
        <v>343</v>
      </c>
      <c r="M384" s="105" t="s">
        <v>295</v>
      </c>
      <c r="N384" s="105" t="s">
        <v>228</v>
      </c>
      <c r="O384" s="105" t="s">
        <v>228</v>
      </c>
      <c r="P384" s="105" t="s">
        <v>356</v>
      </c>
      <c r="Q384" s="494">
        <v>6876</v>
      </c>
      <c r="R384" s="494">
        <v>6876</v>
      </c>
      <c r="S384" s="494">
        <v>7130</v>
      </c>
      <c r="T384" s="494">
        <v>7130</v>
      </c>
      <c r="U384" s="494">
        <v>700.005</v>
      </c>
      <c r="V384" s="493">
        <v>2024</v>
      </c>
      <c r="W384" s="495" t="s">
        <v>355</v>
      </c>
      <c r="X384" s="496">
        <f t="shared" si="22"/>
        <v>10.185641531131921</v>
      </c>
      <c r="Y384" s="497" t="str">
        <f t="shared" si="24"/>
        <v/>
      </c>
      <c r="Z384" s="497" t="str">
        <f t="shared" si="24"/>
        <v/>
      </c>
    </row>
    <row r="385" spans="1:26" s="82" customFormat="1" ht="32" x14ac:dyDescent="0.4">
      <c r="A385" s="493">
        <v>6156</v>
      </c>
      <c r="B385" s="105" t="s">
        <v>329</v>
      </c>
      <c r="C385" s="493" t="s">
        <v>330</v>
      </c>
      <c r="D385" s="105" t="s">
        <v>665</v>
      </c>
      <c r="E385" s="105" t="s">
        <v>379</v>
      </c>
      <c r="F385" s="493">
        <v>65448</v>
      </c>
      <c r="G385" s="105" t="s">
        <v>37</v>
      </c>
      <c r="H385" s="105" t="s">
        <v>342</v>
      </c>
      <c r="I385" s="105" t="s">
        <v>334</v>
      </c>
      <c r="J385" s="493">
        <v>22</v>
      </c>
      <c r="K385" s="493">
        <v>2</v>
      </c>
      <c r="L385" s="105" t="s">
        <v>343</v>
      </c>
      <c r="M385" s="105" t="s">
        <v>295</v>
      </c>
      <c r="N385" s="105" t="s">
        <v>236</v>
      </c>
      <c r="O385" s="105" t="s">
        <v>236</v>
      </c>
      <c r="P385" s="105" t="s">
        <v>388</v>
      </c>
      <c r="Q385" s="494">
        <v>0</v>
      </c>
      <c r="R385" s="494">
        <v>0</v>
      </c>
      <c r="S385" s="494">
        <v>0</v>
      </c>
      <c r="T385" s="494">
        <v>0</v>
      </c>
      <c r="U385" s="494">
        <v>0</v>
      </c>
      <c r="V385" s="493">
        <v>2024</v>
      </c>
      <c r="W385" s="495" t="s">
        <v>355</v>
      </c>
      <c r="X385" s="496" t="str">
        <f t="shared" si="22"/>
        <v/>
      </c>
      <c r="Y385" s="497" t="str">
        <f t="shared" si="24"/>
        <v/>
      </c>
      <c r="Z385" s="497" t="str">
        <f t="shared" si="24"/>
        <v/>
      </c>
    </row>
    <row r="386" spans="1:26" s="82" customFormat="1" ht="32" x14ac:dyDescent="0.4">
      <c r="A386" s="493">
        <v>6156</v>
      </c>
      <c r="B386" s="105" t="s">
        <v>329</v>
      </c>
      <c r="C386" s="493" t="s">
        <v>330</v>
      </c>
      <c r="D386" s="105" t="s">
        <v>665</v>
      </c>
      <c r="E386" s="105" t="s">
        <v>379</v>
      </c>
      <c r="F386" s="493">
        <v>65448</v>
      </c>
      <c r="G386" s="105" t="s">
        <v>37</v>
      </c>
      <c r="H386" s="105" t="s">
        <v>342</v>
      </c>
      <c r="I386" s="105" t="s">
        <v>334</v>
      </c>
      <c r="J386" s="493">
        <v>22</v>
      </c>
      <c r="K386" s="493">
        <v>2</v>
      </c>
      <c r="L386" s="105" t="s">
        <v>343</v>
      </c>
      <c r="M386" s="105" t="s">
        <v>360</v>
      </c>
      <c r="N386" s="105" t="s">
        <v>226</v>
      </c>
      <c r="O386" s="105" t="s">
        <v>226</v>
      </c>
      <c r="P386" s="105" t="s">
        <v>350</v>
      </c>
      <c r="Q386" s="494">
        <v>0</v>
      </c>
      <c r="R386" s="494">
        <v>0</v>
      </c>
      <c r="S386" s="494">
        <v>0</v>
      </c>
      <c r="T386" s="494">
        <v>0</v>
      </c>
      <c r="U386" s="494">
        <v>0</v>
      </c>
      <c r="V386" s="493">
        <v>2024</v>
      </c>
      <c r="W386" s="495" t="s">
        <v>355</v>
      </c>
      <c r="X386" s="496" t="str">
        <f t="shared" si="22"/>
        <v/>
      </c>
      <c r="Y386" s="497" t="str">
        <f t="shared" si="24"/>
        <v/>
      </c>
      <c r="Z386" s="497" t="str">
        <f t="shared" si="24"/>
        <v/>
      </c>
    </row>
    <row r="387" spans="1:26" s="82" customFormat="1" ht="32" x14ac:dyDescent="0.4">
      <c r="A387" s="493">
        <v>6156</v>
      </c>
      <c r="B387" s="105" t="s">
        <v>329</v>
      </c>
      <c r="C387" s="493" t="s">
        <v>330</v>
      </c>
      <c r="D387" s="105" t="s">
        <v>665</v>
      </c>
      <c r="E387" s="105" t="s">
        <v>379</v>
      </c>
      <c r="F387" s="493">
        <v>65448</v>
      </c>
      <c r="G387" s="105" t="s">
        <v>37</v>
      </c>
      <c r="H387" s="105" t="s">
        <v>342</v>
      </c>
      <c r="I387" s="105" t="s">
        <v>334</v>
      </c>
      <c r="J387" s="493">
        <v>22</v>
      </c>
      <c r="K387" s="493">
        <v>2</v>
      </c>
      <c r="L387" s="105" t="s">
        <v>343</v>
      </c>
      <c r="M387" s="105" t="s">
        <v>360</v>
      </c>
      <c r="N387" s="105" t="s">
        <v>228</v>
      </c>
      <c r="O387" s="105" t="s">
        <v>228</v>
      </c>
      <c r="P387" s="105" t="s">
        <v>356</v>
      </c>
      <c r="Q387" s="494">
        <v>324960</v>
      </c>
      <c r="R387" s="494">
        <v>324960</v>
      </c>
      <c r="S387" s="494">
        <v>336983</v>
      </c>
      <c r="T387" s="494">
        <v>336983</v>
      </c>
      <c r="U387" s="494">
        <v>23401.462</v>
      </c>
      <c r="V387" s="493">
        <v>2024</v>
      </c>
      <c r="W387" s="495" t="s">
        <v>355</v>
      </c>
      <c r="X387" s="496">
        <f t="shared" si="22"/>
        <v>14.400083208476461</v>
      </c>
      <c r="Y387" s="497" t="str">
        <f t="shared" si="24"/>
        <v/>
      </c>
      <c r="Z387" s="497" t="str">
        <f t="shared" si="24"/>
        <v/>
      </c>
    </row>
    <row r="388" spans="1:26" s="82" customFormat="1" ht="32" x14ac:dyDescent="0.4">
      <c r="A388" s="493">
        <v>6156</v>
      </c>
      <c r="B388" s="105" t="s">
        <v>329</v>
      </c>
      <c r="C388" s="493" t="s">
        <v>330</v>
      </c>
      <c r="D388" s="105" t="s">
        <v>665</v>
      </c>
      <c r="E388" s="105" t="s">
        <v>379</v>
      </c>
      <c r="F388" s="493">
        <v>65448</v>
      </c>
      <c r="G388" s="105" t="s">
        <v>37</v>
      </c>
      <c r="H388" s="105" t="s">
        <v>342</v>
      </c>
      <c r="I388" s="105" t="s">
        <v>334</v>
      </c>
      <c r="J388" s="493">
        <v>22</v>
      </c>
      <c r="K388" s="493">
        <v>2</v>
      </c>
      <c r="L388" s="105" t="s">
        <v>343</v>
      </c>
      <c r="M388" s="105" t="s">
        <v>360</v>
      </c>
      <c r="N388" s="105" t="s">
        <v>236</v>
      </c>
      <c r="O388" s="105" t="s">
        <v>236</v>
      </c>
      <c r="P388" s="105" t="s">
        <v>388</v>
      </c>
      <c r="Q388" s="494">
        <v>0</v>
      </c>
      <c r="R388" s="494">
        <v>0</v>
      </c>
      <c r="S388" s="494">
        <v>0</v>
      </c>
      <c r="T388" s="494">
        <v>0</v>
      </c>
      <c r="U388" s="494">
        <v>0</v>
      </c>
      <c r="V388" s="493">
        <v>2024</v>
      </c>
      <c r="W388" s="495" t="s">
        <v>355</v>
      </c>
      <c r="X388" s="496" t="str">
        <f t="shared" si="22"/>
        <v/>
      </c>
      <c r="Y388" s="497" t="str">
        <f t="shared" ref="Y388:Z407" si="25">IF(AND($M388=$Y$2,$N388=$Y$3,NOT($Q388=$R388),NOT($U388=0)),IF($K388=5,$S388/($U388+(8/5)*$U388),IF($K388=7,$S388/($U388+(29/25)*$U388),"")),"")</f>
        <v/>
      </c>
      <c r="Z388" s="497" t="str">
        <f t="shared" si="25"/>
        <v/>
      </c>
    </row>
    <row r="389" spans="1:26" s="82" customFormat="1" ht="32" x14ac:dyDescent="0.4">
      <c r="A389" s="493">
        <v>6156</v>
      </c>
      <c r="B389" s="105" t="s">
        <v>329</v>
      </c>
      <c r="C389" s="493" t="s">
        <v>330</v>
      </c>
      <c r="D389" s="105" t="s">
        <v>665</v>
      </c>
      <c r="E389" s="105" t="s">
        <v>379</v>
      </c>
      <c r="F389" s="493">
        <v>65448</v>
      </c>
      <c r="G389" s="105" t="s">
        <v>37</v>
      </c>
      <c r="H389" s="105" t="s">
        <v>342</v>
      </c>
      <c r="I389" s="105" t="s">
        <v>334</v>
      </c>
      <c r="J389" s="493">
        <v>22</v>
      </c>
      <c r="K389" s="493">
        <v>2</v>
      </c>
      <c r="L389" s="105" t="s">
        <v>343</v>
      </c>
      <c r="M389" s="105" t="s">
        <v>360</v>
      </c>
      <c r="N389" s="105" t="s">
        <v>238</v>
      </c>
      <c r="O389" s="105" t="s">
        <v>238</v>
      </c>
      <c r="P389" s="105" t="s">
        <v>350</v>
      </c>
      <c r="Q389" s="494">
        <v>9466</v>
      </c>
      <c r="R389" s="494">
        <v>9466</v>
      </c>
      <c r="S389" s="494">
        <v>54903</v>
      </c>
      <c r="T389" s="494">
        <v>54903</v>
      </c>
      <c r="U389" s="494">
        <v>3775.538</v>
      </c>
      <c r="V389" s="493">
        <v>2024</v>
      </c>
      <c r="W389" s="495" t="s">
        <v>355</v>
      </c>
      <c r="X389" s="496">
        <f t="shared" si="22"/>
        <v>14.541768616816993</v>
      </c>
      <c r="Y389" s="497" t="str">
        <f t="shared" si="25"/>
        <v/>
      </c>
      <c r="Z389" s="497" t="str">
        <f t="shared" si="25"/>
        <v/>
      </c>
    </row>
    <row r="390" spans="1:26" s="82" customFormat="1" ht="32" x14ac:dyDescent="0.4">
      <c r="A390" s="493">
        <v>6378</v>
      </c>
      <c r="B390" s="105" t="s">
        <v>329</v>
      </c>
      <c r="C390" s="493" t="s">
        <v>330</v>
      </c>
      <c r="D390" s="105" t="s">
        <v>666</v>
      </c>
      <c r="E390" s="105" t="s">
        <v>453</v>
      </c>
      <c r="F390" s="493">
        <v>61350</v>
      </c>
      <c r="G390" s="105" t="s">
        <v>33</v>
      </c>
      <c r="H390" s="105" t="s">
        <v>342</v>
      </c>
      <c r="I390" s="105" t="s">
        <v>334</v>
      </c>
      <c r="J390" s="493">
        <v>22</v>
      </c>
      <c r="K390" s="493">
        <v>2</v>
      </c>
      <c r="L390" s="105" t="s">
        <v>343</v>
      </c>
      <c r="M390" s="105" t="s">
        <v>336</v>
      </c>
      <c r="N390" s="105" t="s">
        <v>337</v>
      </c>
      <c r="O390" s="105" t="s">
        <v>338</v>
      </c>
      <c r="P390" s="105" t="s">
        <v>339</v>
      </c>
      <c r="Q390" s="494">
        <v>0</v>
      </c>
      <c r="R390" s="494">
        <v>0</v>
      </c>
      <c r="S390" s="494">
        <v>21656</v>
      </c>
      <c r="T390" s="494">
        <v>21656</v>
      </c>
      <c r="U390" s="494">
        <v>6347</v>
      </c>
      <c r="V390" s="493">
        <v>2024</v>
      </c>
      <c r="W390" s="495"/>
      <c r="X390" s="496">
        <f t="shared" si="22"/>
        <v>3.4120056719710101</v>
      </c>
      <c r="Y390" s="497" t="str">
        <f t="shared" si="25"/>
        <v/>
      </c>
      <c r="Z390" s="497" t="str">
        <f t="shared" si="25"/>
        <v/>
      </c>
    </row>
    <row r="391" spans="1:26" s="82" customFormat="1" ht="32" x14ac:dyDescent="0.4">
      <c r="A391" s="493">
        <v>6379</v>
      </c>
      <c r="B391" s="105" t="s">
        <v>329</v>
      </c>
      <c r="C391" s="493" t="s">
        <v>330</v>
      </c>
      <c r="D391" s="105" t="s">
        <v>667</v>
      </c>
      <c r="E391" s="105" t="s">
        <v>453</v>
      </c>
      <c r="F391" s="493">
        <v>61350</v>
      </c>
      <c r="G391" s="105" t="s">
        <v>33</v>
      </c>
      <c r="H391" s="105" t="s">
        <v>342</v>
      </c>
      <c r="I391" s="105" t="s">
        <v>334</v>
      </c>
      <c r="J391" s="493">
        <v>22</v>
      </c>
      <c r="K391" s="493">
        <v>2</v>
      </c>
      <c r="L391" s="105" t="s">
        <v>343</v>
      </c>
      <c r="M391" s="105" t="s">
        <v>336</v>
      </c>
      <c r="N391" s="105" t="s">
        <v>337</v>
      </c>
      <c r="O391" s="105" t="s">
        <v>338</v>
      </c>
      <c r="P391" s="105" t="s">
        <v>339</v>
      </c>
      <c r="Q391" s="494">
        <v>0</v>
      </c>
      <c r="R391" s="494">
        <v>0</v>
      </c>
      <c r="S391" s="494">
        <v>21461</v>
      </c>
      <c r="T391" s="494">
        <v>21461</v>
      </c>
      <c r="U391" s="494">
        <v>6290</v>
      </c>
      <c r="V391" s="493">
        <v>2024</v>
      </c>
      <c r="W391" s="495"/>
      <c r="X391" s="496">
        <f t="shared" si="22"/>
        <v>3.4119236883942765</v>
      </c>
      <c r="Y391" s="497" t="str">
        <f t="shared" si="25"/>
        <v/>
      </c>
      <c r="Z391" s="497" t="str">
        <f t="shared" si="25"/>
        <v/>
      </c>
    </row>
    <row r="392" spans="1:26" s="82" customFormat="1" ht="32" x14ac:dyDescent="0.4">
      <c r="A392" s="493">
        <v>6388</v>
      </c>
      <c r="B392" s="105" t="s">
        <v>329</v>
      </c>
      <c r="C392" s="493" t="s">
        <v>330</v>
      </c>
      <c r="D392" s="105" t="s">
        <v>668</v>
      </c>
      <c r="E392" s="105" t="s">
        <v>362</v>
      </c>
      <c r="F392" s="493">
        <v>58185</v>
      </c>
      <c r="G392" s="105" t="s">
        <v>33</v>
      </c>
      <c r="H392" s="105" t="s">
        <v>342</v>
      </c>
      <c r="I392" s="105" t="s">
        <v>334</v>
      </c>
      <c r="J392" s="493">
        <v>22</v>
      </c>
      <c r="K392" s="493">
        <v>2</v>
      </c>
      <c r="L392" s="105" t="s">
        <v>343</v>
      </c>
      <c r="M392" s="105" t="s">
        <v>336</v>
      </c>
      <c r="N392" s="105" t="s">
        <v>337</v>
      </c>
      <c r="O392" s="105" t="s">
        <v>338</v>
      </c>
      <c r="P392" s="105" t="s">
        <v>339</v>
      </c>
      <c r="Q392" s="494">
        <v>0</v>
      </c>
      <c r="R392" s="494">
        <v>0</v>
      </c>
      <c r="S392" s="494">
        <v>42194</v>
      </c>
      <c r="T392" s="494">
        <v>42194</v>
      </c>
      <c r="U392" s="494">
        <v>12366</v>
      </c>
      <c r="V392" s="493">
        <v>2024</v>
      </c>
      <c r="W392" s="495"/>
      <c r="X392" s="496">
        <f t="shared" si="22"/>
        <v>3.4120976872068574</v>
      </c>
      <c r="Y392" s="497" t="str">
        <f t="shared" si="25"/>
        <v/>
      </c>
      <c r="Z392" s="497" t="str">
        <f t="shared" si="25"/>
        <v/>
      </c>
    </row>
    <row r="393" spans="1:26" s="82" customFormat="1" ht="32" x14ac:dyDescent="0.4">
      <c r="A393" s="493">
        <v>6450</v>
      </c>
      <c r="B393" s="105" t="s">
        <v>329</v>
      </c>
      <c r="C393" s="493" t="s">
        <v>330</v>
      </c>
      <c r="D393" s="105" t="s">
        <v>669</v>
      </c>
      <c r="E393" s="105" t="s">
        <v>394</v>
      </c>
      <c r="F393" s="493">
        <v>7601</v>
      </c>
      <c r="G393" s="105" t="s">
        <v>36</v>
      </c>
      <c r="H393" s="105" t="s">
        <v>342</v>
      </c>
      <c r="I393" s="105" t="s">
        <v>334</v>
      </c>
      <c r="J393" s="493">
        <v>22</v>
      </c>
      <c r="K393" s="493">
        <v>1</v>
      </c>
      <c r="L393" s="105" t="s">
        <v>335</v>
      </c>
      <c r="M393" s="105" t="s">
        <v>336</v>
      </c>
      <c r="N393" s="105" t="s">
        <v>337</v>
      </c>
      <c r="O393" s="105" t="s">
        <v>338</v>
      </c>
      <c r="P393" s="105" t="s">
        <v>339</v>
      </c>
      <c r="Q393" s="494">
        <v>0</v>
      </c>
      <c r="R393" s="494">
        <v>0</v>
      </c>
      <c r="S393" s="494">
        <v>106578</v>
      </c>
      <c r="T393" s="494">
        <v>106578</v>
      </c>
      <c r="U393" s="494">
        <v>31236</v>
      </c>
      <c r="V393" s="493">
        <v>2024</v>
      </c>
      <c r="W393" s="495"/>
      <c r="X393" s="496">
        <f t="shared" ref="X393:X456" si="26">IF(OR(K393&gt;3,T393=0,NOT(U393&gt;0)),"",T393/U393)</f>
        <v>3.4120245870149826</v>
      </c>
      <c r="Y393" s="497" t="str">
        <f t="shared" si="25"/>
        <v/>
      </c>
      <c r="Z393" s="497" t="str">
        <f t="shared" si="25"/>
        <v/>
      </c>
    </row>
    <row r="394" spans="1:26" s="82" customFormat="1" ht="32" x14ac:dyDescent="0.4">
      <c r="A394" s="493">
        <v>6451</v>
      </c>
      <c r="B394" s="105" t="s">
        <v>329</v>
      </c>
      <c r="C394" s="493" t="s">
        <v>330</v>
      </c>
      <c r="D394" s="105" t="s">
        <v>670</v>
      </c>
      <c r="E394" s="105" t="s">
        <v>394</v>
      </c>
      <c r="F394" s="493">
        <v>7601</v>
      </c>
      <c r="G394" s="105" t="s">
        <v>36</v>
      </c>
      <c r="H394" s="105" t="s">
        <v>342</v>
      </c>
      <c r="I394" s="105" t="s">
        <v>334</v>
      </c>
      <c r="J394" s="493">
        <v>22</v>
      </c>
      <c r="K394" s="493">
        <v>1</v>
      </c>
      <c r="L394" s="105" t="s">
        <v>335</v>
      </c>
      <c r="M394" s="105" t="s">
        <v>336</v>
      </c>
      <c r="N394" s="105" t="s">
        <v>337</v>
      </c>
      <c r="O394" s="105" t="s">
        <v>338</v>
      </c>
      <c r="P394" s="105" t="s">
        <v>339</v>
      </c>
      <c r="Q394" s="494">
        <v>0</v>
      </c>
      <c r="R394" s="494">
        <v>0</v>
      </c>
      <c r="S394" s="494">
        <v>46170</v>
      </c>
      <c r="T394" s="494">
        <v>46170</v>
      </c>
      <c r="U394" s="494">
        <v>13530</v>
      </c>
      <c r="V394" s="493">
        <v>2024</v>
      </c>
      <c r="W394" s="495"/>
      <c r="X394" s="496">
        <f t="shared" si="26"/>
        <v>3.4124168514412418</v>
      </c>
      <c r="Y394" s="497" t="str">
        <f t="shared" si="25"/>
        <v/>
      </c>
      <c r="Z394" s="497" t="str">
        <f t="shared" si="25"/>
        <v/>
      </c>
    </row>
    <row r="395" spans="1:26" s="82" customFormat="1" ht="32" x14ac:dyDescent="0.4">
      <c r="A395" s="493">
        <v>6456</v>
      </c>
      <c r="B395" s="105" t="s">
        <v>329</v>
      </c>
      <c r="C395" s="493" t="s">
        <v>330</v>
      </c>
      <c r="D395" s="105" t="s">
        <v>671</v>
      </c>
      <c r="E395" s="105" t="s">
        <v>394</v>
      </c>
      <c r="F395" s="493">
        <v>7601</v>
      </c>
      <c r="G395" s="105" t="s">
        <v>52</v>
      </c>
      <c r="H395" s="105" t="s">
        <v>333</v>
      </c>
      <c r="I395" s="105" t="s">
        <v>334</v>
      </c>
      <c r="J395" s="493">
        <v>22</v>
      </c>
      <c r="K395" s="493">
        <v>1</v>
      </c>
      <c r="L395" s="105" t="s">
        <v>335</v>
      </c>
      <c r="M395" s="105" t="s">
        <v>336</v>
      </c>
      <c r="N395" s="105" t="s">
        <v>337</v>
      </c>
      <c r="O395" s="105" t="s">
        <v>338</v>
      </c>
      <c r="P395" s="105" t="s">
        <v>339</v>
      </c>
      <c r="Q395" s="494">
        <v>0</v>
      </c>
      <c r="R395" s="494">
        <v>0</v>
      </c>
      <c r="S395" s="494">
        <v>19827</v>
      </c>
      <c r="T395" s="494">
        <v>19827</v>
      </c>
      <c r="U395" s="494">
        <v>5786</v>
      </c>
      <c r="V395" s="493">
        <v>2024</v>
      </c>
      <c r="W395" s="495"/>
      <c r="X395" s="496">
        <f t="shared" si="26"/>
        <v>3.4267196681645351</v>
      </c>
      <c r="Y395" s="497" t="str">
        <f t="shared" si="25"/>
        <v/>
      </c>
      <c r="Z395" s="497" t="str">
        <f t="shared" si="25"/>
        <v/>
      </c>
    </row>
    <row r="396" spans="1:26" s="82" customFormat="1" ht="32" x14ac:dyDescent="0.4">
      <c r="A396" s="493">
        <v>6475</v>
      </c>
      <c r="B396" s="105" t="s">
        <v>329</v>
      </c>
      <c r="C396" s="493" t="s">
        <v>330</v>
      </c>
      <c r="D396" s="105" t="s">
        <v>672</v>
      </c>
      <c r="E396" s="105" t="s">
        <v>394</v>
      </c>
      <c r="F396" s="493">
        <v>7601</v>
      </c>
      <c r="G396" s="105" t="s">
        <v>36</v>
      </c>
      <c r="H396" s="105" t="s">
        <v>342</v>
      </c>
      <c r="I396" s="105" t="s">
        <v>334</v>
      </c>
      <c r="J396" s="493">
        <v>22</v>
      </c>
      <c r="K396" s="493">
        <v>1</v>
      </c>
      <c r="L396" s="105" t="s">
        <v>335</v>
      </c>
      <c r="M396" s="105" t="s">
        <v>336</v>
      </c>
      <c r="N396" s="105" t="s">
        <v>337</v>
      </c>
      <c r="O396" s="105" t="s">
        <v>338</v>
      </c>
      <c r="P396" s="105" t="s">
        <v>339</v>
      </c>
      <c r="Q396" s="494">
        <v>0</v>
      </c>
      <c r="R396" s="494">
        <v>0</v>
      </c>
      <c r="S396" s="494">
        <v>57144</v>
      </c>
      <c r="T396" s="494">
        <v>57144</v>
      </c>
      <c r="U396" s="494">
        <v>16748</v>
      </c>
      <c r="V396" s="493">
        <v>2024</v>
      </c>
      <c r="W396" s="495"/>
      <c r="X396" s="496">
        <f t="shared" si="26"/>
        <v>3.411989491282541</v>
      </c>
      <c r="Y396" s="497" t="str">
        <f t="shared" si="25"/>
        <v/>
      </c>
      <c r="Z396" s="497" t="str">
        <f t="shared" si="25"/>
        <v/>
      </c>
    </row>
    <row r="397" spans="1:26" s="82" customFormat="1" x14ac:dyDescent="0.4">
      <c r="A397" s="493">
        <v>6483</v>
      </c>
      <c r="B397" s="105" t="s">
        <v>329</v>
      </c>
      <c r="C397" s="493" t="s">
        <v>330</v>
      </c>
      <c r="D397" s="105" t="s">
        <v>673</v>
      </c>
      <c r="E397" s="105" t="s">
        <v>449</v>
      </c>
      <c r="F397" s="493">
        <v>61122</v>
      </c>
      <c r="G397" s="105" t="s">
        <v>36</v>
      </c>
      <c r="H397" s="105" t="s">
        <v>342</v>
      </c>
      <c r="I397" s="105" t="s">
        <v>334</v>
      </c>
      <c r="J397" s="493">
        <v>22</v>
      </c>
      <c r="K397" s="493">
        <v>2</v>
      </c>
      <c r="L397" s="105" t="s">
        <v>343</v>
      </c>
      <c r="M397" s="105" t="s">
        <v>336</v>
      </c>
      <c r="N397" s="105" t="s">
        <v>337</v>
      </c>
      <c r="O397" s="105" t="s">
        <v>338</v>
      </c>
      <c r="P397" s="105" t="s">
        <v>339</v>
      </c>
      <c r="Q397" s="494">
        <v>0</v>
      </c>
      <c r="R397" s="494">
        <v>0</v>
      </c>
      <c r="S397" s="494">
        <v>181833</v>
      </c>
      <c r="T397" s="494">
        <v>181833</v>
      </c>
      <c r="U397" s="494">
        <v>53292</v>
      </c>
      <c r="V397" s="493">
        <v>2024</v>
      </c>
      <c r="W397" s="495"/>
      <c r="X397" s="496">
        <f t="shared" si="26"/>
        <v>3.4120130601215943</v>
      </c>
      <c r="Y397" s="497" t="str">
        <f t="shared" si="25"/>
        <v/>
      </c>
      <c r="Z397" s="497" t="str">
        <f t="shared" si="25"/>
        <v/>
      </c>
    </row>
    <row r="398" spans="1:26" s="82" customFormat="1" ht="32" x14ac:dyDescent="0.4">
      <c r="A398" s="493">
        <v>6486</v>
      </c>
      <c r="B398" s="105" t="s">
        <v>329</v>
      </c>
      <c r="C398" s="493" t="s">
        <v>330</v>
      </c>
      <c r="D398" s="105" t="s">
        <v>674</v>
      </c>
      <c r="E398" s="105" t="s">
        <v>390</v>
      </c>
      <c r="F398" s="493">
        <v>13511</v>
      </c>
      <c r="G398" s="105" t="s">
        <v>52</v>
      </c>
      <c r="H398" s="105" t="s">
        <v>333</v>
      </c>
      <c r="I398" s="105" t="s">
        <v>334</v>
      </c>
      <c r="J398" s="493">
        <v>22</v>
      </c>
      <c r="K398" s="493">
        <v>1</v>
      </c>
      <c r="L398" s="105" t="s">
        <v>335</v>
      </c>
      <c r="M398" s="105" t="s">
        <v>336</v>
      </c>
      <c r="N398" s="105" t="s">
        <v>337</v>
      </c>
      <c r="O398" s="105" t="s">
        <v>338</v>
      </c>
      <c r="P398" s="105" t="s">
        <v>339</v>
      </c>
      <c r="Q398" s="494">
        <v>0</v>
      </c>
      <c r="R398" s="494">
        <v>0</v>
      </c>
      <c r="S398" s="494">
        <v>95993</v>
      </c>
      <c r="T398" s="494">
        <v>95993</v>
      </c>
      <c r="U398" s="494">
        <v>28134</v>
      </c>
      <c r="V398" s="493">
        <v>2024</v>
      </c>
      <c r="W398" s="495"/>
      <c r="X398" s="496">
        <f t="shared" si="26"/>
        <v>3.4119926068102653</v>
      </c>
      <c r="Y398" s="497" t="str">
        <f t="shared" si="25"/>
        <v/>
      </c>
      <c r="Z398" s="497" t="str">
        <f t="shared" si="25"/>
        <v/>
      </c>
    </row>
    <row r="399" spans="1:26" s="82" customFormat="1" ht="32" x14ac:dyDescent="0.4">
      <c r="A399" s="493">
        <v>6519</v>
      </c>
      <c r="B399" s="105" t="s">
        <v>329</v>
      </c>
      <c r="C399" s="493" t="s">
        <v>330</v>
      </c>
      <c r="D399" s="105" t="s">
        <v>675</v>
      </c>
      <c r="E399" s="105" t="s">
        <v>394</v>
      </c>
      <c r="F399" s="493">
        <v>7601</v>
      </c>
      <c r="G399" s="105" t="s">
        <v>36</v>
      </c>
      <c r="H399" s="105" t="s">
        <v>342</v>
      </c>
      <c r="I399" s="105" t="s">
        <v>334</v>
      </c>
      <c r="J399" s="493">
        <v>22</v>
      </c>
      <c r="K399" s="493">
        <v>1</v>
      </c>
      <c r="L399" s="105" t="s">
        <v>335</v>
      </c>
      <c r="M399" s="105" t="s">
        <v>336</v>
      </c>
      <c r="N399" s="105" t="s">
        <v>337</v>
      </c>
      <c r="O399" s="105" t="s">
        <v>338</v>
      </c>
      <c r="P399" s="105" t="s">
        <v>339</v>
      </c>
      <c r="Q399" s="494">
        <v>0</v>
      </c>
      <c r="R399" s="494">
        <v>0</v>
      </c>
      <c r="S399" s="494">
        <v>27449</v>
      </c>
      <c r="T399" s="494">
        <v>27449</v>
      </c>
      <c r="U399" s="494">
        <v>8045</v>
      </c>
      <c r="V399" s="493">
        <v>2024</v>
      </c>
      <c r="W399" s="495"/>
      <c r="X399" s="496">
        <f t="shared" si="26"/>
        <v>3.4119328775637041</v>
      </c>
      <c r="Y399" s="497" t="str">
        <f t="shared" si="25"/>
        <v/>
      </c>
      <c r="Z399" s="497" t="str">
        <f t="shared" si="25"/>
        <v/>
      </c>
    </row>
    <row r="400" spans="1:26" s="82" customFormat="1" ht="32" x14ac:dyDescent="0.4">
      <c r="A400" s="493">
        <v>6519</v>
      </c>
      <c r="B400" s="105" t="s">
        <v>329</v>
      </c>
      <c r="C400" s="493" t="s">
        <v>330</v>
      </c>
      <c r="D400" s="105" t="s">
        <v>675</v>
      </c>
      <c r="E400" s="105" t="s">
        <v>394</v>
      </c>
      <c r="F400" s="493">
        <v>7601</v>
      </c>
      <c r="G400" s="105" t="s">
        <v>36</v>
      </c>
      <c r="H400" s="105" t="s">
        <v>342</v>
      </c>
      <c r="I400" s="105" t="s">
        <v>334</v>
      </c>
      <c r="J400" s="493">
        <v>22</v>
      </c>
      <c r="K400" s="493">
        <v>1</v>
      </c>
      <c r="L400" s="105" t="s">
        <v>335</v>
      </c>
      <c r="M400" s="105" t="s">
        <v>359</v>
      </c>
      <c r="N400" s="105" t="s">
        <v>226</v>
      </c>
      <c r="O400" s="105" t="s">
        <v>226</v>
      </c>
      <c r="P400" s="105" t="s">
        <v>350</v>
      </c>
      <c r="Q400" s="494">
        <v>0</v>
      </c>
      <c r="R400" s="494">
        <v>0</v>
      </c>
      <c r="S400" s="494">
        <v>0</v>
      </c>
      <c r="T400" s="494">
        <v>0</v>
      </c>
      <c r="U400" s="494">
        <v>0</v>
      </c>
      <c r="V400" s="493">
        <v>2024</v>
      </c>
      <c r="W400" s="495"/>
      <c r="X400" s="496" t="str">
        <f t="shared" si="26"/>
        <v/>
      </c>
      <c r="Y400" s="497" t="str">
        <f t="shared" si="25"/>
        <v/>
      </c>
      <c r="Z400" s="497" t="str">
        <f t="shared" si="25"/>
        <v/>
      </c>
    </row>
    <row r="401" spans="1:26" s="82" customFormat="1" ht="32" x14ac:dyDescent="0.4">
      <c r="A401" s="493">
        <v>6520</v>
      </c>
      <c r="B401" s="105" t="s">
        <v>329</v>
      </c>
      <c r="C401" s="493" t="s">
        <v>330</v>
      </c>
      <c r="D401" s="105" t="s">
        <v>676</v>
      </c>
      <c r="E401" s="105" t="s">
        <v>394</v>
      </c>
      <c r="F401" s="493">
        <v>7601</v>
      </c>
      <c r="G401" s="105" t="s">
        <v>36</v>
      </c>
      <c r="H401" s="105" t="s">
        <v>342</v>
      </c>
      <c r="I401" s="105" t="s">
        <v>334</v>
      </c>
      <c r="J401" s="493">
        <v>22</v>
      </c>
      <c r="K401" s="493">
        <v>1</v>
      </c>
      <c r="L401" s="105" t="s">
        <v>335</v>
      </c>
      <c r="M401" s="105" t="s">
        <v>336</v>
      </c>
      <c r="N401" s="105" t="s">
        <v>337</v>
      </c>
      <c r="O401" s="105" t="s">
        <v>338</v>
      </c>
      <c r="P401" s="105" t="s">
        <v>339</v>
      </c>
      <c r="Q401" s="494">
        <v>0</v>
      </c>
      <c r="R401" s="494">
        <v>0</v>
      </c>
      <c r="S401" s="494">
        <v>51829</v>
      </c>
      <c r="T401" s="494">
        <v>51829</v>
      </c>
      <c r="U401" s="494">
        <v>15174</v>
      </c>
      <c r="V401" s="493">
        <v>2024</v>
      </c>
      <c r="W401" s="495"/>
      <c r="X401" s="496">
        <f t="shared" si="26"/>
        <v>3.4156451825490972</v>
      </c>
      <c r="Y401" s="497" t="str">
        <f t="shared" si="25"/>
        <v/>
      </c>
      <c r="Z401" s="497" t="str">
        <f t="shared" si="25"/>
        <v/>
      </c>
    </row>
    <row r="402" spans="1:26" s="82" customFormat="1" ht="32" x14ac:dyDescent="0.4">
      <c r="A402" s="493">
        <v>6526</v>
      </c>
      <c r="B402" s="105" t="s">
        <v>329</v>
      </c>
      <c r="C402" s="493" t="s">
        <v>330</v>
      </c>
      <c r="D402" s="105" t="s">
        <v>677</v>
      </c>
      <c r="E402" s="105" t="s">
        <v>390</v>
      </c>
      <c r="F402" s="493">
        <v>13511</v>
      </c>
      <c r="G402" s="105" t="s">
        <v>52</v>
      </c>
      <c r="H402" s="105" t="s">
        <v>333</v>
      </c>
      <c r="I402" s="105" t="s">
        <v>334</v>
      </c>
      <c r="J402" s="493">
        <v>22</v>
      </c>
      <c r="K402" s="493">
        <v>1</v>
      </c>
      <c r="L402" s="105" t="s">
        <v>335</v>
      </c>
      <c r="M402" s="105" t="s">
        <v>336</v>
      </c>
      <c r="N402" s="105" t="s">
        <v>337</v>
      </c>
      <c r="O402" s="105" t="s">
        <v>338</v>
      </c>
      <c r="P402" s="105" t="s">
        <v>339</v>
      </c>
      <c r="Q402" s="494">
        <v>0</v>
      </c>
      <c r="R402" s="494">
        <v>0</v>
      </c>
      <c r="S402" s="494">
        <v>35044</v>
      </c>
      <c r="T402" s="494">
        <v>35044</v>
      </c>
      <c r="U402" s="494">
        <v>10271</v>
      </c>
      <c r="V402" s="493">
        <v>2024</v>
      </c>
      <c r="W402" s="495"/>
      <c r="X402" s="496">
        <f t="shared" si="26"/>
        <v>3.4119365202998733</v>
      </c>
      <c r="Y402" s="497" t="str">
        <f t="shared" si="25"/>
        <v/>
      </c>
      <c r="Z402" s="497" t="str">
        <f t="shared" si="25"/>
        <v/>
      </c>
    </row>
    <row r="403" spans="1:26" s="82" customFormat="1" ht="32" x14ac:dyDescent="0.4">
      <c r="A403" s="493">
        <v>6527</v>
      </c>
      <c r="B403" s="105" t="s">
        <v>329</v>
      </c>
      <c r="C403" s="493" t="s">
        <v>330</v>
      </c>
      <c r="D403" s="105" t="s">
        <v>678</v>
      </c>
      <c r="E403" s="105" t="s">
        <v>520</v>
      </c>
      <c r="F403" s="493">
        <v>5914</v>
      </c>
      <c r="G403" s="105" t="s">
        <v>52</v>
      </c>
      <c r="H403" s="105" t="s">
        <v>333</v>
      </c>
      <c r="I403" s="105" t="s">
        <v>334</v>
      </c>
      <c r="J403" s="493">
        <v>22</v>
      </c>
      <c r="K403" s="493">
        <v>2</v>
      </c>
      <c r="L403" s="105" t="s">
        <v>343</v>
      </c>
      <c r="M403" s="105" t="s">
        <v>336</v>
      </c>
      <c r="N403" s="105" t="s">
        <v>337</v>
      </c>
      <c r="O403" s="105" t="s">
        <v>338</v>
      </c>
      <c r="P403" s="105" t="s">
        <v>339</v>
      </c>
      <c r="Q403" s="494">
        <v>0</v>
      </c>
      <c r="R403" s="494">
        <v>0</v>
      </c>
      <c r="S403" s="494">
        <v>257153</v>
      </c>
      <c r="T403" s="494">
        <v>257153</v>
      </c>
      <c r="U403" s="494">
        <v>75367</v>
      </c>
      <c r="V403" s="493">
        <v>2024</v>
      </c>
      <c r="W403" s="495"/>
      <c r="X403" s="496">
        <f t="shared" si="26"/>
        <v>3.4120105616516514</v>
      </c>
      <c r="Y403" s="497" t="str">
        <f t="shared" si="25"/>
        <v/>
      </c>
      <c r="Z403" s="497" t="str">
        <f t="shared" si="25"/>
        <v/>
      </c>
    </row>
    <row r="404" spans="1:26" s="82" customFormat="1" x14ac:dyDescent="0.4">
      <c r="A404" s="493">
        <v>6529</v>
      </c>
      <c r="B404" s="105" t="s">
        <v>329</v>
      </c>
      <c r="C404" s="493" t="s">
        <v>330</v>
      </c>
      <c r="D404" s="105" t="s">
        <v>679</v>
      </c>
      <c r="E404" s="105" t="s">
        <v>449</v>
      </c>
      <c r="F404" s="493">
        <v>61122</v>
      </c>
      <c r="G404" s="105" t="s">
        <v>36</v>
      </c>
      <c r="H404" s="105" t="s">
        <v>342</v>
      </c>
      <c r="I404" s="105" t="s">
        <v>334</v>
      </c>
      <c r="J404" s="493">
        <v>22</v>
      </c>
      <c r="K404" s="493">
        <v>2</v>
      </c>
      <c r="L404" s="105" t="s">
        <v>343</v>
      </c>
      <c r="M404" s="105" t="s">
        <v>336</v>
      </c>
      <c r="N404" s="105" t="s">
        <v>337</v>
      </c>
      <c r="O404" s="105" t="s">
        <v>338</v>
      </c>
      <c r="P404" s="105" t="s">
        <v>339</v>
      </c>
      <c r="Q404" s="494">
        <v>0</v>
      </c>
      <c r="R404" s="494">
        <v>0</v>
      </c>
      <c r="S404" s="494">
        <v>52532</v>
      </c>
      <c r="T404" s="494">
        <v>52532</v>
      </c>
      <c r="U404" s="494">
        <v>15396</v>
      </c>
      <c r="V404" s="493">
        <v>2024</v>
      </c>
      <c r="W404" s="495"/>
      <c r="X404" s="496">
        <f t="shared" si="26"/>
        <v>3.4120550792413615</v>
      </c>
      <c r="Y404" s="497" t="str">
        <f t="shared" si="25"/>
        <v/>
      </c>
      <c r="Z404" s="497" t="str">
        <f t="shared" si="25"/>
        <v/>
      </c>
    </row>
    <row r="405" spans="1:26" s="82" customFormat="1" ht="32" x14ac:dyDescent="0.4">
      <c r="A405" s="493">
        <v>6567</v>
      </c>
      <c r="B405" s="105" t="s">
        <v>329</v>
      </c>
      <c r="C405" s="493" t="s">
        <v>330</v>
      </c>
      <c r="D405" s="105" t="s">
        <v>680</v>
      </c>
      <c r="E405" s="105" t="s">
        <v>681</v>
      </c>
      <c r="F405" s="493">
        <v>1857</v>
      </c>
      <c r="G405" s="105" t="s">
        <v>38</v>
      </c>
      <c r="H405" s="105" t="s">
        <v>342</v>
      </c>
      <c r="I405" s="105" t="s">
        <v>334</v>
      </c>
      <c r="J405" s="493">
        <v>22</v>
      </c>
      <c r="K405" s="493">
        <v>1</v>
      </c>
      <c r="L405" s="105" t="s">
        <v>335</v>
      </c>
      <c r="M405" s="105" t="s">
        <v>359</v>
      </c>
      <c r="N405" s="105" t="s">
        <v>226</v>
      </c>
      <c r="O405" s="105" t="s">
        <v>226</v>
      </c>
      <c r="P405" s="105" t="s">
        <v>350</v>
      </c>
      <c r="Q405" s="494">
        <v>202</v>
      </c>
      <c r="R405" s="494">
        <v>202</v>
      </c>
      <c r="S405" s="494">
        <v>1192</v>
      </c>
      <c r="T405" s="494">
        <v>1192</v>
      </c>
      <c r="U405" s="494">
        <v>119</v>
      </c>
      <c r="V405" s="493">
        <v>2024</v>
      </c>
      <c r="W405" s="495"/>
      <c r="X405" s="496">
        <f t="shared" si="26"/>
        <v>10.016806722689076</v>
      </c>
      <c r="Y405" s="497" t="str">
        <f t="shared" si="25"/>
        <v/>
      </c>
      <c r="Z405" s="497" t="str">
        <f t="shared" si="25"/>
        <v/>
      </c>
    </row>
    <row r="406" spans="1:26" s="82" customFormat="1" ht="32" x14ac:dyDescent="0.4">
      <c r="A406" s="493">
        <v>6586</v>
      </c>
      <c r="B406" s="105" t="s">
        <v>329</v>
      </c>
      <c r="C406" s="493" t="s">
        <v>330</v>
      </c>
      <c r="D406" s="105" t="s">
        <v>682</v>
      </c>
      <c r="E406" s="105" t="s">
        <v>683</v>
      </c>
      <c r="F406" s="493">
        <v>11624</v>
      </c>
      <c r="G406" s="105" t="s">
        <v>33</v>
      </c>
      <c r="H406" s="105" t="s">
        <v>342</v>
      </c>
      <c r="I406" s="105" t="s">
        <v>334</v>
      </c>
      <c r="J406" s="493">
        <v>22</v>
      </c>
      <c r="K406" s="493">
        <v>1</v>
      </c>
      <c r="L406" s="105" t="s">
        <v>335</v>
      </c>
      <c r="M406" s="105" t="s">
        <v>359</v>
      </c>
      <c r="N406" s="105" t="s">
        <v>226</v>
      </c>
      <c r="O406" s="105" t="s">
        <v>226</v>
      </c>
      <c r="P406" s="105" t="s">
        <v>350</v>
      </c>
      <c r="Q406" s="494">
        <v>178</v>
      </c>
      <c r="R406" s="494">
        <v>178</v>
      </c>
      <c r="S406" s="494">
        <v>1031</v>
      </c>
      <c r="T406" s="494">
        <v>1031</v>
      </c>
      <c r="U406" s="494">
        <v>94</v>
      </c>
      <c r="V406" s="493">
        <v>2024</v>
      </c>
      <c r="W406" s="495"/>
      <c r="X406" s="496">
        <f t="shared" si="26"/>
        <v>10.968085106382979</v>
      </c>
      <c r="Y406" s="497" t="str">
        <f t="shared" si="25"/>
        <v/>
      </c>
      <c r="Z406" s="497" t="str">
        <f t="shared" si="25"/>
        <v/>
      </c>
    </row>
    <row r="407" spans="1:26" s="82" customFormat="1" x14ac:dyDescent="0.4">
      <c r="A407" s="493">
        <v>6618</v>
      </c>
      <c r="B407" s="105" t="s">
        <v>329</v>
      </c>
      <c r="C407" s="493" t="s">
        <v>330</v>
      </c>
      <c r="D407" s="105" t="s">
        <v>684</v>
      </c>
      <c r="E407" s="105" t="s">
        <v>685</v>
      </c>
      <c r="F407" s="493">
        <v>18371</v>
      </c>
      <c r="G407" s="105" t="s">
        <v>36</v>
      </c>
      <c r="H407" s="105" t="s">
        <v>342</v>
      </c>
      <c r="I407" s="105" t="s">
        <v>334</v>
      </c>
      <c r="J407" s="493">
        <v>22</v>
      </c>
      <c r="K407" s="493">
        <v>1</v>
      </c>
      <c r="L407" s="105" t="s">
        <v>335</v>
      </c>
      <c r="M407" s="105" t="s">
        <v>336</v>
      </c>
      <c r="N407" s="105" t="s">
        <v>337</v>
      </c>
      <c r="O407" s="105" t="s">
        <v>338</v>
      </c>
      <c r="P407" s="105" t="s">
        <v>339</v>
      </c>
      <c r="Q407" s="494">
        <v>0</v>
      </c>
      <c r="R407" s="494">
        <v>0</v>
      </c>
      <c r="S407" s="494">
        <v>158838</v>
      </c>
      <c r="T407" s="494">
        <v>158838</v>
      </c>
      <c r="U407" s="494">
        <v>46553</v>
      </c>
      <c r="V407" s="493">
        <v>2024</v>
      </c>
      <c r="W407" s="495"/>
      <c r="X407" s="496">
        <f t="shared" si="26"/>
        <v>3.4119820419736646</v>
      </c>
      <c r="Y407" s="497" t="str">
        <f t="shared" si="25"/>
        <v/>
      </c>
      <c r="Z407" s="497" t="str">
        <f t="shared" si="25"/>
        <v/>
      </c>
    </row>
    <row r="408" spans="1:26" s="82" customFormat="1" x14ac:dyDescent="0.4">
      <c r="A408" s="493">
        <v>6635</v>
      </c>
      <c r="B408" s="105" t="s">
        <v>329</v>
      </c>
      <c r="C408" s="493" t="s">
        <v>330</v>
      </c>
      <c r="D408" s="105" t="s">
        <v>686</v>
      </c>
      <c r="E408" s="105" t="s">
        <v>687</v>
      </c>
      <c r="F408" s="493">
        <v>66605</v>
      </c>
      <c r="G408" s="105" t="s">
        <v>37</v>
      </c>
      <c r="H408" s="105" t="s">
        <v>342</v>
      </c>
      <c r="I408" s="105" t="s">
        <v>334</v>
      </c>
      <c r="J408" s="493">
        <v>22</v>
      </c>
      <c r="K408" s="493">
        <v>1</v>
      </c>
      <c r="L408" s="105" t="s">
        <v>335</v>
      </c>
      <c r="M408" s="105" t="s">
        <v>295</v>
      </c>
      <c r="N408" s="105" t="s">
        <v>226</v>
      </c>
      <c r="O408" s="105" t="s">
        <v>226</v>
      </c>
      <c r="P408" s="105" t="s">
        <v>350</v>
      </c>
      <c r="Q408" s="494">
        <v>0</v>
      </c>
      <c r="R408" s="494">
        <v>0</v>
      </c>
      <c r="S408" s="494">
        <v>0</v>
      </c>
      <c r="T408" s="494">
        <v>0</v>
      </c>
      <c r="U408" s="494">
        <v>0</v>
      </c>
      <c r="V408" s="493">
        <v>2024</v>
      </c>
      <c r="W408" s="495" t="s">
        <v>355</v>
      </c>
      <c r="X408" s="496" t="str">
        <f t="shared" si="26"/>
        <v/>
      </c>
      <c r="Y408" s="497" t="str">
        <f t="shared" ref="Y408:Z427" si="27">IF(AND($M408=$Y$2,$N408=$Y$3,NOT($Q408=$R408),NOT($U408=0)),IF($K408=5,$S408/($U408+(8/5)*$U408),IF($K408=7,$S408/($U408+(29/25)*$U408),"")),"")</f>
        <v/>
      </c>
      <c r="Z408" s="497" t="str">
        <f t="shared" si="27"/>
        <v/>
      </c>
    </row>
    <row r="409" spans="1:26" s="82" customFormat="1" x14ac:dyDescent="0.4">
      <c r="A409" s="493">
        <v>6635</v>
      </c>
      <c r="B409" s="105" t="s">
        <v>329</v>
      </c>
      <c r="C409" s="493" t="s">
        <v>330</v>
      </c>
      <c r="D409" s="105" t="s">
        <v>686</v>
      </c>
      <c r="E409" s="105" t="s">
        <v>687</v>
      </c>
      <c r="F409" s="493">
        <v>66605</v>
      </c>
      <c r="G409" s="105" t="s">
        <v>37</v>
      </c>
      <c r="H409" s="105" t="s">
        <v>342</v>
      </c>
      <c r="I409" s="105" t="s">
        <v>334</v>
      </c>
      <c r="J409" s="493">
        <v>22</v>
      </c>
      <c r="K409" s="493">
        <v>1</v>
      </c>
      <c r="L409" s="105" t="s">
        <v>335</v>
      </c>
      <c r="M409" s="105" t="s">
        <v>295</v>
      </c>
      <c r="N409" s="105" t="s">
        <v>252</v>
      </c>
      <c r="O409" s="105" t="s">
        <v>688</v>
      </c>
      <c r="P409" s="105" t="s">
        <v>356</v>
      </c>
      <c r="Q409" s="494">
        <v>0</v>
      </c>
      <c r="R409" s="494">
        <v>0</v>
      </c>
      <c r="S409" s="494">
        <v>0</v>
      </c>
      <c r="T409" s="494">
        <v>0</v>
      </c>
      <c r="U409" s="494">
        <v>0</v>
      </c>
      <c r="V409" s="493">
        <v>2024</v>
      </c>
      <c r="W409" s="495" t="s">
        <v>355</v>
      </c>
      <c r="X409" s="496" t="str">
        <f t="shared" si="26"/>
        <v/>
      </c>
      <c r="Y409" s="497" t="str">
        <f t="shared" si="27"/>
        <v/>
      </c>
      <c r="Z409" s="497" t="str">
        <f t="shared" si="27"/>
        <v/>
      </c>
    </row>
    <row r="410" spans="1:26" s="82" customFormat="1" x14ac:dyDescent="0.4">
      <c r="A410" s="493">
        <v>6635</v>
      </c>
      <c r="B410" s="105" t="s">
        <v>329</v>
      </c>
      <c r="C410" s="493" t="s">
        <v>330</v>
      </c>
      <c r="D410" s="105" t="s">
        <v>686</v>
      </c>
      <c r="E410" s="105" t="s">
        <v>687</v>
      </c>
      <c r="F410" s="493">
        <v>66605</v>
      </c>
      <c r="G410" s="105" t="s">
        <v>37</v>
      </c>
      <c r="H410" s="105" t="s">
        <v>342</v>
      </c>
      <c r="I410" s="105" t="s">
        <v>334</v>
      </c>
      <c r="J410" s="493">
        <v>22</v>
      </c>
      <c r="K410" s="493">
        <v>1</v>
      </c>
      <c r="L410" s="105" t="s">
        <v>335</v>
      </c>
      <c r="M410" s="105" t="s">
        <v>295</v>
      </c>
      <c r="N410" s="105" t="s">
        <v>228</v>
      </c>
      <c r="O410" s="105" t="s">
        <v>228</v>
      </c>
      <c r="P410" s="105" t="s">
        <v>356</v>
      </c>
      <c r="Q410" s="494">
        <v>0</v>
      </c>
      <c r="R410" s="494">
        <v>0</v>
      </c>
      <c r="S410" s="494">
        <v>0</v>
      </c>
      <c r="T410" s="494">
        <v>0</v>
      </c>
      <c r="U410" s="494">
        <v>0</v>
      </c>
      <c r="V410" s="493">
        <v>2024</v>
      </c>
      <c r="W410" s="495" t="s">
        <v>355</v>
      </c>
      <c r="X410" s="496" t="str">
        <f t="shared" si="26"/>
        <v/>
      </c>
      <c r="Y410" s="497" t="str">
        <f t="shared" si="27"/>
        <v/>
      </c>
      <c r="Z410" s="497" t="str">
        <f t="shared" si="27"/>
        <v/>
      </c>
    </row>
    <row r="411" spans="1:26" s="82" customFormat="1" ht="32" x14ac:dyDescent="0.4">
      <c r="A411" s="493">
        <v>7051</v>
      </c>
      <c r="B411" s="105" t="s">
        <v>329</v>
      </c>
      <c r="C411" s="493" t="s">
        <v>330</v>
      </c>
      <c r="D411" s="105" t="s">
        <v>689</v>
      </c>
      <c r="E411" s="105" t="s">
        <v>690</v>
      </c>
      <c r="F411" s="493">
        <v>20151</v>
      </c>
      <c r="G411" s="105" t="s">
        <v>36</v>
      </c>
      <c r="H411" s="105" t="s">
        <v>342</v>
      </c>
      <c r="I411" s="105" t="s">
        <v>334</v>
      </c>
      <c r="J411" s="493">
        <v>22</v>
      </c>
      <c r="K411" s="493">
        <v>1</v>
      </c>
      <c r="L411" s="105" t="s">
        <v>335</v>
      </c>
      <c r="M411" s="105" t="s">
        <v>336</v>
      </c>
      <c r="N411" s="105" t="s">
        <v>337</v>
      </c>
      <c r="O411" s="105" t="s">
        <v>338</v>
      </c>
      <c r="P411" s="105" t="s">
        <v>339</v>
      </c>
      <c r="Q411" s="494">
        <v>0</v>
      </c>
      <c r="R411" s="494">
        <v>0</v>
      </c>
      <c r="S411" s="494">
        <v>5260</v>
      </c>
      <c r="T411" s="494">
        <v>5260</v>
      </c>
      <c r="U411" s="494">
        <v>1542</v>
      </c>
      <c r="V411" s="493">
        <v>2024</v>
      </c>
      <c r="W411" s="495"/>
      <c r="X411" s="496">
        <f t="shared" si="26"/>
        <v>3.411154345006485</v>
      </c>
      <c r="Y411" s="497" t="str">
        <f t="shared" si="27"/>
        <v/>
      </c>
      <c r="Z411" s="497" t="str">
        <f t="shared" si="27"/>
        <v/>
      </c>
    </row>
    <row r="412" spans="1:26" s="82" customFormat="1" ht="32" x14ac:dyDescent="0.4">
      <c r="A412" s="493">
        <v>7056</v>
      </c>
      <c r="B412" s="105" t="s">
        <v>329</v>
      </c>
      <c r="C412" s="493" t="s">
        <v>330</v>
      </c>
      <c r="D412" s="105" t="s">
        <v>691</v>
      </c>
      <c r="E412" s="105" t="s">
        <v>394</v>
      </c>
      <c r="F412" s="493">
        <v>7601</v>
      </c>
      <c r="G412" s="105" t="s">
        <v>36</v>
      </c>
      <c r="H412" s="105" t="s">
        <v>342</v>
      </c>
      <c r="I412" s="105" t="s">
        <v>334</v>
      </c>
      <c r="J412" s="493">
        <v>22</v>
      </c>
      <c r="K412" s="493">
        <v>1</v>
      </c>
      <c r="L412" s="105" t="s">
        <v>335</v>
      </c>
      <c r="M412" s="105" t="s">
        <v>336</v>
      </c>
      <c r="N412" s="105" t="s">
        <v>337</v>
      </c>
      <c r="O412" s="105" t="s">
        <v>338</v>
      </c>
      <c r="P412" s="105" t="s">
        <v>339</v>
      </c>
      <c r="Q412" s="494">
        <v>0</v>
      </c>
      <c r="R412" s="494">
        <v>0</v>
      </c>
      <c r="S412" s="494">
        <v>270</v>
      </c>
      <c r="T412" s="494">
        <v>270</v>
      </c>
      <c r="U412" s="494">
        <v>-198</v>
      </c>
      <c r="V412" s="493">
        <v>2024</v>
      </c>
      <c r="W412" s="495"/>
      <c r="X412" s="496" t="str">
        <f t="shared" si="26"/>
        <v/>
      </c>
      <c r="Y412" s="497" t="str">
        <f t="shared" si="27"/>
        <v/>
      </c>
      <c r="Z412" s="497" t="str">
        <f t="shared" si="27"/>
        <v/>
      </c>
    </row>
    <row r="413" spans="1:26" s="82" customFormat="1" ht="32" x14ac:dyDescent="0.4">
      <c r="A413" s="493">
        <v>7146</v>
      </c>
      <c r="B413" s="105" t="s">
        <v>329</v>
      </c>
      <c r="C413" s="493" t="s">
        <v>330</v>
      </c>
      <c r="D413" s="105" t="s">
        <v>692</v>
      </c>
      <c r="E413" s="105" t="s">
        <v>503</v>
      </c>
      <c r="F413" s="493">
        <v>56505</v>
      </c>
      <c r="G413" s="105" t="s">
        <v>52</v>
      </c>
      <c r="H413" s="105" t="s">
        <v>333</v>
      </c>
      <c r="I413" s="105" t="s">
        <v>334</v>
      </c>
      <c r="J413" s="493">
        <v>22</v>
      </c>
      <c r="K413" s="493">
        <v>1</v>
      </c>
      <c r="L413" s="105" t="s">
        <v>335</v>
      </c>
      <c r="M413" s="105" t="s">
        <v>295</v>
      </c>
      <c r="N413" s="105" t="s">
        <v>226</v>
      </c>
      <c r="O413" s="105" t="s">
        <v>226</v>
      </c>
      <c r="P413" s="105" t="s">
        <v>350</v>
      </c>
      <c r="Q413" s="494">
        <v>17683</v>
      </c>
      <c r="R413" s="494">
        <v>17683</v>
      </c>
      <c r="S413" s="494">
        <v>102100</v>
      </c>
      <c r="T413" s="494">
        <v>102100</v>
      </c>
      <c r="U413" s="494">
        <v>6071</v>
      </c>
      <c r="V413" s="493">
        <v>2024</v>
      </c>
      <c r="W413" s="495" t="s">
        <v>355</v>
      </c>
      <c r="X413" s="496">
        <f t="shared" si="26"/>
        <v>16.817657717015319</v>
      </c>
      <c r="Y413" s="497" t="str">
        <f t="shared" si="27"/>
        <v/>
      </c>
      <c r="Z413" s="497" t="str">
        <f t="shared" si="27"/>
        <v/>
      </c>
    </row>
    <row r="414" spans="1:26" s="82" customFormat="1" ht="32" x14ac:dyDescent="0.4">
      <c r="A414" s="493">
        <v>7314</v>
      </c>
      <c r="B414" s="105" t="s">
        <v>329</v>
      </c>
      <c r="C414" s="493" t="s">
        <v>330</v>
      </c>
      <c r="D414" s="105" t="s">
        <v>693</v>
      </c>
      <c r="E414" s="105" t="s">
        <v>332</v>
      </c>
      <c r="F414" s="493">
        <v>15296</v>
      </c>
      <c r="G414" s="105" t="s">
        <v>52</v>
      </c>
      <c r="H414" s="105" t="s">
        <v>333</v>
      </c>
      <c r="I414" s="105" t="s">
        <v>334</v>
      </c>
      <c r="J414" s="493">
        <v>22</v>
      </c>
      <c r="K414" s="493">
        <v>1</v>
      </c>
      <c r="L414" s="105" t="s">
        <v>335</v>
      </c>
      <c r="M414" s="105" t="s">
        <v>380</v>
      </c>
      <c r="N414" s="105" t="s">
        <v>226</v>
      </c>
      <c r="O414" s="105" t="s">
        <v>226</v>
      </c>
      <c r="P414" s="105" t="s">
        <v>350</v>
      </c>
      <c r="Q414" s="494">
        <v>0</v>
      </c>
      <c r="R414" s="494">
        <v>0</v>
      </c>
      <c r="S414" s="494">
        <v>0</v>
      </c>
      <c r="T414" s="494">
        <v>0</v>
      </c>
      <c r="U414" s="494">
        <v>0</v>
      </c>
      <c r="V414" s="493">
        <v>2024</v>
      </c>
      <c r="W414" s="495" t="s">
        <v>355</v>
      </c>
      <c r="X414" s="496" t="str">
        <f t="shared" si="26"/>
        <v/>
      </c>
      <c r="Y414" s="497" t="str">
        <f t="shared" si="27"/>
        <v/>
      </c>
      <c r="Z414" s="497" t="str">
        <f t="shared" si="27"/>
        <v/>
      </c>
    </row>
    <row r="415" spans="1:26" s="82" customFormat="1" ht="32" x14ac:dyDescent="0.4">
      <c r="A415" s="493">
        <v>7314</v>
      </c>
      <c r="B415" s="105" t="s">
        <v>329</v>
      </c>
      <c r="C415" s="493" t="s">
        <v>330</v>
      </c>
      <c r="D415" s="105" t="s">
        <v>693</v>
      </c>
      <c r="E415" s="105" t="s">
        <v>332</v>
      </c>
      <c r="F415" s="493">
        <v>15296</v>
      </c>
      <c r="G415" s="105" t="s">
        <v>52</v>
      </c>
      <c r="H415" s="105" t="s">
        <v>333</v>
      </c>
      <c r="I415" s="105" t="s">
        <v>334</v>
      </c>
      <c r="J415" s="493">
        <v>22</v>
      </c>
      <c r="K415" s="493">
        <v>1</v>
      </c>
      <c r="L415" s="105" t="s">
        <v>335</v>
      </c>
      <c r="M415" s="105" t="s">
        <v>380</v>
      </c>
      <c r="N415" s="105" t="s">
        <v>228</v>
      </c>
      <c r="O415" s="105" t="s">
        <v>228</v>
      </c>
      <c r="P415" s="105" t="s">
        <v>356</v>
      </c>
      <c r="Q415" s="494">
        <v>0</v>
      </c>
      <c r="R415" s="494">
        <v>0</v>
      </c>
      <c r="S415" s="494">
        <v>0</v>
      </c>
      <c r="T415" s="494">
        <v>0</v>
      </c>
      <c r="U415" s="494">
        <v>0</v>
      </c>
      <c r="V415" s="493">
        <v>2024</v>
      </c>
      <c r="W415" s="495" t="s">
        <v>355</v>
      </c>
      <c r="X415" s="496" t="str">
        <f t="shared" si="26"/>
        <v/>
      </c>
      <c r="Y415" s="497" t="str">
        <f t="shared" si="27"/>
        <v/>
      </c>
      <c r="Z415" s="497" t="str">
        <f t="shared" si="27"/>
        <v/>
      </c>
    </row>
    <row r="416" spans="1:26" s="82" customFormat="1" ht="32" x14ac:dyDescent="0.4">
      <c r="A416" s="493">
        <v>7314</v>
      </c>
      <c r="B416" s="105" t="s">
        <v>329</v>
      </c>
      <c r="C416" s="493" t="s">
        <v>330</v>
      </c>
      <c r="D416" s="105" t="s">
        <v>693</v>
      </c>
      <c r="E416" s="105" t="s">
        <v>332</v>
      </c>
      <c r="F416" s="493">
        <v>15296</v>
      </c>
      <c r="G416" s="105" t="s">
        <v>52</v>
      </c>
      <c r="H416" s="105" t="s">
        <v>333</v>
      </c>
      <c r="I416" s="105" t="s">
        <v>334</v>
      </c>
      <c r="J416" s="493">
        <v>22</v>
      </c>
      <c r="K416" s="493">
        <v>1</v>
      </c>
      <c r="L416" s="105" t="s">
        <v>335</v>
      </c>
      <c r="M416" s="105" t="s">
        <v>37</v>
      </c>
      <c r="N416" s="105" t="s">
        <v>226</v>
      </c>
      <c r="O416" s="105" t="s">
        <v>226</v>
      </c>
      <c r="P416" s="105" t="s">
        <v>350</v>
      </c>
      <c r="Q416" s="494">
        <v>430</v>
      </c>
      <c r="R416" s="494">
        <v>430</v>
      </c>
      <c r="S416" s="494">
        <v>2483</v>
      </c>
      <c r="T416" s="494">
        <v>2483</v>
      </c>
      <c r="U416" s="494">
        <v>301.488</v>
      </c>
      <c r="V416" s="493">
        <v>2024</v>
      </c>
      <c r="W416" s="495" t="s">
        <v>355</v>
      </c>
      <c r="X416" s="496">
        <f t="shared" si="26"/>
        <v>8.2358170142758578</v>
      </c>
      <c r="Y416" s="497" t="str">
        <f t="shared" si="27"/>
        <v/>
      </c>
      <c r="Z416" s="497" t="str">
        <f t="shared" si="27"/>
        <v/>
      </c>
    </row>
    <row r="417" spans="1:26" s="82" customFormat="1" ht="32" x14ac:dyDescent="0.4">
      <c r="A417" s="493">
        <v>7314</v>
      </c>
      <c r="B417" s="105" t="s">
        <v>329</v>
      </c>
      <c r="C417" s="493" t="s">
        <v>330</v>
      </c>
      <c r="D417" s="105" t="s">
        <v>693</v>
      </c>
      <c r="E417" s="105" t="s">
        <v>332</v>
      </c>
      <c r="F417" s="493">
        <v>15296</v>
      </c>
      <c r="G417" s="105" t="s">
        <v>52</v>
      </c>
      <c r="H417" s="105" t="s">
        <v>333</v>
      </c>
      <c r="I417" s="105" t="s">
        <v>334</v>
      </c>
      <c r="J417" s="493">
        <v>22</v>
      </c>
      <c r="K417" s="493">
        <v>1</v>
      </c>
      <c r="L417" s="105" t="s">
        <v>335</v>
      </c>
      <c r="M417" s="105" t="s">
        <v>37</v>
      </c>
      <c r="N417" s="105" t="s">
        <v>228</v>
      </c>
      <c r="O417" s="105" t="s">
        <v>228</v>
      </c>
      <c r="P417" s="105" t="s">
        <v>356</v>
      </c>
      <c r="Q417" s="494">
        <v>3664610</v>
      </c>
      <c r="R417" s="494">
        <v>3664610</v>
      </c>
      <c r="S417" s="494">
        <v>3785363</v>
      </c>
      <c r="T417" s="494">
        <v>3785363</v>
      </c>
      <c r="U417" s="494">
        <v>468743.51</v>
      </c>
      <c r="V417" s="493">
        <v>2024</v>
      </c>
      <c r="W417" s="495" t="s">
        <v>355</v>
      </c>
      <c r="X417" s="496">
        <f t="shared" si="26"/>
        <v>8.0755528753880768</v>
      </c>
      <c r="Y417" s="497" t="str">
        <f t="shared" si="27"/>
        <v/>
      </c>
      <c r="Z417" s="497" t="str">
        <f t="shared" si="27"/>
        <v/>
      </c>
    </row>
    <row r="418" spans="1:26" s="82" customFormat="1" ht="32" x14ac:dyDescent="0.4">
      <c r="A418" s="493">
        <v>7381</v>
      </c>
      <c r="B418" s="105" t="s">
        <v>329</v>
      </c>
      <c r="C418" s="493" t="s">
        <v>330</v>
      </c>
      <c r="D418" s="105" t="s">
        <v>694</v>
      </c>
      <c r="E418" s="105" t="s">
        <v>394</v>
      </c>
      <c r="F418" s="493">
        <v>7601</v>
      </c>
      <c r="G418" s="105" t="s">
        <v>36</v>
      </c>
      <c r="H418" s="105" t="s">
        <v>342</v>
      </c>
      <c r="I418" s="105" t="s">
        <v>334</v>
      </c>
      <c r="J418" s="493">
        <v>22</v>
      </c>
      <c r="K418" s="493">
        <v>1</v>
      </c>
      <c r="L418" s="105" t="s">
        <v>335</v>
      </c>
      <c r="M418" s="105" t="s">
        <v>695</v>
      </c>
      <c r="N418" s="105" t="s">
        <v>696</v>
      </c>
      <c r="O418" s="105" t="s">
        <v>696</v>
      </c>
      <c r="P418" s="105" t="s">
        <v>339</v>
      </c>
      <c r="Q418" s="494">
        <v>0</v>
      </c>
      <c r="R418" s="494">
        <v>0</v>
      </c>
      <c r="S418" s="494">
        <v>32624</v>
      </c>
      <c r="T418" s="494">
        <v>32624</v>
      </c>
      <c r="U418" s="494">
        <v>9562</v>
      </c>
      <c r="V418" s="493">
        <v>2024</v>
      </c>
      <c r="W418" s="495"/>
      <c r="X418" s="496">
        <f t="shared" si="26"/>
        <v>3.4118385275047061</v>
      </c>
      <c r="Y418" s="497" t="str">
        <f t="shared" si="27"/>
        <v/>
      </c>
      <c r="Z418" s="497" t="str">
        <f t="shared" si="27"/>
        <v/>
      </c>
    </row>
    <row r="419" spans="1:26" s="82" customFormat="1" x14ac:dyDescent="0.4">
      <c r="A419" s="493">
        <v>7396</v>
      </c>
      <c r="B419" s="105" t="s">
        <v>329</v>
      </c>
      <c r="C419" s="493" t="s">
        <v>330</v>
      </c>
      <c r="D419" s="105" t="s">
        <v>697</v>
      </c>
      <c r="E419" s="105" t="s">
        <v>698</v>
      </c>
      <c r="F419" s="493">
        <v>3477</v>
      </c>
      <c r="G419" s="105" t="s">
        <v>33</v>
      </c>
      <c r="H419" s="105" t="s">
        <v>342</v>
      </c>
      <c r="I419" s="105" t="s">
        <v>334</v>
      </c>
      <c r="J419" s="493">
        <v>22</v>
      </c>
      <c r="K419" s="493">
        <v>1</v>
      </c>
      <c r="L419" s="105" t="s">
        <v>335</v>
      </c>
      <c r="M419" s="105" t="s">
        <v>359</v>
      </c>
      <c r="N419" s="105" t="s">
        <v>226</v>
      </c>
      <c r="O419" s="105" t="s">
        <v>226</v>
      </c>
      <c r="P419" s="105" t="s">
        <v>350</v>
      </c>
      <c r="Q419" s="494">
        <v>908</v>
      </c>
      <c r="R419" s="494">
        <v>908</v>
      </c>
      <c r="S419" s="494">
        <v>5301</v>
      </c>
      <c r="T419" s="494">
        <v>5301</v>
      </c>
      <c r="U419" s="494">
        <v>497</v>
      </c>
      <c r="V419" s="493">
        <v>2024</v>
      </c>
      <c r="W419" s="495"/>
      <c r="X419" s="496">
        <f t="shared" si="26"/>
        <v>10.665995975855131</v>
      </c>
      <c r="Y419" s="497" t="str">
        <f t="shared" si="27"/>
        <v/>
      </c>
      <c r="Z419" s="497" t="str">
        <f t="shared" si="27"/>
        <v/>
      </c>
    </row>
    <row r="420" spans="1:26" s="82" customFormat="1" x14ac:dyDescent="0.4">
      <c r="A420" s="493">
        <v>7501</v>
      </c>
      <c r="B420" s="105" t="s">
        <v>329</v>
      </c>
      <c r="C420" s="493" t="s">
        <v>330</v>
      </c>
      <c r="D420" s="105" t="s">
        <v>699</v>
      </c>
      <c r="E420" s="105" t="s">
        <v>700</v>
      </c>
      <c r="F420" s="493">
        <v>15371</v>
      </c>
      <c r="G420" s="105" t="s">
        <v>33</v>
      </c>
      <c r="H420" s="105" t="s">
        <v>342</v>
      </c>
      <c r="I420" s="105" t="s">
        <v>334</v>
      </c>
      <c r="J420" s="493">
        <v>22</v>
      </c>
      <c r="K420" s="493">
        <v>1</v>
      </c>
      <c r="L420" s="105" t="s">
        <v>335</v>
      </c>
      <c r="M420" s="105" t="s">
        <v>695</v>
      </c>
      <c r="N420" s="105" t="s">
        <v>696</v>
      </c>
      <c r="O420" s="105" t="s">
        <v>696</v>
      </c>
      <c r="P420" s="105" t="s">
        <v>339</v>
      </c>
      <c r="Q420" s="494">
        <v>0</v>
      </c>
      <c r="R420" s="494">
        <v>0</v>
      </c>
      <c r="S420" s="494">
        <v>12556</v>
      </c>
      <c r="T420" s="494">
        <v>12556</v>
      </c>
      <c r="U420" s="494">
        <v>3680</v>
      </c>
      <c r="V420" s="493">
        <v>2024</v>
      </c>
      <c r="W420" s="495"/>
      <c r="X420" s="496">
        <f t="shared" si="26"/>
        <v>3.4119565217391306</v>
      </c>
      <c r="Y420" s="497" t="str">
        <f t="shared" si="27"/>
        <v/>
      </c>
      <c r="Z420" s="497" t="str">
        <f t="shared" si="27"/>
        <v/>
      </c>
    </row>
    <row r="421" spans="1:26" s="82" customFormat="1" ht="32" x14ac:dyDescent="0.4">
      <c r="A421" s="493">
        <v>7583</v>
      </c>
      <c r="B421" s="105" t="s">
        <v>329</v>
      </c>
      <c r="C421" s="493" t="s">
        <v>330</v>
      </c>
      <c r="D421" s="105" t="s">
        <v>701</v>
      </c>
      <c r="E421" s="105" t="s">
        <v>520</v>
      </c>
      <c r="F421" s="493">
        <v>5914</v>
      </c>
      <c r="G421" s="105" t="s">
        <v>52</v>
      </c>
      <c r="H421" s="105" t="s">
        <v>333</v>
      </c>
      <c r="I421" s="105" t="s">
        <v>334</v>
      </c>
      <c r="J421" s="493">
        <v>22</v>
      </c>
      <c r="K421" s="493">
        <v>2</v>
      </c>
      <c r="L421" s="105" t="s">
        <v>343</v>
      </c>
      <c r="M421" s="105" t="s">
        <v>336</v>
      </c>
      <c r="N421" s="105" t="s">
        <v>337</v>
      </c>
      <c r="O421" s="105" t="s">
        <v>338</v>
      </c>
      <c r="P421" s="105" t="s">
        <v>339</v>
      </c>
      <c r="Q421" s="494">
        <v>0</v>
      </c>
      <c r="R421" s="494">
        <v>0</v>
      </c>
      <c r="S421" s="494">
        <v>2052</v>
      </c>
      <c r="T421" s="494">
        <v>2052</v>
      </c>
      <c r="U421" s="494">
        <v>601</v>
      </c>
      <c r="V421" s="493">
        <v>2024</v>
      </c>
      <c r="W421" s="495"/>
      <c r="X421" s="496">
        <f t="shared" si="26"/>
        <v>3.4143094841930117</v>
      </c>
      <c r="Y421" s="497" t="str">
        <f t="shared" si="27"/>
        <v/>
      </c>
      <c r="Z421" s="497" t="str">
        <f t="shared" si="27"/>
        <v/>
      </c>
    </row>
    <row r="422" spans="1:26" s="82" customFormat="1" ht="32" x14ac:dyDescent="0.4">
      <c r="A422" s="493">
        <v>7784</v>
      </c>
      <c r="B422" s="105" t="s">
        <v>329</v>
      </c>
      <c r="C422" s="493" t="s">
        <v>330</v>
      </c>
      <c r="D422" s="105" t="s">
        <v>702</v>
      </c>
      <c r="E422" s="105" t="s">
        <v>703</v>
      </c>
      <c r="F422" s="493">
        <v>58651</v>
      </c>
      <c r="G422" s="105" t="s">
        <v>52</v>
      </c>
      <c r="H422" s="105" t="s">
        <v>333</v>
      </c>
      <c r="I422" s="105" t="s">
        <v>334</v>
      </c>
      <c r="J422" s="493">
        <v>22</v>
      </c>
      <c r="K422" s="493">
        <v>2</v>
      </c>
      <c r="L422" s="105" t="s">
        <v>343</v>
      </c>
      <c r="M422" s="105" t="s">
        <v>380</v>
      </c>
      <c r="N422" s="105" t="s">
        <v>228</v>
      </c>
      <c r="O422" s="105" t="s">
        <v>228</v>
      </c>
      <c r="P422" s="105" t="s">
        <v>356</v>
      </c>
      <c r="Q422" s="494">
        <v>10132</v>
      </c>
      <c r="R422" s="494">
        <v>10132</v>
      </c>
      <c r="S422" s="494">
        <v>10537</v>
      </c>
      <c r="T422" s="494">
        <v>10537</v>
      </c>
      <c r="U422" s="494">
        <v>4277</v>
      </c>
      <c r="V422" s="493">
        <v>2024</v>
      </c>
      <c r="W422" s="495"/>
      <c r="X422" s="496">
        <f t="shared" si="26"/>
        <v>2.4636427402384848</v>
      </c>
      <c r="Y422" s="497" t="str">
        <f t="shared" si="27"/>
        <v/>
      </c>
      <c r="Z422" s="497" t="str">
        <f t="shared" si="27"/>
        <v/>
      </c>
    </row>
    <row r="423" spans="1:26" s="82" customFormat="1" ht="32" x14ac:dyDescent="0.4">
      <c r="A423" s="493">
        <v>7784</v>
      </c>
      <c r="B423" s="105" t="s">
        <v>329</v>
      </c>
      <c r="C423" s="493" t="s">
        <v>330</v>
      </c>
      <c r="D423" s="105" t="s">
        <v>702</v>
      </c>
      <c r="E423" s="105" t="s">
        <v>703</v>
      </c>
      <c r="F423" s="493">
        <v>58651</v>
      </c>
      <c r="G423" s="105" t="s">
        <v>52</v>
      </c>
      <c r="H423" s="105" t="s">
        <v>333</v>
      </c>
      <c r="I423" s="105" t="s">
        <v>334</v>
      </c>
      <c r="J423" s="493">
        <v>22</v>
      </c>
      <c r="K423" s="493">
        <v>2</v>
      </c>
      <c r="L423" s="105" t="s">
        <v>343</v>
      </c>
      <c r="M423" s="105" t="s">
        <v>37</v>
      </c>
      <c r="N423" s="105" t="s">
        <v>228</v>
      </c>
      <c r="O423" s="105" t="s">
        <v>228</v>
      </c>
      <c r="P423" s="105" t="s">
        <v>356</v>
      </c>
      <c r="Q423" s="494">
        <v>113130</v>
      </c>
      <c r="R423" s="494">
        <v>113130</v>
      </c>
      <c r="S423" s="494">
        <v>117654</v>
      </c>
      <c r="T423" s="494">
        <v>117654</v>
      </c>
      <c r="U423" s="494">
        <v>11272</v>
      </c>
      <c r="V423" s="493">
        <v>2024</v>
      </c>
      <c r="W423" s="495"/>
      <c r="X423" s="496">
        <f t="shared" si="26"/>
        <v>10.437721788502484</v>
      </c>
      <c r="Y423" s="497" t="str">
        <f t="shared" si="27"/>
        <v/>
      </c>
      <c r="Z423" s="497" t="str">
        <f t="shared" si="27"/>
        <v/>
      </c>
    </row>
    <row r="424" spans="1:26" s="82" customFormat="1" ht="32" x14ac:dyDescent="0.4">
      <c r="A424" s="493">
        <v>7869</v>
      </c>
      <c r="B424" s="105" t="s">
        <v>329</v>
      </c>
      <c r="C424" s="493" t="s">
        <v>330</v>
      </c>
      <c r="D424" s="105" t="s">
        <v>704</v>
      </c>
      <c r="E424" s="105" t="s">
        <v>503</v>
      </c>
      <c r="F424" s="493">
        <v>56505</v>
      </c>
      <c r="G424" s="105" t="s">
        <v>52</v>
      </c>
      <c r="H424" s="105" t="s">
        <v>333</v>
      </c>
      <c r="I424" s="105" t="s">
        <v>334</v>
      </c>
      <c r="J424" s="493">
        <v>22</v>
      </c>
      <c r="K424" s="493">
        <v>1</v>
      </c>
      <c r="L424" s="105" t="s">
        <v>335</v>
      </c>
      <c r="M424" s="105" t="s">
        <v>295</v>
      </c>
      <c r="N424" s="105" t="s">
        <v>226</v>
      </c>
      <c r="O424" s="105" t="s">
        <v>226</v>
      </c>
      <c r="P424" s="105" t="s">
        <v>350</v>
      </c>
      <c r="Q424" s="494">
        <v>43971</v>
      </c>
      <c r="R424" s="494">
        <v>43971</v>
      </c>
      <c r="S424" s="494">
        <v>249314</v>
      </c>
      <c r="T424" s="494">
        <v>249314</v>
      </c>
      <c r="U424" s="494">
        <v>20377.942999999999</v>
      </c>
      <c r="V424" s="493">
        <v>2024</v>
      </c>
      <c r="W424" s="495" t="s">
        <v>355</v>
      </c>
      <c r="X424" s="496">
        <f t="shared" si="26"/>
        <v>12.234502766054455</v>
      </c>
      <c r="Y424" s="497" t="str">
        <f t="shared" si="27"/>
        <v/>
      </c>
      <c r="Z424" s="497" t="str">
        <f t="shared" si="27"/>
        <v/>
      </c>
    </row>
    <row r="425" spans="1:26" s="82" customFormat="1" ht="32" x14ac:dyDescent="0.4">
      <c r="A425" s="493">
        <v>7869</v>
      </c>
      <c r="B425" s="105" t="s">
        <v>329</v>
      </c>
      <c r="C425" s="493" t="s">
        <v>330</v>
      </c>
      <c r="D425" s="105" t="s">
        <v>704</v>
      </c>
      <c r="E425" s="105" t="s">
        <v>503</v>
      </c>
      <c r="F425" s="493">
        <v>56505</v>
      </c>
      <c r="G425" s="105" t="s">
        <v>52</v>
      </c>
      <c r="H425" s="105" t="s">
        <v>333</v>
      </c>
      <c r="I425" s="105" t="s">
        <v>334</v>
      </c>
      <c r="J425" s="493">
        <v>22</v>
      </c>
      <c r="K425" s="493">
        <v>1</v>
      </c>
      <c r="L425" s="105" t="s">
        <v>335</v>
      </c>
      <c r="M425" s="105" t="s">
        <v>295</v>
      </c>
      <c r="N425" s="105" t="s">
        <v>242</v>
      </c>
      <c r="O425" s="105" t="s">
        <v>349</v>
      </c>
      <c r="P425" s="105" t="s">
        <v>350</v>
      </c>
      <c r="Q425" s="494">
        <v>0</v>
      </c>
      <c r="R425" s="494">
        <v>0</v>
      </c>
      <c r="S425" s="494">
        <v>0</v>
      </c>
      <c r="T425" s="494">
        <v>0</v>
      </c>
      <c r="U425" s="494">
        <v>0</v>
      </c>
      <c r="V425" s="493">
        <v>2024</v>
      </c>
      <c r="W425" s="495" t="s">
        <v>355</v>
      </c>
      <c r="X425" s="496" t="str">
        <f t="shared" si="26"/>
        <v/>
      </c>
      <c r="Y425" s="497" t="str">
        <f t="shared" si="27"/>
        <v/>
      </c>
      <c r="Z425" s="497" t="str">
        <f t="shared" si="27"/>
        <v/>
      </c>
    </row>
    <row r="426" spans="1:26" s="82" customFormat="1" ht="32" x14ac:dyDescent="0.4">
      <c r="A426" s="493">
        <v>7869</v>
      </c>
      <c r="B426" s="105" t="s">
        <v>329</v>
      </c>
      <c r="C426" s="493" t="s">
        <v>330</v>
      </c>
      <c r="D426" s="105" t="s">
        <v>704</v>
      </c>
      <c r="E426" s="105" t="s">
        <v>503</v>
      </c>
      <c r="F426" s="493">
        <v>56505</v>
      </c>
      <c r="G426" s="105" t="s">
        <v>52</v>
      </c>
      <c r="H426" s="105" t="s">
        <v>333</v>
      </c>
      <c r="I426" s="105" t="s">
        <v>334</v>
      </c>
      <c r="J426" s="493">
        <v>22</v>
      </c>
      <c r="K426" s="493">
        <v>1</v>
      </c>
      <c r="L426" s="105" t="s">
        <v>335</v>
      </c>
      <c r="M426" s="105" t="s">
        <v>295</v>
      </c>
      <c r="N426" s="105" t="s">
        <v>228</v>
      </c>
      <c r="O426" s="105" t="s">
        <v>228</v>
      </c>
      <c r="P426" s="105" t="s">
        <v>356</v>
      </c>
      <c r="Q426" s="494">
        <v>1292590</v>
      </c>
      <c r="R426" s="494">
        <v>1292590</v>
      </c>
      <c r="S426" s="494">
        <v>1331366</v>
      </c>
      <c r="T426" s="494">
        <v>1331366</v>
      </c>
      <c r="U426" s="494">
        <v>108820.06</v>
      </c>
      <c r="V426" s="493">
        <v>2024</v>
      </c>
      <c r="W426" s="495" t="s">
        <v>355</v>
      </c>
      <c r="X426" s="496">
        <f t="shared" si="26"/>
        <v>12.234564105184283</v>
      </c>
      <c r="Y426" s="497" t="str">
        <f t="shared" si="27"/>
        <v/>
      </c>
      <c r="Z426" s="497" t="str">
        <f t="shared" si="27"/>
        <v/>
      </c>
    </row>
    <row r="427" spans="1:26" s="82" customFormat="1" ht="32" x14ac:dyDescent="0.4">
      <c r="A427" s="493">
        <v>7909</v>
      </c>
      <c r="B427" s="105" t="s">
        <v>329</v>
      </c>
      <c r="C427" s="493" t="s">
        <v>330</v>
      </c>
      <c r="D427" s="105" t="s">
        <v>705</v>
      </c>
      <c r="E427" s="105" t="s">
        <v>332</v>
      </c>
      <c r="F427" s="493">
        <v>15296</v>
      </c>
      <c r="G427" s="105" t="s">
        <v>52</v>
      </c>
      <c r="H427" s="105" t="s">
        <v>333</v>
      </c>
      <c r="I427" s="105" t="s">
        <v>334</v>
      </c>
      <c r="J427" s="493">
        <v>22</v>
      </c>
      <c r="K427" s="493">
        <v>1</v>
      </c>
      <c r="L427" s="105" t="s">
        <v>335</v>
      </c>
      <c r="M427" s="105" t="s">
        <v>295</v>
      </c>
      <c r="N427" s="105" t="s">
        <v>228</v>
      </c>
      <c r="O427" s="105" t="s">
        <v>228</v>
      </c>
      <c r="P427" s="105" t="s">
        <v>356</v>
      </c>
      <c r="Q427" s="494">
        <v>1259583</v>
      </c>
      <c r="R427" s="494">
        <v>1259583</v>
      </c>
      <c r="S427" s="494">
        <v>1299891</v>
      </c>
      <c r="T427" s="494">
        <v>1299891</v>
      </c>
      <c r="U427" s="494">
        <v>117231</v>
      </c>
      <c r="V427" s="493">
        <v>2024</v>
      </c>
      <c r="W427" s="495" t="s">
        <v>355</v>
      </c>
      <c r="X427" s="496">
        <f t="shared" si="26"/>
        <v>11.088287227781048</v>
      </c>
      <c r="Y427" s="497" t="str">
        <f t="shared" si="27"/>
        <v/>
      </c>
      <c r="Z427" s="497" t="str">
        <f t="shared" si="27"/>
        <v/>
      </c>
    </row>
    <row r="428" spans="1:26" s="82" customFormat="1" ht="32" x14ac:dyDescent="0.4">
      <c r="A428" s="493">
        <v>7910</v>
      </c>
      <c r="B428" s="105" t="s">
        <v>329</v>
      </c>
      <c r="C428" s="493" t="s">
        <v>330</v>
      </c>
      <c r="D428" s="105" t="s">
        <v>706</v>
      </c>
      <c r="E428" s="105" t="s">
        <v>332</v>
      </c>
      <c r="F428" s="493">
        <v>15296</v>
      </c>
      <c r="G428" s="105" t="s">
        <v>52</v>
      </c>
      <c r="H428" s="105" t="s">
        <v>333</v>
      </c>
      <c r="I428" s="105" t="s">
        <v>334</v>
      </c>
      <c r="J428" s="493">
        <v>22</v>
      </c>
      <c r="K428" s="493">
        <v>1</v>
      </c>
      <c r="L428" s="105" t="s">
        <v>335</v>
      </c>
      <c r="M428" s="105" t="s">
        <v>295</v>
      </c>
      <c r="N428" s="105" t="s">
        <v>228</v>
      </c>
      <c r="O428" s="105" t="s">
        <v>228</v>
      </c>
      <c r="P428" s="105" t="s">
        <v>356</v>
      </c>
      <c r="Q428" s="494">
        <v>1094105</v>
      </c>
      <c r="R428" s="494">
        <v>1094105</v>
      </c>
      <c r="S428" s="494">
        <v>1131304</v>
      </c>
      <c r="T428" s="494">
        <v>1131304</v>
      </c>
      <c r="U428" s="494">
        <v>101309</v>
      </c>
      <c r="V428" s="493">
        <v>2024</v>
      </c>
      <c r="W428" s="495" t="s">
        <v>355</v>
      </c>
      <c r="X428" s="496">
        <f t="shared" si="26"/>
        <v>11.166865727625384</v>
      </c>
      <c r="Y428" s="497" t="str">
        <f t="shared" ref="Y428:Z447" si="28">IF(AND($M428=$Y$2,$N428=$Y$3,NOT($Q428=$R428),NOT($U428=0)),IF($K428=5,$S428/($U428+(8/5)*$U428),IF($K428=7,$S428/($U428+(29/25)*$U428),"")),"")</f>
        <v/>
      </c>
      <c r="Z428" s="497" t="str">
        <f t="shared" si="28"/>
        <v/>
      </c>
    </row>
    <row r="429" spans="1:26" s="82" customFormat="1" ht="32" x14ac:dyDescent="0.4">
      <c r="A429" s="493">
        <v>7912</v>
      </c>
      <c r="B429" s="105" t="s">
        <v>329</v>
      </c>
      <c r="C429" s="493" t="s">
        <v>330</v>
      </c>
      <c r="D429" s="105" t="s">
        <v>707</v>
      </c>
      <c r="E429" s="105" t="s">
        <v>332</v>
      </c>
      <c r="F429" s="493">
        <v>15296</v>
      </c>
      <c r="G429" s="105" t="s">
        <v>52</v>
      </c>
      <c r="H429" s="105" t="s">
        <v>333</v>
      </c>
      <c r="I429" s="105" t="s">
        <v>334</v>
      </c>
      <c r="J429" s="493">
        <v>22</v>
      </c>
      <c r="K429" s="493">
        <v>1</v>
      </c>
      <c r="L429" s="105" t="s">
        <v>335</v>
      </c>
      <c r="M429" s="105" t="s">
        <v>295</v>
      </c>
      <c r="N429" s="105" t="s">
        <v>228</v>
      </c>
      <c r="O429" s="105" t="s">
        <v>228</v>
      </c>
      <c r="P429" s="105" t="s">
        <v>356</v>
      </c>
      <c r="Q429" s="494">
        <v>405159</v>
      </c>
      <c r="R429" s="494">
        <v>405159</v>
      </c>
      <c r="S429" s="494">
        <v>418124</v>
      </c>
      <c r="T429" s="494">
        <v>418124</v>
      </c>
      <c r="U429" s="494">
        <v>37446.999000000003</v>
      </c>
      <c r="V429" s="493">
        <v>2024</v>
      </c>
      <c r="W429" s="495" t="s">
        <v>355</v>
      </c>
      <c r="X429" s="496">
        <f t="shared" si="26"/>
        <v>11.165754564204196</v>
      </c>
      <c r="Y429" s="497" t="str">
        <f t="shared" si="28"/>
        <v/>
      </c>
      <c r="Z429" s="497" t="str">
        <f t="shared" si="28"/>
        <v/>
      </c>
    </row>
    <row r="430" spans="1:26" s="82" customFormat="1" ht="32" x14ac:dyDescent="0.4">
      <c r="A430" s="493">
        <v>7913</v>
      </c>
      <c r="B430" s="105" t="s">
        <v>329</v>
      </c>
      <c r="C430" s="493" t="s">
        <v>330</v>
      </c>
      <c r="D430" s="105" t="s">
        <v>708</v>
      </c>
      <c r="E430" s="105" t="s">
        <v>332</v>
      </c>
      <c r="F430" s="493">
        <v>15296</v>
      </c>
      <c r="G430" s="105" t="s">
        <v>52</v>
      </c>
      <c r="H430" s="105" t="s">
        <v>333</v>
      </c>
      <c r="I430" s="105" t="s">
        <v>334</v>
      </c>
      <c r="J430" s="493">
        <v>22</v>
      </c>
      <c r="K430" s="493">
        <v>1</v>
      </c>
      <c r="L430" s="105" t="s">
        <v>335</v>
      </c>
      <c r="M430" s="105" t="s">
        <v>295</v>
      </c>
      <c r="N430" s="105" t="s">
        <v>228</v>
      </c>
      <c r="O430" s="105" t="s">
        <v>228</v>
      </c>
      <c r="P430" s="105" t="s">
        <v>356</v>
      </c>
      <c r="Q430" s="494">
        <v>1108180</v>
      </c>
      <c r="R430" s="494">
        <v>1108180</v>
      </c>
      <c r="S430" s="494">
        <v>1138102</v>
      </c>
      <c r="T430" s="494">
        <v>1138102</v>
      </c>
      <c r="U430" s="494">
        <v>105487</v>
      </c>
      <c r="V430" s="493">
        <v>2024</v>
      </c>
      <c r="W430" s="495" t="s">
        <v>355</v>
      </c>
      <c r="X430" s="496">
        <f t="shared" si="26"/>
        <v>10.789026135921961</v>
      </c>
      <c r="Y430" s="497" t="str">
        <f t="shared" si="28"/>
        <v/>
      </c>
      <c r="Z430" s="497" t="str">
        <f t="shared" si="28"/>
        <v/>
      </c>
    </row>
    <row r="431" spans="1:26" s="82" customFormat="1" ht="32" x14ac:dyDescent="0.4">
      <c r="A431" s="493">
        <v>7914</v>
      </c>
      <c r="B431" s="105" t="s">
        <v>329</v>
      </c>
      <c r="C431" s="493" t="s">
        <v>330</v>
      </c>
      <c r="D431" s="105" t="s">
        <v>709</v>
      </c>
      <c r="E431" s="105" t="s">
        <v>332</v>
      </c>
      <c r="F431" s="493">
        <v>15296</v>
      </c>
      <c r="G431" s="105" t="s">
        <v>52</v>
      </c>
      <c r="H431" s="105" t="s">
        <v>333</v>
      </c>
      <c r="I431" s="105" t="s">
        <v>334</v>
      </c>
      <c r="J431" s="493">
        <v>22</v>
      </c>
      <c r="K431" s="493">
        <v>1</v>
      </c>
      <c r="L431" s="105" t="s">
        <v>335</v>
      </c>
      <c r="M431" s="105" t="s">
        <v>295</v>
      </c>
      <c r="N431" s="105" t="s">
        <v>228</v>
      </c>
      <c r="O431" s="105" t="s">
        <v>228</v>
      </c>
      <c r="P431" s="105" t="s">
        <v>356</v>
      </c>
      <c r="Q431" s="494">
        <v>1143830</v>
      </c>
      <c r="R431" s="494">
        <v>1143830</v>
      </c>
      <c r="S431" s="494">
        <v>1174714</v>
      </c>
      <c r="T431" s="494">
        <v>1174714</v>
      </c>
      <c r="U431" s="494">
        <v>109705</v>
      </c>
      <c r="V431" s="493">
        <v>2024</v>
      </c>
      <c r="W431" s="495" t="s">
        <v>355</v>
      </c>
      <c r="X431" s="496">
        <f t="shared" si="26"/>
        <v>10.70793491636662</v>
      </c>
      <c r="Y431" s="497" t="str">
        <f t="shared" si="28"/>
        <v/>
      </c>
      <c r="Z431" s="497" t="str">
        <f t="shared" si="28"/>
        <v/>
      </c>
    </row>
    <row r="432" spans="1:26" s="82" customFormat="1" ht="32" x14ac:dyDescent="0.4">
      <c r="A432" s="493">
        <v>7915</v>
      </c>
      <c r="B432" s="105" t="s">
        <v>329</v>
      </c>
      <c r="C432" s="493" t="s">
        <v>330</v>
      </c>
      <c r="D432" s="105" t="s">
        <v>710</v>
      </c>
      <c r="E432" s="105" t="s">
        <v>332</v>
      </c>
      <c r="F432" s="493">
        <v>15296</v>
      </c>
      <c r="G432" s="105" t="s">
        <v>52</v>
      </c>
      <c r="H432" s="105" t="s">
        <v>333</v>
      </c>
      <c r="I432" s="105" t="s">
        <v>334</v>
      </c>
      <c r="J432" s="493">
        <v>22</v>
      </c>
      <c r="K432" s="493">
        <v>1</v>
      </c>
      <c r="L432" s="105" t="s">
        <v>335</v>
      </c>
      <c r="M432" s="105" t="s">
        <v>295</v>
      </c>
      <c r="N432" s="105" t="s">
        <v>228</v>
      </c>
      <c r="O432" s="105" t="s">
        <v>228</v>
      </c>
      <c r="P432" s="105" t="s">
        <v>356</v>
      </c>
      <c r="Q432" s="494">
        <v>712045</v>
      </c>
      <c r="R432" s="494">
        <v>712045</v>
      </c>
      <c r="S432" s="494">
        <v>736255</v>
      </c>
      <c r="T432" s="494">
        <v>736255</v>
      </c>
      <c r="U432" s="494">
        <v>67641</v>
      </c>
      <c r="V432" s="493">
        <v>2024</v>
      </c>
      <c r="W432" s="495" t="s">
        <v>355</v>
      </c>
      <c r="X432" s="496">
        <f t="shared" si="26"/>
        <v>10.884744459721174</v>
      </c>
      <c r="Y432" s="497" t="str">
        <f t="shared" si="28"/>
        <v/>
      </c>
      <c r="Z432" s="497" t="str">
        <f t="shared" si="28"/>
        <v/>
      </c>
    </row>
    <row r="433" spans="1:26" s="82" customFormat="1" x14ac:dyDescent="0.4">
      <c r="A433" s="493">
        <v>8002</v>
      </c>
      <c r="B433" s="105" t="s">
        <v>329</v>
      </c>
      <c r="C433" s="493" t="s">
        <v>330</v>
      </c>
      <c r="D433" s="105" t="s">
        <v>711</v>
      </c>
      <c r="E433" s="105" t="s">
        <v>477</v>
      </c>
      <c r="F433" s="493">
        <v>62032</v>
      </c>
      <c r="G433" s="105" t="s">
        <v>35</v>
      </c>
      <c r="H433" s="105" t="s">
        <v>342</v>
      </c>
      <c r="I433" s="105" t="s">
        <v>334</v>
      </c>
      <c r="J433" s="493">
        <v>22</v>
      </c>
      <c r="K433" s="493">
        <v>2</v>
      </c>
      <c r="L433" s="105" t="s">
        <v>343</v>
      </c>
      <c r="M433" s="105" t="s">
        <v>360</v>
      </c>
      <c r="N433" s="105" t="s">
        <v>226</v>
      </c>
      <c r="O433" s="105" t="s">
        <v>226</v>
      </c>
      <c r="P433" s="105" t="s">
        <v>350</v>
      </c>
      <c r="Q433" s="494">
        <v>456</v>
      </c>
      <c r="R433" s="494">
        <v>456</v>
      </c>
      <c r="S433" s="494">
        <v>2644</v>
      </c>
      <c r="T433" s="494">
        <v>2644</v>
      </c>
      <c r="U433" s="494">
        <v>201.66200000000001</v>
      </c>
      <c r="V433" s="493">
        <v>2024</v>
      </c>
      <c r="W433" s="495" t="s">
        <v>355</v>
      </c>
      <c r="X433" s="496">
        <f t="shared" si="26"/>
        <v>13.111047197786394</v>
      </c>
      <c r="Y433" s="497" t="str">
        <f t="shared" si="28"/>
        <v/>
      </c>
      <c r="Z433" s="497" t="str">
        <f t="shared" si="28"/>
        <v/>
      </c>
    </row>
    <row r="434" spans="1:26" s="82" customFormat="1" x14ac:dyDescent="0.4">
      <c r="A434" s="493">
        <v>8002</v>
      </c>
      <c r="B434" s="105" t="s">
        <v>329</v>
      </c>
      <c r="C434" s="493" t="s">
        <v>330</v>
      </c>
      <c r="D434" s="105" t="s">
        <v>711</v>
      </c>
      <c r="E434" s="105" t="s">
        <v>477</v>
      </c>
      <c r="F434" s="493">
        <v>62032</v>
      </c>
      <c r="G434" s="105" t="s">
        <v>35</v>
      </c>
      <c r="H434" s="105" t="s">
        <v>342</v>
      </c>
      <c r="I434" s="105" t="s">
        <v>334</v>
      </c>
      <c r="J434" s="493">
        <v>22</v>
      </c>
      <c r="K434" s="493">
        <v>2</v>
      </c>
      <c r="L434" s="105" t="s">
        <v>343</v>
      </c>
      <c r="M434" s="105" t="s">
        <v>360</v>
      </c>
      <c r="N434" s="105" t="s">
        <v>228</v>
      </c>
      <c r="O434" s="105" t="s">
        <v>228</v>
      </c>
      <c r="P434" s="105" t="s">
        <v>356</v>
      </c>
      <c r="Q434" s="494">
        <v>671455</v>
      </c>
      <c r="R434" s="494">
        <v>671455</v>
      </c>
      <c r="S434" s="494">
        <v>698313</v>
      </c>
      <c r="T434" s="494">
        <v>698313</v>
      </c>
      <c r="U434" s="494">
        <v>51926.239999999998</v>
      </c>
      <c r="V434" s="493">
        <v>2024</v>
      </c>
      <c r="W434" s="495" t="s">
        <v>355</v>
      </c>
      <c r="X434" s="496">
        <f t="shared" si="26"/>
        <v>13.448171868404106</v>
      </c>
      <c r="Y434" s="497" t="str">
        <f t="shared" si="28"/>
        <v/>
      </c>
      <c r="Z434" s="497" t="str">
        <f t="shared" si="28"/>
        <v/>
      </c>
    </row>
    <row r="435" spans="1:26" s="82" customFormat="1" x14ac:dyDescent="0.4">
      <c r="A435" s="493">
        <v>8002</v>
      </c>
      <c r="B435" s="105" t="s">
        <v>329</v>
      </c>
      <c r="C435" s="493" t="s">
        <v>330</v>
      </c>
      <c r="D435" s="105" t="s">
        <v>711</v>
      </c>
      <c r="E435" s="105" t="s">
        <v>477</v>
      </c>
      <c r="F435" s="493">
        <v>62032</v>
      </c>
      <c r="G435" s="105" t="s">
        <v>35</v>
      </c>
      <c r="H435" s="105" t="s">
        <v>342</v>
      </c>
      <c r="I435" s="105" t="s">
        <v>334</v>
      </c>
      <c r="J435" s="493">
        <v>22</v>
      </c>
      <c r="K435" s="493">
        <v>2</v>
      </c>
      <c r="L435" s="105" t="s">
        <v>343</v>
      </c>
      <c r="M435" s="105" t="s">
        <v>360</v>
      </c>
      <c r="N435" s="105" t="s">
        <v>238</v>
      </c>
      <c r="O435" s="105" t="s">
        <v>238</v>
      </c>
      <c r="P435" s="105" t="s">
        <v>350</v>
      </c>
      <c r="Q435" s="494">
        <v>12131</v>
      </c>
      <c r="R435" s="494">
        <v>12131</v>
      </c>
      <c r="S435" s="494">
        <v>75212</v>
      </c>
      <c r="T435" s="494">
        <v>75212</v>
      </c>
      <c r="U435" s="494">
        <v>5654.098</v>
      </c>
      <c r="V435" s="493">
        <v>2024</v>
      </c>
      <c r="W435" s="495"/>
      <c r="X435" s="496">
        <f t="shared" si="26"/>
        <v>13.302210184542256</v>
      </c>
      <c r="Y435" s="497" t="str">
        <f t="shared" si="28"/>
        <v/>
      </c>
      <c r="Z435" s="497" t="str">
        <f t="shared" si="28"/>
        <v/>
      </c>
    </row>
    <row r="436" spans="1:26" s="82" customFormat="1" ht="32" x14ac:dyDescent="0.4">
      <c r="A436" s="493">
        <v>8004</v>
      </c>
      <c r="B436" s="105" t="s">
        <v>329</v>
      </c>
      <c r="C436" s="493" t="s">
        <v>330</v>
      </c>
      <c r="D436" s="105" t="s">
        <v>712</v>
      </c>
      <c r="E436" s="105" t="s">
        <v>713</v>
      </c>
      <c r="F436" s="493">
        <v>54765</v>
      </c>
      <c r="G436" s="105" t="s">
        <v>33</v>
      </c>
      <c r="H436" s="105" t="s">
        <v>342</v>
      </c>
      <c r="I436" s="105" t="s">
        <v>334</v>
      </c>
      <c r="J436" s="493">
        <v>22</v>
      </c>
      <c r="K436" s="493">
        <v>2</v>
      </c>
      <c r="L436" s="105" t="s">
        <v>343</v>
      </c>
      <c r="M436" s="105" t="s">
        <v>336</v>
      </c>
      <c r="N436" s="105" t="s">
        <v>337</v>
      </c>
      <c r="O436" s="105" t="s">
        <v>338</v>
      </c>
      <c r="P436" s="105" t="s">
        <v>339</v>
      </c>
      <c r="Q436" s="494">
        <v>0</v>
      </c>
      <c r="R436" s="494">
        <v>0</v>
      </c>
      <c r="S436" s="494">
        <v>74904</v>
      </c>
      <c r="T436" s="494">
        <v>74904</v>
      </c>
      <c r="U436" s="494">
        <v>21953</v>
      </c>
      <c r="V436" s="493">
        <v>2024</v>
      </c>
      <c r="W436" s="495"/>
      <c r="X436" s="496">
        <f t="shared" si="26"/>
        <v>3.4120165808773288</v>
      </c>
      <c r="Y436" s="497" t="str">
        <f t="shared" si="28"/>
        <v/>
      </c>
      <c r="Z436" s="497" t="str">
        <f t="shared" si="28"/>
        <v/>
      </c>
    </row>
    <row r="437" spans="1:26" s="82" customFormat="1" ht="32" x14ac:dyDescent="0.4">
      <c r="A437" s="493">
        <v>8005</v>
      </c>
      <c r="B437" s="105" t="s">
        <v>329</v>
      </c>
      <c r="C437" s="493" t="s">
        <v>330</v>
      </c>
      <c r="D437" s="105" t="s">
        <v>714</v>
      </c>
      <c r="E437" s="105" t="s">
        <v>713</v>
      </c>
      <c r="F437" s="493">
        <v>54765</v>
      </c>
      <c r="G437" s="105" t="s">
        <v>33</v>
      </c>
      <c r="H437" s="105" t="s">
        <v>342</v>
      </c>
      <c r="I437" s="105" t="s">
        <v>334</v>
      </c>
      <c r="J437" s="493">
        <v>22</v>
      </c>
      <c r="K437" s="493">
        <v>2</v>
      </c>
      <c r="L437" s="105" t="s">
        <v>343</v>
      </c>
      <c r="M437" s="105" t="s">
        <v>344</v>
      </c>
      <c r="N437" s="105" t="s">
        <v>337</v>
      </c>
      <c r="O437" s="105" t="s">
        <v>345</v>
      </c>
      <c r="P437" s="105" t="s">
        <v>346</v>
      </c>
      <c r="Q437" s="494">
        <v>987892</v>
      </c>
      <c r="R437" s="494">
        <v>987892</v>
      </c>
      <c r="S437" s="494">
        <v>0</v>
      </c>
      <c r="T437" s="494">
        <v>0</v>
      </c>
      <c r="U437" s="494">
        <v>-212419</v>
      </c>
      <c r="V437" s="493">
        <v>2024</v>
      </c>
      <c r="W437" s="495"/>
      <c r="X437" s="496" t="str">
        <f t="shared" si="26"/>
        <v/>
      </c>
      <c r="Y437" s="497" t="str">
        <f t="shared" si="28"/>
        <v/>
      </c>
      <c r="Z437" s="497" t="str">
        <f t="shared" si="28"/>
        <v/>
      </c>
    </row>
    <row r="438" spans="1:26" s="82" customFormat="1" x14ac:dyDescent="0.4">
      <c r="A438" s="493">
        <v>8006</v>
      </c>
      <c r="B438" s="105" t="s">
        <v>329</v>
      </c>
      <c r="C438" s="493" t="s">
        <v>330</v>
      </c>
      <c r="D438" s="105" t="s">
        <v>715</v>
      </c>
      <c r="E438" s="105" t="s">
        <v>716</v>
      </c>
      <c r="F438" s="493">
        <v>5511</v>
      </c>
      <c r="G438" s="105" t="s">
        <v>52</v>
      </c>
      <c r="H438" s="105" t="s">
        <v>333</v>
      </c>
      <c r="I438" s="105" t="s">
        <v>334</v>
      </c>
      <c r="J438" s="493">
        <v>22</v>
      </c>
      <c r="K438" s="493">
        <v>2</v>
      </c>
      <c r="L438" s="105" t="s">
        <v>343</v>
      </c>
      <c r="M438" s="105" t="s">
        <v>360</v>
      </c>
      <c r="N438" s="105" t="s">
        <v>226</v>
      </c>
      <c r="O438" s="105" t="s">
        <v>226</v>
      </c>
      <c r="P438" s="105" t="s">
        <v>350</v>
      </c>
      <c r="Q438" s="494">
        <v>0</v>
      </c>
      <c r="R438" s="494">
        <v>0</v>
      </c>
      <c r="S438" s="494">
        <v>0</v>
      </c>
      <c r="T438" s="494">
        <v>0</v>
      </c>
      <c r="U438" s="494">
        <v>0</v>
      </c>
      <c r="V438" s="493">
        <v>2024</v>
      </c>
      <c r="W438" s="495" t="s">
        <v>355</v>
      </c>
      <c r="X438" s="496" t="str">
        <f t="shared" si="26"/>
        <v/>
      </c>
      <c r="Y438" s="497" t="str">
        <f t="shared" si="28"/>
        <v/>
      </c>
      <c r="Z438" s="497" t="str">
        <f t="shared" si="28"/>
        <v/>
      </c>
    </row>
    <row r="439" spans="1:26" s="82" customFormat="1" x14ac:dyDescent="0.4">
      <c r="A439" s="493">
        <v>8006</v>
      </c>
      <c r="B439" s="105" t="s">
        <v>329</v>
      </c>
      <c r="C439" s="493" t="s">
        <v>330</v>
      </c>
      <c r="D439" s="105" t="s">
        <v>715</v>
      </c>
      <c r="E439" s="105" t="s">
        <v>716</v>
      </c>
      <c r="F439" s="493">
        <v>5511</v>
      </c>
      <c r="G439" s="105" t="s">
        <v>52</v>
      </c>
      <c r="H439" s="105" t="s">
        <v>333</v>
      </c>
      <c r="I439" s="105" t="s">
        <v>334</v>
      </c>
      <c r="J439" s="493">
        <v>22</v>
      </c>
      <c r="K439" s="493">
        <v>2</v>
      </c>
      <c r="L439" s="105" t="s">
        <v>343</v>
      </c>
      <c r="M439" s="105" t="s">
        <v>360</v>
      </c>
      <c r="N439" s="105" t="s">
        <v>228</v>
      </c>
      <c r="O439" s="105" t="s">
        <v>228</v>
      </c>
      <c r="P439" s="105" t="s">
        <v>356</v>
      </c>
      <c r="Q439" s="494">
        <v>2524163</v>
      </c>
      <c r="R439" s="494">
        <v>2524163</v>
      </c>
      <c r="S439" s="494">
        <v>2549405</v>
      </c>
      <c r="T439" s="494">
        <v>2549405</v>
      </c>
      <c r="U439" s="494">
        <v>217649.65</v>
      </c>
      <c r="V439" s="493">
        <v>2024</v>
      </c>
      <c r="W439" s="495" t="s">
        <v>355</v>
      </c>
      <c r="X439" s="496">
        <f t="shared" si="26"/>
        <v>11.7133429803356</v>
      </c>
      <c r="Y439" s="497" t="str">
        <f t="shared" si="28"/>
        <v/>
      </c>
      <c r="Z439" s="497" t="str">
        <f t="shared" si="28"/>
        <v/>
      </c>
    </row>
    <row r="440" spans="1:26" s="82" customFormat="1" x14ac:dyDescent="0.4">
      <c r="A440" s="493">
        <v>8006</v>
      </c>
      <c r="B440" s="105" t="s">
        <v>329</v>
      </c>
      <c r="C440" s="493" t="s">
        <v>330</v>
      </c>
      <c r="D440" s="105" t="s">
        <v>715</v>
      </c>
      <c r="E440" s="105" t="s">
        <v>716</v>
      </c>
      <c r="F440" s="493">
        <v>5511</v>
      </c>
      <c r="G440" s="105" t="s">
        <v>52</v>
      </c>
      <c r="H440" s="105" t="s">
        <v>333</v>
      </c>
      <c r="I440" s="105" t="s">
        <v>334</v>
      </c>
      <c r="J440" s="493">
        <v>22</v>
      </c>
      <c r="K440" s="493">
        <v>2</v>
      </c>
      <c r="L440" s="105" t="s">
        <v>343</v>
      </c>
      <c r="M440" s="105" t="s">
        <v>360</v>
      </c>
      <c r="N440" s="105" t="s">
        <v>238</v>
      </c>
      <c r="O440" s="105" t="s">
        <v>238</v>
      </c>
      <c r="P440" s="105" t="s">
        <v>350</v>
      </c>
      <c r="Q440" s="494">
        <v>34242</v>
      </c>
      <c r="R440" s="494">
        <v>34242</v>
      </c>
      <c r="S440" s="494">
        <v>214127</v>
      </c>
      <c r="T440" s="494">
        <v>214127</v>
      </c>
      <c r="U440" s="494">
        <v>19008.347000000002</v>
      </c>
      <c r="V440" s="493">
        <v>2024</v>
      </c>
      <c r="W440" s="495" t="s">
        <v>355</v>
      </c>
      <c r="X440" s="496">
        <f t="shared" si="26"/>
        <v>11.264893259787396</v>
      </c>
      <c r="Y440" s="497" t="str">
        <f t="shared" si="28"/>
        <v/>
      </c>
      <c r="Z440" s="497" t="str">
        <f t="shared" si="28"/>
        <v/>
      </c>
    </row>
    <row r="441" spans="1:26" s="82" customFormat="1" ht="32" x14ac:dyDescent="0.4">
      <c r="A441" s="493">
        <v>8007</v>
      </c>
      <c r="B441" s="105" t="s">
        <v>329</v>
      </c>
      <c r="C441" s="493" t="s">
        <v>330</v>
      </c>
      <c r="D441" s="105" t="s">
        <v>717</v>
      </c>
      <c r="E441" s="105" t="s">
        <v>503</v>
      </c>
      <c r="F441" s="493">
        <v>56505</v>
      </c>
      <c r="G441" s="105" t="s">
        <v>52</v>
      </c>
      <c r="H441" s="105" t="s">
        <v>333</v>
      </c>
      <c r="I441" s="105" t="s">
        <v>334</v>
      </c>
      <c r="J441" s="493">
        <v>22</v>
      </c>
      <c r="K441" s="493">
        <v>1</v>
      </c>
      <c r="L441" s="105" t="s">
        <v>335</v>
      </c>
      <c r="M441" s="105" t="s">
        <v>295</v>
      </c>
      <c r="N441" s="105" t="s">
        <v>226</v>
      </c>
      <c r="O441" s="105" t="s">
        <v>226</v>
      </c>
      <c r="P441" s="105" t="s">
        <v>350</v>
      </c>
      <c r="Q441" s="494">
        <v>0</v>
      </c>
      <c r="R441" s="494">
        <v>0</v>
      </c>
      <c r="S441" s="494">
        <v>0</v>
      </c>
      <c r="T441" s="494">
        <v>0</v>
      </c>
      <c r="U441" s="494">
        <v>0</v>
      </c>
      <c r="V441" s="493">
        <v>2024</v>
      </c>
      <c r="W441" s="495" t="s">
        <v>355</v>
      </c>
      <c r="X441" s="496" t="str">
        <f t="shared" si="26"/>
        <v/>
      </c>
      <c r="Y441" s="497" t="str">
        <f t="shared" si="28"/>
        <v/>
      </c>
      <c r="Z441" s="497" t="str">
        <f t="shared" si="28"/>
        <v/>
      </c>
    </row>
    <row r="442" spans="1:26" s="82" customFormat="1" ht="32" x14ac:dyDescent="0.4">
      <c r="A442" s="493">
        <v>8007</v>
      </c>
      <c r="B442" s="105" t="s">
        <v>329</v>
      </c>
      <c r="C442" s="493" t="s">
        <v>330</v>
      </c>
      <c r="D442" s="105" t="s">
        <v>717</v>
      </c>
      <c r="E442" s="105" t="s">
        <v>503</v>
      </c>
      <c r="F442" s="493">
        <v>56505</v>
      </c>
      <c r="G442" s="105" t="s">
        <v>52</v>
      </c>
      <c r="H442" s="105" t="s">
        <v>333</v>
      </c>
      <c r="I442" s="105" t="s">
        <v>334</v>
      </c>
      <c r="J442" s="493">
        <v>22</v>
      </c>
      <c r="K442" s="493">
        <v>1</v>
      </c>
      <c r="L442" s="105" t="s">
        <v>335</v>
      </c>
      <c r="M442" s="105" t="s">
        <v>295</v>
      </c>
      <c r="N442" s="105" t="s">
        <v>242</v>
      </c>
      <c r="O442" s="105" t="s">
        <v>349</v>
      </c>
      <c r="P442" s="105" t="s">
        <v>350</v>
      </c>
      <c r="Q442" s="494">
        <v>59727</v>
      </c>
      <c r="R442" s="494">
        <v>59727</v>
      </c>
      <c r="S442" s="494">
        <v>345163</v>
      </c>
      <c r="T442" s="494">
        <v>345163</v>
      </c>
      <c r="U442" s="494">
        <v>21293.001</v>
      </c>
      <c r="V442" s="493">
        <v>2024</v>
      </c>
      <c r="W442" s="495" t="s">
        <v>355</v>
      </c>
      <c r="X442" s="496">
        <f t="shared" si="26"/>
        <v>16.210162203063813</v>
      </c>
      <c r="Y442" s="497" t="str">
        <f t="shared" si="28"/>
        <v/>
      </c>
      <c r="Z442" s="497" t="str">
        <f t="shared" si="28"/>
        <v/>
      </c>
    </row>
    <row r="443" spans="1:26" s="82" customFormat="1" ht="32" x14ac:dyDescent="0.4">
      <c r="A443" s="493">
        <v>8053</v>
      </c>
      <c r="B443" s="105" t="s">
        <v>329</v>
      </c>
      <c r="C443" s="493" t="s">
        <v>330</v>
      </c>
      <c r="D443" s="105" t="s">
        <v>718</v>
      </c>
      <c r="E443" s="105" t="s">
        <v>332</v>
      </c>
      <c r="F443" s="493">
        <v>15296</v>
      </c>
      <c r="G443" s="105" t="s">
        <v>52</v>
      </c>
      <c r="H443" s="105" t="s">
        <v>333</v>
      </c>
      <c r="I443" s="105" t="s">
        <v>334</v>
      </c>
      <c r="J443" s="493">
        <v>22</v>
      </c>
      <c r="K443" s="493">
        <v>1</v>
      </c>
      <c r="L443" s="105" t="s">
        <v>335</v>
      </c>
      <c r="M443" s="105" t="s">
        <v>295</v>
      </c>
      <c r="N443" s="105" t="s">
        <v>228</v>
      </c>
      <c r="O443" s="105" t="s">
        <v>228</v>
      </c>
      <c r="P443" s="105" t="s">
        <v>356</v>
      </c>
      <c r="Q443" s="494">
        <v>780318</v>
      </c>
      <c r="R443" s="494">
        <v>780318</v>
      </c>
      <c r="S443" s="494">
        <v>813871</v>
      </c>
      <c r="T443" s="494">
        <v>813871</v>
      </c>
      <c r="U443" s="494">
        <v>75899.998000000007</v>
      </c>
      <c r="V443" s="493">
        <v>2024</v>
      </c>
      <c r="W443" s="495"/>
      <c r="X443" s="496">
        <f t="shared" si="26"/>
        <v>10.722938358970707</v>
      </c>
      <c r="Y443" s="497" t="str">
        <f t="shared" si="28"/>
        <v/>
      </c>
      <c r="Z443" s="497" t="str">
        <f t="shared" si="28"/>
        <v/>
      </c>
    </row>
    <row r="444" spans="1:26" s="82" customFormat="1" ht="32" x14ac:dyDescent="0.4">
      <c r="A444" s="493">
        <v>8824</v>
      </c>
      <c r="B444" s="105" t="s">
        <v>329</v>
      </c>
      <c r="C444" s="493" t="s">
        <v>330</v>
      </c>
      <c r="D444" s="105" t="s">
        <v>719</v>
      </c>
      <c r="E444" s="105" t="s">
        <v>494</v>
      </c>
      <c r="F444" s="493">
        <v>4226</v>
      </c>
      <c r="G444" s="105" t="s">
        <v>52</v>
      </c>
      <c r="H444" s="105" t="s">
        <v>333</v>
      </c>
      <c r="I444" s="105" t="s">
        <v>339</v>
      </c>
      <c r="J444" s="493">
        <v>22</v>
      </c>
      <c r="K444" s="493">
        <v>1</v>
      </c>
      <c r="L444" s="105" t="s">
        <v>335</v>
      </c>
      <c r="M444" s="105" t="s">
        <v>360</v>
      </c>
      <c r="N444" s="105" t="s">
        <v>238</v>
      </c>
      <c r="O444" s="105" t="s">
        <v>238</v>
      </c>
      <c r="P444" s="105" t="s">
        <v>350</v>
      </c>
      <c r="Q444" s="494">
        <v>0</v>
      </c>
      <c r="R444" s="494">
        <v>0</v>
      </c>
      <c r="S444" s="494">
        <v>0</v>
      </c>
      <c r="T444" s="494">
        <v>0</v>
      </c>
      <c r="U444" s="494">
        <v>0</v>
      </c>
      <c r="V444" s="493">
        <v>2024</v>
      </c>
      <c r="W444" s="495"/>
      <c r="X444" s="496" t="str">
        <f t="shared" si="26"/>
        <v/>
      </c>
      <c r="Y444" s="497" t="str">
        <f t="shared" si="28"/>
        <v/>
      </c>
      <c r="Z444" s="497" t="str">
        <f t="shared" si="28"/>
        <v/>
      </c>
    </row>
    <row r="445" spans="1:26" s="82" customFormat="1" ht="32" x14ac:dyDescent="0.4">
      <c r="A445" s="493">
        <v>8858</v>
      </c>
      <c r="B445" s="105" t="s">
        <v>329</v>
      </c>
      <c r="C445" s="493" t="s">
        <v>330</v>
      </c>
      <c r="D445" s="105" t="s">
        <v>720</v>
      </c>
      <c r="E445" s="105" t="s">
        <v>721</v>
      </c>
      <c r="F445" s="493">
        <v>15452</v>
      </c>
      <c r="G445" s="105" t="s">
        <v>38</v>
      </c>
      <c r="H445" s="105" t="s">
        <v>342</v>
      </c>
      <c r="I445" s="105" t="s">
        <v>339</v>
      </c>
      <c r="J445" s="493">
        <v>22</v>
      </c>
      <c r="K445" s="493">
        <v>2</v>
      </c>
      <c r="L445" s="105" t="s">
        <v>343</v>
      </c>
      <c r="M445" s="105" t="s">
        <v>360</v>
      </c>
      <c r="N445" s="105" t="s">
        <v>224</v>
      </c>
      <c r="O445" s="105" t="s">
        <v>479</v>
      </c>
      <c r="P445" s="105" t="s">
        <v>388</v>
      </c>
      <c r="Q445" s="494">
        <v>0</v>
      </c>
      <c r="R445" s="494">
        <v>0</v>
      </c>
      <c r="S445" s="494">
        <v>0</v>
      </c>
      <c r="T445" s="494">
        <v>0</v>
      </c>
      <c r="U445" s="494">
        <v>0</v>
      </c>
      <c r="V445" s="493">
        <v>2024</v>
      </c>
      <c r="W445" s="495"/>
      <c r="X445" s="496" t="str">
        <f t="shared" si="26"/>
        <v/>
      </c>
      <c r="Y445" s="497" t="str">
        <f t="shared" si="28"/>
        <v/>
      </c>
      <c r="Z445" s="497" t="str">
        <f t="shared" si="28"/>
        <v/>
      </c>
    </row>
    <row r="446" spans="1:26" s="82" customFormat="1" ht="32" x14ac:dyDescent="0.4">
      <c r="A446" s="493">
        <v>8906</v>
      </c>
      <c r="B446" s="105" t="s">
        <v>329</v>
      </c>
      <c r="C446" s="493" t="s">
        <v>330</v>
      </c>
      <c r="D446" s="105" t="s">
        <v>722</v>
      </c>
      <c r="E446" s="105" t="s">
        <v>496</v>
      </c>
      <c r="F446" s="493">
        <v>54863</v>
      </c>
      <c r="G446" s="105" t="s">
        <v>52</v>
      </c>
      <c r="H446" s="105" t="s">
        <v>333</v>
      </c>
      <c r="I446" s="105" t="s">
        <v>334</v>
      </c>
      <c r="J446" s="493">
        <v>22</v>
      </c>
      <c r="K446" s="493">
        <v>2</v>
      </c>
      <c r="L446" s="105" t="s">
        <v>343</v>
      </c>
      <c r="M446" s="105" t="s">
        <v>295</v>
      </c>
      <c r="N446" s="105" t="s">
        <v>228</v>
      </c>
      <c r="O446" s="105" t="s">
        <v>228</v>
      </c>
      <c r="P446" s="105" t="s">
        <v>356</v>
      </c>
      <c r="Q446" s="494">
        <v>9465</v>
      </c>
      <c r="R446" s="494">
        <v>9465</v>
      </c>
      <c r="S446" s="494">
        <v>9748</v>
      </c>
      <c r="T446" s="494">
        <v>9748</v>
      </c>
      <c r="U446" s="494">
        <v>486</v>
      </c>
      <c r="V446" s="493">
        <v>2024</v>
      </c>
      <c r="W446" s="495" t="s">
        <v>355</v>
      </c>
      <c r="X446" s="496">
        <f t="shared" si="26"/>
        <v>20.057613168724281</v>
      </c>
      <c r="Y446" s="497" t="str">
        <f t="shared" si="28"/>
        <v/>
      </c>
      <c r="Z446" s="497" t="str">
        <f t="shared" si="28"/>
        <v/>
      </c>
    </row>
    <row r="447" spans="1:26" s="82" customFormat="1" ht="32" x14ac:dyDescent="0.4">
      <c r="A447" s="493">
        <v>8906</v>
      </c>
      <c r="B447" s="105" t="s">
        <v>329</v>
      </c>
      <c r="C447" s="493" t="s">
        <v>330</v>
      </c>
      <c r="D447" s="105" t="s">
        <v>722</v>
      </c>
      <c r="E447" s="105" t="s">
        <v>496</v>
      </c>
      <c r="F447" s="493">
        <v>54863</v>
      </c>
      <c r="G447" s="105" t="s">
        <v>52</v>
      </c>
      <c r="H447" s="105" t="s">
        <v>333</v>
      </c>
      <c r="I447" s="105" t="s">
        <v>334</v>
      </c>
      <c r="J447" s="493">
        <v>22</v>
      </c>
      <c r="K447" s="493">
        <v>2</v>
      </c>
      <c r="L447" s="105" t="s">
        <v>343</v>
      </c>
      <c r="M447" s="105" t="s">
        <v>360</v>
      </c>
      <c r="N447" s="105" t="s">
        <v>228</v>
      </c>
      <c r="O447" s="105" t="s">
        <v>228</v>
      </c>
      <c r="P447" s="105" t="s">
        <v>356</v>
      </c>
      <c r="Q447" s="494">
        <v>9942771</v>
      </c>
      <c r="R447" s="494">
        <v>9942771</v>
      </c>
      <c r="S447" s="494">
        <v>10241054</v>
      </c>
      <c r="T447" s="494">
        <v>10241054</v>
      </c>
      <c r="U447" s="494">
        <v>869825.01</v>
      </c>
      <c r="V447" s="493">
        <v>2024</v>
      </c>
      <c r="W447" s="495" t="s">
        <v>355</v>
      </c>
      <c r="X447" s="496">
        <f t="shared" si="26"/>
        <v>11.773694573348724</v>
      </c>
      <c r="Y447" s="497" t="str">
        <f t="shared" si="28"/>
        <v/>
      </c>
      <c r="Z447" s="497" t="str">
        <f t="shared" si="28"/>
        <v/>
      </c>
    </row>
    <row r="448" spans="1:26" s="82" customFormat="1" ht="32" x14ac:dyDescent="0.4">
      <c r="A448" s="493">
        <v>8906</v>
      </c>
      <c r="B448" s="105" t="s">
        <v>329</v>
      </c>
      <c r="C448" s="493" t="s">
        <v>330</v>
      </c>
      <c r="D448" s="105" t="s">
        <v>722</v>
      </c>
      <c r="E448" s="105" t="s">
        <v>496</v>
      </c>
      <c r="F448" s="493">
        <v>54863</v>
      </c>
      <c r="G448" s="105" t="s">
        <v>52</v>
      </c>
      <c r="H448" s="105" t="s">
        <v>333</v>
      </c>
      <c r="I448" s="105" t="s">
        <v>334</v>
      </c>
      <c r="J448" s="493">
        <v>22</v>
      </c>
      <c r="K448" s="493">
        <v>2</v>
      </c>
      <c r="L448" s="105" t="s">
        <v>343</v>
      </c>
      <c r="M448" s="105" t="s">
        <v>360</v>
      </c>
      <c r="N448" s="105" t="s">
        <v>238</v>
      </c>
      <c r="O448" s="105" t="s">
        <v>238</v>
      </c>
      <c r="P448" s="105" t="s">
        <v>350</v>
      </c>
      <c r="Q448" s="494">
        <v>1155</v>
      </c>
      <c r="R448" s="494">
        <v>1155</v>
      </c>
      <c r="S448" s="494">
        <v>6734</v>
      </c>
      <c r="T448" s="494">
        <v>6734</v>
      </c>
      <c r="U448" s="494">
        <v>561.98699999999997</v>
      </c>
      <c r="V448" s="493">
        <v>2024</v>
      </c>
      <c r="W448" s="495" t="s">
        <v>355</v>
      </c>
      <c r="X448" s="496">
        <f t="shared" si="26"/>
        <v>11.982483580581047</v>
      </c>
      <c r="Y448" s="497" t="str">
        <f t="shared" ref="Y448:Z467" si="29">IF(AND($M448=$Y$2,$N448=$Y$3,NOT($Q448=$R448),NOT($U448=0)),IF($K448=5,$S448/($U448+(8/5)*$U448),IF($K448=7,$S448/($U448+(29/25)*$U448),"")),"")</f>
        <v/>
      </c>
      <c r="Z448" s="497" t="str">
        <f t="shared" si="29"/>
        <v/>
      </c>
    </row>
    <row r="449" spans="1:26" s="82" customFormat="1" x14ac:dyDescent="0.4">
      <c r="A449" s="493">
        <v>9038</v>
      </c>
      <c r="B449" s="105" t="s">
        <v>329</v>
      </c>
      <c r="C449" s="493" t="s">
        <v>330</v>
      </c>
      <c r="D449" s="105" t="s">
        <v>723</v>
      </c>
      <c r="E449" s="105" t="s">
        <v>724</v>
      </c>
      <c r="F449" s="493">
        <v>8973</v>
      </c>
      <c r="G449" s="105" t="s">
        <v>33</v>
      </c>
      <c r="H449" s="105" t="s">
        <v>342</v>
      </c>
      <c r="I449" s="105" t="s">
        <v>334</v>
      </c>
      <c r="J449" s="493">
        <v>22</v>
      </c>
      <c r="K449" s="493">
        <v>1</v>
      </c>
      <c r="L449" s="105" t="s">
        <v>335</v>
      </c>
      <c r="M449" s="105" t="s">
        <v>359</v>
      </c>
      <c r="N449" s="105" t="s">
        <v>226</v>
      </c>
      <c r="O449" s="105" t="s">
        <v>226</v>
      </c>
      <c r="P449" s="105" t="s">
        <v>350</v>
      </c>
      <c r="Q449" s="494">
        <v>130</v>
      </c>
      <c r="R449" s="494">
        <v>130</v>
      </c>
      <c r="S449" s="494">
        <v>766</v>
      </c>
      <c r="T449" s="494">
        <v>766</v>
      </c>
      <c r="U449" s="494">
        <v>71.251000000000005</v>
      </c>
      <c r="V449" s="493">
        <v>2024</v>
      </c>
      <c r="W449" s="495"/>
      <c r="X449" s="496">
        <f t="shared" si="26"/>
        <v>10.750726305595711</v>
      </c>
      <c r="Y449" s="497" t="str">
        <f t="shared" si="29"/>
        <v/>
      </c>
      <c r="Z449" s="497" t="str">
        <f t="shared" si="29"/>
        <v/>
      </c>
    </row>
    <row r="450" spans="1:26" s="82" customFormat="1" x14ac:dyDescent="0.4">
      <c r="A450" s="493">
        <v>9038</v>
      </c>
      <c r="B450" s="105" t="s">
        <v>329</v>
      </c>
      <c r="C450" s="493" t="s">
        <v>330</v>
      </c>
      <c r="D450" s="105" t="s">
        <v>723</v>
      </c>
      <c r="E450" s="105" t="s">
        <v>724</v>
      </c>
      <c r="F450" s="493">
        <v>8973</v>
      </c>
      <c r="G450" s="105" t="s">
        <v>33</v>
      </c>
      <c r="H450" s="105" t="s">
        <v>342</v>
      </c>
      <c r="I450" s="105" t="s">
        <v>334</v>
      </c>
      <c r="J450" s="493">
        <v>22</v>
      </c>
      <c r="K450" s="493">
        <v>1</v>
      </c>
      <c r="L450" s="105" t="s">
        <v>335</v>
      </c>
      <c r="M450" s="105" t="s">
        <v>359</v>
      </c>
      <c r="N450" s="105" t="s">
        <v>228</v>
      </c>
      <c r="O450" s="105" t="s">
        <v>228</v>
      </c>
      <c r="P450" s="105" t="s">
        <v>356</v>
      </c>
      <c r="Q450" s="494">
        <v>1330</v>
      </c>
      <c r="R450" s="494">
        <v>1330</v>
      </c>
      <c r="S450" s="494">
        <v>1371</v>
      </c>
      <c r="T450" s="494">
        <v>1371</v>
      </c>
      <c r="U450" s="494">
        <v>127.749</v>
      </c>
      <c r="V450" s="493">
        <v>2024</v>
      </c>
      <c r="W450" s="495"/>
      <c r="X450" s="496">
        <f t="shared" si="26"/>
        <v>10.731982246436372</v>
      </c>
      <c r="Y450" s="497" t="str">
        <f t="shared" si="29"/>
        <v/>
      </c>
      <c r="Z450" s="497" t="str">
        <f t="shared" si="29"/>
        <v/>
      </c>
    </row>
    <row r="451" spans="1:26" s="82" customFormat="1" ht="32" x14ac:dyDescent="0.4">
      <c r="A451" s="493">
        <v>9864</v>
      </c>
      <c r="B451" s="105" t="s">
        <v>329</v>
      </c>
      <c r="C451" s="493" t="s">
        <v>330</v>
      </c>
      <c r="D451" s="105" t="s">
        <v>725</v>
      </c>
      <c r="E451" s="105" t="s">
        <v>442</v>
      </c>
      <c r="F451" s="493">
        <v>8776</v>
      </c>
      <c r="G451" s="105" t="s">
        <v>33</v>
      </c>
      <c r="H451" s="105" t="s">
        <v>342</v>
      </c>
      <c r="I451" s="105" t="s">
        <v>334</v>
      </c>
      <c r="J451" s="493">
        <v>22</v>
      </c>
      <c r="K451" s="493">
        <v>1</v>
      </c>
      <c r="L451" s="105" t="s">
        <v>335</v>
      </c>
      <c r="M451" s="105" t="s">
        <v>336</v>
      </c>
      <c r="N451" s="105" t="s">
        <v>337</v>
      </c>
      <c r="O451" s="105" t="s">
        <v>338</v>
      </c>
      <c r="P451" s="105" t="s">
        <v>339</v>
      </c>
      <c r="Q451" s="494">
        <v>0</v>
      </c>
      <c r="R451" s="494">
        <v>0</v>
      </c>
      <c r="S451" s="494">
        <v>15088</v>
      </c>
      <c r="T451" s="494">
        <v>15088</v>
      </c>
      <c r="U451" s="494">
        <v>4422</v>
      </c>
      <c r="V451" s="493">
        <v>2024</v>
      </c>
      <c r="W451" s="495"/>
      <c r="X451" s="496">
        <f t="shared" si="26"/>
        <v>3.4120307553143374</v>
      </c>
      <c r="Y451" s="497" t="str">
        <f t="shared" si="29"/>
        <v/>
      </c>
      <c r="Z451" s="497" t="str">
        <f t="shared" si="29"/>
        <v/>
      </c>
    </row>
    <row r="452" spans="1:26" s="82" customFormat="1" ht="32" x14ac:dyDescent="0.4">
      <c r="A452" s="493">
        <v>9864</v>
      </c>
      <c r="B452" s="105" t="s">
        <v>329</v>
      </c>
      <c r="C452" s="493" t="s">
        <v>330</v>
      </c>
      <c r="D452" s="105" t="s">
        <v>725</v>
      </c>
      <c r="E452" s="105" t="s">
        <v>442</v>
      </c>
      <c r="F452" s="493">
        <v>8776</v>
      </c>
      <c r="G452" s="105" t="s">
        <v>33</v>
      </c>
      <c r="H452" s="105" t="s">
        <v>342</v>
      </c>
      <c r="I452" s="105" t="s">
        <v>334</v>
      </c>
      <c r="J452" s="493">
        <v>22</v>
      </c>
      <c r="K452" s="493">
        <v>1</v>
      </c>
      <c r="L452" s="105" t="s">
        <v>335</v>
      </c>
      <c r="M452" s="105" t="s">
        <v>360</v>
      </c>
      <c r="N452" s="105" t="s">
        <v>226</v>
      </c>
      <c r="O452" s="105" t="s">
        <v>226</v>
      </c>
      <c r="P452" s="105" t="s">
        <v>350</v>
      </c>
      <c r="Q452" s="494">
        <v>0</v>
      </c>
      <c r="R452" s="494">
        <v>0</v>
      </c>
      <c r="S452" s="494">
        <v>0</v>
      </c>
      <c r="T452" s="494">
        <v>0</v>
      </c>
      <c r="U452" s="494">
        <v>0</v>
      </c>
      <c r="V452" s="493">
        <v>2024</v>
      </c>
      <c r="W452" s="495"/>
      <c r="X452" s="496" t="str">
        <f t="shared" si="26"/>
        <v/>
      </c>
      <c r="Y452" s="497" t="str">
        <f t="shared" si="29"/>
        <v/>
      </c>
      <c r="Z452" s="497" t="str">
        <f t="shared" si="29"/>
        <v/>
      </c>
    </row>
    <row r="453" spans="1:26" s="82" customFormat="1" ht="32" x14ac:dyDescent="0.4">
      <c r="A453" s="493">
        <v>9864</v>
      </c>
      <c r="B453" s="105" t="s">
        <v>329</v>
      </c>
      <c r="C453" s="493" t="s">
        <v>330</v>
      </c>
      <c r="D453" s="105" t="s">
        <v>725</v>
      </c>
      <c r="E453" s="105" t="s">
        <v>442</v>
      </c>
      <c r="F453" s="493">
        <v>8776</v>
      </c>
      <c r="G453" s="105" t="s">
        <v>33</v>
      </c>
      <c r="H453" s="105" t="s">
        <v>342</v>
      </c>
      <c r="I453" s="105" t="s">
        <v>334</v>
      </c>
      <c r="J453" s="493">
        <v>22</v>
      </c>
      <c r="K453" s="493">
        <v>1</v>
      </c>
      <c r="L453" s="105" t="s">
        <v>335</v>
      </c>
      <c r="M453" s="105" t="s">
        <v>360</v>
      </c>
      <c r="N453" s="105" t="s">
        <v>228</v>
      </c>
      <c r="O453" s="105" t="s">
        <v>228</v>
      </c>
      <c r="P453" s="105" t="s">
        <v>356</v>
      </c>
      <c r="Q453" s="494">
        <v>0</v>
      </c>
      <c r="R453" s="494">
        <v>0</v>
      </c>
      <c r="S453" s="494">
        <v>0</v>
      </c>
      <c r="T453" s="494">
        <v>0</v>
      </c>
      <c r="U453" s="494">
        <v>0</v>
      </c>
      <c r="V453" s="493">
        <v>2024</v>
      </c>
      <c r="W453" s="495"/>
      <c r="X453" s="496" t="str">
        <f t="shared" si="26"/>
        <v/>
      </c>
      <c r="Y453" s="497" t="str">
        <f t="shared" si="29"/>
        <v/>
      </c>
      <c r="Z453" s="497" t="str">
        <f t="shared" si="29"/>
        <v/>
      </c>
    </row>
    <row r="454" spans="1:26" s="82" customFormat="1" ht="32" x14ac:dyDescent="0.4">
      <c r="A454" s="493">
        <v>9864</v>
      </c>
      <c r="B454" s="105" t="s">
        <v>329</v>
      </c>
      <c r="C454" s="493" t="s">
        <v>330</v>
      </c>
      <c r="D454" s="105" t="s">
        <v>725</v>
      </c>
      <c r="E454" s="105" t="s">
        <v>442</v>
      </c>
      <c r="F454" s="493">
        <v>8776</v>
      </c>
      <c r="G454" s="105" t="s">
        <v>33</v>
      </c>
      <c r="H454" s="105" t="s">
        <v>342</v>
      </c>
      <c r="I454" s="105" t="s">
        <v>334</v>
      </c>
      <c r="J454" s="493">
        <v>22</v>
      </c>
      <c r="K454" s="493">
        <v>1</v>
      </c>
      <c r="L454" s="105" t="s">
        <v>335</v>
      </c>
      <c r="M454" s="105" t="s">
        <v>360</v>
      </c>
      <c r="N454" s="105" t="s">
        <v>238</v>
      </c>
      <c r="O454" s="105" t="s">
        <v>238</v>
      </c>
      <c r="P454" s="105" t="s">
        <v>350</v>
      </c>
      <c r="Q454" s="494">
        <v>0</v>
      </c>
      <c r="R454" s="494">
        <v>0</v>
      </c>
      <c r="S454" s="494">
        <v>0</v>
      </c>
      <c r="T454" s="494">
        <v>0</v>
      </c>
      <c r="U454" s="494">
        <v>0</v>
      </c>
      <c r="V454" s="493">
        <v>2024</v>
      </c>
      <c r="W454" s="495"/>
      <c r="X454" s="496" t="str">
        <f t="shared" si="26"/>
        <v/>
      </c>
      <c r="Y454" s="497" t="str">
        <f t="shared" si="29"/>
        <v/>
      </c>
      <c r="Z454" s="497" t="str">
        <f t="shared" si="29"/>
        <v/>
      </c>
    </row>
    <row r="455" spans="1:26" s="82" customFormat="1" ht="32" x14ac:dyDescent="0.4">
      <c r="A455" s="493">
        <v>10025</v>
      </c>
      <c r="B455" s="105" t="s">
        <v>433</v>
      </c>
      <c r="C455" s="493" t="s">
        <v>330</v>
      </c>
      <c r="D455" s="105" t="s">
        <v>726</v>
      </c>
      <c r="E455" s="105" t="s">
        <v>726</v>
      </c>
      <c r="F455" s="493">
        <v>5624</v>
      </c>
      <c r="G455" s="105" t="s">
        <v>52</v>
      </c>
      <c r="H455" s="105" t="s">
        <v>333</v>
      </c>
      <c r="I455" s="105" t="s">
        <v>334</v>
      </c>
      <c r="J455" s="493">
        <v>339</v>
      </c>
      <c r="K455" s="493">
        <v>7</v>
      </c>
      <c r="L455" s="105" t="s">
        <v>727</v>
      </c>
      <c r="M455" s="105" t="s">
        <v>336</v>
      </c>
      <c r="N455" s="105" t="s">
        <v>337</v>
      </c>
      <c r="O455" s="105" t="s">
        <v>338</v>
      </c>
      <c r="P455" s="105" t="s">
        <v>339</v>
      </c>
      <c r="Q455" s="494">
        <v>0</v>
      </c>
      <c r="R455" s="494">
        <v>0</v>
      </c>
      <c r="S455" s="494">
        <v>0</v>
      </c>
      <c r="T455" s="494">
        <v>0</v>
      </c>
      <c r="U455" s="494">
        <v>0</v>
      </c>
      <c r="V455" s="493">
        <v>2024</v>
      </c>
      <c r="W455" s="495"/>
      <c r="X455" s="496" t="str">
        <f t="shared" si="26"/>
        <v/>
      </c>
      <c r="Y455" s="497" t="str">
        <f t="shared" si="29"/>
        <v/>
      </c>
      <c r="Z455" s="497" t="str">
        <f t="shared" si="29"/>
        <v/>
      </c>
    </row>
    <row r="456" spans="1:26" s="82" customFormat="1" ht="32" x14ac:dyDescent="0.4">
      <c r="A456" s="493">
        <v>10025</v>
      </c>
      <c r="B456" s="105" t="s">
        <v>433</v>
      </c>
      <c r="C456" s="493" t="s">
        <v>330</v>
      </c>
      <c r="D456" s="105" t="s">
        <v>726</v>
      </c>
      <c r="E456" s="105" t="s">
        <v>726</v>
      </c>
      <c r="F456" s="493">
        <v>5624</v>
      </c>
      <c r="G456" s="105" t="s">
        <v>52</v>
      </c>
      <c r="H456" s="105" t="s">
        <v>333</v>
      </c>
      <c r="I456" s="105" t="s">
        <v>334</v>
      </c>
      <c r="J456" s="493">
        <v>339</v>
      </c>
      <c r="K456" s="493">
        <v>7</v>
      </c>
      <c r="L456" s="105" t="s">
        <v>727</v>
      </c>
      <c r="M456" s="105" t="s">
        <v>360</v>
      </c>
      <c r="N456" s="105" t="s">
        <v>222</v>
      </c>
      <c r="O456" s="105" t="s">
        <v>479</v>
      </c>
      <c r="P456" s="105" t="s">
        <v>388</v>
      </c>
      <c r="Q456" s="494">
        <v>0</v>
      </c>
      <c r="R456" s="494">
        <v>0</v>
      </c>
      <c r="S456" s="494">
        <v>0</v>
      </c>
      <c r="T456" s="494">
        <v>0</v>
      </c>
      <c r="U456" s="494">
        <v>0</v>
      </c>
      <c r="V456" s="493">
        <v>2024</v>
      </c>
      <c r="W456" s="495"/>
      <c r="X456" s="496" t="str">
        <f t="shared" si="26"/>
        <v/>
      </c>
      <c r="Y456" s="497" t="str">
        <f t="shared" si="29"/>
        <v/>
      </c>
      <c r="Z456" s="497" t="str">
        <f t="shared" si="29"/>
        <v/>
      </c>
    </row>
    <row r="457" spans="1:26" s="82" customFormat="1" ht="32" x14ac:dyDescent="0.4">
      <c r="A457" s="493">
        <v>10025</v>
      </c>
      <c r="B457" s="105" t="s">
        <v>433</v>
      </c>
      <c r="C457" s="493" t="s">
        <v>330</v>
      </c>
      <c r="D457" s="105" t="s">
        <v>726</v>
      </c>
      <c r="E457" s="105" t="s">
        <v>726</v>
      </c>
      <c r="F457" s="493">
        <v>5624</v>
      </c>
      <c r="G457" s="105" t="s">
        <v>52</v>
      </c>
      <c r="H457" s="105" t="s">
        <v>333</v>
      </c>
      <c r="I457" s="105" t="s">
        <v>334</v>
      </c>
      <c r="J457" s="493">
        <v>339</v>
      </c>
      <c r="K457" s="493">
        <v>7</v>
      </c>
      <c r="L457" s="105" t="s">
        <v>727</v>
      </c>
      <c r="M457" s="105" t="s">
        <v>360</v>
      </c>
      <c r="N457" s="105" t="s">
        <v>226</v>
      </c>
      <c r="O457" s="105" t="s">
        <v>226</v>
      </c>
      <c r="P457" s="105" t="s">
        <v>350</v>
      </c>
      <c r="Q457" s="494">
        <v>0</v>
      </c>
      <c r="R457" s="494">
        <v>0</v>
      </c>
      <c r="S457" s="494">
        <v>0</v>
      </c>
      <c r="T457" s="494">
        <v>0</v>
      </c>
      <c r="U457" s="494">
        <v>0</v>
      </c>
      <c r="V457" s="493">
        <v>2024</v>
      </c>
      <c r="W457" s="495"/>
      <c r="X457" s="496" t="str">
        <f t="shared" ref="X457:X520" si="30">IF(OR(K457&gt;3,T457=0,NOT(U457&gt;0)),"",T457/U457)</f>
        <v/>
      </c>
      <c r="Y457" s="497" t="str">
        <f t="shared" si="29"/>
        <v/>
      </c>
      <c r="Z457" s="497" t="str">
        <f t="shared" si="29"/>
        <v/>
      </c>
    </row>
    <row r="458" spans="1:26" s="82" customFormat="1" ht="32" x14ac:dyDescent="0.4">
      <c r="A458" s="493">
        <v>10025</v>
      </c>
      <c r="B458" s="105" t="s">
        <v>433</v>
      </c>
      <c r="C458" s="493" t="s">
        <v>330</v>
      </c>
      <c r="D458" s="105" t="s">
        <v>726</v>
      </c>
      <c r="E458" s="105" t="s">
        <v>726</v>
      </c>
      <c r="F458" s="493">
        <v>5624</v>
      </c>
      <c r="G458" s="105" t="s">
        <v>52</v>
      </c>
      <c r="H458" s="105" t="s">
        <v>333</v>
      </c>
      <c r="I458" s="105" t="s">
        <v>334</v>
      </c>
      <c r="J458" s="493">
        <v>339</v>
      </c>
      <c r="K458" s="493">
        <v>7</v>
      </c>
      <c r="L458" s="105" t="s">
        <v>727</v>
      </c>
      <c r="M458" s="105" t="s">
        <v>360</v>
      </c>
      <c r="N458" s="105" t="s">
        <v>228</v>
      </c>
      <c r="O458" s="105" t="s">
        <v>228</v>
      </c>
      <c r="P458" s="105" t="s">
        <v>356</v>
      </c>
      <c r="Q458" s="494">
        <v>7045221</v>
      </c>
      <c r="R458" s="494">
        <v>2166433</v>
      </c>
      <c r="S458" s="494">
        <v>7256577</v>
      </c>
      <c r="T458" s="494">
        <v>2231425</v>
      </c>
      <c r="U458" s="494">
        <v>313030</v>
      </c>
      <c r="V458" s="493">
        <v>2024</v>
      </c>
      <c r="W458" s="495"/>
      <c r="X458" s="496" t="str">
        <f t="shared" si="30"/>
        <v/>
      </c>
      <c r="Y458" s="497" t="str">
        <f t="shared" si="29"/>
        <v/>
      </c>
      <c r="Z458" s="497" t="str">
        <f t="shared" si="29"/>
        <v/>
      </c>
    </row>
    <row r="459" spans="1:26" s="82" customFormat="1" ht="32" x14ac:dyDescent="0.4">
      <c r="A459" s="493">
        <v>10025</v>
      </c>
      <c r="B459" s="105" t="s">
        <v>433</v>
      </c>
      <c r="C459" s="493" t="s">
        <v>330</v>
      </c>
      <c r="D459" s="105" t="s">
        <v>726</v>
      </c>
      <c r="E459" s="105" t="s">
        <v>726</v>
      </c>
      <c r="F459" s="493">
        <v>5624</v>
      </c>
      <c r="G459" s="105" t="s">
        <v>52</v>
      </c>
      <c r="H459" s="105" t="s">
        <v>333</v>
      </c>
      <c r="I459" s="105" t="s">
        <v>334</v>
      </c>
      <c r="J459" s="493">
        <v>339</v>
      </c>
      <c r="K459" s="493">
        <v>7</v>
      </c>
      <c r="L459" s="105" t="s">
        <v>727</v>
      </c>
      <c r="M459" s="105" t="s">
        <v>360</v>
      </c>
      <c r="N459" s="105" t="s">
        <v>238</v>
      </c>
      <c r="O459" s="105" t="s">
        <v>238</v>
      </c>
      <c r="P459" s="105" t="s">
        <v>350</v>
      </c>
      <c r="Q459" s="494">
        <v>0</v>
      </c>
      <c r="R459" s="494">
        <v>0</v>
      </c>
      <c r="S459" s="494">
        <v>0</v>
      </c>
      <c r="T459" s="494">
        <v>0</v>
      </c>
      <c r="U459" s="494">
        <v>0</v>
      </c>
      <c r="V459" s="493">
        <v>2024</v>
      </c>
      <c r="W459" s="495"/>
      <c r="X459" s="496" t="str">
        <f t="shared" si="30"/>
        <v/>
      </c>
      <c r="Y459" s="497" t="str">
        <f t="shared" si="29"/>
        <v/>
      </c>
      <c r="Z459" s="497" t="str">
        <f t="shared" si="29"/>
        <v/>
      </c>
    </row>
    <row r="460" spans="1:26" s="82" customFormat="1" ht="32" x14ac:dyDescent="0.4">
      <c r="A460" s="493">
        <v>10029</v>
      </c>
      <c r="B460" s="105" t="s">
        <v>329</v>
      </c>
      <c r="C460" s="493" t="s">
        <v>330</v>
      </c>
      <c r="D460" s="105" t="s">
        <v>728</v>
      </c>
      <c r="E460" s="105" t="s">
        <v>728</v>
      </c>
      <c r="F460" s="493">
        <v>7049</v>
      </c>
      <c r="G460" s="105" t="s">
        <v>33</v>
      </c>
      <c r="H460" s="105" t="s">
        <v>342</v>
      </c>
      <c r="I460" s="105" t="s">
        <v>334</v>
      </c>
      <c r="J460" s="493">
        <v>336</v>
      </c>
      <c r="K460" s="493">
        <v>6</v>
      </c>
      <c r="L460" s="105" t="s">
        <v>729</v>
      </c>
      <c r="M460" s="105" t="s">
        <v>655</v>
      </c>
      <c r="N460" s="105" t="s">
        <v>656</v>
      </c>
      <c r="O460" s="105" t="s">
        <v>656</v>
      </c>
      <c r="P460" s="105" t="s">
        <v>339</v>
      </c>
      <c r="Q460" s="494">
        <v>0</v>
      </c>
      <c r="R460" s="494">
        <v>0</v>
      </c>
      <c r="S460" s="494">
        <v>7828</v>
      </c>
      <c r="T460" s="494">
        <v>7828</v>
      </c>
      <c r="U460" s="494">
        <v>2294</v>
      </c>
      <c r="V460" s="493">
        <v>2024</v>
      </c>
      <c r="W460" s="495"/>
      <c r="X460" s="496" t="str">
        <f t="shared" si="30"/>
        <v/>
      </c>
      <c r="Y460" s="497" t="str">
        <f t="shared" si="29"/>
        <v/>
      </c>
      <c r="Z460" s="497" t="str">
        <f t="shared" si="29"/>
        <v/>
      </c>
    </row>
    <row r="461" spans="1:26" s="82" customFormat="1" ht="32" x14ac:dyDescent="0.4">
      <c r="A461" s="493">
        <v>10029</v>
      </c>
      <c r="B461" s="105" t="s">
        <v>329</v>
      </c>
      <c r="C461" s="493" t="s">
        <v>330</v>
      </c>
      <c r="D461" s="105" t="s">
        <v>728</v>
      </c>
      <c r="E461" s="105" t="s">
        <v>728</v>
      </c>
      <c r="F461" s="493">
        <v>7049</v>
      </c>
      <c r="G461" s="105" t="s">
        <v>33</v>
      </c>
      <c r="H461" s="105" t="s">
        <v>342</v>
      </c>
      <c r="I461" s="105" t="s">
        <v>334</v>
      </c>
      <c r="J461" s="493">
        <v>336</v>
      </c>
      <c r="K461" s="493">
        <v>6</v>
      </c>
      <c r="L461" s="105" t="s">
        <v>729</v>
      </c>
      <c r="M461" s="105" t="s">
        <v>360</v>
      </c>
      <c r="N461" s="105" t="s">
        <v>226</v>
      </c>
      <c r="O461" s="105" t="s">
        <v>226</v>
      </c>
      <c r="P461" s="105" t="s">
        <v>350</v>
      </c>
      <c r="Q461" s="494">
        <v>0</v>
      </c>
      <c r="R461" s="494">
        <v>0</v>
      </c>
      <c r="S461" s="494">
        <v>0</v>
      </c>
      <c r="T461" s="494">
        <v>0</v>
      </c>
      <c r="U461" s="494">
        <v>0</v>
      </c>
      <c r="V461" s="493">
        <v>2024</v>
      </c>
      <c r="W461" s="495"/>
      <c r="X461" s="496" t="str">
        <f t="shared" si="30"/>
        <v/>
      </c>
      <c r="Y461" s="497" t="str">
        <f t="shared" si="29"/>
        <v/>
      </c>
      <c r="Z461" s="497" t="str">
        <f t="shared" si="29"/>
        <v/>
      </c>
    </row>
    <row r="462" spans="1:26" s="82" customFormat="1" ht="32" x14ac:dyDescent="0.4">
      <c r="A462" s="493">
        <v>10029</v>
      </c>
      <c r="B462" s="105" t="s">
        <v>329</v>
      </c>
      <c r="C462" s="493" t="s">
        <v>330</v>
      </c>
      <c r="D462" s="105" t="s">
        <v>728</v>
      </c>
      <c r="E462" s="105" t="s">
        <v>728</v>
      </c>
      <c r="F462" s="493">
        <v>7049</v>
      </c>
      <c r="G462" s="105" t="s">
        <v>33</v>
      </c>
      <c r="H462" s="105" t="s">
        <v>342</v>
      </c>
      <c r="I462" s="105" t="s">
        <v>334</v>
      </c>
      <c r="J462" s="493">
        <v>336</v>
      </c>
      <c r="K462" s="493">
        <v>6</v>
      </c>
      <c r="L462" s="105" t="s">
        <v>729</v>
      </c>
      <c r="M462" s="105" t="s">
        <v>360</v>
      </c>
      <c r="N462" s="105" t="s">
        <v>228</v>
      </c>
      <c r="O462" s="105" t="s">
        <v>228</v>
      </c>
      <c r="P462" s="105" t="s">
        <v>356</v>
      </c>
      <c r="Q462" s="494">
        <v>0</v>
      </c>
      <c r="R462" s="494">
        <v>0</v>
      </c>
      <c r="S462" s="494">
        <v>0</v>
      </c>
      <c r="T462" s="494">
        <v>0</v>
      </c>
      <c r="U462" s="494">
        <v>0</v>
      </c>
      <c r="V462" s="493">
        <v>2024</v>
      </c>
      <c r="W462" s="495"/>
      <c r="X462" s="496" t="str">
        <f t="shared" si="30"/>
        <v/>
      </c>
      <c r="Y462" s="497" t="str">
        <f t="shared" si="29"/>
        <v/>
      </c>
      <c r="Z462" s="497" t="str">
        <f t="shared" si="29"/>
        <v/>
      </c>
    </row>
    <row r="463" spans="1:26" s="82" customFormat="1" ht="32" x14ac:dyDescent="0.4">
      <c r="A463" s="493">
        <v>10029</v>
      </c>
      <c r="B463" s="105" t="s">
        <v>329</v>
      </c>
      <c r="C463" s="493" t="s">
        <v>330</v>
      </c>
      <c r="D463" s="105" t="s">
        <v>728</v>
      </c>
      <c r="E463" s="105" t="s">
        <v>728</v>
      </c>
      <c r="F463" s="493">
        <v>7049</v>
      </c>
      <c r="G463" s="105" t="s">
        <v>33</v>
      </c>
      <c r="H463" s="105" t="s">
        <v>342</v>
      </c>
      <c r="I463" s="105" t="s">
        <v>334</v>
      </c>
      <c r="J463" s="493">
        <v>336</v>
      </c>
      <c r="K463" s="493">
        <v>6</v>
      </c>
      <c r="L463" s="105" t="s">
        <v>729</v>
      </c>
      <c r="M463" s="105" t="s">
        <v>360</v>
      </c>
      <c r="N463" s="105" t="s">
        <v>238</v>
      </c>
      <c r="O463" s="105" t="s">
        <v>238</v>
      </c>
      <c r="P463" s="105" t="s">
        <v>350</v>
      </c>
      <c r="Q463" s="494">
        <v>0</v>
      </c>
      <c r="R463" s="494">
        <v>0</v>
      </c>
      <c r="S463" s="494">
        <v>0</v>
      </c>
      <c r="T463" s="494">
        <v>0</v>
      </c>
      <c r="U463" s="494">
        <v>0</v>
      </c>
      <c r="V463" s="493">
        <v>2024</v>
      </c>
      <c r="W463" s="495"/>
      <c r="X463" s="496" t="str">
        <f t="shared" si="30"/>
        <v/>
      </c>
      <c r="Y463" s="497" t="str">
        <f t="shared" si="29"/>
        <v/>
      </c>
      <c r="Z463" s="497" t="str">
        <f t="shared" si="29"/>
        <v/>
      </c>
    </row>
    <row r="464" spans="1:26" s="82" customFormat="1" x14ac:dyDescent="0.4">
      <c r="A464" s="493">
        <v>10036</v>
      </c>
      <c r="B464" s="105" t="s">
        <v>329</v>
      </c>
      <c r="C464" s="493" t="s">
        <v>330</v>
      </c>
      <c r="D464" s="105" t="s">
        <v>730</v>
      </c>
      <c r="E464" s="105" t="s">
        <v>731</v>
      </c>
      <c r="F464" s="493">
        <v>56590</v>
      </c>
      <c r="G464" s="105" t="s">
        <v>35</v>
      </c>
      <c r="H464" s="105" t="s">
        <v>342</v>
      </c>
      <c r="I464" s="105" t="s">
        <v>334</v>
      </c>
      <c r="J464" s="493">
        <v>22</v>
      </c>
      <c r="K464" s="493">
        <v>2</v>
      </c>
      <c r="L464" s="105" t="s">
        <v>343</v>
      </c>
      <c r="M464" s="105" t="s">
        <v>336</v>
      </c>
      <c r="N464" s="105" t="s">
        <v>337</v>
      </c>
      <c r="O464" s="105" t="s">
        <v>338</v>
      </c>
      <c r="P464" s="105" t="s">
        <v>339</v>
      </c>
      <c r="Q464" s="494">
        <v>0</v>
      </c>
      <c r="R464" s="494">
        <v>0</v>
      </c>
      <c r="S464" s="494">
        <v>7017</v>
      </c>
      <c r="T464" s="494">
        <v>7017</v>
      </c>
      <c r="U464" s="494">
        <v>2057</v>
      </c>
      <c r="V464" s="493">
        <v>2024</v>
      </c>
      <c r="W464" s="495"/>
      <c r="X464" s="496">
        <f t="shared" si="30"/>
        <v>3.4112785610111813</v>
      </c>
      <c r="Y464" s="497" t="str">
        <f t="shared" si="29"/>
        <v/>
      </c>
      <c r="Z464" s="497" t="str">
        <f t="shared" si="29"/>
        <v/>
      </c>
    </row>
    <row r="465" spans="1:26" s="82" customFormat="1" ht="32" x14ac:dyDescent="0.4">
      <c r="A465" s="493">
        <v>10063</v>
      </c>
      <c r="B465" s="105" t="s">
        <v>329</v>
      </c>
      <c r="C465" s="493" t="s">
        <v>330</v>
      </c>
      <c r="D465" s="105" t="s">
        <v>732</v>
      </c>
      <c r="E465" s="105" t="s">
        <v>733</v>
      </c>
      <c r="F465" s="493">
        <v>11943</v>
      </c>
      <c r="G465" s="105" t="s">
        <v>37</v>
      </c>
      <c r="H465" s="105" t="s">
        <v>342</v>
      </c>
      <c r="I465" s="105" t="s">
        <v>334</v>
      </c>
      <c r="J465" s="493">
        <v>22</v>
      </c>
      <c r="K465" s="493">
        <v>2</v>
      </c>
      <c r="L465" s="105" t="s">
        <v>343</v>
      </c>
      <c r="M465" s="105" t="s">
        <v>336</v>
      </c>
      <c r="N465" s="105" t="s">
        <v>337</v>
      </c>
      <c r="O465" s="105" t="s">
        <v>338</v>
      </c>
      <c r="P465" s="105" t="s">
        <v>339</v>
      </c>
      <c r="Q465" s="494">
        <v>0</v>
      </c>
      <c r="R465" s="494">
        <v>0</v>
      </c>
      <c r="S465" s="494">
        <v>81639</v>
      </c>
      <c r="T465" s="494">
        <v>81639</v>
      </c>
      <c r="U465" s="494">
        <v>23927</v>
      </c>
      <c r="V465" s="493">
        <v>2024</v>
      </c>
      <c r="W465" s="495"/>
      <c r="X465" s="496">
        <f t="shared" si="30"/>
        <v>3.4120031763279979</v>
      </c>
      <c r="Y465" s="497" t="str">
        <f t="shared" si="29"/>
        <v/>
      </c>
      <c r="Z465" s="497" t="str">
        <f t="shared" si="29"/>
        <v/>
      </c>
    </row>
    <row r="466" spans="1:26" s="82" customFormat="1" x14ac:dyDescent="0.4">
      <c r="A466" s="493">
        <v>10066</v>
      </c>
      <c r="B466" s="105" t="s">
        <v>329</v>
      </c>
      <c r="C466" s="493" t="s">
        <v>330</v>
      </c>
      <c r="D466" s="105" t="s">
        <v>734</v>
      </c>
      <c r="E466" s="105" t="s">
        <v>735</v>
      </c>
      <c r="F466" s="493">
        <v>12401</v>
      </c>
      <c r="G466" s="105" t="s">
        <v>34</v>
      </c>
      <c r="H466" s="105" t="s">
        <v>342</v>
      </c>
      <c r="I466" s="105" t="s">
        <v>334</v>
      </c>
      <c r="J466" s="493">
        <v>22</v>
      </c>
      <c r="K466" s="493">
        <v>2</v>
      </c>
      <c r="L466" s="105" t="s">
        <v>343</v>
      </c>
      <c r="M466" s="105" t="s">
        <v>336</v>
      </c>
      <c r="N466" s="105" t="s">
        <v>337</v>
      </c>
      <c r="O466" s="105" t="s">
        <v>338</v>
      </c>
      <c r="P466" s="105" t="s">
        <v>339</v>
      </c>
      <c r="Q466" s="494">
        <v>0</v>
      </c>
      <c r="R466" s="494">
        <v>0</v>
      </c>
      <c r="S466" s="494">
        <v>46310</v>
      </c>
      <c r="T466" s="494">
        <v>46310</v>
      </c>
      <c r="U466" s="494">
        <v>13572</v>
      </c>
      <c r="V466" s="493">
        <v>2024</v>
      </c>
      <c r="W466" s="495"/>
      <c r="X466" s="496">
        <f t="shared" si="30"/>
        <v>3.4121721190686709</v>
      </c>
      <c r="Y466" s="497" t="str">
        <f t="shared" si="29"/>
        <v/>
      </c>
      <c r="Z466" s="497" t="str">
        <f t="shared" si="29"/>
        <v/>
      </c>
    </row>
    <row r="467" spans="1:26" s="82" customFormat="1" ht="32" x14ac:dyDescent="0.4">
      <c r="A467" s="493">
        <v>10108</v>
      </c>
      <c r="B467" s="105" t="s">
        <v>433</v>
      </c>
      <c r="C467" s="493" t="s">
        <v>330</v>
      </c>
      <c r="D467" s="105" t="s">
        <v>736</v>
      </c>
      <c r="E467" s="105" t="s">
        <v>737</v>
      </c>
      <c r="F467" s="493">
        <v>6636</v>
      </c>
      <c r="G467" s="105" t="s">
        <v>35</v>
      </c>
      <c r="H467" s="105" t="s">
        <v>342</v>
      </c>
      <c r="I467" s="105" t="s">
        <v>334</v>
      </c>
      <c r="J467" s="493">
        <v>313</v>
      </c>
      <c r="K467" s="493">
        <v>7</v>
      </c>
      <c r="L467" s="105" t="s">
        <v>727</v>
      </c>
      <c r="M467" s="105" t="s">
        <v>295</v>
      </c>
      <c r="N467" s="105" t="s">
        <v>226</v>
      </c>
      <c r="O467" s="105" t="s">
        <v>226</v>
      </c>
      <c r="P467" s="105" t="s">
        <v>350</v>
      </c>
      <c r="Q467" s="494">
        <v>0</v>
      </c>
      <c r="R467" s="494">
        <v>0</v>
      </c>
      <c r="S467" s="494">
        <v>0</v>
      </c>
      <c r="T467" s="494">
        <v>0</v>
      </c>
      <c r="U467" s="494">
        <v>0</v>
      </c>
      <c r="V467" s="493">
        <v>2024</v>
      </c>
      <c r="W467" s="495"/>
      <c r="X467" s="496" t="str">
        <f t="shared" si="30"/>
        <v/>
      </c>
      <c r="Y467" s="497" t="str">
        <f t="shared" si="29"/>
        <v/>
      </c>
      <c r="Z467" s="497" t="str">
        <f t="shared" si="29"/>
        <v/>
      </c>
    </row>
    <row r="468" spans="1:26" s="82" customFormat="1" ht="32" x14ac:dyDescent="0.4">
      <c r="A468" s="493">
        <v>10108</v>
      </c>
      <c r="B468" s="105" t="s">
        <v>433</v>
      </c>
      <c r="C468" s="493" t="s">
        <v>330</v>
      </c>
      <c r="D468" s="105" t="s">
        <v>736</v>
      </c>
      <c r="E468" s="105" t="s">
        <v>737</v>
      </c>
      <c r="F468" s="493">
        <v>6636</v>
      </c>
      <c r="G468" s="105" t="s">
        <v>35</v>
      </c>
      <c r="H468" s="105" t="s">
        <v>342</v>
      </c>
      <c r="I468" s="105" t="s">
        <v>334</v>
      </c>
      <c r="J468" s="493">
        <v>313</v>
      </c>
      <c r="K468" s="493">
        <v>7</v>
      </c>
      <c r="L468" s="105" t="s">
        <v>727</v>
      </c>
      <c r="M468" s="105" t="s">
        <v>295</v>
      </c>
      <c r="N468" s="105" t="s">
        <v>228</v>
      </c>
      <c r="O468" s="105" t="s">
        <v>228</v>
      </c>
      <c r="P468" s="105" t="s">
        <v>356</v>
      </c>
      <c r="Q468" s="494">
        <v>288958</v>
      </c>
      <c r="R468" s="494">
        <v>149343</v>
      </c>
      <c r="S468" s="494">
        <v>294739</v>
      </c>
      <c r="T468" s="494">
        <v>152330</v>
      </c>
      <c r="U468" s="494">
        <v>23440.18</v>
      </c>
      <c r="V468" s="493">
        <v>2024</v>
      </c>
      <c r="W468" s="495"/>
      <c r="X468" s="496" t="str">
        <f t="shared" si="30"/>
        <v/>
      </c>
      <c r="Y468" s="497">
        <f t="shared" ref="Y468:Z487" si="31">IF(AND($M468=$Y$2,$N468=$Y$3,NOT($Q468=$R468),NOT($U468=0)),IF($K468=5,$S468/($U468+(8/5)*$U468),IF($K468=7,$S468/($U468+(29/25)*$U468),"")),"")</f>
        <v>5.8213392875285406</v>
      </c>
      <c r="Z468" s="497">
        <f t="shared" si="31"/>
        <v>5.8213392875285406</v>
      </c>
    </row>
    <row r="469" spans="1:26" s="82" customFormat="1" ht="32" x14ac:dyDescent="0.4">
      <c r="A469" s="493">
        <v>10109</v>
      </c>
      <c r="B469" s="105" t="s">
        <v>329</v>
      </c>
      <c r="C469" s="493" t="s">
        <v>330</v>
      </c>
      <c r="D469" s="105" t="s">
        <v>738</v>
      </c>
      <c r="E469" s="105" t="s">
        <v>592</v>
      </c>
      <c r="F469" s="493">
        <v>57280</v>
      </c>
      <c r="G469" s="105" t="s">
        <v>35</v>
      </c>
      <c r="H469" s="105" t="s">
        <v>342</v>
      </c>
      <c r="I469" s="105" t="s">
        <v>334</v>
      </c>
      <c r="J469" s="493">
        <v>22</v>
      </c>
      <c r="K469" s="493">
        <v>2</v>
      </c>
      <c r="L469" s="105" t="s">
        <v>343</v>
      </c>
      <c r="M469" s="105" t="s">
        <v>336</v>
      </c>
      <c r="N469" s="105" t="s">
        <v>337</v>
      </c>
      <c r="O469" s="105" t="s">
        <v>338</v>
      </c>
      <c r="P469" s="105" t="s">
        <v>339</v>
      </c>
      <c r="Q469" s="494">
        <v>0</v>
      </c>
      <c r="R469" s="494">
        <v>0</v>
      </c>
      <c r="S469" s="494">
        <v>20254</v>
      </c>
      <c r="T469" s="494">
        <v>20254</v>
      </c>
      <c r="U469" s="494">
        <v>5936</v>
      </c>
      <c r="V469" s="493">
        <v>2024</v>
      </c>
      <c r="W469" s="495"/>
      <c r="X469" s="496">
        <f t="shared" si="30"/>
        <v>3.4120619946091644</v>
      </c>
      <c r="Y469" s="497" t="str">
        <f t="shared" si="31"/>
        <v/>
      </c>
      <c r="Z469" s="497" t="str">
        <f t="shared" si="31"/>
        <v/>
      </c>
    </row>
    <row r="470" spans="1:26" s="82" customFormat="1" x14ac:dyDescent="0.4">
      <c r="A470" s="493">
        <v>10116</v>
      </c>
      <c r="B470" s="105" t="s">
        <v>329</v>
      </c>
      <c r="C470" s="493" t="s">
        <v>330</v>
      </c>
      <c r="D470" s="105" t="s">
        <v>739</v>
      </c>
      <c r="E470" s="105" t="s">
        <v>740</v>
      </c>
      <c r="F470" s="493">
        <v>9357</v>
      </c>
      <c r="G470" s="105" t="s">
        <v>52</v>
      </c>
      <c r="H470" s="105" t="s">
        <v>333</v>
      </c>
      <c r="I470" s="105" t="s">
        <v>334</v>
      </c>
      <c r="J470" s="493">
        <v>22</v>
      </c>
      <c r="K470" s="493">
        <v>2</v>
      </c>
      <c r="L470" s="105" t="s">
        <v>343</v>
      </c>
      <c r="M470" s="105" t="s">
        <v>336</v>
      </c>
      <c r="N470" s="105" t="s">
        <v>337</v>
      </c>
      <c r="O470" s="105" t="s">
        <v>338</v>
      </c>
      <c r="P470" s="105" t="s">
        <v>339</v>
      </c>
      <c r="Q470" s="494">
        <v>0</v>
      </c>
      <c r="R470" s="494">
        <v>0</v>
      </c>
      <c r="S470" s="494">
        <v>41164</v>
      </c>
      <c r="T470" s="494">
        <v>41164</v>
      </c>
      <c r="U470" s="494">
        <v>12064</v>
      </c>
      <c r="V470" s="493">
        <v>2024</v>
      </c>
      <c r="W470" s="495"/>
      <c r="X470" s="496">
        <f t="shared" si="30"/>
        <v>3.4121352785145889</v>
      </c>
      <c r="Y470" s="497" t="str">
        <f t="shared" si="31"/>
        <v/>
      </c>
      <c r="Z470" s="497" t="str">
        <f t="shared" si="31"/>
        <v/>
      </c>
    </row>
    <row r="471" spans="1:26" s="82" customFormat="1" ht="32" x14ac:dyDescent="0.4">
      <c r="A471" s="493">
        <v>10124</v>
      </c>
      <c r="B471" s="105" t="s">
        <v>329</v>
      </c>
      <c r="C471" s="493" t="s">
        <v>330</v>
      </c>
      <c r="D471" s="105" t="s">
        <v>741</v>
      </c>
      <c r="E471" s="105" t="s">
        <v>742</v>
      </c>
      <c r="F471" s="493">
        <v>59136</v>
      </c>
      <c r="G471" s="105" t="s">
        <v>52</v>
      </c>
      <c r="H471" s="105" t="s">
        <v>333</v>
      </c>
      <c r="I471" s="105" t="s">
        <v>334</v>
      </c>
      <c r="J471" s="493">
        <v>22</v>
      </c>
      <c r="K471" s="493">
        <v>2</v>
      </c>
      <c r="L471" s="105" t="s">
        <v>343</v>
      </c>
      <c r="M471" s="105" t="s">
        <v>336</v>
      </c>
      <c r="N471" s="105" t="s">
        <v>337</v>
      </c>
      <c r="O471" s="105" t="s">
        <v>338</v>
      </c>
      <c r="P471" s="105" t="s">
        <v>339</v>
      </c>
      <c r="Q471" s="494">
        <v>0</v>
      </c>
      <c r="R471" s="494">
        <v>0</v>
      </c>
      <c r="S471" s="494">
        <v>5432</v>
      </c>
      <c r="T471" s="494">
        <v>5432</v>
      </c>
      <c r="U471" s="494">
        <v>1592</v>
      </c>
      <c r="V471" s="493">
        <v>2024</v>
      </c>
      <c r="W471" s="495"/>
      <c r="X471" s="496">
        <f t="shared" si="30"/>
        <v>3.4120603015075375</v>
      </c>
      <c r="Y471" s="497" t="str">
        <f t="shared" si="31"/>
        <v/>
      </c>
      <c r="Z471" s="497" t="str">
        <f t="shared" si="31"/>
        <v/>
      </c>
    </row>
    <row r="472" spans="1:26" s="82" customFormat="1" ht="32" x14ac:dyDescent="0.4">
      <c r="A472" s="493">
        <v>10137</v>
      </c>
      <c r="B472" s="105" t="s">
        <v>329</v>
      </c>
      <c r="C472" s="493" t="s">
        <v>330</v>
      </c>
      <c r="D472" s="105" t="s">
        <v>743</v>
      </c>
      <c r="E472" s="105" t="s">
        <v>394</v>
      </c>
      <c r="F472" s="493">
        <v>7601</v>
      </c>
      <c r="G472" s="105" t="s">
        <v>36</v>
      </c>
      <c r="H472" s="105" t="s">
        <v>342</v>
      </c>
      <c r="I472" s="105" t="s">
        <v>334</v>
      </c>
      <c r="J472" s="493">
        <v>22</v>
      </c>
      <c r="K472" s="493">
        <v>1</v>
      </c>
      <c r="L472" s="105" t="s">
        <v>335</v>
      </c>
      <c r="M472" s="105" t="s">
        <v>336</v>
      </c>
      <c r="N472" s="105" t="s">
        <v>337</v>
      </c>
      <c r="O472" s="105" t="s">
        <v>338</v>
      </c>
      <c r="P472" s="105" t="s">
        <v>339</v>
      </c>
      <c r="Q472" s="494">
        <v>0</v>
      </c>
      <c r="R472" s="494">
        <v>0</v>
      </c>
      <c r="S472" s="494">
        <v>0</v>
      </c>
      <c r="T472" s="494">
        <v>0</v>
      </c>
      <c r="U472" s="494">
        <v>-30</v>
      </c>
      <c r="V472" s="493">
        <v>2024</v>
      </c>
      <c r="W472" s="495"/>
      <c r="X472" s="496" t="str">
        <f t="shared" si="30"/>
        <v/>
      </c>
      <c r="Y472" s="497" t="str">
        <f t="shared" si="31"/>
        <v/>
      </c>
      <c r="Z472" s="497" t="str">
        <f t="shared" si="31"/>
        <v/>
      </c>
    </row>
    <row r="473" spans="1:26" s="82" customFormat="1" ht="32" x14ac:dyDescent="0.4">
      <c r="A473" s="493">
        <v>10176</v>
      </c>
      <c r="B473" s="105" t="s">
        <v>329</v>
      </c>
      <c r="C473" s="493" t="s">
        <v>330</v>
      </c>
      <c r="D473" s="105" t="s">
        <v>744</v>
      </c>
      <c r="E473" s="105" t="s">
        <v>745</v>
      </c>
      <c r="F473" s="493">
        <v>11724</v>
      </c>
      <c r="G473" s="105" t="s">
        <v>33</v>
      </c>
      <c r="H473" s="105" t="s">
        <v>342</v>
      </c>
      <c r="I473" s="105" t="s">
        <v>334</v>
      </c>
      <c r="J473" s="493">
        <v>22</v>
      </c>
      <c r="K473" s="493">
        <v>2</v>
      </c>
      <c r="L473" s="105" t="s">
        <v>343</v>
      </c>
      <c r="M473" s="105" t="s">
        <v>295</v>
      </c>
      <c r="N473" s="105" t="s">
        <v>242</v>
      </c>
      <c r="O473" s="105" t="s">
        <v>349</v>
      </c>
      <c r="P473" s="105" t="s">
        <v>350</v>
      </c>
      <c r="Q473" s="494">
        <v>1708</v>
      </c>
      <c r="R473" s="494">
        <v>1708</v>
      </c>
      <c r="S473" s="494">
        <v>9565</v>
      </c>
      <c r="T473" s="494">
        <v>9565</v>
      </c>
      <c r="U473" s="494">
        <v>457</v>
      </c>
      <c r="V473" s="493">
        <v>2024</v>
      </c>
      <c r="W473" s="495" t="s">
        <v>355</v>
      </c>
      <c r="X473" s="496">
        <f t="shared" si="30"/>
        <v>20.929978118161927</v>
      </c>
      <c r="Y473" s="497" t="str">
        <f t="shared" si="31"/>
        <v/>
      </c>
      <c r="Z473" s="497" t="str">
        <f t="shared" si="31"/>
        <v/>
      </c>
    </row>
    <row r="474" spans="1:26" s="82" customFormat="1" x14ac:dyDescent="0.4">
      <c r="A474" s="493">
        <v>10183</v>
      </c>
      <c r="B474" s="105" t="s">
        <v>329</v>
      </c>
      <c r="C474" s="493" t="s">
        <v>330</v>
      </c>
      <c r="D474" s="105" t="s">
        <v>746</v>
      </c>
      <c r="E474" s="105" t="s">
        <v>747</v>
      </c>
      <c r="F474" s="493">
        <v>61979</v>
      </c>
      <c r="G474" s="105" t="s">
        <v>35</v>
      </c>
      <c r="H474" s="105" t="s">
        <v>342</v>
      </c>
      <c r="I474" s="105" t="s">
        <v>334</v>
      </c>
      <c r="J474" s="493">
        <v>22</v>
      </c>
      <c r="K474" s="493">
        <v>2</v>
      </c>
      <c r="L474" s="105" t="s">
        <v>343</v>
      </c>
      <c r="M474" s="105" t="s">
        <v>336</v>
      </c>
      <c r="N474" s="105" t="s">
        <v>337</v>
      </c>
      <c r="O474" s="105" t="s">
        <v>338</v>
      </c>
      <c r="P474" s="105" t="s">
        <v>339</v>
      </c>
      <c r="Q474" s="494">
        <v>0</v>
      </c>
      <c r="R474" s="494">
        <v>0</v>
      </c>
      <c r="S474" s="494">
        <v>43349</v>
      </c>
      <c r="T474" s="494">
        <v>43349</v>
      </c>
      <c r="U474" s="494">
        <v>12705</v>
      </c>
      <c r="V474" s="493">
        <v>2024</v>
      </c>
      <c r="W474" s="495"/>
      <c r="X474" s="496">
        <f t="shared" si="30"/>
        <v>3.4119637937819758</v>
      </c>
      <c r="Y474" s="497" t="str">
        <f t="shared" si="31"/>
        <v/>
      </c>
      <c r="Z474" s="497" t="str">
        <f t="shared" si="31"/>
        <v/>
      </c>
    </row>
    <row r="475" spans="1:26" s="82" customFormat="1" ht="32" x14ac:dyDescent="0.4">
      <c r="A475" s="493">
        <v>10186</v>
      </c>
      <c r="B475" s="105" t="s">
        <v>329</v>
      </c>
      <c r="C475" s="493" t="s">
        <v>330</v>
      </c>
      <c r="D475" s="105" t="s">
        <v>748</v>
      </c>
      <c r="E475" s="105" t="s">
        <v>592</v>
      </c>
      <c r="F475" s="493">
        <v>57280</v>
      </c>
      <c r="G475" s="105" t="s">
        <v>34</v>
      </c>
      <c r="H475" s="105" t="s">
        <v>342</v>
      </c>
      <c r="I475" s="105" t="s">
        <v>334</v>
      </c>
      <c r="J475" s="493">
        <v>22</v>
      </c>
      <c r="K475" s="493">
        <v>2</v>
      </c>
      <c r="L475" s="105" t="s">
        <v>343</v>
      </c>
      <c r="M475" s="105" t="s">
        <v>336</v>
      </c>
      <c r="N475" s="105" t="s">
        <v>337</v>
      </c>
      <c r="O475" s="105" t="s">
        <v>338</v>
      </c>
      <c r="P475" s="105" t="s">
        <v>339</v>
      </c>
      <c r="Q475" s="494">
        <v>0</v>
      </c>
      <c r="R475" s="494">
        <v>0</v>
      </c>
      <c r="S475" s="494">
        <v>396860</v>
      </c>
      <c r="T475" s="494">
        <v>396860</v>
      </c>
      <c r="U475" s="494">
        <v>116313</v>
      </c>
      <c r="V475" s="493">
        <v>2024</v>
      </c>
      <c r="W475" s="495"/>
      <c r="X475" s="496">
        <f t="shared" si="30"/>
        <v>3.4120003782896151</v>
      </c>
      <c r="Y475" s="497" t="str">
        <f t="shared" si="31"/>
        <v/>
      </c>
      <c r="Z475" s="497" t="str">
        <f t="shared" si="31"/>
        <v/>
      </c>
    </row>
    <row r="476" spans="1:26" s="82" customFormat="1" ht="32" x14ac:dyDescent="0.4">
      <c r="A476" s="493">
        <v>10186</v>
      </c>
      <c r="B476" s="105" t="s">
        <v>329</v>
      </c>
      <c r="C476" s="493" t="s">
        <v>330</v>
      </c>
      <c r="D476" s="105" t="s">
        <v>748</v>
      </c>
      <c r="E476" s="105" t="s">
        <v>592</v>
      </c>
      <c r="F476" s="493">
        <v>57280</v>
      </c>
      <c r="G476" s="105" t="s">
        <v>34</v>
      </c>
      <c r="H476" s="105" t="s">
        <v>342</v>
      </c>
      <c r="I476" s="105" t="s">
        <v>334</v>
      </c>
      <c r="J476" s="493">
        <v>22</v>
      </c>
      <c r="K476" s="493">
        <v>2</v>
      </c>
      <c r="L476" s="105" t="s">
        <v>343</v>
      </c>
      <c r="M476" s="105" t="s">
        <v>360</v>
      </c>
      <c r="N476" s="105" t="s">
        <v>222</v>
      </c>
      <c r="O476" s="105" t="s">
        <v>479</v>
      </c>
      <c r="P476" s="105" t="s">
        <v>388</v>
      </c>
      <c r="Q476" s="494">
        <v>0</v>
      </c>
      <c r="R476" s="494">
        <v>0</v>
      </c>
      <c r="S476" s="494">
        <v>0</v>
      </c>
      <c r="T476" s="494">
        <v>0</v>
      </c>
      <c r="U476" s="494">
        <v>0</v>
      </c>
      <c r="V476" s="493">
        <v>2024</v>
      </c>
      <c r="W476" s="495"/>
      <c r="X476" s="496" t="str">
        <f t="shared" si="30"/>
        <v/>
      </c>
      <c r="Y476" s="497" t="str">
        <f t="shared" si="31"/>
        <v/>
      </c>
      <c r="Z476" s="497" t="str">
        <f t="shared" si="31"/>
        <v/>
      </c>
    </row>
    <row r="477" spans="1:26" s="82" customFormat="1" ht="32" x14ac:dyDescent="0.4">
      <c r="A477" s="493">
        <v>10186</v>
      </c>
      <c r="B477" s="105" t="s">
        <v>329</v>
      </c>
      <c r="C477" s="493" t="s">
        <v>330</v>
      </c>
      <c r="D477" s="105" t="s">
        <v>748</v>
      </c>
      <c r="E477" s="105" t="s">
        <v>592</v>
      </c>
      <c r="F477" s="493">
        <v>57280</v>
      </c>
      <c r="G477" s="105" t="s">
        <v>34</v>
      </c>
      <c r="H477" s="105" t="s">
        <v>342</v>
      </c>
      <c r="I477" s="105" t="s">
        <v>334</v>
      </c>
      <c r="J477" s="493">
        <v>22</v>
      </c>
      <c r="K477" s="493">
        <v>2</v>
      </c>
      <c r="L477" s="105" t="s">
        <v>343</v>
      </c>
      <c r="M477" s="105" t="s">
        <v>360</v>
      </c>
      <c r="N477" s="105" t="s">
        <v>228</v>
      </c>
      <c r="O477" s="105" t="s">
        <v>228</v>
      </c>
      <c r="P477" s="105" t="s">
        <v>356</v>
      </c>
      <c r="Q477" s="494">
        <v>0</v>
      </c>
      <c r="R477" s="494">
        <v>0</v>
      </c>
      <c r="S477" s="494">
        <v>0</v>
      </c>
      <c r="T477" s="494">
        <v>0</v>
      </c>
      <c r="U477" s="494">
        <v>0</v>
      </c>
      <c r="V477" s="493">
        <v>2024</v>
      </c>
      <c r="W477" s="495"/>
      <c r="X477" s="496" t="str">
        <f t="shared" si="30"/>
        <v/>
      </c>
      <c r="Y477" s="497" t="str">
        <f t="shared" si="31"/>
        <v/>
      </c>
      <c r="Z477" s="497" t="str">
        <f t="shared" si="31"/>
        <v/>
      </c>
    </row>
    <row r="478" spans="1:26" s="82" customFormat="1" ht="32" x14ac:dyDescent="0.4">
      <c r="A478" s="493">
        <v>10186</v>
      </c>
      <c r="B478" s="105" t="s">
        <v>329</v>
      </c>
      <c r="C478" s="493" t="s">
        <v>330</v>
      </c>
      <c r="D478" s="105" t="s">
        <v>748</v>
      </c>
      <c r="E478" s="105" t="s">
        <v>592</v>
      </c>
      <c r="F478" s="493">
        <v>57280</v>
      </c>
      <c r="G478" s="105" t="s">
        <v>34</v>
      </c>
      <c r="H478" s="105" t="s">
        <v>342</v>
      </c>
      <c r="I478" s="105" t="s">
        <v>334</v>
      </c>
      <c r="J478" s="493">
        <v>22</v>
      </c>
      <c r="K478" s="493">
        <v>2</v>
      </c>
      <c r="L478" s="105" t="s">
        <v>343</v>
      </c>
      <c r="M478" s="105" t="s">
        <v>360</v>
      </c>
      <c r="N478" s="105" t="s">
        <v>238</v>
      </c>
      <c r="O478" s="105" t="s">
        <v>238</v>
      </c>
      <c r="P478" s="105" t="s">
        <v>350</v>
      </c>
      <c r="Q478" s="494">
        <v>0</v>
      </c>
      <c r="R478" s="494">
        <v>0</v>
      </c>
      <c r="S478" s="494">
        <v>0</v>
      </c>
      <c r="T478" s="494">
        <v>0</v>
      </c>
      <c r="U478" s="494">
        <v>0</v>
      </c>
      <c r="V478" s="493">
        <v>2024</v>
      </c>
      <c r="W478" s="495"/>
      <c r="X478" s="496" t="str">
        <f t="shared" si="30"/>
        <v/>
      </c>
      <c r="Y478" s="497" t="str">
        <f t="shared" si="31"/>
        <v/>
      </c>
      <c r="Z478" s="497" t="str">
        <f t="shared" si="31"/>
        <v/>
      </c>
    </row>
    <row r="479" spans="1:26" s="82" customFormat="1" ht="32" x14ac:dyDescent="0.4">
      <c r="A479" s="493">
        <v>10190</v>
      </c>
      <c r="B479" s="105" t="s">
        <v>329</v>
      </c>
      <c r="C479" s="493" t="s">
        <v>330</v>
      </c>
      <c r="D479" s="105" t="s">
        <v>749</v>
      </c>
      <c r="E479" s="105" t="s">
        <v>750</v>
      </c>
      <c r="F479" s="493">
        <v>60741</v>
      </c>
      <c r="G479" s="105" t="s">
        <v>52</v>
      </c>
      <c r="H479" s="105" t="s">
        <v>333</v>
      </c>
      <c r="I479" s="105" t="s">
        <v>334</v>
      </c>
      <c r="J479" s="493">
        <v>22</v>
      </c>
      <c r="K479" s="493">
        <v>2</v>
      </c>
      <c r="L479" s="105" t="s">
        <v>343</v>
      </c>
      <c r="M479" s="105" t="s">
        <v>380</v>
      </c>
      <c r="N479" s="105" t="s">
        <v>226</v>
      </c>
      <c r="O479" s="105" t="s">
        <v>226</v>
      </c>
      <c r="P479" s="105" t="s">
        <v>350</v>
      </c>
      <c r="Q479" s="494">
        <v>0</v>
      </c>
      <c r="R479" s="494">
        <v>0</v>
      </c>
      <c r="S479" s="494">
        <v>0</v>
      </c>
      <c r="T479" s="494">
        <v>0</v>
      </c>
      <c r="U479" s="494">
        <v>49.929000000000002</v>
      </c>
      <c r="V479" s="493">
        <v>2024</v>
      </c>
      <c r="W479" s="495" t="s">
        <v>355</v>
      </c>
      <c r="X479" s="496" t="str">
        <f t="shared" si="30"/>
        <v/>
      </c>
      <c r="Y479" s="497" t="str">
        <f t="shared" si="31"/>
        <v/>
      </c>
      <c r="Z479" s="497" t="str">
        <f t="shared" si="31"/>
        <v/>
      </c>
    </row>
    <row r="480" spans="1:26" s="82" customFormat="1" ht="32" x14ac:dyDescent="0.4">
      <c r="A480" s="493">
        <v>10190</v>
      </c>
      <c r="B480" s="105" t="s">
        <v>329</v>
      </c>
      <c r="C480" s="493" t="s">
        <v>330</v>
      </c>
      <c r="D480" s="105" t="s">
        <v>749</v>
      </c>
      <c r="E480" s="105" t="s">
        <v>750</v>
      </c>
      <c r="F480" s="493">
        <v>60741</v>
      </c>
      <c r="G480" s="105" t="s">
        <v>52</v>
      </c>
      <c r="H480" s="105" t="s">
        <v>333</v>
      </c>
      <c r="I480" s="105" t="s">
        <v>334</v>
      </c>
      <c r="J480" s="493">
        <v>22</v>
      </c>
      <c r="K480" s="493">
        <v>2</v>
      </c>
      <c r="L480" s="105" t="s">
        <v>343</v>
      </c>
      <c r="M480" s="105" t="s">
        <v>380</v>
      </c>
      <c r="N480" s="105" t="s">
        <v>228</v>
      </c>
      <c r="O480" s="105" t="s">
        <v>228</v>
      </c>
      <c r="P480" s="105" t="s">
        <v>356</v>
      </c>
      <c r="Q480" s="494">
        <v>54792</v>
      </c>
      <c r="R480" s="494">
        <v>54792</v>
      </c>
      <c r="S480" s="494">
        <v>56436</v>
      </c>
      <c r="T480" s="494">
        <v>56436</v>
      </c>
      <c r="U480" s="494">
        <v>26687.071</v>
      </c>
      <c r="V480" s="493">
        <v>2024</v>
      </c>
      <c r="W480" s="495" t="s">
        <v>355</v>
      </c>
      <c r="X480" s="496">
        <f t="shared" si="30"/>
        <v>2.1147318864629243</v>
      </c>
      <c r="Y480" s="497" t="str">
        <f t="shared" si="31"/>
        <v/>
      </c>
      <c r="Z480" s="497" t="str">
        <f t="shared" si="31"/>
        <v/>
      </c>
    </row>
    <row r="481" spans="1:26" s="82" customFormat="1" ht="32" x14ac:dyDescent="0.4">
      <c r="A481" s="493">
        <v>10190</v>
      </c>
      <c r="B481" s="105" t="s">
        <v>329</v>
      </c>
      <c r="C481" s="493" t="s">
        <v>330</v>
      </c>
      <c r="D481" s="105" t="s">
        <v>749</v>
      </c>
      <c r="E481" s="105" t="s">
        <v>750</v>
      </c>
      <c r="F481" s="493">
        <v>60741</v>
      </c>
      <c r="G481" s="105" t="s">
        <v>52</v>
      </c>
      <c r="H481" s="105" t="s">
        <v>333</v>
      </c>
      <c r="I481" s="105" t="s">
        <v>334</v>
      </c>
      <c r="J481" s="493">
        <v>22</v>
      </c>
      <c r="K481" s="493">
        <v>2</v>
      </c>
      <c r="L481" s="105" t="s">
        <v>343</v>
      </c>
      <c r="M481" s="105" t="s">
        <v>37</v>
      </c>
      <c r="N481" s="105" t="s">
        <v>226</v>
      </c>
      <c r="O481" s="105" t="s">
        <v>226</v>
      </c>
      <c r="P481" s="105" t="s">
        <v>350</v>
      </c>
      <c r="Q481" s="494">
        <v>272</v>
      </c>
      <c r="R481" s="494">
        <v>272</v>
      </c>
      <c r="S481" s="494">
        <v>1602</v>
      </c>
      <c r="T481" s="494">
        <v>1602</v>
      </c>
      <c r="U481" s="494">
        <v>129.631</v>
      </c>
      <c r="V481" s="493">
        <v>2024</v>
      </c>
      <c r="W481" s="495" t="s">
        <v>355</v>
      </c>
      <c r="X481" s="496">
        <f t="shared" si="30"/>
        <v>12.358155070932106</v>
      </c>
      <c r="Y481" s="497" t="str">
        <f t="shared" si="31"/>
        <v/>
      </c>
      <c r="Z481" s="497" t="str">
        <f t="shared" si="31"/>
        <v/>
      </c>
    </row>
    <row r="482" spans="1:26" s="82" customFormat="1" ht="32" x14ac:dyDescent="0.4">
      <c r="A482" s="493">
        <v>10190</v>
      </c>
      <c r="B482" s="105" t="s">
        <v>329</v>
      </c>
      <c r="C482" s="493" t="s">
        <v>330</v>
      </c>
      <c r="D482" s="105" t="s">
        <v>749</v>
      </c>
      <c r="E482" s="105" t="s">
        <v>750</v>
      </c>
      <c r="F482" s="493">
        <v>60741</v>
      </c>
      <c r="G482" s="105" t="s">
        <v>52</v>
      </c>
      <c r="H482" s="105" t="s">
        <v>333</v>
      </c>
      <c r="I482" s="105" t="s">
        <v>334</v>
      </c>
      <c r="J482" s="493">
        <v>22</v>
      </c>
      <c r="K482" s="493">
        <v>2</v>
      </c>
      <c r="L482" s="105" t="s">
        <v>343</v>
      </c>
      <c r="M482" s="105" t="s">
        <v>37</v>
      </c>
      <c r="N482" s="105" t="s">
        <v>228</v>
      </c>
      <c r="O482" s="105" t="s">
        <v>228</v>
      </c>
      <c r="P482" s="105" t="s">
        <v>356</v>
      </c>
      <c r="Q482" s="494">
        <v>729801</v>
      </c>
      <c r="R482" s="494">
        <v>729801</v>
      </c>
      <c r="S482" s="494">
        <v>751695</v>
      </c>
      <c r="T482" s="494">
        <v>751695</v>
      </c>
      <c r="U482" s="494">
        <v>60188.368999999999</v>
      </c>
      <c r="V482" s="493">
        <v>2024</v>
      </c>
      <c r="W482" s="495" t="s">
        <v>355</v>
      </c>
      <c r="X482" s="496">
        <f t="shared" si="30"/>
        <v>12.489040864357033</v>
      </c>
      <c r="Y482" s="497" t="str">
        <f t="shared" si="31"/>
        <v/>
      </c>
      <c r="Z482" s="497" t="str">
        <f t="shared" si="31"/>
        <v/>
      </c>
    </row>
    <row r="483" spans="1:26" s="82" customFormat="1" ht="32" x14ac:dyDescent="0.4">
      <c r="A483" s="493">
        <v>10196</v>
      </c>
      <c r="B483" s="105" t="s">
        <v>329</v>
      </c>
      <c r="C483" s="493" t="s">
        <v>330</v>
      </c>
      <c r="D483" s="105" t="s">
        <v>751</v>
      </c>
      <c r="E483" s="105" t="s">
        <v>752</v>
      </c>
      <c r="F483" s="493">
        <v>60023</v>
      </c>
      <c r="G483" s="105" t="s">
        <v>52</v>
      </c>
      <c r="H483" s="105" t="s">
        <v>333</v>
      </c>
      <c r="I483" s="105" t="s">
        <v>334</v>
      </c>
      <c r="J483" s="493">
        <v>22</v>
      </c>
      <c r="K483" s="493">
        <v>2</v>
      </c>
      <c r="L483" s="105" t="s">
        <v>343</v>
      </c>
      <c r="M483" s="105" t="s">
        <v>336</v>
      </c>
      <c r="N483" s="105" t="s">
        <v>337</v>
      </c>
      <c r="O483" s="105" t="s">
        <v>338</v>
      </c>
      <c r="P483" s="105" t="s">
        <v>339</v>
      </c>
      <c r="Q483" s="494">
        <v>0</v>
      </c>
      <c r="R483" s="494">
        <v>0</v>
      </c>
      <c r="S483" s="494">
        <v>152156</v>
      </c>
      <c r="T483" s="494">
        <v>152156</v>
      </c>
      <c r="U483" s="494">
        <v>44594</v>
      </c>
      <c r="V483" s="493">
        <v>2024</v>
      </c>
      <c r="W483" s="495"/>
      <c r="X483" s="496">
        <f t="shared" si="30"/>
        <v>3.4120285240166837</v>
      </c>
      <c r="Y483" s="497" t="str">
        <f t="shared" si="31"/>
        <v/>
      </c>
      <c r="Z483" s="497" t="str">
        <f t="shared" si="31"/>
        <v/>
      </c>
    </row>
    <row r="484" spans="1:26" s="82" customFormat="1" ht="32" x14ac:dyDescent="0.4">
      <c r="A484" s="493">
        <v>10197</v>
      </c>
      <c r="B484" s="105" t="s">
        <v>329</v>
      </c>
      <c r="C484" s="493" t="s">
        <v>330</v>
      </c>
      <c r="D484" s="105" t="s">
        <v>753</v>
      </c>
      <c r="E484" s="105" t="s">
        <v>752</v>
      </c>
      <c r="F484" s="493">
        <v>60023</v>
      </c>
      <c r="G484" s="105" t="s">
        <v>52</v>
      </c>
      <c r="H484" s="105" t="s">
        <v>333</v>
      </c>
      <c r="I484" s="105" t="s">
        <v>334</v>
      </c>
      <c r="J484" s="493">
        <v>22</v>
      </c>
      <c r="K484" s="493">
        <v>2</v>
      </c>
      <c r="L484" s="105" t="s">
        <v>343</v>
      </c>
      <c r="M484" s="105" t="s">
        <v>336</v>
      </c>
      <c r="N484" s="105" t="s">
        <v>337</v>
      </c>
      <c r="O484" s="105" t="s">
        <v>338</v>
      </c>
      <c r="P484" s="105" t="s">
        <v>339</v>
      </c>
      <c r="Q484" s="494">
        <v>0</v>
      </c>
      <c r="R484" s="494">
        <v>0</v>
      </c>
      <c r="S484" s="494">
        <v>36497</v>
      </c>
      <c r="T484" s="494">
        <v>36497</v>
      </c>
      <c r="U484" s="494">
        <v>10697</v>
      </c>
      <c r="V484" s="493">
        <v>2024</v>
      </c>
      <c r="W484" s="495"/>
      <c r="X484" s="496">
        <f t="shared" si="30"/>
        <v>3.4118911844442366</v>
      </c>
      <c r="Y484" s="497" t="str">
        <f t="shared" si="31"/>
        <v/>
      </c>
      <c r="Z484" s="497" t="str">
        <f t="shared" si="31"/>
        <v/>
      </c>
    </row>
    <row r="485" spans="1:26" s="82" customFormat="1" ht="32" x14ac:dyDescent="0.4">
      <c r="A485" s="493">
        <v>10214</v>
      </c>
      <c r="B485" s="105" t="s">
        <v>329</v>
      </c>
      <c r="C485" s="493" t="s">
        <v>330</v>
      </c>
      <c r="D485" s="105" t="s">
        <v>754</v>
      </c>
      <c r="E485" s="105" t="s">
        <v>755</v>
      </c>
      <c r="F485" s="493">
        <v>64078</v>
      </c>
      <c r="G485" s="105" t="s">
        <v>52</v>
      </c>
      <c r="H485" s="105" t="s">
        <v>333</v>
      </c>
      <c r="I485" s="105" t="s">
        <v>334</v>
      </c>
      <c r="J485" s="493">
        <v>22</v>
      </c>
      <c r="K485" s="493">
        <v>2</v>
      </c>
      <c r="L485" s="105" t="s">
        <v>343</v>
      </c>
      <c r="M485" s="105" t="s">
        <v>336</v>
      </c>
      <c r="N485" s="105" t="s">
        <v>337</v>
      </c>
      <c r="O485" s="105" t="s">
        <v>338</v>
      </c>
      <c r="P485" s="105" t="s">
        <v>339</v>
      </c>
      <c r="Q485" s="494">
        <v>0</v>
      </c>
      <c r="R485" s="494">
        <v>0</v>
      </c>
      <c r="S485" s="494">
        <v>37052</v>
      </c>
      <c r="T485" s="494">
        <v>37052</v>
      </c>
      <c r="U485" s="494">
        <v>10859</v>
      </c>
      <c r="V485" s="493">
        <v>2024</v>
      </c>
      <c r="W485" s="495"/>
      <c r="X485" s="496">
        <f t="shared" si="30"/>
        <v>3.4121005617460169</v>
      </c>
      <c r="Y485" s="497" t="str">
        <f t="shared" si="31"/>
        <v/>
      </c>
      <c r="Z485" s="497" t="str">
        <f t="shared" si="31"/>
        <v/>
      </c>
    </row>
    <row r="486" spans="1:26" s="82" customFormat="1" ht="32" x14ac:dyDescent="0.4">
      <c r="A486" s="493">
        <v>10218</v>
      </c>
      <c r="B486" s="105" t="s">
        <v>329</v>
      </c>
      <c r="C486" s="493" t="s">
        <v>330</v>
      </c>
      <c r="D486" s="105" t="s">
        <v>756</v>
      </c>
      <c r="E486" s="105" t="s">
        <v>757</v>
      </c>
      <c r="F486" s="493">
        <v>55754</v>
      </c>
      <c r="G486" s="105" t="s">
        <v>52</v>
      </c>
      <c r="H486" s="105" t="s">
        <v>333</v>
      </c>
      <c r="I486" s="105" t="s">
        <v>334</v>
      </c>
      <c r="J486" s="493">
        <v>22</v>
      </c>
      <c r="K486" s="493">
        <v>2</v>
      </c>
      <c r="L486" s="105" t="s">
        <v>343</v>
      </c>
      <c r="M486" s="105" t="s">
        <v>336</v>
      </c>
      <c r="N486" s="105" t="s">
        <v>337</v>
      </c>
      <c r="O486" s="105" t="s">
        <v>338</v>
      </c>
      <c r="P486" s="105" t="s">
        <v>339</v>
      </c>
      <c r="Q486" s="494">
        <v>0</v>
      </c>
      <c r="R486" s="494">
        <v>0</v>
      </c>
      <c r="S486" s="494">
        <v>36419</v>
      </c>
      <c r="T486" s="494">
        <v>36419</v>
      </c>
      <c r="U486" s="494">
        <v>10674</v>
      </c>
      <c r="V486" s="493">
        <v>2024</v>
      </c>
      <c r="W486" s="495"/>
      <c r="X486" s="496">
        <f t="shared" si="30"/>
        <v>3.4119355443132848</v>
      </c>
      <c r="Y486" s="497" t="str">
        <f t="shared" si="31"/>
        <v/>
      </c>
      <c r="Z486" s="497" t="str">
        <f t="shared" si="31"/>
        <v/>
      </c>
    </row>
    <row r="487" spans="1:26" s="82" customFormat="1" ht="32" x14ac:dyDescent="0.4">
      <c r="A487" s="493">
        <v>10219</v>
      </c>
      <c r="B487" s="105" t="s">
        <v>329</v>
      </c>
      <c r="C487" s="493" t="s">
        <v>330</v>
      </c>
      <c r="D487" s="105" t="s">
        <v>758</v>
      </c>
      <c r="E487" s="105" t="s">
        <v>757</v>
      </c>
      <c r="F487" s="493">
        <v>55754</v>
      </c>
      <c r="G487" s="105" t="s">
        <v>52</v>
      </c>
      <c r="H487" s="105" t="s">
        <v>333</v>
      </c>
      <c r="I487" s="105" t="s">
        <v>334</v>
      </c>
      <c r="J487" s="493">
        <v>22</v>
      </c>
      <c r="K487" s="493">
        <v>2</v>
      </c>
      <c r="L487" s="105" t="s">
        <v>343</v>
      </c>
      <c r="M487" s="105" t="s">
        <v>336</v>
      </c>
      <c r="N487" s="105" t="s">
        <v>337</v>
      </c>
      <c r="O487" s="105" t="s">
        <v>338</v>
      </c>
      <c r="P487" s="105" t="s">
        <v>339</v>
      </c>
      <c r="Q487" s="494">
        <v>0</v>
      </c>
      <c r="R487" s="494">
        <v>0</v>
      </c>
      <c r="S487" s="494">
        <v>34395</v>
      </c>
      <c r="T487" s="494">
        <v>34395</v>
      </c>
      <c r="U487" s="494">
        <v>10080</v>
      </c>
      <c r="V487" s="493">
        <v>2024</v>
      </c>
      <c r="W487" s="495"/>
      <c r="X487" s="496">
        <f t="shared" si="30"/>
        <v>3.4122023809523809</v>
      </c>
      <c r="Y487" s="497" t="str">
        <f t="shared" si="31"/>
        <v/>
      </c>
      <c r="Z487" s="497" t="str">
        <f t="shared" si="31"/>
        <v/>
      </c>
    </row>
    <row r="488" spans="1:26" s="82" customFormat="1" ht="32" x14ac:dyDescent="0.4">
      <c r="A488" s="493">
        <v>10220</v>
      </c>
      <c r="B488" s="105" t="s">
        <v>329</v>
      </c>
      <c r="C488" s="493" t="s">
        <v>330</v>
      </c>
      <c r="D488" s="105" t="s">
        <v>759</v>
      </c>
      <c r="E488" s="105" t="s">
        <v>757</v>
      </c>
      <c r="F488" s="493">
        <v>55754</v>
      </c>
      <c r="G488" s="105" t="s">
        <v>52</v>
      </c>
      <c r="H488" s="105" t="s">
        <v>333</v>
      </c>
      <c r="I488" s="105" t="s">
        <v>334</v>
      </c>
      <c r="J488" s="493">
        <v>22</v>
      </c>
      <c r="K488" s="493">
        <v>2</v>
      </c>
      <c r="L488" s="105" t="s">
        <v>343</v>
      </c>
      <c r="M488" s="105" t="s">
        <v>336</v>
      </c>
      <c r="N488" s="105" t="s">
        <v>337</v>
      </c>
      <c r="O488" s="105" t="s">
        <v>338</v>
      </c>
      <c r="P488" s="105" t="s">
        <v>339</v>
      </c>
      <c r="Q488" s="494">
        <v>0</v>
      </c>
      <c r="R488" s="494">
        <v>0</v>
      </c>
      <c r="S488" s="494">
        <v>53661</v>
      </c>
      <c r="T488" s="494">
        <v>53661</v>
      </c>
      <c r="U488" s="494">
        <v>15727</v>
      </c>
      <c r="V488" s="493">
        <v>2024</v>
      </c>
      <c r="W488" s="495"/>
      <c r="X488" s="496">
        <f t="shared" si="30"/>
        <v>3.4120302664208051</v>
      </c>
      <c r="Y488" s="497" t="str">
        <f t="shared" ref="Y488:Z507" si="32">IF(AND($M488=$Y$2,$N488=$Y$3,NOT($Q488=$R488),NOT($U488=0)),IF($K488=5,$S488/($U488+(8/5)*$U488),IF($K488=7,$S488/($U488+(29/25)*$U488),"")),"")</f>
        <v/>
      </c>
      <c r="Z488" s="497" t="str">
        <f t="shared" si="32"/>
        <v/>
      </c>
    </row>
    <row r="489" spans="1:26" s="82" customFormat="1" ht="32" x14ac:dyDescent="0.4">
      <c r="A489" s="493">
        <v>10221</v>
      </c>
      <c r="B489" s="105" t="s">
        <v>329</v>
      </c>
      <c r="C489" s="493" t="s">
        <v>330</v>
      </c>
      <c r="D489" s="105" t="s">
        <v>760</v>
      </c>
      <c r="E489" s="105" t="s">
        <v>757</v>
      </c>
      <c r="F489" s="493">
        <v>55754</v>
      </c>
      <c r="G489" s="105" t="s">
        <v>52</v>
      </c>
      <c r="H489" s="105" t="s">
        <v>333</v>
      </c>
      <c r="I489" s="105" t="s">
        <v>334</v>
      </c>
      <c r="J489" s="493">
        <v>22</v>
      </c>
      <c r="K489" s="493">
        <v>2</v>
      </c>
      <c r="L489" s="105" t="s">
        <v>343</v>
      </c>
      <c r="M489" s="105" t="s">
        <v>336</v>
      </c>
      <c r="N489" s="105" t="s">
        <v>337</v>
      </c>
      <c r="O489" s="105" t="s">
        <v>338</v>
      </c>
      <c r="P489" s="105" t="s">
        <v>339</v>
      </c>
      <c r="Q489" s="494">
        <v>0</v>
      </c>
      <c r="R489" s="494">
        <v>0</v>
      </c>
      <c r="S489" s="494">
        <v>143239</v>
      </c>
      <c r="T489" s="494">
        <v>143239</v>
      </c>
      <c r="U489" s="494">
        <v>41981</v>
      </c>
      <c r="V489" s="493">
        <v>2024</v>
      </c>
      <c r="W489" s="495"/>
      <c r="X489" s="496">
        <f t="shared" si="30"/>
        <v>3.4119959029084588</v>
      </c>
      <c r="Y489" s="497" t="str">
        <f t="shared" si="32"/>
        <v/>
      </c>
      <c r="Z489" s="497" t="str">
        <f t="shared" si="32"/>
        <v/>
      </c>
    </row>
    <row r="490" spans="1:26" s="82" customFormat="1" ht="32" x14ac:dyDescent="0.4">
      <c r="A490" s="493">
        <v>10237</v>
      </c>
      <c r="B490" s="105" t="s">
        <v>329</v>
      </c>
      <c r="C490" s="493" t="s">
        <v>330</v>
      </c>
      <c r="D490" s="105" t="s">
        <v>761</v>
      </c>
      <c r="E490" s="105" t="s">
        <v>752</v>
      </c>
      <c r="F490" s="493">
        <v>60023</v>
      </c>
      <c r="G490" s="105" t="s">
        <v>52</v>
      </c>
      <c r="H490" s="105" t="s">
        <v>333</v>
      </c>
      <c r="I490" s="105" t="s">
        <v>334</v>
      </c>
      <c r="J490" s="493">
        <v>22</v>
      </c>
      <c r="K490" s="493">
        <v>2</v>
      </c>
      <c r="L490" s="105" t="s">
        <v>343</v>
      </c>
      <c r="M490" s="105" t="s">
        <v>336</v>
      </c>
      <c r="N490" s="105" t="s">
        <v>337</v>
      </c>
      <c r="O490" s="105" t="s">
        <v>338</v>
      </c>
      <c r="P490" s="105" t="s">
        <v>339</v>
      </c>
      <c r="Q490" s="494">
        <v>0</v>
      </c>
      <c r="R490" s="494">
        <v>0</v>
      </c>
      <c r="S490" s="494">
        <v>26345</v>
      </c>
      <c r="T490" s="494">
        <v>26345</v>
      </c>
      <c r="U490" s="494">
        <v>7721</v>
      </c>
      <c r="V490" s="493">
        <v>2024</v>
      </c>
      <c r="W490" s="495"/>
      <c r="X490" s="496">
        <f t="shared" si="30"/>
        <v>3.412122782023054</v>
      </c>
      <c r="Y490" s="497" t="str">
        <f t="shared" si="32"/>
        <v/>
      </c>
      <c r="Z490" s="497" t="str">
        <f t="shared" si="32"/>
        <v/>
      </c>
    </row>
    <row r="491" spans="1:26" s="82" customFormat="1" ht="32" x14ac:dyDescent="0.4">
      <c r="A491" s="493">
        <v>10238</v>
      </c>
      <c r="B491" s="105" t="s">
        <v>329</v>
      </c>
      <c r="C491" s="493" t="s">
        <v>330</v>
      </c>
      <c r="D491" s="105" t="s">
        <v>762</v>
      </c>
      <c r="E491" s="105" t="s">
        <v>752</v>
      </c>
      <c r="F491" s="493">
        <v>60023</v>
      </c>
      <c r="G491" s="105" t="s">
        <v>52</v>
      </c>
      <c r="H491" s="105" t="s">
        <v>333</v>
      </c>
      <c r="I491" s="105" t="s">
        <v>334</v>
      </c>
      <c r="J491" s="493">
        <v>22</v>
      </c>
      <c r="K491" s="493">
        <v>2</v>
      </c>
      <c r="L491" s="105" t="s">
        <v>343</v>
      </c>
      <c r="M491" s="105" t="s">
        <v>336</v>
      </c>
      <c r="N491" s="105" t="s">
        <v>337</v>
      </c>
      <c r="O491" s="105" t="s">
        <v>338</v>
      </c>
      <c r="P491" s="105" t="s">
        <v>339</v>
      </c>
      <c r="Q491" s="494">
        <v>0</v>
      </c>
      <c r="R491" s="494">
        <v>0</v>
      </c>
      <c r="S491" s="494">
        <v>39639</v>
      </c>
      <c r="T491" s="494">
        <v>39639</v>
      </c>
      <c r="U491" s="494">
        <v>11618</v>
      </c>
      <c r="V491" s="493">
        <v>2024</v>
      </c>
      <c r="W491" s="495"/>
      <c r="X491" s="496">
        <f t="shared" si="30"/>
        <v>3.4118609054914786</v>
      </c>
      <c r="Y491" s="497" t="str">
        <f t="shared" si="32"/>
        <v/>
      </c>
      <c r="Z491" s="497" t="str">
        <f t="shared" si="32"/>
        <v/>
      </c>
    </row>
    <row r="492" spans="1:26" s="82" customFormat="1" ht="32" x14ac:dyDescent="0.4">
      <c r="A492" s="493">
        <v>10255</v>
      </c>
      <c r="B492" s="105" t="s">
        <v>329</v>
      </c>
      <c r="C492" s="493" t="s">
        <v>330</v>
      </c>
      <c r="D492" s="105" t="s">
        <v>763</v>
      </c>
      <c r="E492" s="105" t="s">
        <v>399</v>
      </c>
      <c r="F492" s="493">
        <v>59178</v>
      </c>
      <c r="G492" s="105" t="s">
        <v>34</v>
      </c>
      <c r="H492" s="105" t="s">
        <v>342</v>
      </c>
      <c r="I492" s="105" t="s">
        <v>334</v>
      </c>
      <c r="J492" s="493">
        <v>22</v>
      </c>
      <c r="K492" s="493">
        <v>2</v>
      </c>
      <c r="L492" s="105" t="s">
        <v>343</v>
      </c>
      <c r="M492" s="105" t="s">
        <v>336</v>
      </c>
      <c r="N492" s="105" t="s">
        <v>337</v>
      </c>
      <c r="O492" s="105" t="s">
        <v>338</v>
      </c>
      <c r="P492" s="105" t="s">
        <v>339</v>
      </c>
      <c r="Q492" s="494">
        <v>0</v>
      </c>
      <c r="R492" s="494">
        <v>0</v>
      </c>
      <c r="S492" s="494">
        <v>264378</v>
      </c>
      <c r="T492" s="494">
        <v>264378</v>
      </c>
      <c r="U492" s="494">
        <v>77485</v>
      </c>
      <c r="V492" s="493">
        <v>2024</v>
      </c>
      <c r="W492" s="495"/>
      <c r="X492" s="496">
        <f t="shared" si="30"/>
        <v>3.4119894173065757</v>
      </c>
      <c r="Y492" s="497" t="str">
        <f t="shared" si="32"/>
        <v/>
      </c>
      <c r="Z492" s="497" t="str">
        <f t="shared" si="32"/>
        <v/>
      </c>
    </row>
    <row r="493" spans="1:26" s="82" customFormat="1" ht="32" x14ac:dyDescent="0.4">
      <c r="A493" s="493">
        <v>10276</v>
      </c>
      <c r="B493" s="105" t="s">
        <v>329</v>
      </c>
      <c r="C493" s="493" t="s">
        <v>330</v>
      </c>
      <c r="D493" s="105" t="s">
        <v>764</v>
      </c>
      <c r="E493" s="105" t="s">
        <v>592</v>
      </c>
      <c r="F493" s="493">
        <v>57280</v>
      </c>
      <c r="G493" s="105" t="s">
        <v>35</v>
      </c>
      <c r="H493" s="105" t="s">
        <v>342</v>
      </c>
      <c r="I493" s="105" t="s">
        <v>334</v>
      </c>
      <c r="J493" s="493">
        <v>22</v>
      </c>
      <c r="K493" s="493">
        <v>2</v>
      </c>
      <c r="L493" s="105" t="s">
        <v>343</v>
      </c>
      <c r="M493" s="105" t="s">
        <v>336</v>
      </c>
      <c r="N493" s="105" t="s">
        <v>337</v>
      </c>
      <c r="O493" s="105" t="s">
        <v>338</v>
      </c>
      <c r="P493" s="105" t="s">
        <v>339</v>
      </c>
      <c r="Q493" s="494">
        <v>0</v>
      </c>
      <c r="R493" s="494">
        <v>0</v>
      </c>
      <c r="S493" s="494">
        <v>30278</v>
      </c>
      <c r="T493" s="494">
        <v>30278</v>
      </c>
      <c r="U493" s="494">
        <v>8874</v>
      </c>
      <c r="V493" s="493">
        <v>2024</v>
      </c>
      <c r="W493" s="495"/>
      <c r="X493" s="496">
        <f t="shared" si="30"/>
        <v>3.4119900833896777</v>
      </c>
      <c r="Y493" s="497" t="str">
        <f t="shared" si="32"/>
        <v/>
      </c>
      <c r="Z493" s="497" t="str">
        <f t="shared" si="32"/>
        <v/>
      </c>
    </row>
    <row r="494" spans="1:26" s="82" customFormat="1" ht="32" x14ac:dyDescent="0.4">
      <c r="A494" s="493">
        <v>10286</v>
      </c>
      <c r="B494" s="105" t="s">
        <v>329</v>
      </c>
      <c r="C494" s="493" t="s">
        <v>330</v>
      </c>
      <c r="D494" s="105" t="s">
        <v>765</v>
      </c>
      <c r="E494" s="105" t="s">
        <v>765</v>
      </c>
      <c r="F494" s="493">
        <v>4386</v>
      </c>
      <c r="G494" s="105" t="s">
        <v>52</v>
      </c>
      <c r="H494" s="105" t="s">
        <v>333</v>
      </c>
      <c r="I494" s="105" t="s">
        <v>334</v>
      </c>
      <c r="J494" s="493">
        <v>611</v>
      </c>
      <c r="K494" s="493">
        <v>4</v>
      </c>
      <c r="L494" s="105" t="s">
        <v>766</v>
      </c>
      <c r="M494" s="105" t="s">
        <v>336</v>
      </c>
      <c r="N494" s="105" t="s">
        <v>337</v>
      </c>
      <c r="O494" s="105" t="s">
        <v>338</v>
      </c>
      <c r="P494" s="105" t="s">
        <v>339</v>
      </c>
      <c r="Q494" s="494">
        <v>0</v>
      </c>
      <c r="R494" s="494">
        <v>0</v>
      </c>
      <c r="S494" s="494">
        <v>11765</v>
      </c>
      <c r="T494" s="494">
        <v>11765</v>
      </c>
      <c r="U494" s="494">
        <v>3448</v>
      </c>
      <c r="V494" s="493">
        <v>2024</v>
      </c>
      <c r="W494" s="495"/>
      <c r="X494" s="496" t="str">
        <f t="shared" si="30"/>
        <v/>
      </c>
      <c r="Y494" s="497" t="str">
        <f t="shared" si="32"/>
        <v/>
      </c>
      <c r="Z494" s="497" t="str">
        <f t="shared" si="32"/>
        <v/>
      </c>
    </row>
    <row r="495" spans="1:26" s="82" customFormat="1" ht="32" x14ac:dyDescent="0.4">
      <c r="A495" s="493">
        <v>10290</v>
      </c>
      <c r="B495" s="105" t="s">
        <v>329</v>
      </c>
      <c r="C495" s="493" t="s">
        <v>330</v>
      </c>
      <c r="D495" s="105" t="s">
        <v>767</v>
      </c>
      <c r="E495" s="105" t="s">
        <v>768</v>
      </c>
      <c r="F495" s="493">
        <v>2226</v>
      </c>
      <c r="G495" s="105" t="s">
        <v>35</v>
      </c>
      <c r="H495" s="105" t="s">
        <v>342</v>
      </c>
      <c r="I495" s="105" t="s">
        <v>334</v>
      </c>
      <c r="J495" s="493">
        <v>22</v>
      </c>
      <c r="K495" s="493">
        <v>2</v>
      </c>
      <c r="L495" s="105" t="s">
        <v>343</v>
      </c>
      <c r="M495" s="105" t="s">
        <v>360</v>
      </c>
      <c r="N495" s="105" t="s">
        <v>226</v>
      </c>
      <c r="O495" s="105" t="s">
        <v>226</v>
      </c>
      <c r="P495" s="105" t="s">
        <v>350</v>
      </c>
      <c r="Q495" s="494">
        <v>1172</v>
      </c>
      <c r="R495" s="494">
        <v>1172</v>
      </c>
      <c r="S495" s="494">
        <v>6820</v>
      </c>
      <c r="T495" s="494">
        <v>6820</v>
      </c>
      <c r="U495" s="494">
        <v>426.71699999999998</v>
      </c>
      <c r="V495" s="493">
        <v>2024</v>
      </c>
      <c r="W495" s="495"/>
      <c r="X495" s="496">
        <f t="shared" si="30"/>
        <v>15.982489565684048</v>
      </c>
      <c r="Y495" s="497" t="str">
        <f t="shared" si="32"/>
        <v/>
      </c>
      <c r="Z495" s="497" t="str">
        <f t="shared" si="32"/>
        <v/>
      </c>
    </row>
    <row r="496" spans="1:26" s="82" customFormat="1" ht="32" x14ac:dyDescent="0.4">
      <c r="A496" s="493">
        <v>10290</v>
      </c>
      <c r="B496" s="105" t="s">
        <v>329</v>
      </c>
      <c r="C496" s="493" t="s">
        <v>330</v>
      </c>
      <c r="D496" s="105" t="s">
        <v>767</v>
      </c>
      <c r="E496" s="105" t="s">
        <v>768</v>
      </c>
      <c r="F496" s="493">
        <v>2226</v>
      </c>
      <c r="G496" s="105" t="s">
        <v>35</v>
      </c>
      <c r="H496" s="105" t="s">
        <v>342</v>
      </c>
      <c r="I496" s="105" t="s">
        <v>334</v>
      </c>
      <c r="J496" s="493">
        <v>22</v>
      </c>
      <c r="K496" s="493">
        <v>2</v>
      </c>
      <c r="L496" s="105" t="s">
        <v>343</v>
      </c>
      <c r="M496" s="105" t="s">
        <v>360</v>
      </c>
      <c r="N496" s="105" t="s">
        <v>258</v>
      </c>
      <c r="O496" s="105" t="s">
        <v>387</v>
      </c>
      <c r="P496" s="105" t="s">
        <v>388</v>
      </c>
      <c r="Q496" s="494">
        <v>172105</v>
      </c>
      <c r="R496" s="494">
        <v>172105</v>
      </c>
      <c r="S496" s="494">
        <v>1462895</v>
      </c>
      <c r="T496" s="494">
        <v>1462895</v>
      </c>
      <c r="U496" s="494">
        <v>92605.282999999996</v>
      </c>
      <c r="V496" s="493">
        <v>2024</v>
      </c>
      <c r="W496" s="495"/>
      <c r="X496" s="496">
        <f t="shared" si="30"/>
        <v>15.797100906219358</v>
      </c>
      <c r="Y496" s="497" t="str">
        <f t="shared" si="32"/>
        <v/>
      </c>
      <c r="Z496" s="497" t="str">
        <f t="shared" si="32"/>
        <v/>
      </c>
    </row>
    <row r="497" spans="1:26" s="82" customFormat="1" ht="32" x14ac:dyDescent="0.4">
      <c r="A497" s="493">
        <v>10305</v>
      </c>
      <c r="B497" s="105" t="s">
        <v>433</v>
      </c>
      <c r="C497" s="493" t="s">
        <v>330</v>
      </c>
      <c r="D497" s="105" t="s">
        <v>769</v>
      </c>
      <c r="E497" s="105" t="s">
        <v>770</v>
      </c>
      <c r="F497" s="493">
        <v>12834</v>
      </c>
      <c r="G497" s="105" t="s">
        <v>52</v>
      </c>
      <c r="H497" s="105" t="s">
        <v>333</v>
      </c>
      <c r="I497" s="105" t="s">
        <v>334</v>
      </c>
      <c r="J497" s="493">
        <v>562213</v>
      </c>
      <c r="K497" s="493">
        <v>5</v>
      </c>
      <c r="L497" s="105" t="s">
        <v>771</v>
      </c>
      <c r="M497" s="105" t="s">
        <v>360</v>
      </c>
      <c r="N497" s="105" t="s">
        <v>226</v>
      </c>
      <c r="O497" s="105" t="s">
        <v>226</v>
      </c>
      <c r="P497" s="105" t="s">
        <v>350</v>
      </c>
      <c r="Q497" s="494">
        <v>0</v>
      </c>
      <c r="R497" s="494">
        <v>0</v>
      </c>
      <c r="S497" s="494">
        <v>0</v>
      </c>
      <c r="T497" s="494">
        <v>0</v>
      </c>
      <c r="U497" s="494">
        <v>0</v>
      </c>
      <c r="V497" s="493">
        <v>2024</v>
      </c>
      <c r="W497" s="495"/>
      <c r="X497" s="496" t="str">
        <f t="shared" si="30"/>
        <v/>
      </c>
      <c r="Y497" s="497" t="str">
        <f t="shared" si="32"/>
        <v/>
      </c>
      <c r="Z497" s="497" t="str">
        <f t="shared" si="32"/>
        <v/>
      </c>
    </row>
    <row r="498" spans="1:26" s="82" customFormat="1" ht="32" x14ac:dyDescent="0.4">
      <c r="A498" s="493">
        <v>10305</v>
      </c>
      <c r="B498" s="105" t="s">
        <v>433</v>
      </c>
      <c r="C498" s="493" t="s">
        <v>330</v>
      </c>
      <c r="D498" s="105" t="s">
        <v>769</v>
      </c>
      <c r="E498" s="105" t="s">
        <v>770</v>
      </c>
      <c r="F498" s="493">
        <v>12834</v>
      </c>
      <c r="G498" s="105" t="s">
        <v>52</v>
      </c>
      <c r="H498" s="105" t="s">
        <v>333</v>
      </c>
      <c r="I498" s="105" t="s">
        <v>334</v>
      </c>
      <c r="J498" s="493">
        <v>562213</v>
      </c>
      <c r="K498" s="493">
        <v>5</v>
      </c>
      <c r="L498" s="105" t="s">
        <v>771</v>
      </c>
      <c r="M498" s="105" t="s">
        <v>360</v>
      </c>
      <c r="N498" s="105" t="s">
        <v>254</v>
      </c>
      <c r="O498" s="105" t="s">
        <v>688</v>
      </c>
      <c r="P498" s="105" t="s">
        <v>388</v>
      </c>
      <c r="Q498" s="494">
        <v>75967</v>
      </c>
      <c r="R498" s="494">
        <v>19842</v>
      </c>
      <c r="S498" s="494">
        <v>504344</v>
      </c>
      <c r="T498" s="494">
        <v>131730</v>
      </c>
      <c r="U498" s="494">
        <v>3978.9050000000002</v>
      </c>
      <c r="V498" s="493">
        <v>2024</v>
      </c>
      <c r="W498" s="495"/>
      <c r="X498" s="496" t="str">
        <f t="shared" si="30"/>
        <v/>
      </c>
      <c r="Y498" s="497" t="str">
        <f t="shared" si="32"/>
        <v/>
      </c>
      <c r="Z498" s="497" t="str">
        <f t="shared" si="32"/>
        <v/>
      </c>
    </row>
    <row r="499" spans="1:26" s="82" customFormat="1" ht="32" x14ac:dyDescent="0.4">
      <c r="A499" s="493">
        <v>10305</v>
      </c>
      <c r="B499" s="105" t="s">
        <v>433</v>
      </c>
      <c r="C499" s="493" t="s">
        <v>330</v>
      </c>
      <c r="D499" s="105" t="s">
        <v>769</v>
      </c>
      <c r="E499" s="105" t="s">
        <v>770</v>
      </c>
      <c r="F499" s="493">
        <v>12834</v>
      </c>
      <c r="G499" s="105" t="s">
        <v>52</v>
      </c>
      <c r="H499" s="105" t="s">
        <v>333</v>
      </c>
      <c r="I499" s="105" t="s">
        <v>334</v>
      </c>
      <c r="J499" s="493">
        <v>562213</v>
      </c>
      <c r="K499" s="493">
        <v>5</v>
      </c>
      <c r="L499" s="105" t="s">
        <v>771</v>
      </c>
      <c r="M499" s="105" t="s">
        <v>360</v>
      </c>
      <c r="N499" s="105" t="s">
        <v>230</v>
      </c>
      <c r="O499" s="105" t="s">
        <v>232</v>
      </c>
      <c r="P499" s="105" t="s">
        <v>388</v>
      </c>
      <c r="Q499" s="494">
        <v>48569</v>
      </c>
      <c r="R499" s="494">
        <v>12686</v>
      </c>
      <c r="S499" s="494">
        <v>616438</v>
      </c>
      <c r="T499" s="494">
        <v>161008</v>
      </c>
      <c r="U499" s="494">
        <v>4863.2340000000004</v>
      </c>
      <c r="V499" s="493">
        <v>2024</v>
      </c>
      <c r="W499" s="495"/>
      <c r="X499" s="496" t="str">
        <f t="shared" si="30"/>
        <v/>
      </c>
      <c r="Y499" s="497" t="str">
        <f t="shared" si="32"/>
        <v/>
      </c>
      <c r="Z499" s="497" t="str">
        <f t="shared" si="32"/>
        <v/>
      </c>
    </row>
    <row r="500" spans="1:26" s="82" customFormat="1" ht="32" x14ac:dyDescent="0.4">
      <c r="A500" s="493">
        <v>10305</v>
      </c>
      <c r="B500" s="105" t="s">
        <v>433</v>
      </c>
      <c r="C500" s="493" t="s">
        <v>330</v>
      </c>
      <c r="D500" s="105" t="s">
        <v>769</v>
      </c>
      <c r="E500" s="105" t="s">
        <v>770</v>
      </c>
      <c r="F500" s="493">
        <v>12834</v>
      </c>
      <c r="G500" s="105" t="s">
        <v>52</v>
      </c>
      <c r="H500" s="105" t="s">
        <v>333</v>
      </c>
      <c r="I500" s="105" t="s">
        <v>334</v>
      </c>
      <c r="J500" s="493">
        <v>562213</v>
      </c>
      <c r="K500" s="493">
        <v>5</v>
      </c>
      <c r="L500" s="105" t="s">
        <v>771</v>
      </c>
      <c r="M500" s="105" t="s">
        <v>360</v>
      </c>
      <c r="N500" s="105" t="s">
        <v>228</v>
      </c>
      <c r="O500" s="105" t="s">
        <v>228</v>
      </c>
      <c r="P500" s="105" t="s">
        <v>356</v>
      </c>
      <c r="Q500" s="494">
        <v>44093</v>
      </c>
      <c r="R500" s="494">
        <v>11516</v>
      </c>
      <c r="S500" s="494">
        <v>44093</v>
      </c>
      <c r="T500" s="494">
        <v>11516</v>
      </c>
      <c r="U500" s="494">
        <v>347.86099999999999</v>
      </c>
      <c r="V500" s="493">
        <v>2024</v>
      </c>
      <c r="W500" s="495"/>
      <c r="X500" s="496" t="str">
        <f t="shared" si="30"/>
        <v/>
      </c>
      <c r="Y500" s="497" t="str">
        <f t="shared" si="32"/>
        <v/>
      </c>
      <c r="Z500" s="497" t="str">
        <f t="shared" si="32"/>
        <v/>
      </c>
    </row>
    <row r="501" spans="1:26" s="82" customFormat="1" ht="32" x14ac:dyDescent="0.4">
      <c r="A501" s="493">
        <v>10307</v>
      </c>
      <c r="B501" s="105" t="s">
        <v>329</v>
      </c>
      <c r="C501" s="493" t="s">
        <v>330</v>
      </c>
      <c r="D501" s="105" t="s">
        <v>772</v>
      </c>
      <c r="E501" s="105" t="s">
        <v>773</v>
      </c>
      <c r="F501" s="493">
        <v>21970</v>
      </c>
      <c r="G501" s="105" t="s">
        <v>33</v>
      </c>
      <c r="H501" s="105" t="s">
        <v>342</v>
      </c>
      <c r="I501" s="105" t="s">
        <v>334</v>
      </c>
      <c r="J501" s="493">
        <v>22</v>
      </c>
      <c r="K501" s="493">
        <v>2</v>
      </c>
      <c r="L501" s="105" t="s">
        <v>343</v>
      </c>
      <c r="M501" s="105" t="s">
        <v>380</v>
      </c>
      <c r="N501" s="105" t="s">
        <v>226</v>
      </c>
      <c r="O501" s="105" t="s">
        <v>226</v>
      </c>
      <c r="P501" s="105" t="s">
        <v>350</v>
      </c>
      <c r="Q501" s="494">
        <v>0</v>
      </c>
      <c r="R501" s="494">
        <v>0</v>
      </c>
      <c r="S501" s="494">
        <v>0</v>
      </c>
      <c r="T501" s="494">
        <v>0</v>
      </c>
      <c r="U501" s="494">
        <v>138.56399999999999</v>
      </c>
      <c r="V501" s="493">
        <v>2024</v>
      </c>
      <c r="W501" s="495" t="s">
        <v>355</v>
      </c>
      <c r="X501" s="496" t="str">
        <f t="shared" si="30"/>
        <v/>
      </c>
      <c r="Y501" s="497" t="str">
        <f t="shared" si="32"/>
        <v/>
      </c>
      <c r="Z501" s="497" t="str">
        <f t="shared" si="32"/>
        <v/>
      </c>
    </row>
    <row r="502" spans="1:26" s="82" customFormat="1" ht="32" x14ac:dyDescent="0.4">
      <c r="A502" s="493">
        <v>10307</v>
      </c>
      <c r="B502" s="105" t="s">
        <v>329</v>
      </c>
      <c r="C502" s="493" t="s">
        <v>330</v>
      </c>
      <c r="D502" s="105" t="s">
        <v>772</v>
      </c>
      <c r="E502" s="105" t="s">
        <v>773</v>
      </c>
      <c r="F502" s="493">
        <v>21970</v>
      </c>
      <c r="G502" s="105" t="s">
        <v>33</v>
      </c>
      <c r="H502" s="105" t="s">
        <v>342</v>
      </c>
      <c r="I502" s="105" t="s">
        <v>334</v>
      </c>
      <c r="J502" s="493">
        <v>22</v>
      </c>
      <c r="K502" s="493">
        <v>2</v>
      </c>
      <c r="L502" s="105" t="s">
        <v>343</v>
      </c>
      <c r="M502" s="105" t="s">
        <v>380</v>
      </c>
      <c r="N502" s="105" t="s">
        <v>228</v>
      </c>
      <c r="O502" s="105" t="s">
        <v>228</v>
      </c>
      <c r="P502" s="105" t="s">
        <v>356</v>
      </c>
      <c r="Q502" s="494">
        <v>0</v>
      </c>
      <c r="R502" s="494">
        <v>0</v>
      </c>
      <c r="S502" s="494">
        <v>0</v>
      </c>
      <c r="T502" s="494">
        <v>0</v>
      </c>
      <c r="U502" s="494">
        <v>101139.44</v>
      </c>
      <c r="V502" s="493">
        <v>2024</v>
      </c>
      <c r="W502" s="495" t="s">
        <v>355</v>
      </c>
      <c r="X502" s="496" t="str">
        <f t="shared" si="30"/>
        <v/>
      </c>
      <c r="Y502" s="497" t="str">
        <f t="shared" si="32"/>
        <v/>
      </c>
      <c r="Z502" s="497" t="str">
        <f t="shared" si="32"/>
        <v/>
      </c>
    </row>
    <row r="503" spans="1:26" s="82" customFormat="1" ht="32" x14ac:dyDescent="0.4">
      <c r="A503" s="493">
        <v>10307</v>
      </c>
      <c r="B503" s="105" t="s">
        <v>329</v>
      </c>
      <c r="C503" s="493" t="s">
        <v>330</v>
      </c>
      <c r="D503" s="105" t="s">
        <v>772</v>
      </c>
      <c r="E503" s="105" t="s">
        <v>773</v>
      </c>
      <c r="F503" s="493">
        <v>21970</v>
      </c>
      <c r="G503" s="105" t="s">
        <v>33</v>
      </c>
      <c r="H503" s="105" t="s">
        <v>342</v>
      </c>
      <c r="I503" s="105" t="s">
        <v>334</v>
      </c>
      <c r="J503" s="493">
        <v>22</v>
      </c>
      <c r="K503" s="493">
        <v>2</v>
      </c>
      <c r="L503" s="105" t="s">
        <v>343</v>
      </c>
      <c r="M503" s="105" t="s">
        <v>37</v>
      </c>
      <c r="N503" s="105" t="s">
        <v>226</v>
      </c>
      <c r="O503" s="105" t="s">
        <v>226</v>
      </c>
      <c r="P503" s="105" t="s">
        <v>350</v>
      </c>
      <c r="Q503" s="494">
        <v>776</v>
      </c>
      <c r="R503" s="494">
        <v>776</v>
      </c>
      <c r="S503" s="494">
        <v>4501</v>
      </c>
      <c r="T503" s="494">
        <v>4501</v>
      </c>
      <c r="U503" s="494">
        <v>382.69200000000001</v>
      </c>
      <c r="V503" s="493">
        <v>2024</v>
      </c>
      <c r="W503" s="495" t="s">
        <v>355</v>
      </c>
      <c r="X503" s="496">
        <f t="shared" si="30"/>
        <v>11.761416491591149</v>
      </c>
      <c r="Y503" s="497" t="str">
        <f t="shared" si="32"/>
        <v/>
      </c>
      <c r="Z503" s="497" t="str">
        <f t="shared" si="32"/>
        <v/>
      </c>
    </row>
    <row r="504" spans="1:26" s="82" customFormat="1" ht="32" x14ac:dyDescent="0.4">
      <c r="A504" s="493">
        <v>10307</v>
      </c>
      <c r="B504" s="105" t="s">
        <v>329</v>
      </c>
      <c r="C504" s="493" t="s">
        <v>330</v>
      </c>
      <c r="D504" s="105" t="s">
        <v>772</v>
      </c>
      <c r="E504" s="105" t="s">
        <v>773</v>
      </c>
      <c r="F504" s="493">
        <v>21970</v>
      </c>
      <c r="G504" s="105" t="s">
        <v>33</v>
      </c>
      <c r="H504" s="105" t="s">
        <v>342</v>
      </c>
      <c r="I504" s="105" t="s">
        <v>334</v>
      </c>
      <c r="J504" s="493">
        <v>22</v>
      </c>
      <c r="K504" s="493">
        <v>2</v>
      </c>
      <c r="L504" s="105" t="s">
        <v>343</v>
      </c>
      <c r="M504" s="105" t="s">
        <v>37</v>
      </c>
      <c r="N504" s="105" t="s">
        <v>228</v>
      </c>
      <c r="O504" s="105" t="s">
        <v>228</v>
      </c>
      <c r="P504" s="105" t="s">
        <v>356</v>
      </c>
      <c r="Q504" s="494">
        <v>3126419</v>
      </c>
      <c r="R504" s="494">
        <v>3126419</v>
      </c>
      <c r="S504" s="494">
        <v>3126419</v>
      </c>
      <c r="T504" s="494">
        <v>3126419</v>
      </c>
      <c r="U504" s="494">
        <v>266164.31</v>
      </c>
      <c r="V504" s="493">
        <v>2024</v>
      </c>
      <c r="W504" s="495" t="s">
        <v>355</v>
      </c>
      <c r="X504" s="496">
        <f t="shared" si="30"/>
        <v>11.746199180498692</v>
      </c>
      <c r="Y504" s="497" t="str">
        <f t="shared" si="32"/>
        <v/>
      </c>
      <c r="Z504" s="497" t="str">
        <f t="shared" si="32"/>
        <v/>
      </c>
    </row>
    <row r="505" spans="1:26" s="82" customFormat="1" ht="32" x14ac:dyDescent="0.4">
      <c r="A505" s="493">
        <v>10354</v>
      </c>
      <c r="B505" s="105" t="s">
        <v>329</v>
      </c>
      <c r="C505" s="493" t="s">
        <v>330</v>
      </c>
      <c r="D505" s="105" t="s">
        <v>774</v>
      </c>
      <c r="E505" s="105" t="s">
        <v>774</v>
      </c>
      <c r="F505" s="493">
        <v>57432</v>
      </c>
      <c r="G505" s="105" t="s">
        <v>34</v>
      </c>
      <c r="H505" s="105" t="s">
        <v>342</v>
      </c>
      <c r="I505" s="105" t="s">
        <v>334</v>
      </c>
      <c r="J505" s="493">
        <v>22</v>
      </c>
      <c r="K505" s="493">
        <v>2</v>
      </c>
      <c r="L505" s="105" t="s">
        <v>343</v>
      </c>
      <c r="M505" s="105" t="s">
        <v>360</v>
      </c>
      <c r="N505" s="105" t="s">
        <v>258</v>
      </c>
      <c r="O505" s="105" t="s">
        <v>387</v>
      </c>
      <c r="P505" s="105" t="s">
        <v>388</v>
      </c>
      <c r="Q505" s="494">
        <v>429705</v>
      </c>
      <c r="R505" s="494">
        <v>429705</v>
      </c>
      <c r="S505" s="494">
        <v>3523580</v>
      </c>
      <c r="T505" s="494">
        <v>3523580</v>
      </c>
      <c r="U505" s="494">
        <v>266800</v>
      </c>
      <c r="V505" s="493">
        <v>2024</v>
      </c>
      <c r="W505" s="495"/>
      <c r="X505" s="496">
        <f t="shared" si="30"/>
        <v>13.206821589205397</v>
      </c>
      <c r="Y505" s="497" t="str">
        <f t="shared" si="32"/>
        <v/>
      </c>
      <c r="Z505" s="497" t="str">
        <f t="shared" si="32"/>
        <v/>
      </c>
    </row>
    <row r="506" spans="1:26" s="82" customFormat="1" ht="32" x14ac:dyDescent="0.4">
      <c r="A506" s="493">
        <v>10408</v>
      </c>
      <c r="B506" s="105" t="s">
        <v>433</v>
      </c>
      <c r="C506" s="493" t="s">
        <v>330</v>
      </c>
      <c r="D506" s="105" t="s">
        <v>775</v>
      </c>
      <c r="E506" s="105" t="s">
        <v>775</v>
      </c>
      <c r="F506" s="493">
        <v>3692</v>
      </c>
      <c r="G506" s="105" t="s">
        <v>33</v>
      </c>
      <c r="H506" s="105" t="s">
        <v>342</v>
      </c>
      <c r="I506" s="105" t="s">
        <v>334</v>
      </c>
      <c r="J506" s="493">
        <v>611</v>
      </c>
      <c r="K506" s="493">
        <v>5</v>
      </c>
      <c r="L506" s="105" t="s">
        <v>771</v>
      </c>
      <c r="M506" s="105" t="s">
        <v>359</v>
      </c>
      <c r="N506" s="105" t="s">
        <v>226</v>
      </c>
      <c r="O506" s="105" t="s">
        <v>226</v>
      </c>
      <c r="P506" s="105" t="s">
        <v>350</v>
      </c>
      <c r="Q506" s="494">
        <v>0</v>
      </c>
      <c r="R506" s="494">
        <v>0</v>
      </c>
      <c r="S506" s="494">
        <v>0</v>
      </c>
      <c r="T506" s="494">
        <v>0</v>
      </c>
      <c r="U506" s="494">
        <v>0</v>
      </c>
      <c r="V506" s="493">
        <v>2024</v>
      </c>
      <c r="W506" s="495"/>
      <c r="X506" s="496" t="str">
        <f t="shared" si="30"/>
        <v/>
      </c>
      <c r="Y506" s="497" t="str">
        <f t="shared" si="32"/>
        <v/>
      </c>
      <c r="Z506" s="497" t="str">
        <f t="shared" si="32"/>
        <v/>
      </c>
    </row>
    <row r="507" spans="1:26" s="82" customFormat="1" ht="32" x14ac:dyDescent="0.4">
      <c r="A507" s="493">
        <v>10408</v>
      </c>
      <c r="B507" s="105" t="s">
        <v>433</v>
      </c>
      <c r="C507" s="493" t="s">
        <v>330</v>
      </c>
      <c r="D507" s="105" t="s">
        <v>775</v>
      </c>
      <c r="E507" s="105" t="s">
        <v>775</v>
      </c>
      <c r="F507" s="493">
        <v>3692</v>
      </c>
      <c r="G507" s="105" t="s">
        <v>33</v>
      </c>
      <c r="H507" s="105" t="s">
        <v>342</v>
      </c>
      <c r="I507" s="105" t="s">
        <v>334</v>
      </c>
      <c r="J507" s="493">
        <v>611</v>
      </c>
      <c r="K507" s="493">
        <v>5</v>
      </c>
      <c r="L507" s="105" t="s">
        <v>771</v>
      </c>
      <c r="M507" s="105" t="s">
        <v>359</v>
      </c>
      <c r="N507" s="105" t="s">
        <v>228</v>
      </c>
      <c r="O507" s="105" t="s">
        <v>228</v>
      </c>
      <c r="P507" s="105" t="s">
        <v>356</v>
      </c>
      <c r="Q507" s="494">
        <v>44797</v>
      </c>
      <c r="R507" s="494">
        <v>26249</v>
      </c>
      <c r="S507" s="494">
        <v>44797</v>
      </c>
      <c r="T507" s="494">
        <v>26249</v>
      </c>
      <c r="U507" s="494">
        <v>4372.76</v>
      </c>
      <c r="V507" s="493">
        <v>2024</v>
      </c>
      <c r="W507" s="495"/>
      <c r="X507" s="496" t="str">
        <f t="shared" si="30"/>
        <v/>
      </c>
      <c r="Y507" s="497" t="str">
        <f t="shared" si="32"/>
        <v/>
      </c>
      <c r="Z507" s="497" t="str">
        <f t="shared" si="32"/>
        <v/>
      </c>
    </row>
    <row r="508" spans="1:26" s="82" customFormat="1" ht="32" x14ac:dyDescent="0.4">
      <c r="A508" s="493">
        <v>10408</v>
      </c>
      <c r="B508" s="105" t="s">
        <v>433</v>
      </c>
      <c r="C508" s="493" t="s">
        <v>330</v>
      </c>
      <c r="D508" s="105" t="s">
        <v>775</v>
      </c>
      <c r="E508" s="105" t="s">
        <v>775</v>
      </c>
      <c r="F508" s="493">
        <v>3692</v>
      </c>
      <c r="G508" s="105" t="s">
        <v>33</v>
      </c>
      <c r="H508" s="105" t="s">
        <v>342</v>
      </c>
      <c r="I508" s="105" t="s">
        <v>334</v>
      </c>
      <c r="J508" s="493">
        <v>611</v>
      </c>
      <c r="K508" s="493">
        <v>5</v>
      </c>
      <c r="L508" s="105" t="s">
        <v>771</v>
      </c>
      <c r="M508" s="105" t="s">
        <v>359</v>
      </c>
      <c r="N508" s="105" t="s">
        <v>238</v>
      </c>
      <c r="O508" s="105" t="s">
        <v>238</v>
      </c>
      <c r="P508" s="105" t="s">
        <v>350</v>
      </c>
      <c r="Q508" s="494">
        <v>0</v>
      </c>
      <c r="R508" s="494">
        <v>0</v>
      </c>
      <c r="S508" s="494">
        <v>0</v>
      </c>
      <c r="T508" s="494">
        <v>0</v>
      </c>
      <c r="U508" s="494">
        <v>0</v>
      </c>
      <c r="V508" s="493">
        <v>2024</v>
      </c>
      <c r="W508" s="495"/>
      <c r="X508" s="496" t="str">
        <f t="shared" si="30"/>
        <v/>
      </c>
      <c r="Y508" s="497" t="str">
        <f t="shared" ref="Y508:Z527" si="33">IF(AND($M508=$Y$2,$N508=$Y$3,NOT($Q508=$R508),NOT($U508=0)),IF($K508=5,$S508/($U508+(8/5)*$U508),IF($K508=7,$S508/($U508+(29/25)*$U508),"")),"")</f>
        <v/>
      </c>
      <c r="Z508" s="497" t="str">
        <f t="shared" si="33"/>
        <v/>
      </c>
    </row>
    <row r="509" spans="1:26" s="82" customFormat="1" ht="32" x14ac:dyDescent="0.4">
      <c r="A509" s="493">
        <v>10417</v>
      </c>
      <c r="B509" s="105" t="s">
        <v>433</v>
      </c>
      <c r="C509" s="493" t="s">
        <v>330</v>
      </c>
      <c r="D509" s="105" t="s">
        <v>776</v>
      </c>
      <c r="E509" s="105" t="s">
        <v>777</v>
      </c>
      <c r="F509" s="493">
        <v>39878</v>
      </c>
      <c r="G509" s="105" t="s">
        <v>33</v>
      </c>
      <c r="H509" s="105" t="s">
        <v>342</v>
      </c>
      <c r="I509" s="105" t="s">
        <v>334</v>
      </c>
      <c r="J509" s="493">
        <v>325211</v>
      </c>
      <c r="K509" s="493">
        <v>7</v>
      </c>
      <c r="L509" s="105" t="s">
        <v>727</v>
      </c>
      <c r="M509" s="105" t="s">
        <v>360</v>
      </c>
      <c r="N509" s="105" t="s">
        <v>222</v>
      </c>
      <c r="O509" s="105" t="s">
        <v>479</v>
      </c>
      <c r="P509" s="105" t="s">
        <v>388</v>
      </c>
      <c r="Q509" s="494">
        <v>0</v>
      </c>
      <c r="R509" s="494">
        <v>0</v>
      </c>
      <c r="S509" s="494">
        <v>0</v>
      </c>
      <c r="T509" s="494">
        <v>0</v>
      </c>
      <c r="U509" s="494">
        <v>0</v>
      </c>
      <c r="V509" s="493">
        <v>2024</v>
      </c>
      <c r="W509" s="495"/>
      <c r="X509" s="496" t="str">
        <f t="shared" si="30"/>
        <v/>
      </c>
      <c r="Y509" s="497" t="str">
        <f t="shared" si="33"/>
        <v/>
      </c>
      <c r="Z509" s="497" t="str">
        <f t="shared" si="33"/>
        <v/>
      </c>
    </row>
    <row r="510" spans="1:26" s="82" customFormat="1" ht="32" x14ac:dyDescent="0.4">
      <c r="A510" s="493">
        <v>10417</v>
      </c>
      <c r="B510" s="105" t="s">
        <v>433</v>
      </c>
      <c r="C510" s="493" t="s">
        <v>330</v>
      </c>
      <c r="D510" s="105" t="s">
        <v>776</v>
      </c>
      <c r="E510" s="105" t="s">
        <v>777</v>
      </c>
      <c r="F510" s="493">
        <v>39878</v>
      </c>
      <c r="G510" s="105" t="s">
        <v>33</v>
      </c>
      <c r="H510" s="105" t="s">
        <v>342</v>
      </c>
      <c r="I510" s="105" t="s">
        <v>334</v>
      </c>
      <c r="J510" s="493">
        <v>325211</v>
      </c>
      <c r="K510" s="493">
        <v>7</v>
      </c>
      <c r="L510" s="105" t="s">
        <v>727</v>
      </c>
      <c r="M510" s="105" t="s">
        <v>360</v>
      </c>
      <c r="N510" s="105" t="s">
        <v>228</v>
      </c>
      <c r="O510" s="105" t="s">
        <v>228</v>
      </c>
      <c r="P510" s="105" t="s">
        <v>356</v>
      </c>
      <c r="Q510" s="494">
        <v>1145287</v>
      </c>
      <c r="R510" s="494">
        <v>0</v>
      </c>
      <c r="S510" s="494">
        <v>1182825</v>
      </c>
      <c r="T510" s="494">
        <v>0</v>
      </c>
      <c r="U510" s="494">
        <v>0</v>
      </c>
      <c r="V510" s="493">
        <v>2024</v>
      </c>
      <c r="W510" s="495"/>
      <c r="X510" s="496" t="str">
        <f t="shared" si="30"/>
        <v/>
      </c>
      <c r="Y510" s="497" t="str">
        <f t="shared" si="33"/>
        <v/>
      </c>
      <c r="Z510" s="497" t="str">
        <f t="shared" si="33"/>
        <v/>
      </c>
    </row>
    <row r="511" spans="1:26" s="82" customFormat="1" ht="32" x14ac:dyDescent="0.4">
      <c r="A511" s="493">
        <v>10464</v>
      </c>
      <c r="B511" s="105" t="s">
        <v>329</v>
      </c>
      <c r="C511" s="493" t="s">
        <v>330</v>
      </c>
      <c r="D511" s="105" t="s">
        <v>778</v>
      </c>
      <c r="E511" s="105" t="s">
        <v>779</v>
      </c>
      <c r="F511" s="493">
        <v>1746</v>
      </c>
      <c r="G511" s="105" t="s">
        <v>52</v>
      </c>
      <c r="H511" s="105" t="s">
        <v>333</v>
      </c>
      <c r="I511" s="105" t="s">
        <v>334</v>
      </c>
      <c r="J511" s="493">
        <v>22</v>
      </c>
      <c r="K511" s="493">
        <v>2</v>
      </c>
      <c r="L511" s="105" t="s">
        <v>343</v>
      </c>
      <c r="M511" s="105" t="s">
        <v>360</v>
      </c>
      <c r="N511" s="105" t="s">
        <v>226</v>
      </c>
      <c r="O511" s="105" t="s">
        <v>226</v>
      </c>
      <c r="P511" s="105" t="s">
        <v>350</v>
      </c>
      <c r="Q511" s="494">
        <v>0</v>
      </c>
      <c r="R511" s="494">
        <v>0</v>
      </c>
      <c r="S511" s="494">
        <v>0</v>
      </c>
      <c r="T511" s="494">
        <v>0</v>
      </c>
      <c r="U511" s="494">
        <v>0</v>
      </c>
      <c r="V511" s="493">
        <v>2024</v>
      </c>
      <c r="W511" s="495"/>
      <c r="X511" s="496" t="str">
        <f t="shared" si="30"/>
        <v/>
      </c>
      <c r="Y511" s="497" t="str">
        <f t="shared" si="33"/>
        <v/>
      </c>
      <c r="Z511" s="497" t="str">
        <f t="shared" si="33"/>
        <v/>
      </c>
    </row>
    <row r="512" spans="1:26" s="82" customFormat="1" ht="32" x14ac:dyDescent="0.4">
      <c r="A512" s="493">
        <v>10464</v>
      </c>
      <c r="B512" s="105" t="s">
        <v>329</v>
      </c>
      <c r="C512" s="493" t="s">
        <v>330</v>
      </c>
      <c r="D512" s="105" t="s">
        <v>778</v>
      </c>
      <c r="E512" s="105" t="s">
        <v>779</v>
      </c>
      <c r="F512" s="493">
        <v>1746</v>
      </c>
      <c r="G512" s="105" t="s">
        <v>52</v>
      </c>
      <c r="H512" s="105" t="s">
        <v>333</v>
      </c>
      <c r="I512" s="105" t="s">
        <v>334</v>
      </c>
      <c r="J512" s="493">
        <v>22</v>
      </c>
      <c r="K512" s="493">
        <v>2</v>
      </c>
      <c r="L512" s="105" t="s">
        <v>343</v>
      </c>
      <c r="M512" s="105" t="s">
        <v>360</v>
      </c>
      <c r="N512" s="105" t="s">
        <v>240</v>
      </c>
      <c r="O512" s="105" t="s">
        <v>349</v>
      </c>
      <c r="P512" s="105" t="s">
        <v>350</v>
      </c>
      <c r="Q512" s="494">
        <v>0</v>
      </c>
      <c r="R512" s="494">
        <v>0</v>
      </c>
      <c r="S512" s="494">
        <v>0</v>
      </c>
      <c r="T512" s="494">
        <v>0</v>
      </c>
      <c r="U512" s="494">
        <v>0</v>
      </c>
      <c r="V512" s="493">
        <v>2024</v>
      </c>
      <c r="W512" s="495"/>
      <c r="X512" s="496" t="str">
        <f t="shared" si="30"/>
        <v/>
      </c>
      <c r="Y512" s="497" t="str">
        <f t="shared" si="33"/>
        <v/>
      </c>
      <c r="Z512" s="497" t="str">
        <f t="shared" si="33"/>
        <v/>
      </c>
    </row>
    <row r="513" spans="1:26" s="82" customFormat="1" ht="32" x14ac:dyDescent="0.4">
      <c r="A513" s="493">
        <v>10464</v>
      </c>
      <c r="B513" s="105" t="s">
        <v>329</v>
      </c>
      <c r="C513" s="493" t="s">
        <v>330</v>
      </c>
      <c r="D513" s="105" t="s">
        <v>778</v>
      </c>
      <c r="E513" s="105" t="s">
        <v>779</v>
      </c>
      <c r="F513" s="493">
        <v>1746</v>
      </c>
      <c r="G513" s="105" t="s">
        <v>52</v>
      </c>
      <c r="H513" s="105" t="s">
        <v>333</v>
      </c>
      <c r="I513" s="105" t="s">
        <v>334</v>
      </c>
      <c r="J513" s="493">
        <v>22</v>
      </c>
      <c r="K513" s="493">
        <v>2</v>
      </c>
      <c r="L513" s="105" t="s">
        <v>343</v>
      </c>
      <c r="M513" s="105" t="s">
        <v>360</v>
      </c>
      <c r="N513" s="105" t="s">
        <v>234</v>
      </c>
      <c r="O513" s="105" t="s">
        <v>232</v>
      </c>
      <c r="P513" s="105" t="s">
        <v>388</v>
      </c>
      <c r="Q513" s="494">
        <v>0</v>
      </c>
      <c r="R513" s="494">
        <v>0</v>
      </c>
      <c r="S513" s="494">
        <v>0</v>
      </c>
      <c r="T513" s="494">
        <v>0</v>
      </c>
      <c r="U513" s="494">
        <v>0</v>
      </c>
      <c r="V513" s="493">
        <v>2024</v>
      </c>
      <c r="W513" s="495"/>
      <c r="X513" s="496" t="str">
        <f t="shared" si="30"/>
        <v/>
      </c>
      <c r="Y513" s="497" t="str">
        <f t="shared" si="33"/>
        <v/>
      </c>
      <c r="Z513" s="497" t="str">
        <f t="shared" si="33"/>
        <v/>
      </c>
    </row>
    <row r="514" spans="1:26" s="82" customFormat="1" ht="32" x14ac:dyDescent="0.4">
      <c r="A514" s="493">
        <v>10464</v>
      </c>
      <c r="B514" s="105" t="s">
        <v>329</v>
      </c>
      <c r="C514" s="493" t="s">
        <v>330</v>
      </c>
      <c r="D514" s="105" t="s">
        <v>778</v>
      </c>
      <c r="E514" s="105" t="s">
        <v>779</v>
      </c>
      <c r="F514" s="493">
        <v>1746</v>
      </c>
      <c r="G514" s="105" t="s">
        <v>52</v>
      </c>
      <c r="H514" s="105" t="s">
        <v>333</v>
      </c>
      <c r="I514" s="105" t="s">
        <v>334</v>
      </c>
      <c r="J514" s="493">
        <v>22</v>
      </c>
      <c r="K514" s="493">
        <v>2</v>
      </c>
      <c r="L514" s="105" t="s">
        <v>343</v>
      </c>
      <c r="M514" s="105" t="s">
        <v>360</v>
      </c>
      <c r="N514" s="105" t="s">
        <v>258</v>
      </c>
      <c r="O514" s="105" t="s">
        <v>387</v>
      </c>
      <c r="P514" s="105" t="s">
        <v>388</v>
      </c>
      <c r="Q514" s="494">
        <v>0</v>
      </c>
      <c r="R514" s="494">
        <v>0</v>
      </c>
      <c r="S514" s="494">
        <v>0</v>
      </c>
      <c r="T514" s="494">
        <v>0</v>
      </c>
      <c r="U514" s="494">
        <v>0</v>
      </c>
      <c r="V514" s="493">
        <v>2024</v>
      </c>
      <c r="W514" s="495"/>
      <c r="X514" s="496" t="str">
        <f t="shared" si="30"/>
        <v/>
      </c>
      <c r="Y514" s="497" t="str">
        <f t="shared" si="33"/>
        <v/>
      </c>
      <c r="Z514" s="497" t="str">
        <f t="shared" si="33"/>
        <v/>
      </c>
    </row>
    <row r="515" spans="1:26" s="82" customFormat="1" ht="32" x14ac:dyDescent="0.4">
      <c r="A515" s="493">
        <v>10467</v>
      </c>
      <c r="B515" s="105" t="s">
        <v>329</v>
      </c>
      <c r="C515" s="493" t="s">
        <v>330</v>
      </c>
      <c r="D515" s="105" t="s">
        <v>780</v>
      </c>
      <c r="E515" s="105" t="s">
        <v>781</v>
      </c>
      <c r="F515" s="493">
        <v>58756</v>
      </c>
      <c r="G515" s="105" t="s">
        <v>52</v>
      </c>
      <c r="H515" s="105" t="s">
        <v>333</v>
      </c>
      <c r="I515" s="105" t="s">
        <v>334</v>
      </c>
      <c r="J515" s="493">
        <v>22</v>
      </c>
      <c r="K515" s="493">
        <v>2</v>
      </c>
      <c r="L515" s="105" t="s">
        <v>343</v>
      </c>
      <c r="M515" s="105" t="s">
        <v>336</v>
      </c>
      <c r="N515" s="105" t="s">
        <v>337</v>
      </c>
      <c r="O515" s="105" t="s">
        <v>338</v>
      </c>
      <c r="P515" s="105" t="s">
        <v>339</v>
      </c>
      <c r="Q515" s="494">
        <v>0</v>
      </c>
      <c r="R515" s="494">
        <v>0</v>
      </c>
      <c r="S515" s="494">
        <v>36136</v>
      </c>
      <c r="T515" s="494">
        <v>36136</v>
      </c>
      <c r="U515" s="494">
        <v>10591</v>
      </c>
      <c r="V515" s="493">
        <v>2024</v>
      </c>
      <c r="W515" s="495"/>
      <c r="X515" s="496">
        <f t="shared" si="30"/>
        <v>3.4119535454631289</v>
      </c>
      <c r="Y515" s="497" t="str">
        <f t="shared" si="33"/>
        <v/>
      </c>
      <c r="Z515" s="497" t="str">
        <f t="shared" si="33"/>
        <v/>
      </c>
    </row>
    <row r="516" spans="1:26" s="82" customFormat="1" ht="32" x14ac:dyDescent="0.4">
      <c r="A516" s="493">
        <v>10490</v>
      </c>
      <c r="B516" s="105" t="s">
        <v>329</v>
      </c>
      <c r="C516" s="493" t="s">
        <v>330</v>
      </c>
      <c r="D516" s="105" t="s">
        <v>782</v>
      </c>
      <c r="E516" s="105" t="s">
        <v>592</v>
      </c>
      <c r="F516" s="493">
        <v>57280</v>
      </c>
      <c r="G516" s="105" t="s">
        <v>52</v>
      </c>
      <c r="H516" s="105" t="s">
        <v>333</v>
      </c>
      <c r="I516" s="105" t="s">
        <v>334</v>
      </c>
      <c r="J516" s="493">
        <v>22</v>
      </c>
      <c r="K516" s="493">
        <v>2</v>
      </c>
      <c r="L516" s="105" t="s">
        <v>343</v>
      </c>
      <c r="M516" s="105" t="s">
        <v>336</v>
      </c>
      <c r="N516" s="105" t="s">
        <v>337</v>
      </c>
      <c r="O516" s="105" t="s">
        <v>338</v>
      </c>
      <c r="P516" s="105" t="s">
        <v>339</v>
      </c>
      <c r="Q516" s="494">
        <v>0</v>
      </c>
      <c r="R516" s="494">
        <v>0</v>
      </c>
      <c r="S516" s="494">
        <v>20605</v>
      </c>
      <c r="T516" s="494">
        <v>20605</v>
      </c>
      <c r="U516" s="494">
        <v>6039</v>
      </c>
      <c r="V516" s="493">
        <v>2024</v>
      </c>
      <c r="W516" s="495"/>
      <c r="X516" s="496">
        <f t="shared" si="30"/>
        <v>3.4119887398575921</v>
      </c>
      <c r="Y516" s="497" t="str">
        <f t="shared" si="33"/>
        <v/>
      </c>
      <c r="Z516" s="497" t="str">
        <f t="shared" si="33"/>
        <v/>
      </c>
    </row>
    <row r="517" spans="1:26" s="82" customFormat="1" ht="32" x14ac:dyDescent="0.4">
      <c r="A517" s="493">
        <v>10493</v>
      </c>
      <c r="B517" s="105" t="s">
        <v>329</v>
      </c>
      <c r="C517" s="493" t="s">
        <v>330</v>
      </c>
      <c r="D517" s="105" t="s">
        <v>783</v>
      </c>
      <c r="E517" s="105" t="s">
        <v>784</v>
      </c>
      <c r="F517" s="493">
        <v>50083</v>
      </c>
      <c r="G517" s="105" t="s">
        <v>34</v>
      </c>
      <c r="H517" s="105" t="s">
        <v>342</v>
      </c>
      <c r="I517" s="105" t="s">
        <v>334</v>
      </c>
      <c r="J517" s="493">
        <v>22</v>
      </c>
      <c r="K517" s="493">
        <v>2</v>
      </c>
      <c r="L517" s="105" t="s">
        <v>343</v>
      </c>
      <c r="M517" s="105" t="s">
        <v>403</v>
      </c>
      <c r="N517" s="105" t="s">
        <v>404</v>
      </c>
      <c r="O517" s="105" t="s">
        <v>232</v>
      </c>
      <c r="P517" s="105" t="s">
        <v>346</v>
      </c>
      <c r="Q517" s="494">
        <v>9199</v>
      </c>
      <c r="R517" s="494">
        <v>9199</v>
      </c>
      <c r="S517" s="494">
        <v>0</v>
      </c>
      <c r="T517" s="494">
        <v>0</v>
      </c>
      <c r="U517" s="494">
        <v>-1806</v>
      </c>
      <c r="V517" s="493">
        <v>2024</v>
      </c>
      <c r="W517" s="495"/>
      <c r="X517" s="496" t="str">
        <f t="shared" si="30"/>
        <v/>
      </c>
      <c r="Y517" s="497" t="str">
        <f t="shared" si="33"/>
        <v/>
      </c>
      <c r="Z517" s="497" t="str">
        <f t="shared" si="33"/>
        <v/>
      </c>
    </row>
    <row r="518" spans="1:26" s="82" customFormat="1" ht="32" x14ac:dyDescent="0.4">
      <c r="A518" s="493">
        <v>10493</v>
      </c>
      <c r="B518" s="105" t="s">
        <v>329</v>
      </c>
      <c r="C518" s="493" t="s">
        <v>330</v>
      </c>
      <c r="D518" s="105" t="s">
        <v>783</v>
      </c>
      <c r="E518" s="105" t="s">
        <v>784</v>
      </c>
      <c r="F518" s="493">
        <v>50083</v>
      </c>
      <c r="G518" s="105" t="s">
        <v>34</v>
      </c>
      <c r="H518" s="105" t="s">
        <v>342</v>
      </c>
      <c r="I518" s="105" t="s">
        <v>334</v>
      </c>
      <c r="J518" s="493">
        <v>22</v>
      </c>
      <c r="K518" s="493">
        <v>2</v>
      </c>
      <c r="L518" s="105" t="s">
        <v>343</v>
      </c>
      <c r="M518" s="105" t="s">
        <v>336</v>
      </c>
      <c r="N518" s="105" t="s">
        <v>337</v>
      </c>
      <c r="O518" s="105" t="s">
        <v>338</v>
      </c>
      <c r="P518" s="105" t="s">
        <v>339</v>
      </c>
      <c r="Q518" s="494">
        <v>0</v>
      </c>
      <c r="R518" s="494">
        <v>0</v>
      </c>
      <c r="S518" s="494">
        <v>895079</v>
      </c>
      <c r="T518" s="494">
        <v>895079</v>
      </c>
      <c r="U518" s="494">
        <v>262333</v>
      </c>
      <c r="V518" s="493">
        <v>2024</v>
      </c>
      <c r="W518" s="495"/>
      <c r="X518" s="496">
        <f t="shared" si="30"/>
        <v>3.4119954409090734</v>
      </c>
      <c r="Y518" s="497" t="str">
        <f t="shared" si="33"/>
        <v/>
      </c>
      <c r="Z518" s="497" t="str">
        <f t="shared" si="33"/>
        <v/>
      </c>
    </row>
    <row r="519" spans="1:26" s="82" customFormat="1" ht="32" x14ac:dyDescent="0.4">
      <c r="A519" s="493">
        <v>10494</v>
      </c>
      <c r="B519" s="105" t="s">
        <v>329</v>
      </c>
      <c r="C519" s="493" t="s">
        <v>330</v>
      </c>
      <c r="D519" s="105" t="s">
        <v>785</v>
      </c>
      <c r="E519" s="105" t="s">
        <v>755</v>
      </c>
      <c r="F519" s="493">
        <v>64078</v>
      </c>
      <c r="G519" s="105" t="s">
        <v>36</v>
      </c>
      <c r="H519" s="105" t="s">
        <v>342</v>
      </c>
      <c r="I519" s="105" t="s">
        <v>334</v>
      </c>
      <c r="J519" s="493">
        <v>22</v>
      </c>
      <c r="K519" s="493">
        <v>2</v>
      </c>
      <c r="L519" s="105" t="s">
        <v>343</v>
      </c>
      <c r="M519" s="105" t="s">
        <v>336</v>
      </c>
      <c r="N519" s="105" t="s">
        <v>337</v>
      </c>
      <c r="O519" s="105" t="s">
        <v>338</v>
      </c>
      <c r="P519" s="105" t="s">
        <v>339</v>
      </c>
      <c r="Q519" s="494">
        <v>0</v>
      </c>
      <c r="R519" s="494">
        <v>0</v>
      </c>
      <c r="S519" s="494">
        <v>231235</v>
      </c>
      <c r="T519" s="494">
        <v>231235</v>
      </c>
      <c r="U519" s="494">
        <v>67771</v>
      </c>
      <c r="V519" s="493">
        <v>2024</v>
      </c>
      <c r="W519" s="495"/>
      <c r="X519" s="496">
        <f t="shared" si="30"/>
        <v>3.4120051349397236</v>
      </c>
      <c r="Y519" s="497" t="str">
        <f t="shared" si="33"/>
        <v/>
      </c>
      <c r="Z519" s="497" t="str">
        <f t="shared" si="33"/>
        <v/>
      </c>
    </row>
    <row r="520" spans="1:26" s="82" customFormat="1" x14ac:dyDescent="0.4">
      <c r="A520" s="493">
        <v>10495</v>
      </c>
      <c r="B520" s="105" t="s">
        <v>433</v>
      </c>
      <c r="C520" s="493" t="s">
        <v>330</v>
      </c>
      <c r="D520" s="105" t="s">
        <v>786</v>
      </c>
      <c r="E520" s="105" t="s">
        <v>787</v>
      </c>
      <c r="F520" s="493">
        <v>61813</v>
      </c>
      <c r="G520" s="105" t="s">
        <v>34</v>
      </c>
      <c r="H520" s="105" t="s">
        <v>342</v>
      </c>
      <c r="I520" s="105" t="s">
        <v>334</v>
      </c>
      <c r="J520" s="493">
        <v>22</v>
      </c>
      <c r="K520" s="493">
        <v>3</v>
      </c>
      <c r="L520" s="105" t="s">
        <v>436</v>
      </c>
      <c r="M520" s="105" t="s">
        <v>360</v>
      </c>
      <c r="N520" s="105" t="s">
        <v>222</v>
      </c>
      <c r="O520" s="105" t="s">
        <v>479</v>
      </c>
      <c r="P520" s="105" t="s">
        <v>388</v>
      </c>
      <c r="Q520" s="494">
        <v>42036</v>
      </c>
      <c r="R520" s="494">
        <v>7552</v>
      </c>
      <c r="S520" s="494">
        <v>856667</v>
      </c>
      <c r="T520" s="494">
        <v>153833</v>
      </c>
      <c r="U520" s="494">
        <v>29379.760999999999</v>
      </c>
      <c r="V520" s="493">
        <v>2024</v>
      </c>
      <c r="W520" s="495"/>
      <c r="X520" s="496">
        <f t="shared" si="30"/>
        <v>5.236019448898853</v>
      </c>
      <c r="Y520" s="497" t="str">
        <f t="shared" si="33"/>
        <v/>
      </c>
      <c r="Z520" s="497" t="str">
        <f t="shared" si="33"/>
        <v/>
      </c>
    </row>
    <row r="521" spans="1:26" s="82" customFormat="1" x14ac:dyDescent="0.4">
      <c r="A521" s="493">
        <v>10495</v>
      </c>
      <c r="B521" s="105" t="s">
        <v>433</v>
      </c>
      <c r="C521" s="493" t="s">
        <v>330</v>
      </c>
      <c r="D521" s="105" t="s">
        <v>786</v>
      </c>
      <c r="E521" s="105" t="s">
        <v>787</v>
      </c>
      <c r="F521" s="493">
        <v>61813</v>
      </c>
      <c r="G521" s="105" t="s">
        <v>34</v>
      </c>
      <c r="H521" s="105" t="s">
        <v>342</v>
      </c>
      <c r="I521" s="105" t="s">
        <v>334</v>
      </c>
      <c r="J521" s="493">
        <v>22</v>
      </c>
      <c r="K521" s="493">
        <v>3</v>
      </c>
      <c r="L521" s="105" t="s">
        <v>436</v>
      </c>
      <c r="M521" s="105" t="s">
        <v>360</v>
      </c>
      <c r="N521" s="105" t="s">
        <v>256</v>
      </c>
      <c r="O521" s="105" t="s">
        <v>387</v>
      </c>
      <c r="P521" s="105" t="s">
        <v>388</v>
      </c>
      <c r="Q521" s="494">
        <v>578771</v>
      </c>
      <c r="R521" s="494">
        <v>104022</v>
      </c>
      <c r="S521" s="494">
        <v>6655870</v>
      </c>
      <c r="T521" s="494">
        <v>1196254</v>
      </c>
      <c r="U521" s="494">
        <v>228645.38</v>
      </c>
      <c r="V521" s="493">
        <v>2024</v>
      </c>
      <c r="W521" s="495"/>
      <c r="X521" s="496">
        <f t="shared" ref="X521:X584" si="34">IF(OR(K521&gt;3,T521=0,NOT(U521&gt;0)),"",T521/U521)</f>
        <v>5.2319185281591958</v>
      </c>
      <c r="Y521" s="497" t="str">
        <f t="shared" si="33"/>
        <v/>
      </c>
      <c r="Z521" s="497" t="str">
        <f t="shared" si="33"/>
        <v/>
      </c>
    </row>
    <row r="522" spans="1:26" s="82" customFormat="1" x14ac:dyDescent="0.4">
      <c r="A522" s="493">
        <v>10495</v>
      </c>
      <c r="B522" s="105" t="s">
        <v>433</v>
      </c>
      <c r="C522" s="493" t="s">
        <v>330</v>
      </c>
      <c r="D522" s="105" t="s">
        <v>786</v>
      </c>
      <c r="E522" s="105" t="s">
        <v>787</v>
      </c>
      <c r="F522" s="493">
        <v>61813</v>
      </c>
      <c r="G522" s="105" t="s">
        <v>34</v>
      </c>
      <c r="H522" s="105" t="s">
        <v>342</v>
      </c>
      <c r="I522" s="105" t="s">
        <v>334</v>
      </c>
      <c r="J522" s="493">
        <v>22</v>
      </c>
      <c r="K522" s="493">
        <v>3</v>
      </c>
      <c r="L522" s="105" t="s">
        <v>436</v>
      </c>
      <c r="M522" s="105" t="s">
        <v>360</v>
      </c>
      <c r="N522" s="105" t="s">
        <v>226</v>
      </c>
      <c r="O522" s="105" t="s">
        <v>226</v>
      </c>
      <c r="P522" s="105" t="s">
        <v>350</v>
      </c>
      <c r="Q522" s="494">
        <v>0</v>
      </c>
      <c r="R522" s="494">
        <v>0</v>
      </c>
      <c r="S522" s="494">
        <v>0</v>
      </c>
      <c r="T522" s="494">
        <v>0</v>
      </c>
      <c r="U522" s="494">
        <v>0</v>
      </c>
      <c r="V522" s="493">
        <v>2024</v>
      </c>
      <c r="W522" s="495"/>
      <c r="X522" s="496" t="str">
        <f t="shared" si="34"/>
        <v/>
      </c>
      <c r="Y522" s="497" t="str">
        <f t="shared" si="33"/>
        <v/>
      </c>
      <c r="Z522" s="497" t="str">
        <f t="shared" si="33"/>
        <v/>
      </c>
    </row>
    <row r="523" spans="1:26" s="82" customFormat="1" x14ac:dyDescent="0.4">
      <c r="A523" s="493">
        <v>10495</v>
      </c>
      <c r="B523" s="105" t="s">
        <v>433</v>
      </c>
      <c r="C523" s="493" t="s">
        <v>330</v>
      </c>
      <c r="D523" s="105" t="s">
        <v>786</v>
      </c>
      <c r="E523" s="105" t="s">
        <v>787</v>
      </c>
      <c r="F523" s="493">
        <v>61813</v>
      </c>
      <c r="G523" s="105" t="s">
        <v>34</v>
      </c>
      <c r="H523" s="105" t="s">
        <v>342</v>
      </c>
      <c r="I523" s="105" t="s">
        <v>334</v>
      </c>
      <c r="J523" s="493">
        <v>22</v>
      </c>
      <c r="K523" s="493">
        <v>3</v>
      </c>
      <c r="L523" s="105" t="s">
        <v>436</v>
      </c>
      <c r="M523" s="105" t="s">
        <v>360</v>
      </c>
      <c r="N523" s="105" t="s">
        <v>238</v>
      </c>
      <c r="O523" s="105" t="s">
        <v>238</v>
      </c>
      <c r="P523" s="105" t="s">
        <v>350</v>
      </c>
      <c r="Q523" s="494">
        <v>52313</v>
      </c>
      <c r="R523" s="494">
        <v>9641</v>
      </c>
      <c r="S523" s="494">
        <v>304983</v>
      </c>
      <c r="T523" s="494">
        <v>56206</v>
      </c>
      <c r="U523" s="494">
        <v>11033.092000000001</v>
      </c>
      <c r="V523" s="493">
        <v>2024</v>
      </c>
      <c r="W523" s="495"/>
      <c r="X523" s="496">
        <f t="shared" si="34"/>
        <v>5.0943108242005053</v>
      </c>
      <c r="Y523" s="497" t="str">
        <f t="shared" si="33"/>
        <v/>
      </c>
      <c r="Z523" s="497" t="str">
        <f t="shared" si="33"/>
        <v/>
      </c>
    </row>
    <row r="524" spans="1:26" s="82" customFormat="1" x14ac:dyDescent="0.4">
      <c r="A524" s="493">
        <v>10495</v>
      </c>
      <c r="B524" s="105" t="s">
        <v>433</v>
      </c>
      <c r="C524" s="493" t="s">
        <v>330</v>
      </c>
      <c r="D524" s="105" t="s">
        <v>786</v>
      </c>
      <c r="E524" s="105" t="s">
        <v>787</v>
      </c>
      <c r="F524" s="493">
        <v>61813</v>
      </c>
      <c r="G524" s="105" t="s">
        <v>34</v>
      </c>
      <c r="H524" s="105" t="s">
        <v>342</v>
      </c>
      <c r="I524" s="105" t="s">
        <v>334</v>
      </c>
      <c r="J524" s="493">
        <v>22</v>
      </c>
      <c r="K524" s="493">
        <v>3</v>
      </c>
      <c r="L524" s="105" t="s">
        <v>436</v>
      </c>
      <c r="M524" s="105" t="s">
        <v>360</v>
      </c>
      <c r="N524" s="105" t="s">
        <v>260</v>
      </c>
      <c r="O524" s="105" t="s">
        <v>481</v>
      </c>
      <c r="P524" s="105" t="s">
        <v>388</v>
      </c>
      <c r="Q524" s="494">
        <v>28840</v>
      </c>
      <c r="R524" s="494">
        <v>5325</v>
      </c>
      <c r="S524" s="494">
        <v>121130</v>
      </c>
      <c r="T524" s="494">
        <v>22362</v>
      </c>
      <c r="U524" s="494">
        <v>4274.4579999999996</v>
      </c>
      <c r="V524" s="493">
        <v>2024</v>
      </c>
      <c r="W524" s="495"/>
      <c r="X524" s="496">
        <f t="shared" si="34"/>
        <v>5.2315404666509773</v>
      </c>
      <c r="Y524" s="497" t="str">
        <f t="shared" si="33"/>
        <v/>
      </c>
      <c r="Z524" s="497" t="str">
        <f t="shared" si="33"/>
        <v/>
      </c>
    </row>
    <row r="525" spans="1:26" s="82" customFormat="1" x14ac:dyDescent="0.4">
      <c r="A525" s="493">
        <v>10495</v>
      </c>
      <c r="B525" s="105" t="s">
        <v>433</v>
      </c>
      <c r="C525" s="493" t="s">
        <v>330</v>
      </c>
      <c r="D525" s="105" t="s">
        <v>786</v>
      </c>
      <c r="E525" s="105" t="s">
        <v>787</v>
      </c>
      <c r="F525" s="493">
        <v>61813</v>
      </c>
      <c r="G525" s="105" t="s">
        <v>34</v>
      </c>
      <c r="H525" s="105" t="s">
        <v>342</v>
      </c>
      <c r="I525" s="105" t="s">
        <v>334</v>
      </c>
      <c r="J525" s="493">
        <v>22</v>
      </c>
      <c r="K525" s="493">
        <v>3</v>
      </c>
      <c r="L525" s="105" t="s">
        <v>436</v>
      </c>
      <c r="M525" s="105" t="s">
        <v>360</v>
      </c>
      <c r="N525" s="105" t="s">
        <v>234</v>
      </c>
      <c r="O525" s="105" t="s">
        <v>232</v>
      </c>
      <c r="P525" s="105" t="s">
        <v>388</v>
      </c>
      <c r="Q525" s="494">
        <v>90904</v>
      </c>
      <c r="R525" s="494">
        <v>16549</v>
      </c>
      <c r="S525" s="494">
        <v>2727120</v>
      </c>
      <c r="T525" s="494">
        <v>496451</v>
      </c>
      <c r="U525" s="494">
        <v>94368.024000000005</v>
      </c>
      <c r="V525" s="493">
        <v>2024</v>
      </c>
      <c r="W525" s="495"/>
      <c r="X525" s="496">
        <f t="shared" si="34"/>
        <v>5.2607968139716474</v>
      </c>
      <c r="Y525" s="497" t="str">
        <f t="shared" si="33"/>
        <v/>
      </c>
      <c r="Z525" s="497" t="str">
        <f t="shared" si="33"/>
        <v/>
      </c>
    </row>
    <row r="526" spans="1:26" s="82" customFormat="1" x14ac:dyDescent="0.4">
      <c r="A526" s="493">
        <v>10495</v>
      </c>
      <c r="B526" s="105" t="s">
        <v>433</v>
      </c>
      <c r="C526" s="493" t="s">
        <v>330</v>
      </c>
      <c r="D526" s="105" t="s">
        <v>786</v>
      </c>
      <c r="E526" s="105" t="s">
        <v>787</v>
      </c>
      <c r="F526" s="493">
        <v>61813</v>
      </c>
      <c r="G526" s="105" t="s">
        <v>34</v>
      </c>
      <c r="H526" s="105" t="s">
        <v>342</v>
      </c>
      <c r="I526" s="105" t="s">
        <v>334</v>
      </c>
      <c r="J526" s="493">
        <v>22</v>
      </c>
      <c r="K526" s="493">
        <v>3</v>
      </c>
      <c r="L526" s="105" t="s">
        <v>436</v>
      </c>
      <c r="M526" s="105" t="s">
        <v>360</v>
      </c>
      <c r="N526" s="105" t="s">
        <v>258</v>
      </c>
      <c r="O526" s="105" t="s">
        <v>387</v>
      </c>
      <c r="P526" s="105" t="s">
        <v>388</v>
      </c>
      <c r="Q526" s="494">
        <v>164650</v>
      </c>
      <c r="R526" s="494">
        <v>30011</v>
      </c>
      <c r="S526" s="494">
        <v>1399528</v>
      </c>
      <c r="T526" s="494">
        <v>255095</v>
      </c>
      <c r="U526" s="494">
        <v>48232.288</v>
      </c>
      <c r="V526" s="493">
        <v>2024</v>
      </c>
      <c r="W526" s="495"/>
      <c r="X526" s="496">
        <f t="shared" si="34"/>
        <v>5.2888844916500748</v>
      </c>
      <c r="Y526" s="497" t="str">
        <f t="shared" si="33"/>
        <v/>
      </c>
      <c r="Z526" s="497" t="str">
        <f t="shared" si="33"/>
        <v/>
      </c>
    </row>
    <row r="527" spans="1:26" s="82" customFormat="1" ht="32" x14ac:dyDescent="0.4">
      <c r="A527" s="493">
        <v>10503</v>
      </c>
      <c r="B527" s="105" t="s">
        <v>329</v>
      </c>
      <c r="C527" s="493" t="s">
        <v>330</v>
      </c>
      <c r="D527" s="105" t="s">
        <v>788</v>
      </c>
      <c r="E527" s="105" t="s">
        <v>789</v>
      </c>
      <c r="F527" s="493">
        <v>20541</v>
      </c>
      <c r="G527" s="105" t="s">
        <v>52</v>
      </c>
      <c r="H527" s="105" t="s">
        <v>333</v>
      </c>
      <c r="I527" s="105" t="s">
        <v>334</v>
      </c>
      <c r="J527" s="493">
        <v>562212</v>
      </c>
      <c r="K527" s="493">
        <v>4</v>
      </c>
      <c r="L527" s="105" t="s">
        <v>766</v>
      </c>
      <c r="M527" s="105" t="s">
        <v>360</v>
      </c>
      <c r="N527" s="105" t="s">
        <v>254</v>
      </c>
      <c r="O527" s="105" t="s">
        <v>688</v>
      </c>
      <c r="P527" s="105" t="s">
        <v>388</v>
      </c>
      <c r="Q527" s="494">
        <v>85004</v>
      </c>
      <c r="R527" s="494">
        <v>85004</v>
      </c>
      <c r="S527" s="494">
        <v>652159</v>
      </c>
      <c r="T527" s="494">
        <v>652159</v>
      </c>
      <c r="U527" s="494">
        <v>30325.776000000002</v>
      </c>
      <c r="V527" s="493">
        <v>2024</v>
      </c>
      <c r="W527" s="495"/>
      <c r="X527" s="496" t="str">
        <f t="shared" si="34"/>
        <v/>
      </c>
      <c r="Y527" s="497" t="str">
        <f t="shared" si="33"/>
        <v/>
      </c>
      <c r="Z527" s="497" t="str">
        <f t="shared" si="33"/>
        <v/>
      </c>
    </row>
    <row r="528" spans="1:26" s="82" customFormat="1" ht="32" x14ac:dyDescent="0.4">
      <c r="A528" s="493">
        <v>10503</v>
      </c>
      <c r="B528" s="105" t="s">
        <v>329</v>
      </c>
      <c r="C528" s="493" t="s">
        <v>330</v>
      </c>
      <c r="D528" s="105" t="s">
        <v>788</v>
      </c>
      <c r="E528" s="105" t="s">
        <v>789</v>
      </c>
      <c r="F528" s="493">
        <v>20541</v>
      </c>
      <c r="G528" s="105" t="s">
        <v>52</v>
      </c>
      <c r="H528" s="105" t="s">
        <v>333</v>
      </c>
      <c r="I528" s="105" t="s">
        <v>334</v>
      </c>
      <c r="J528" s="493">
        <v>562212</v>
      </c>
      <c r="K528" s="493">
        <v>4</v>
      </c>
      <c r="L528" s="105" t="s">
        <v>766</v>
      </c>
      <c r="M528" s="105" t="s">
        <v>360</v>
      </c>
      <c r="N528" s="105" t="s">
        <v>230</v>
      </c>
      <c r="O528" s="105" t="s">
        <v>232</v>
      </c>
      <c r="P528" s="105" t="s">
        <v>388</v>
      </c>
      <c r="Q528" s="494">
        <v>54347</v>
      </c>
      <c r="R528" s="494">
        <v>54347</v>
      </c>
      <c r="S528" s="494">
        <v>797081</v>
      </c>
      <c r="T528" s="494">
        <v>797081</v>
      </c>
      <c r="U528" s="494">
        <v>37064.724999999999</v>
      </c>
      <c r="V528" s="493">
        <v>2024</v>
      </c>
      <c r="W528" s="495"/>
      <c r="X528" s="496" t="str">
        <f t="shared" si="34"/>
        <v/>
      </c>
      <c r="Y528" s="497" t="str">
        <f t="shared" ref="Y528:Z547" si="35">IF(AND($M528=$Y$2,$N528=$Y$3,NOT($Q528=$R528),NOT($U528=0)),IF($K528=5,$S528/($U528+(8/5)*$U528),IF($K528=7,$S528/($U528+(29/25)*$U528),"")),"")</f>
        <v/>
      </c>
      <c r="Z528" s="497" t="str">
        <f t="shared" si="35"/>
        <v/>
      </c>
    </row>
    <row r="529" spans="1:26" s="82" customFormat="1" ht="32" x14ac:dyDescent="0.4">
      <c r="A529" s="493">
        <v>10503</v>
      </c>
      <c r="B529" s="105" t="s">
        <v>329</v>
      </c>
      <c r="C529" s="493" t="s">
        <v>330</v>
      </c>
      <c r="D529" s="105" t="s">
        <v>788</v>
      </c>
      <c r="E529" s="105" t="s">
        <v>789</v>
      </c>
      <c r="F529" s="493">
        <v>20541</v>
      </c>
      <c r="G529" s="105" t="s">
        <v>52</v>
      </c>
      <c r="H529" s="105" t="s">
        <v>333</v>
      </c>
      <c r="I529" s="105" t="s">
        <v>334</v>
      </c>
      <c r="J529" s="493">
        <v>562212</v>
      </c>
      <c r="K529" s="493">
        <v>4</v>
      </c>
      <c r="L529" s="105" t="s">
        <v>766</v>
      </c>
      <c r="M529" s="105" t="s">
        <v>360</v>
      </c>
      <c r="N529" s="105" t="s">
        <v>228</v>
      </c>
      <c r="O529" s="105" t="s">
        <v>228</v>
      </c>
      <c r="P529" s="105" t="s">
        <v>356</v>
      </c>
      <c r="Q529" s="494">
        <v>768</v>
      </c>
      <c r="R529" s="494">
        <v>768</v>
      </c>
      <c r="S529" s="494">
        <v>768</v>
      </c>
      <c r="T529" s="494">
        <v>768</v>
      </c>
      <c r="U529" s="494">
        <v>34.499000000000002</v>
      </c>
      <c r="V529" s="493">
        <v>2024</v>
      </c>
      <c r="W529" s="495"/>
      <c r="X529" s="496" t="str">
        <f t="shared" si="34"/>
        <v/>
      </c>
      <c r="Y529" s="497" t="str">
        <f t="shared" si="35"/>
        <v/>
      </c>
      <c r="Z529" s="497" t="str">
        <f t="shared" si="35"/>
        <v/>
      </c>
    </row>
    <row r="530" spans="1:26" s="82" customFormat="1" ht="32" x14ac:dyDescent="0.4">
      <c r="A530" s="493">
        <v>10511</v>
      </c>
      <c r="B530" s="105" t="s">
        <v>433</v>
      </c>
      <c r="C530" s="493" t="s">
        <v>330</v>
      </c>
      <c r="D530" s="105" t="s">
        <v>790</v>
      </c>
      <c r="E530" s="105" t="s">
        <v>791</v>
      </c>
      <c r="F530" s="493">
        <v>56174</v>
      </c>
      <c r="G530" s="105" t="s">
        <v>52</v>
      </c>
      <c r="H530" s="105" t="s">
        <v>333</v>
      </c>
      <c r="I530" s="105" t="s">
        <v>334</v>
      </c>
      <c r="J530" s="493">
        <v>322122</v>
      </c>
      <c r="K530" s="493">
        <v>7</v>
      </c>
      <c r="L530" s="105" t="s">
        <v>727</v>
      </c>
      <c r="M530" s="105" t="s">
        <v>360</v>
      </c>
      <c r="N530" s="105" t="s">
        <v>228</v>
      </c>
      <c r="O530" s="105" t="s">
        <v>228</v>
      </c>
      <c r="P530" s="105" t="s">
        <v>356</v>
      </c>
      <c r="Q530" s="494">
        <v>2185747</v>
      </c>
      <c r="R530" s="494">
        <v>245269</v>
      </c>
      <c r="S530" s="494">
        <v>2251318</v>
      </c>
      <c r="T530" s="494">
        <v>252627</v>
      </c>
      <c r="U530" s="494">
        <v>49059.932000000001</v>
      </c>
      <c r="V530" s="493">
        <v>2024</v>
      </c>
      <c r="W530" s="495"/>
      <c r="X530" s="496" t="str">
        <f t="shared" si="34"/>
        <v/>
      </c>
      <c r="Y530" s="497" t="str">
        <f t="shared" si="35"/>
        <v/>
      </c>
      <c r="Z530" s="497" t="str">
        <f t="shared" si="35"/>
        <v/>
      </c>
    </row>
    <row r="531" spans="1:26" s="82" customFormat="1" ht="32" x14ac:dyDescent="0.4">
      <c r="A531" s="493">
        <v>10511</v>
      </c>
      <c r="B531" s="105" t="s">
        <v>433</v>
      </c>
      <c r="C531" s="493" t="s">
        <v>330</v>
      </c>
      <c r="D531" s="105" t="s">
        <v>790</v>
      </c>
      <c r="E531" s="105" t="s">
        <v>791</v>
      </c>
      <c r="F531" s="493">
        <v>56174</v>
      </c>
      <c r="G531" s="105" t="s">
        <v>52</v>
      </c>
      <c r="H531" s="105" t="s">
        <v>333</v>
      </c>
      <c r="I531" s="105" t="s">
        <v>334</v>
      </c>
      <c r="J531" s="493">
        <v>322122</v>
      </c>
      <c r="K531" s="493">
        <v>7</v>
      </c>
      <c r="L531" s="105" t="s">
        <v>727</v>
      </c>
      <c r="M531" s="105" t="s">
        <v>360</v>
      </c>
      <c r="N531" s="105" t="s">
        <v>238</v>
      </c>
      <c r="O531" s="105" t="s">
        <v>238</v>
      </c>
      <c r="P531" s="105" t="s">
        <v>350</v>
      </c>
      <c r="Q531" s="494">
        <v>0</v>
      </c>
      <c r="R531" s="494">
        <v>0</v>
      </c>
      <c r="S531" s="494">
        <v>0</v>
      </c>
      <c r="T531" s="494">
        <v>0</v>
      </c>
      <c r="U531" s="494">
        <v>0</v>
      </c>
      <c r="V531" s="493">
        <v>2024</v>
      </c>
      <c r="W531" s="495"/>
      <c r="X531" s="496" t="str">
        <f t="shared" si="34"/>
        <v/>
      </c>
      <c r="Y531" s="497" t="str">
        <f t="shared" si="35"/>
        <v/>
      </c>
      <c r="Z531" s="497" t="str">
        <f t="shared" si="35"/>
        <v/>
      </c>
    </row>
    <row r="532" spans="1:26" s="82" customFormat="1" ht="32" x14ac:dyDescent="0.4">
      <c r="A532" s="493">
        <v>10511</v>
      </c>
      <c r="B532" s="105" t="s">
        <v>433</v>
      </c>
      <c r="C532" s="493" t="s">
        <v>330</v>
      </c>
      <c r="D532" s="105" t="s">
        <v>790</v>
      </c>
      <c r="E532" s="105" t="s">
        <v>791</v>
      </c>
      <c r="F532" s="493">
        <v>56174</v>
      </c>
      <c r="G532" s="105" t="s">
        <v>52</v>
      </c>
      <c r="H532" s="105" t="s">
        <v>333</v>
      </c>
      <c r="I532" s="105" t="s">
        <v>334</v>
      </c>
      <c r="J532" s="493">
        <v>322122</v>
      </c>
      <c r="K532" s="493">
        <v>7</v>
      </c>
      <c r="L532" s="105" t="s">
        <v>727</v>
      </c>
      <c r="M532" s="105" t="s">
        <v>360</v>
      </c>
      <c r="N532" s="105" t="s">
        <v>792</v>
      </c>
      <c r="O532" s="105" t="s">
        <v>387</v>
      </c>
      <c r="P532" s="105" t="s">
        <v>350</v>
      </c>
      <c r="Q532" s="494">
        <v>1265396</v>
      </c>
      <c r="R532" s="494">
        <v>143317</v>
      </c>
      <c r="S532" s="494">
        <v>2657332</v>
      </c>
      <c r="T532" s="494">
        <v>300963</v>
      </c>
      <c r="U532" s="494">
        <v>58446.55</v>
      </c>
      <c r="V532" s="493">
        <v>2024</v>
      </c>
      <c r="W532" s="495"/>
      <c r="X532" s="496" t="str">
        <f t="shared" si="34"/>
        <v/>
      </c>
      <c r="Y532" s="497" t="str">
        <f t="shared" si="35"/>
        <v/>
      </c>
      <c r="Z532" s="497" t="str">
        <f t="shared" si="35"/>
        <v/>
      </c>
    </row>
    <row r="533" spans="1:26" s="82" customFormat="1" ht="32" x14ac:dyDescent="0.4">
      <c r="A533" s="493">
        <v>10511</v>
      </c>
      <c r="B533" s="105" t="s">
        <v>433</v>
      </c>
      <c r="C533" s="493" t="s">
        <v>330</v>
      </c>
      <c r="D533" s="105" t="s">
        <v>790</v>
      </c>
      <c r="E533" s="105" t="s">
        <v>791</v>
      </c>
      <c r="F533" s="493">
        <v>56174</v>
      </c>
      <c r="G533" s="105" t="s">
        <v>52</v>
      </c>
      <c r="H533" s="105" t="s">
        <v>333</v>
      </c>
      <c r="I533" s="105" t="s">
        <v>334</v>
      </c>
      <c r="J533" s="493">
        <v>322122</v>
      </c>
      <c r="K533" s="493">
        <v>7</v>
      </c>
      <c r="L533" s="105" t="s">
        <v>727</v>
      </c>
      <c r="M533" s="105" t="s">
        <v>360</v>
      </c>
      <c r="N533" s="105" t="s">
        <v>258</v>
      </c>
      <c r="O533" s="105" t="s">
        <v>387</v>
      </c>
      <c r="P533" s="105" t="s">
        <v>388</v>
      </c>
      <c r="Q533" s="494">
        <v>98379</v>
      </c>
      <c r="R533" s="494">
        <v>11263</v>
      </c>
      <c r="S533" s="494">
        <v>747681</v>
      </c>
      <c r="T533" s="494">
        <v>85602</v>
      </c>
      <c r="U533" s="494">
        <v>16623.817999999999</v>
      </c>
      <c r="V533" s="493">
        <v>2024</v>
      </c>
      <c r="W533" s="495"/>
      <c r="X533" s="496" t="str">
        <f t="shared" si="34"/>
        <v/>
      </c>
      <c r="Y533" s="497" t="str">
        <f t="shared" si="35"/>
        <v/>
      </c>
      <c r="Z533" s="497" t="str">
        <f t="shared" si="35"/>
        <v/>
      </c>
    </row>
    <row r="534" spans="1:26" s="82" customFormat="1" x14ac:dyDescent="0.4">
      <c r="A534" s="493">
        <v>10519</v>
      </c>
      <c r="B534" s="105" t="s">
        <v>329</v>
      </c>
      <c r="C534" s="493" t="s">
        <v>330</v>
      </c>
      <c r="D534" s="105" t="s">
        <v>793</v>
      </c>
      <c r="E534" s="105" t="s">
        <v>794</v>
      </c>
      <c r="F534" s="493">
        <v>16498</v>
      </c>
      <c r="G534" s="105" t="s">
        <v>35</v>
      </c>
      <c r="H534" s="105" t="s">
        <v>342</v>
      </c>
      <c r="I534" s="105" t="s">
        <v>334</v>
      </c>
      <c r="J534" s="493">
        <v>22</v>
      </c>
      <c r="K534" s="493">
        <v>2</v>
      </c>
      <c r="L534" s="105" t="s">
        <v>343</v>
      </c>
      <c r="M534" s="105" t="s">
        <v>336</v>
      </c>
      <c r="N534" s="105" t="s">
        <v>337</v>
      </c>
      <c r="O534" s="105" t="s">
        <v>338</v>
      </c>
      <c r="P534" s="105" t="s">
        <v>339</v>
      </c>
      <c r="Q534" s="494">
        <v>0</v>
      </c>
      <c r="R534" s="494">
        <v>0</v>
      </c>
      <c r="S534" s="494">
        <v>19024</v>
      </c>
      <c r="T534" s="494">
        <v>19024</v>
      </c>
      <c r="U534" s="494">
        <v>5576</v>
      </c>
      <c r="V534" s="493">
        <v>2024</v>
      </c>
      <c r="W534" s="495"/>
      <c r="X534" s="496">
        <f t="shared" si="34"/>
        <v>3.4117647058823528</v>
      </c>
      <c r="Y534" s="497" t="str">
        <f t="shared" si="35"/>
        <v/>
      </c>
      <c r="Z534" s="497" t="str">
        <f t="shared" si="35"/>
        <v/>
      </c>
    </row>
    <row r="535" spans="1:26" s="82" customFormat="1" ht="32" x14ac:dyDescent="0.4">
      <c r="A535" s="493">
        <v>10521</v>
      </c>
      <c r="B535" s="105" t="s">
        <v>433</v>
      </c>
      <c r="C535" s="493" t="s">
        <v>330</v>
      </c>
      <c r="D535" s="105" t="s">
        <v>795</v>
      </c>
      <c r="E535" s="105" t="s">
        <v>796</v>
      </c>
      <c r="F535" s="493">
        <v>60641</v>
      </c>
      <c r="G535" s="105" t="s">
        <v>52</v>
      </c>
      <c r="H535" s="105" t="s">
        <v>333</v>
      </c>
      <c r="I535" s="105" t="s">
        <v>334</v>
      </c>
      <c r="J535" s="493">
        <v>325</v>
      </c>
      <c r="K535" s="493">
        <v>7</v>
      </c>
      <c r="L535" s="105" t="s">
        <v>727</v>
      </c>
      <c r="M535" s="105" t="s">
        <v>380</v>
      </c>
      <c r="N535" s="105" t="s">
        <v>226</v>
      </c>
      <c r="O535" s="105" t="s">
        <v>226</v>
      </c>
      <c r="P535" s="105" t="s">
        <v>350</v>
      </c>
      <c r="Q535" s="494">
        <v>4282</v>
      </c>
      <c r="R535" s="494">
        <v>96</v>
      </c>
      <c r="S535" s="494">
        <v>24836</v>
      </c>
      <c r="T535" s="494">
        <v>557</v>
      </c>
      <c r="U535" s="494">
        <v>95.087999999999994</v>
      </c>
      <c r="V535" s="493">
        <v>2024</v>
      </c>
      <c r="W535" s="495"/>
      <c r="X535" s="496" t="str">
        <f t="shared" si="34"/>
        <v/>
      </c>
      <c r="Y535" s="497" t="str">
        <f t="shared" si="35"/>
        <v/>
      </c>
      <c r="Z535" s="497" t="str">
        <f t="shared" si="35"/>
        <v/>
      </c>
    </row>
    <row r="536" spans="1:26" s="82" customFormat="1" ht="32" x14ac:dyDescent="0.4">
      <c r="A536" s="493">
        <v>10521</v>
      </c>
      <c r="B536" s="105" t="s">
        <v>433</v>
      </c>
      <c r="C536" s="493" t="s">
        <v>330</v>
      </c>
      <c r="D536" s="105" t="s">
        <v>795</v>
      </c>
      <c r="E536" s="105" t="s">
        <v>796</v>
      </c>
      <c r="F536" s="493">
        <v>60641</v>
      </c>
      <c r="G536" s="105" t="s">
        <v>52</v>
      </c>
      <c r="H536" s="105" t="s">
        <v>333</v>
      </c>
      <c r="I536" s="105" t="s">
        <v>334</v>
      </c>
      <c r="J536" s="493">
        <v>325</v>
      </c>
      <c r="K536" s="493">
        <v>7</v>
      </c>
      <c r="L536" s="105" t="s">
        <v>727</v>
      </c>
      <c r="M536" s="105" t="s">
        <v>380</v>
      </c>
      <c r="N536" s="105" t="s">
        <v>228</v>
      </c>
      <c r="O536" s="105" t="s">
        <v>228</v>
      </c>
      <c r="P536" s="105" t="s">
        <v>356</v>
      </c>
      <c r="Q536" s="494">
        <v>213222</v>
      </c>
      <c r="R536" s="494">
        <v>44093</v>
      </c>
      <c r="S536" s="494">
        <v>213222</v>
      </c>
      <c r="T536" s="494">
        <v>44093</v>
      </c>
      <c r="U536" s="494">
        <v>7521.3519999999999</v>
      </c>
      <c r="V536" s="493">
        <v>2024</v>
      </c>
      <c r="W536" s="495"/>
      <c r="X536" s="496" t="str">
        <f t="shared" si="34"/>
        <v/>
      </c>
      <c r="Y536" s="497" t="str">
        <f t="shared" si="35"/>
        <v/>
      </c>
      <c r="Z536" s="497" t="str">
        <f t="shared" si="35"/>
        <v/>
      </c>
    </row>
    <row r="537" spans="1:26" s="82" customFormat="1" ht="32" x14ac:dyDescent="0.4">
      <c r="A537" s="493">
        <v>10521</v>
      </c>
      <c r="B537" s="105" t="s">
        <v>433</v>
      </c>
      <c r="C537" s="493" t="s">
        <v>330</v>
      </c>
      <c r="D537" s="105" t="s">
        <v>795</v>
      </c>
      <c r="E537" s="105" t="s">
        <v>796</v>
      </c>
      <c r="F537" s="493">
        <v>60641</v>
      </c>
      <c r="G537" s="105" t="s">
        <v>52</v>
      </c>
      <c r="H537" s="105" t="s">
        <v>333</v>
      </c>
      <c r="I537" s="105" t="s">
        <v>334</v>
      </c>
      <c r="J537" s="493">
        <v>325</v>
      </c>
      <c r="K537" s="493">
        <v>7</v>
      </c>
      <c r="L537" s="105" t="s">
        <v>727</v>
      </c>
      <c r="M537" s="105" t="s">
        <v>37</v>
      </c>
      <c r="N537" s="105" t="s">
        <v>226</v>
      </c>
      <c r="O537" s="105" t="s">
        <v>226</v>
      </c>
      <c r="P537" s="105" t="s">
        <v>350</v>
      </c>
      <c r="Q537" s="494">
        <v>0</v>
      </c>
      <c r="R537" s="494">
        <v>0</v>
      </c>
      <c r="S537" s="494">
        <v>0</v>
      </c>
      <c r="T537" s="494">
        <v>0</v>
      </c>
      <c r="U537" s="494">
        <v>0</v>
      </c>
      <c r="V537" s="493">
        <v>2024</v>
      </c>
      <c r="W537" s="495"/>
      <c r="X537" s="496" t="str">
        <f t="shared" si="34"/>
        <v/>
      </c>
      <c r="Y537" s="497" t="str">
        <f t="shared" si="35"/>
        <v/>
      </c>
      <c r="Z537" s="497" t="str">
        <f t="shared" si="35"/>
        <v/>
      </c>
    </row>
    <row r="538" spans="1:26" s="82" customFormat="1" ht="32" x14ac:dyDescent="0.4">
      <c r="A538" s="493">
        <v>10521</v>
      </c>
      <c r="B538" s="105" t="s">
        <v>433</v>
      </c>
      <c r="C538" s="493" t="s">
        <v>330</v>
      </c>
      <c r="D538" s="105" t="s">
        <v>795</v>
      </c>
      <c r="E538" s="105" t="s">
        <v>796</v>
      </c>
      <c r="F538" s="493">
        <v>60641</v>
      </c>
      <c r="G538" s="105" t="s">
        <v>52</v>
      </c>
      <c r="H538" s="105" t="s">
        <v>333</v>
      </c>
      <c r="I538" s="105" t="s">
        <v>334</v>
      </c>
      <c r="J538" s="493">
        <v>325</v>
      </c>
      <c r="K538" s="493">
        <v>7</v>
      </c>
      <c r="L538" s="105" t="s">
        <v>727</v>
      </c>
      <c r="M538" s="105" t="s">
        <v>37</v>
      </c>
      <c r="N538" s="105" t="s">
        <v>228</v>
      </c>
      <c r="O538" s="105" t="s">
        <v>228</v>
      </c>
      <c r="P538" s="105" t="s">
        <v>356</v>
      </c>
      <c r="Q538" s="494">
        <v>1858781</v>
      </c>
      <c r="R538" s="494">
        <v>833274</v>
      </c>
      <c r="S538" s="494">
        <v>1858781</v>
      </c>
      <c r="T538" s="494">
        <v>833274</v>
      </c>
      <c r="U538" s="494">
        <v>142135.07</v>
      </c>
      <c r="V538" s="493">
        <v>2024</v>
      </c>
      <c r="W538" s="495"/>
      <c r="X538" s="496" t="str">
        <f t="shared" si="34"/>
        <v/>
      </c>
      <c r="Y538" s="497" t="str">
        <f t="shared" si="35"/>
        <v/>
      </c>
      <c r="Z538" s="497" t="str">
        <f t="shared" si="35"/>
        <v/>
      </c>
    </row>
    <row r="539" spans="1:26" s="82" customFormat="1" ht="32" x14ac:dyDescent="0.4">
      <c r="A539" s="493">
        <v>10523</v>
      </c>
      <c r="B539" s="105" t="s">
        <v>329</v>
      </c>
      <c r="C539" s="493" t="s">
        <v>330</v>
      </c>
      <c r="D539" s="105" t="s">
        <v>797</v>
      </c>
      <c r="E539" s="105" t="s">
        <v>798</v>
      </c>
      <c r="F539" s="493">
        <v>55753</v>
      </c>
      <c r="G539" s="105" t="s">
        <v>34</v>
      </c>
      <c r="H539" s="105" t="s">
        <v>342</v>
      </c>
      <c r="I539" s="105" t="s">
        <v>334</v>
      </c>
      <c r="J539" s="493">
        <v>22</v>
      </c>
      <c r="K539" s="493">
        <v>2</v>
      </c>
      <c r="L539" s="105" t="s">
        <v>343</v>
      </c>
      <c r="M539" s="105" t="s">
        <v>336</v>
      </c>
      <c r="N539" s="105" t="s">
        <v>337</v>
      </c>
      <c r="O539" s="105" t="s">
        <v>338</v>
      </c>
      <c r="P539" s="105" t="s">
        <v>339</v>
      </c>
      <c r="Q539" s="494">
        <v>0</v>
      </c>
      <c r="R539" s="494">
        <v>0</v>
      </c>
      <c r="S539" s="494">
        <v>14595</v>
      </c>
      <c r="T539" s="494">
        <v>14595</v>
      </c>
      <c r="U539" s="494">
        <v>4277</v>
      </c>
      <c r="V539" s="493">
        <v>2024</v>
      </c>
      <c r="W539" s="495"/>
      <c r="X539" s="496">
        <f t="shared" si="34"/>
        <v>3.4124386252045826</v>
      </c>
      <c r="Y539" s="497" t="str">
        <f t="shared" si="35"/>
        <v/>
      </c>
      <c r="Z539" s="497" t="str">
        <f t="shared" si="35"/>
        <v/>
      </c>
    </row>
    <row r="540" spans="1:26" s="82" customFormat="1" ht="32" x14ac:dyDescent="0.4">
      <c r="A540" s="493">
        <v>10526</v>
      </c>
      <c r="B540" s="105" t="s">
        <v>329</v>
      </c>
      <c r="C540" s="493" t="s">
        <v>330</v>
      </c>
      <c r="D540" s="105" t="s">
        <v>799</v>
      </c>
      <c r="E540" s="105" t="s">
        <v>800</v>
      </c>
      <c r="F540" s="493">
        <v>5226</v>
      </c>
      <c r="G540" s="105" t="s">
        <v>35</v>
      </c>
      <c r="H540" s="105" t="s">
        <v>342</v>
      </c>
      <c r="I540" s="105" t="s">
        <v>334</v>
      </c>
      <c r="J540" s="493">
        <v>22</v>
      </c>
      <c r="K540" s="493">
        <v>2</v>
      </c>
      <c r="L540" s="105" t="s">
        <v>343</v>
      </c>
      <c r="M540" s="105" t="s">
        <v>336</v>
      </c>
      <c r="N540" s="105" t="s">
        <v>337</v>
      </c>
      <c r="O540" s="105" t="s">
        <v>338</v>
      </c>
      <c r="P540" s="105" t="s">
        <v>339</v>
      </c>
      <c r="Q540" s="494">
        <v>0</v>
      </c>
      <c r="R540" s="494">
        <v>0</v>
      </c>
      <c r="S540" s="494">
        <v>100389</v>
      </c>
      <c r="T540" s="494">
        <v>100389</v>
      </c>
      <c r="U540" s="494">
        <v>29422</v>
      </c>
      <c r="V540" s="493">
        <v>2024</v>
      </c>
      <c r="W540" s="495"/>
      <c r="X540" s="496">
        <f t="shared" si="34"/>
        <v>3.4120386105635241</v>
      </c>
      <c r="Y540" s="497" t="str">
        <f t="shared" si="35"/>
        <v/>
      </c>
      <c r="Z540" s="497" t="str">
        <f t="shared" si="35"/>
        <v/>
      </c>
    </row>
    <row r="541" spans="1:26" s="82" customFormat="1" ht="32" x14ac:dyDescent="0.4">
      <c r="A541" s="493">
        <v>10530</v>
      </c>
      <c r="B541" s="105" t="s">
        <v>329</v>
      </c>
      <c r="C541" s="493" t="s">
        <v>330</v>
      </c>
      <c r="D541" s="105" t="s">
        <v>801</v>
      </c>
      <c r="E541" s="105" t="s">
        <v>520</v>
      </c>
      <c r="F541" s="493">
        <v>5914</v>
      </c>
      <c r="G541" s="105" t="s">
        <v>52</v>
      </c>
      <c r="H541" s="105" t="s">
        <v>333</v>
      </c>
      <c r="I541" s="105" t="s">
        <v>334</v>
      </c>
      <c r="J541" s="493">
        <v>22</v>
      </c>
      <c r="K541" s="493">
        <v>2</v>
      </c>
      <c r="L541" s="105" t="s">
        <v>343</v>
      </c>
      <c r="M541" s="105" t="s">
        <v>336</v>
      </c>
      <c r="N541" s="105" t="s">
        <v>337</v>
      </c>
      <c r="O541" s="105" t="s">
        <v>338</v>
      </c>
      <c r="P541" s="105" t="s">
        <v>339</v>
      </c>
      <c r="Q541" s="494">
        <v>0</v>
      </c>
      <c r="R541" s="494">
        <v>0</v>
      </c>
      <c r="S541" s="494">
        <v>83437</v>
      </c>
      <c r="T541" s="494">
        <v>83437</v>
      </c>
      <c r="U541" s="494">
        <v>24454</v>
      </c>
      <c r="V541" s="493">
        <v>2024</v>
      </c>
      <c r="W541" s="495"/>
      <c r="X541" s="496">
        <f t="shared" si="34"/>
        <v>3.4119980371309397</v>
      </c>
      <c r="Y541" s="497" t="str">
        <f t="shared" si="35"/>
        <v/>
      </c>
      <c r="Z541" s="497" t="str">
        <f t="shared" si="35"/>
        <v/>
      </c>
    </row>
    <row r="542" spans="1:26" s="82" customFormat="1" ht="32" x14ac:dyDescent="0.4">
      <c r="A542" s="493">
        <v>10531</v>
      </c>
      <c r="B542" s="105" t="s">
        <v>329</v>
      </c>
      <c r="C542" s="493" t="s">
        <v>330</v>
      </c>
      <c r="D542" s="105" t="s">
        <v>802</v>
      </c>
      <c r="E542" s="105" t="s">
        <v>520</v>
      </c>
      <c r="F542" s="493">
        <v>5914</v>
      </c>
      <c r="G542" s="105" t="s">
        <v>52</v>
      </c>
      <c r="H542" s="105" t="s">
        <v>333</v>
      </c>
      <c r="I542" s="105" t="s">
        <v>334</v>
      </c>
      <c r="J542" s="493">
        <v>22</v>
      </c>
      <c r="K542" s="493">
        <v>2</v>
      </c>
      <c r="L542" s="105" t="s">
        <v>343</v>
      </c>
      <c r="M542" s="105" t="s">
        <v>336</v>
      </c>
      <c r="N542" s="105" t="s">
        <v>337</v>
      </c>
      <c r="O542" s="105" t="s">
        <v>338</v>
      </c>
      <c r="P542" s="105" t="s">
        <v>339</v>
      </c>
      <c r="Q542" s="494">
        <v>0</v>
      </c>
      <c r="R542" s="494">
        <v>0</v>
      </c>
      <c r="S542" s="494">
        <v>173541</v>
      </c>
      <c r="T542" s="494">
        <v>173541</v>
      </c>
      <c r="U542" s="494">
        <v>50862</v>
      </c>
      <c r="V542" s="493">
        <v>2024</v>
      </c>
      <c r="W542" s="495"/>
      <c r="X542" s="496">
        <f t="shared" si="34"/>
        <v>3.4119971688097204</v>
      </c>
      <c r="Y542" s="497" t="str">
        <f t="shared" si="35"/>
        <v/>
      </c>
      <c r="Z542" s="497" t="str">
        <f t="shared" si="35"/>
        <v/>
      </c>
    </row>
    <row r="543" spans="1:26" s="82" customFormat="1" ht="32" x14ac:dyDescent="0.4">
      <c r="A543" s="493">
        <v>10538</v>
      </c>
      <c r="B543" s="105" t="s">
        <v>329</v>
      </c>
      <c r="C543" s="493" t="s">
        <v>330</v>
      </c>
      <c r="D543" s="105" t="s">
        <v>803</v>
      </c>
      <c r="E543" s="105" t="s">
        <v>755</v>
      </c>
      <c r="F543" s="493">
        <v>64078</v>
      </c>
      <c r="G543" s="105" t="s">
        <v>52</v>
      </c>
      <c r="H543" s="105" t="s">
        <v>333</v>
      </c>
      <c r="I543" s="105" t="s">
        <v>334</v>
      </c>
      <c r="J543" s="493">
        <v>22</v>
      </c>
      <c r="K543" s="493">
        <v>2</v>
      </c>
      <c r="L543" s="105" t="s">
        <v>343</v>
      </c>
      <c r="M543" s="105" t="s">
        <v>336</v>
      </c>
      <c r="N543" s="105" t="s">
        <v>337</v>
      </c>
      <c r="O543" s="105" t="s">
        <v>338</v>
      </c>
      <c r="P543" s="105" t="s">
        <v>339</v>
      </c>
      <c r="Q543" s="494">
        <v>0</v>
      </c>
      <c r="R543" s="494">
        <v>0</v>
      </c>
      <c r="S543" s="494">
        <v>28646</v>
      </c>
      <c r="T543" s="494">
        <v>28646</v>
      </c>
      <c r="U543" s="494">
        <v>8395</v>
      </c>
      <c r="V543" s="493">
        <v>2024</v>
      </c>
      <c r="W543" s="495"/>
      <c r="X543" s="496">
        <f t="shared" si="34"/>
        <v>3.4122692078618226</v>
      </c>
      <c r="Y543" s="497" t="str">
        <f t="shared" si="35"/>
        <v/>
      </c>
      <c r="Z543" s="497" t="str">
        <f t="shared" si="35"/>
        <v/>
      </c>
    </row>
    <row r="544" spans="1:26" s="82" customFormat="1" ht="32" x14ac:dyDescent="0.4">
      <c r="A544" s="493">
        <v>10539</v>
      </c>
      <c r="B544" s="105" t="s">
        <v>329</v>
      </c>
      <c r="C544" s="493" t="s">
        <v>330</v>
      </c>
      <c r="D544" s="105" t="s">
        <v>804</v>
      </c>
      <c r="E544" s="105" t="s">
        <v>755</v>
      </c>
      <c r="F544" s="493">
        <v>64078</v>
      </c>
      <c r="G544" s="105" t="s">
        <v>52</v>
      </c>
      <c r="H544" s="105" t="s">
        <v>333</v>
      </c>
      <c r="I544" s="105" t="s">
        <v>334</v>
      </c>
      <c r="J544" s="493">
        <v>22</v>
      </c>
      <c r="K544" s="493">
        <v>2</v>
      </c>
      <c r="L544" s="105" t="s">
        <v>343</v>
      </c>
      <c r="M544" s="105" t="s">
        <v>336</v>
      </c>
      <c r="N544" s="105" t="s">
        <v>337</v>
      </c>
      <c r="O544" s="105" t="s">
        <v>338</v>
      </c>
      <c r="P544" s="105" t="s">
        <v>339</v>
      </c>
      <c r="Q544" s="494">
        <v>0</v>
      </c>
      <c r="R544" s="494">
        <v>0</v>
      </c>
      <c r="S544" s="494">
        <v>14989</v>
      </c>
      <c r="T544" s="494">
        <v>14989</v>
      </c>
      <c r="U544" s="494">
        <v>4393</v>
      </c>
      <c r="V544" s="493">
        <v>2024</v>
      </c>
      <c r="W544" s="495"/>
      <c r="X544" s="496">
        <f t="shared" si="34"/>
        <v>3.4120191213293878</v>
      </c>
      <c r="Y544" s="497" t="str">
        <f t="shared" si="35"/>
        <v/>
      </c>
      <c r="Z544" s="497" t="str">
        <f t="shared" si="35"/>
        <v/>
      </c>
    </row>
    <row r="545" spans="1:26" s="82" customFormat="1" ht="32" x14ac:dyDescent="0.4">
      <c r="A545" s="493">
        <v>10540</v>
      </c>
      <c r="B545" s="105" t="s">
        <v>329</v>
      </c>
      <c r="C545" s="493" t="s">
        <v>330</v>
      </c>
      <c r="D545" s="105" t="s">
        <v>805</v>
      </c>
      <c r="E545" s="105" t="s">
        <v>755</v>
      </c>
      <c r="F545" s="493">
        <v>64078</v>
      </c>
      <c r="G545" s="105" t="s">
        <v>52</v>
      </c>
      <c r="H545" s="105" t="s">
        <v>333</v>
      </c>
      <c r="I545" s="105" t="s">
        <v>334</v>
      </c>
      <c r="J545" s="493">
        <v>22</v>
      </c>
      <c r="K545" s="493">
        <v>2</v>
      </c>
      <c r="L545" s="105" t="s">
        <v>343</v>
      </c>
      <c r="M545" s="105" t="s">
        <v>336</v>
      </c>
      <c r="N545" s="105" t="s">
        <v>337</v>
      </c>
      <c r="O545" s="105" t="s">
        <v>338</v>
      </c>
      <c r="P545" s="105" t="s">
        <v>339</v>
      </c>
      <c r="Q545" s="494">
        <v>0</v>
      </c>
      <c r="R545" s="494">
        <v>0</v>
      </c>
      <c r="S545" s="494">
        <v>8845</v>
      </c>
      <c r="T545" s="494">
        <v>8845</v>
      </c>
      <c r="U545" s="494">
        <v>2592</v>
      </c>
      <c r="V545" s="493">
        <v>2024</v>
      </c>
      <c r="W545" s="495"/>
      <c r="X545" s="496">
        <f t="shared" si="34"/>
        <v>3.4124228395061729</v>
      </c>
      <c r="Y545" s="497" t="str">
        <f t="shared" si="35"/>
        <v/>
      </c>
      <c r="Z545" s="497" t="str">
        <f t="shared" si="35"/>
        <v/>
      </c>
    </row>
    <row r="546" spans="1:26" s="82" customFormat="1" ht="32" x14ac:dyDescent="0.4">
      <c r="A546" s="493">
        <v>10544</v>
      </c>
      <c r="B546" s="105" t="s">
        <v>329</v>
      </c>
      <c r="C546" s="493" t="s">
        <v>330</v>
      </c>
      <c r="D546" s="105" t="s">
        <v>806</v>
      </c>
      <c r="E546" s="105" t="s">
        <v>755</v>
      </c>
      <c r="F546" s="493">
        <v>64078</v>
      </c>
      <c r="G546" s="105" t="s">
        <v>52</v>
      </c>
      <c r="H546" s="105" t="s">
        <v>333</v>
      </c>
      <c r="I546" s="105" t="s">
        <v>334</v>
      </c>
      <c r="J546" s="493">
        <v>22</v>
      </c>
      <c r="K546" s="493">
        <v>2</v>
      </c>
      <c r="L546" s="105" t="s">
        <v>343</v>
      </c>
      <c r="M546" s="105" t="s">
        <v>336</v>
      </c>
      <c r="N546" s="105" t="s">
        <v>337</v>
      </c>
      <c r="O546" s="105" t="s">
        <v>338</v>
      </c>
      <c r="P546" s="105" t="s">
        <v>339</v>
      </c>
      <c r="Q546" s="494">
        <v>0</v>
      </c>
      <c r="R546" s="494">
        <v>0</v>
      </c>
      <c r="S546" s="494">
        <v>32334</v>
      </c>
      <c r="T546" s="494">
        <v>32334</v>
      </c>
      <c r="U546" s="494">
        <v>9476</v>
      </c>
      <c r="V546" s="493">
        <v>2024</v>
      </c>
      <c r="W546" s="495"/>
      <c r="X546" s="496">
        <f t="shared" si="34"/>
        <v>3.4121992401857324</v>
      </c>
      <c r="Y546" s="497" t="str">
        <f t="shared" si="35"/>
        <v/>
      </c>
      <c r="Z546" s="497" t="str">
        <f t="shared" si="35"/>
        <v/>
      </c>
    </row>
    <row r="547" spans="1:26" s="82" customFormat="1" ht="32" x14ac:dyDescent="0.4">
      <c r="A547" s="493">
        <v>10545</v>
      </c>
      <c r="B547" s="105" t="s">
        <v>329</v>
      </c>
      <c r="C547" s="493" t="s">
        <v>330</v>
      </c>
      <c r="D547" s="105" t="s">
        <v>807</v>
      </c>
      <c r="E547" s="105" t="s">
        <v>755</v>
      </c>
      <c r="F547" s="493">
        <v>64078</v>
      </c>
      <c r="G547" s="105" t="s">
        <v>52</v>
      </c>
      <c r="H547" s="105" t="s">
        <v>333</v>
      </c>
      <c r="I547" s="105" t="s">
        <v>334</v>
      </c>
      <c r="J547" s="493">
        <v>22</v>
      </c>
      <c r="K547" s="493">
        <v>2</v>
      </c>
      <c r="L547" s="105" t="s">
        <v>343</v>
      </c>
      <c r="M547" s="105" t="s">
        <v>336</v>
      </c>
      <c r="N547" s="105" t="s">
        <v>337</v>
      </c>
      <c r="O547" s="105" t="s">
        <v>338</v>
      </c>
      <c r="P547" s="105" t="s">
        <v>339</v>
      </c>
      <c r="Q547" s="494">
        <v>0</v>
      </c>
      <c r="R547" s="494">
        <v>0</v>
      </c>
      <c r="S547" s="494">
        <v>29381</v>
      </c>
      <c r="T547" s="494">
        <v>29381</v>
      </c>
      <c r="U547" s="494">
        <v>8611</v>
      </c>
      <c r="V547" s="493">
        <v>2024</v>
      </c>
      <c r="W547" s="495"/>
      <c r="X547" s="496">
        <f t="shared" si="34"/>
        <v>3.4120311229822322</v>
      </c>
      <c r="Y547" s="497" t="str">
        <f t="shared" si="35"/>
        <v/>
      </c>
      <c r="Z547" s="497" t="str">
        <f t="shared" si="35"/>
        <v/>
      </c>
    </row>
    <row r="548" spans="1:26" s="82" customFormat="1" ht="32" x14ac:dyDescent="0.4">
      <c r="A548" s="493">
        <v>10547</v>
      </c>
      <c r="B548" s="105" t="s">
        <v>329</v>
      </c>
      <c r="C548" s="493" t="s">
        <v>330</v>
      </c>
      <c r="D548" s="105" t="s">
        <v>808</v>
      </c>
      <c r="E548" s="105" t="s">
        <v>755</v>
      </c>
      <c r="F548" s="493">
        <v>64078</v>
      </c>
      <c r="G548" s="105" t="s">
        <v>52</v>
      </c>
      <c r="H548" s="105" t="s">
        <v>333</v>
      </c>
      <c r="I548" s="105" t="s">
        <v>334</v>
      </c>
      <c r="J548" s="493">
        <v>22</v>
      </c>
      <c r="K548" s="493">
        <v>2</v>
      </c>
      <c r="L548" s="105" t="s">
        <v>343</v>
      </c>
      <c r="M548" s="105" t="s">
        <v>336</v>
      </c>
      <c r="N548" s="105" t="s">
        <v>337</v>
      </c>
      <c r="O548" s="105" t="s">
        <v>338</v>
      </c>
      <c r="P548" s="105" t="s">
        <v>339</v>
      </c>
      <c r="Q548" s="494">
        <v>0</v>
      </c>
      <c r="R548" s="494">
        <v>0</v>
      </c>
      <c r="S548" s="494">
        <v>86282</v>
      </c>
      <c r="T548" s="494">
        <v>86282</v>
      </c>
      <c r="U548" s="494">
        <v>25288</v>
      </c>
      <c r="V548" s="493">
        <v>2024</v>
      </c>
      <c r="W548" s="495"/>
      <c r="X548" s="496">
        <f t="shared" si="34"/>
        <v>3.4119740588421386</v>
      </c>
      <c r="Y548" s="497" t="str">
        <f t="shared" ref="Y548:Z567" si="36">IF(AND($M548=$Y$2,$N548=$Y$3,NOT($Q548=$R548),NOT($U548=0)),IF($K548=5,$S548/($U548+(8/5)*$U548),IF($K548=7,$S548/($U548+(29/25)*$U548),"")),"")</f>
        <v/>
      </c>
      <c r="Z548" s="497" t="str">
        <f t="shared" si="36"/>
        <v/>
      </c>
    </row>
    <row r="549" spans="1:26" s="82" customFormat="1" ht="32" x14ac:dyDescent="0.4">
      <c r="A549" s="493">
        <v>10555</v>
      </c>
      <c r="B549" s="105" t="s">
        <v>329</v>
      </c>
      <c r="C549" s="493" t="s">
        <v>330</v>
      </c>
      <c r="D549" s="105" t="s">
        <v>809</v>
      </c>
      <c r="E549" s="105" t="s">
        <v>810</v>
      </c>
      <c r="F549" s="493">
        <v>2179</v>
      </c>
      <c r="G549" s="105" t="s">
        <v>34</v>
      </c>
      <c r="H549" s="105" t="s">
        <v>342</v>
      </c>
      <c r="I549" s="105" t="s">
        <v>334</v>
      </c>
      <c r="J549" s="493">
        <v>22</v>
      </c>
      <c r="K549" s="493">
        <v>2</v>
      </c>
      <c r="L549" s="105" t="s">
        <v>343</v>
      </c>
      <c r="M549" s="105" t="s">
        <v>336</v>
      </c>
      <c r="N549" s="105" t="s">
        <v>337</v>
      </c>
      <c r="O549" s="105" t="s">
        <v>338</v>
      </c>
      <c r="P549" s="105" t="s">
        <v>339</v>
      </c>
      <c r="Q549" s="494">
        <v>0</v>
      </c>
      <c r="R549" s="494">
        <v>0</v>
      </c>
      <c r="S549" s="494">
        <v>35530</v>
      </c>
      <c r="T549" s="494">
        <v>35530</v>
      </c>
      <c r="U549" s="494">
        <v>10413</v>
      </c>
      <c r="V549" s="493">
        <v>2024</v>
      </c>
      <c r="W549" s="495"/>
      <c r="X549" s="496">
        <f t="shared" si="34"/>
        <v>3.4120810525304908</v>
      </c>
      <c r="Y549" s="497" t="str">
        <f t="shared" si="36"/>
        <v/>
      </c>
      <c r="Z549" s="497" t="str">
        <f t="shared" si="36"/>
        <v/>
      </c>
    </row>
    <row r="550" spans="1:26" s="82" customFormat="1" ht="32" x14ac:dyDescent="0.4">
      <c r="A550" s="493">
        <v>10556</v>
      </c>
      <c r="B550" s="105" t="s">
        <v>329</v>
      </c>
      <c r="C550" s="493" t="s">
        <v>330</v>
      </c>
      <c r="D550" s="105" t="s">
        <v>811</v>
      </c>
      <c r="E550" s="105" t="s">
        <v>812</v>
      </c>
      <c r="F550" s="493">
        <v>66271</v>
      </c>
      <c r="G550" s="105" t="s">
        <v>33</v>
      </c>
      <c r="H550" s="105" t="s">
        <v>342</v>
      </c>
      <c r="I550" s="105" t="s">
        <v>334</v>
      </c>
      <c r="J550" s="493">
        <v>22</v>
      </c>
      <c r="K550" s="493">
        <v>2</v>
      </c>
      <c r="L550" s="105" t="s">
        <v>343</v>
      </c>
      <c r="M550" s="105" t="s">
        <v>336</v>
      </c>
      <c r="N550" s="105" t="s">
        <v>337</v>
      </c>
      <c r="O550" s="105" t="s">
        <v>338</v>
      </c>
      <c r="P550" s="105" t="s">
        <v>339</v>
      </c>
      <c r="Q550" s="494">
        <v>0</v>
      </c>
      <c r="R550" s="494">
        <v>0</v>
      </c>
      <c r="S550" s="494">
        <v>93906</v>
      </c>
      <c r="T550" s="494">
        <v>93906</v>
      </c>
      <c r="U550" s="494">
        <v>27522</v>
      </c>
      <c r="V550" s="493">
        <v>2024</v>
      </c>
      <c r="W550" s="495"/>
      <c r="X550" s="496">
        <f t="shared" si="34"/>
        <v>3.4120340091563115</v>
      </c>
      <c r="Y550" s="497" t="str">
        <f t="shared" si="36"/>
        <v/>
      </c>
      <c r="Z550" s="497" t="str">
        <f t="shared" si="36"/>
        <v/>
      </c>
    </row>
    <row r="551" spans="1:26" s="82" customFormat="1" ht="32" x14ac:dyDescent="0.4">
      <c r="A551" s="493">
        <v>10567</v>
      </c>
      <c r="B551" s="105" t="s">
        <v>433</v>
      </c>
      <c r="C551" s="493" t="s">
        <v>330</v>
      </c>
      <c r="D551" s="105" t="s">
        <v>813</v>
      </c>
      <c r="E551" s="105" t="s">
        <v>814</v>
      </c>
      <c r="F551" s="493">
        <v>291</v>
      </c>
      <c r="G551" s="105" t="s">
        <v>37</v>
      </c>
      <c r="H551" s="105" t="s">
        <v>342</v>
      </c>
      <c r="I551" s="105" t="s">
        <v>334</v>
      </c>
      <c r="J551" s="493">
        <v>22</v>
      </c>
      <c r="K551" s="493">
        <v>3</v>
      </c>
      <c r="L551" s="105" t="s">
        <v>436</v>
      </c>
      <c r="M551" s="105" t="s">
        <v>380</v>
      </c>
      <c r="N551" s="105" t="s">
        <v>226</v>
      </c>
      <c r="O551" s="105" t="s">
        <v>226</v>
      </c>
      <c r="P551" s="105" t="s">
        <v>350</v>
      </c>
      <c r="Q551" s="494">
        <v>0</v>
      </c>
      <c r="R551" s="494">
        <v>0</v>
      </c>
      <c r="S551" s="494">
        <v>0</v>
      </c>
      <c r="T551" s="494">
        <v>0</v>
      </c>
      <c r="U551" s="494">
        <v>4.6059999999999999</v>
      </c>
      <c r="V551" s="493">
        <v>2024</v>
      </c>
      <c r="W551" s="495"/>
      <c r="X551" s="496" t="str">
        <f t="shared" si="34"/>
        <v/>
      </c>
      <c r="Y551" s="497" t="str">
        <f t="shared" si="36"/>
        <v/>
      </c>
      <c r="Z551" s="497" t="str">
        <f t="shared" si="36"/>
        <v/>
      </c>
    </row>
    <row r="552" spans="1:26" s="82" customFormat="1" ht="32" x14ac:dyDescent="0.4">
      <c r="A552" s="493">
        <v>10567</v>
      </c>
      <c r="B552" s="105" t="s">
        <v>433</v>
      </c>
      <c r="C552" s="493" t="s">
        <v>330</v>
      </c>
      <c r="D552" s="105" t="s">
        <v>813</v>
      </c>
      <c r="E552" s="105" t="s">
        <v>814</v>
      </c>
      <c r="F552" s="493">
        <v>291</v>
      </c>
      <c r="G552" s="105" t="s">
        <v>37</v>
      </c>
      <c r="H552" s="105" t="s">
        <v>342</v>
      </c>
      <c r="I552" s="105" t="s">
        <v>334</v>
      </c>
      <c r="J552" s="493">
        <v>22</v>
      </c>
      <c r="K552" s="493">
        <v>3</v>
      </c>
      <c r="L552" s="105" t="s">
        <v>436</v>
      </c>
      <c r="M552" s="105" t="s">
        <v>380</v>
      </c>
      <c r="N552" s="105" t="s">
        <v>228</v>
      </c>
      <c r="O552" s="105" t="s">
        <v>228</v>
      </c>
      <c r="P552" s="105" t="s">
        <v>356</v>
      </c>
      <c r="Q552" s="494">
        <v>0</v>
      </c>
      <c r="R552" s="494">
        <v>0</v>
      </c>
      <c r="S552" s="494">
        <v>0</v>
      </c>
      <c r="T552" s="494">
        <v>0</v>
      </c>
      <c r="U552" s="494">
        <v>4711.5339999999997</v>
      </c>
      <c r="V552" s="493">
        <v>2024</v>
      </c>
      <c r="W552" s="495"/>
      <c r="X552" s="496" t="str">
        <f t="shared" si="34"/>
        <v/>
      </c>
      <c r="Y552" s="497" t="str">
        <f t="shared" si="36"/>
        <v/>
      </c>
      <c r="Z552" s="497" t="str">
        <f t="shared" si="36"/>
        <v/>
      </c>
    </row>
    <row r="553" spans="1:26" s="82" customFormat="1" ht="32" x14ac:dyDescent="0.4">
      <c r="A553" s="493">
        <v>10567</v>
      </c>
      <c r="B553" s="105" t="s">
        <v>433</v>
      </c>
      <c r="C553" s="493" t="s">
        <v>330</v>
      </c>
      <c r="D553" s="105" t="s">
        <v>813</v>
      </c>
      <c r="E553" s="105" t="s">
        <v>814</v>
      </c>
      <c r="F553" s="493">
        <v>291</v>
      </c>
      <c r="G553" s="105" t="s">
        <v>37</v>
      </c>
      <c r="H553" s="105" t="s">
        <v>342</v>
      </c>
      <c r="I553" s="105" t="s">
        <v>334</v>
      </c>
      <c r="J553" s="493">
        <v>22</v>
      </c>
      <c r="K553" s="493">
        <v>3</v>
      </c>
      <c r="L553" s="105" t="s">
        <v>436</v>
      </c>
      <c r="M553" s="105" t="s">
        <v>37</v>
      </c>
      <c r="N553" s="105" t="s">
        <v>226</v>
      </c>
      <c r="O553" s="105" t="s">
        <v>226</v>
      </c>
      <c r="P553" s="105" t="s">
        <v>350</v>
      </c>
      <c r="Q553" s="494">
        <v>171</v>
      </c>
      <c r="R553" s="494">
        <v>86</v>
      </c>
      <c r="S553" s="494">
        <v>992</v>
      </c>
      <c r="T553" s="494">
        <v>501</v>
      </c>
      <c r="U553" s="494">
        <v>83.712999999999994</v>
      </c>
      <c r="V553" s="493">
        <v>2024</v>
      </c>
      <c r="W553" s="495"/>
      <c r="X553" s="496">
        <f t="shared" si="34"/>
        <v>5.9847335539283035</v>
      </c>
      <c r="Y553" s="497" t="str">
        <f t="shared" si="36"/>
        <v/>
      </c>
      <c r="Z553" s="497" t="str">
        <f t="shared" si="36"/>
        <v/>
      </c>
    </row>
    <row r="554" spans="1:26" s="82" customFormat="1" ht="32" x14ac:dyDescent="0.4">
      <c r="A554" s="493">
        <v>10567</v>
      </c>
      <c r="B554" s="105" t="s">
        <v>433</v>
      </c>
      <c r="C554" s="493" t="s">
        <v>330</v>
      </c>
      <c r="D554" s="105" t="s">
        <v>813</v>
      </c>
      <c r="E554" s="105" t="s">
        <v>814</v>
      </c>
      <c r="F554" s="493">
        <v>291</v>
      </c>
      <c r="G554" s="105" t="s">
        <v>37</v>
      </c>
      <c r="H554" s="105" t="s">
        <v>342</v>
      </c>
      <c r="I554" s="105" t="s">
        <v>334</v>
      </c>
      <c r="J554" s="493">
        <v>22</v>
      </c>
      <c r="K554" s="493">
        <v>3</v>
      </c>
      <c r="L554" s="105" t="s">
        <v>436</v>
      </c>
      <c r="M554" s="105" t="s">
        <v>37</v>
      </c>
      <c r="N554" s="105" t="s">
        <v>228</v>
      </c>
      <c r="O554" s="105" t="s">
        <v>228</v>
      </c>
      <c r="P554" s="105" t="s">
        <v>356</v>
      </c>
      <c r="Q554" s="494">
        <v>1419700</v>
      </c>
      <c r="R554" s="494">
        <v>718499</v>
      </c>
      <c r="S554" s="494">
        <v>1459810</v>
      </c>
      <c r="T554" s="494">
        <v>738796</v>
      </c>
      <c r="U554" s="494">
        <v>125508.98</v>
      </c>
      <c r="V554" s="493">
        <v>2024</v>
      </c>
      <c r="W554" s="495"/>
      <c r="X554" s="496">
        <f t="shared" si="34"/>
        <v>5.8863995229664043</v>
      </c>
      <c r="Y554" s="497" t="str">
        <f t="shared" si="36"/>
        <v/>
      </c>
      <c r="Z554" s="497" t="str">
        <f t="shared" si="36"/>
        <v/>
      </c>
    </row>
    <row r="555" spans="1:26" s="82" customFormat="1" ht="32" x14ac:dyDescent="0.4">
      <c r="A555" s="493">
        <v>10570</v>
      </c>
      <c r="B555" s="105" t="s">
        <v>329</v>
      </c>
      <c r="C555" s="493" t="s">
        <v>330</v>
      </c>
      <c r="D555" s="105" t="s">
        <v>815</v>
      </c>
      <c r="E555" s="105" t="s">
        <v>816</v>
      </c>
      <c r="F555" s="493">
        <v>23037</v>
      </c>
      <c r="G555" s="105" t="s">
        <v>35</v>
      </c>
      <c r="H555" s="105" t="s">
        <v>342</v>
      </c>
      <c r="I555" s="105" t="s">
        <v>334</v>
      </c>
      <c r="J555" s="493">
        <v>22</v>
      </c>
      <c r="K555" s="493">
        <v>2</v>
      </c>
      <c r="L555" s="105" t="s">
        <v>343</v>
      </c>
      <c r="M555" s="105" t="s">
        <v>336</v>
      </c>
      <c r="N555" s="105" t="s">
        <v>337</v>
      </c>
      <c r="O555" s="105" t="s">
        <v>338</v>
      </c>
      <c r="P555" s="105" t="s">
        <v>339</v>
      </c>
      <c r="Q555" s="494">
        <v>0</v>
      </c>
      <c r="R555" s="494">
        <v>0</v>
      </c>
      <c r="S555" s="494">
        <v>52304</v>
      </c>
      <c r="T555" s="494">
        <v>52304</v>
      </c>
      <c r="U555" s="494">
        <v>15329</v>
      </c>
      <c r="V555" s="493">
        <v>2024</v>
      </c>
      <c r="W555" s="495"/>
      <c r="X555" s="496">
        <f t="shared" si="34"/>
        <v>3.4120947224215539</v>
      </c>
      <c r="Y555" s="497" t="str">
        <f t="shared" si="36"/>
        <v/>
      </c>
      <c r="Z555" s="497" t="str">
        <f t="shared" si="36"/>
        <v/>
      </c>
    </row>
    <row r="556" spans="1:26" s="82" customFormat="1" ht="32" x14ac:dyDescent="0.4">
      <c r="A556" s="493">
        <v>10608</v>
      </c>
      <c r="B556" s="105" t="s">
        <v>329</v>
      </c>
      <c r="C556" s="493" t="s">
        <v>330</v>
      </c>
      <c r="D556" s="105" t="s">
        <v>817</v>
      </c>
      <c r="E556" s="105" t="s">
        <v>818</v>
      </c>
      <c r="F556" s="493">
        <v>56467</v>
      </c>
      <c r="G556" s="105" t="s">
        <v>36</v>
      </c>
      <c r="H556" s="105" t="s">
        <v>342</v>
      </c>
      <c r="I556" s="105" t="s">
        <v>334</v>
      </c>
      <c r="J556" s="493">
        <v>22</v>
      </c>
      <c r="K556" s="493">
        <v>2</v>
      </c>
      <c r="L556" s="105" t="s">
        <v>343</v>
      </c>
      <c r="M556" s="105" t="s">
        <v>336</v>
      </c>
      <c r="N556" s="105" t="s">
        <v>337</v>
      </c>
      <c r="O556" s="105" t="s">
        <v>338</v>
      </c>
      <c r="P556" s="105" t="s">
        <v>339</v>
      </c>
      <c r="Q556" s="494">
        <v>0</v>
      </c>
      <c r="R556" s="494">
        <v>0</v>
      </c>
      <c r="S556" s="494">
        <v>13148</v>
      </c>
      <c r="T556" s="494">
        <v>13148</v>
      </c>
      <c r="U556" s="494">
        <v>3853</v>
      </c>
      <c r="V556" s="493">
        <v>2024</v>
      </c>
      <c r="W556" s="495"/>
      <c r="X556" s="496">
        <f t="shared" si="34"/>
        <v>3.4124059174669088</v>
      </c>
      <c r="Y556" s="497" t="str">
        <f t="shared" si="36"/>
        <v/>
      </c>
      <c r="Z556" s="497" t="str">
        <f t="shared" si="36"/>
        <v/>
      </c>
    </row>
    <row r="557" spans="1:26" s="82" customFormat="1" ht="32" x14ac:dyDescent="0.4">
      <c r="A557" s="493">
        <v>10613</v>
      </c>
      <c r="B557" s="105" t="s">
        <v>433</v>
      </c>
      <c r="C557" s="493" t="s">
        <v>330</v>
      </c>
      <c r="D557" s="105" t="s">
        <v>819</v>
      </c>
      <c r="E557" s="105" t="s">
        <v>820</v>
      </c>
      <c r="F557" s="493">
        <v>5232</v>
      </c>
      <c r="G557" s="105" t="s">
        <v>34</v>
      </c>
      <c r="H557" s="105" t="s">
        <v>342</v>
      </c>
      <c r="I557" s="105" t="s">
        <v>334</v>
      </c>
      <c r="J557" s="493">
        <v>322122</v>
      </c>
      <c r="K557" s="493">
        <v>7</v>
      </c>
      <c r="L557" s="105" t="s">
        <v>727</v>
      </c>
      <c r="M557" s="105" t="s">
        <v>336</v>
      </c>
      <c r="N557" s="105" t="s">
        <v>337</v>
      </c>
      <c r="O557" s="105" t="s">
        <v>338</v>
      </c>
      <c r="P557" s="105" t="s">
        <v>339</v>
      </c>
      <c r="Q557" s="494">
        <v>0</v>
      </c>
      <c r="R557" s="494">
        <v>0</v>
      </c>
      <c r="S557" s="494">
        <v>159590</v>
      </c>
      <c r="T557" s="494">
        <v>159590</v>
      </c>
      <c r="U557" s="494">
        <v>46773</v>
      </c>
      <c r="V557" s="493">
        <v>2024</v>
      </c>
      <c r="W557" s="495"/>
      <c r="X557" s="496" t="str">
        <f t="shared" si="34"/>
        <v/>
      </c>
      <c r="Y557" s="497" t="str">
        <f t="shared" si="36"/>
        <v/>
      </c>
      <c r="Z557" s="497" t="str">
        <f t="shared" si="36"/>
        <v/>
      </c>
    </row>
    <row r="558" spans="1:26" s="82" customFormat="1" ht="32" x14ac:dyDescent="0.4">
      <c r="A558" s="493">
        <v>10613</v>
      </c>
      <c r="B558" s="105" t="s">
        <v>433</v>
      </c>
      <c r="C558" s="493" t="s">
        <v>330</v>
      </c>
      <c r="D558" s="105" t="s">
        <v>819</v>
      </c>
      <c r="E558" s="105" t="s">
        <v>820</v>
      </c>
      <c r="F558" s="493">
        <v>5232</v>
      </c>
      <c r="G558" s="105" t="s">
        <v>34</v>
      </c>
      <c r="H558" s="105" t="s">
        <v>342</v>
      </c>
      <c r="I558" s="105" t="s">
        <v>334</v>
      </c>
      <c r="J558" s="493">
        <v>322122</v>
      </c>
      <c r="K558" s="493">
        <v>7</v>
      </c>
      <c r="L558" s="105" t="s">
        <v>727</v>
      </c>
      <c r="M558" s="105" t="s">
        <v>360</v>
      </c>
      <c r="N558" s="105" t="s">
        <v>256</v>
      </c>
      <c r="O558" s="105" t="s">
        <v>387</v>
      </c>
      <c r="P558" s="105" t="s">
        <v>388</v>
      </c>
      <c r="Q558" s="494">
        <v>483783</v>
      </c>
      <c r="R558" s="494">
        <v>70583</v>
      </c>
      <c r="S558" s="494">
        <v>5805396</v>
      </c>
      <c r="T558" s="494">
        <v>846989</v>
      </c>
      <c r="U558" s="494">
        <v>191143.77</v>
      </c>
      <c r="V558" s="493">
        <v>2024</v>
      </c>
      <c r="W558" s="495"/>
      <c r="X558" s="496" t="str">
        <f t="shared" si="34"/>
        <v/>
      </c>
      <c r="Y558" s="497" t="str">
        <f t="shared" si="36"/>
        <v/>
      </c>
      <c r="Z558" s="497" t="str">
        <f t="shared" si="36"/>
        <v/>
      </c>
    </row>
    <row r="559" spans="1:26" s="82" customFormat="1" ht="32" x14ac:dyDescent="0.4">
      <c r="A559" s="493">
        <v>10613</v>
      </c>
      <c r="B559" s="105" t="s">
        <v>433</v>
      </c>
      <c r="C559" s="493" t="s">
        <v>330</v>
      </c>
      <c r="D559" s="105" t="s">
        <v>819</v>
      </c>
      <c r="E559" s="105" t="s">
        <v>820</v>
      </c>
      <c r="F559" s="493">
        <v>5232</v>
      </c>
      <c r="G559" s="105" t="s">
        <v>34</v>
      </c>
      <c r="H559" s="105" t="s">
        <v>342</v>
      </c>
      <c r="I559" s="105" t="s">
        <v>334</v>
      </c>
      <c r="J559" s="493">
        <v>322122</v>
      </c>
      <c r="K559" s="493">
        <v>7</v>
      </c>
      <c r="L559" s="105" t="s">
        <v>727</v>
      </c>
      <c r="M559" s="105" t="s">
        <v>360</v>
      </c>
      <c r="N559" s="105" t="s">
        <v>228</v>
      </c>
      <c r="O559" s="105" t="s">
        <v>228</v>
      </c>
      <c r="P559" s="105" t="s">
        <v>356</v>
      </c>
      <c r="Q559" s="494">
        <v>3371276</v>
      </c>
      <c r="R559" s="494">
        <v>495723</v>
      </c>
      <c r="S559" s="494">
        <v>3371276</v>
      </c>
      <c r="T559" s="494">
        <v>495723</v>
      </c>
      <c r="U559" s="494">
        <v>111871.21</v>
      </c>
      <c r="V559" s="493">
        <v>2024</v>
      </c>
      <c r="W559" s="495"/>
      <c r="X559" s="496" t="str">
        <f t="shared" si="34"/>
        <v/>
      </c>
      <c r="Y559" s="497" t="str">
        <f t="shared" si="36"/>
        <v/>
      </c>
      <c r="Z559" s="497" t="str">
        <f t="shared" si="36"/>
        <v/>
      </c>
    </row>
    <row r="560" spans="1:26" s="82" customFormat="1" ht="32" x14ac:dyDescent="0.4">
      <c r="A560" s="493">
        <v>10613</v>
      </c>
      <c r="B560" s="105" t="s">
        <v>433</v>
      </c>
      <c r="C560" s="493" t="s">
        <v>330</v>
      </c>
      <c r="D560" s="105" t="s">
        <v>819</v>
      </c>
      <c r="E560" s="105" t="s">
        <v>820</v>
      </c>
      <c r="F560" s="493">
        <v>5232</v>
      </c>
      <c r="G560" s="105" t="s">
        <v>34</v>
      </c>
      <c r="H560" s="105" t="s">
        <v>342</v>
      </c>
      <c r="I560" s="105" t="s">
        <v>334</v>
      </c>
      <c r="J560" s="493">
        <v>322122</v>
      </c>
      <c r="K560" s="493">
        <v>7</v>
      </c>
      <c r="L560" s="105" t="s">
        <v>727</v>
      </c>
      <c r="M560" s="105" t="s">
        <v>360</v>
      </c>
      <c r="N560" s="105" t="s">
        <v>238</v>
      </c>
      <c r="O560" s="105" t="s">
        <v>238</v>
      </c>
      <c r="P560" s="105" t="s">
        <v>350</v>
      </c>
      <c r="Q560" s="494">
        <v>0</v>
      </c>
      <c r="R560" s="494">
        <v>0</v>
      </c>
      <c r="S560" s="494">
        <v>0</v>
      </c>
      <c r="T560" s="494">
        <v>0</v>
      </c>
      <c r="U560" s="494">
        <v>0</v>
      </c>
      <c r="V560" s="493">
        <v>2024</v>
      </c>
      <c r="W560" s="495"/>
      <c r="X560" s="496" t="str">
        <f t="shared" si="34"/>
        <v/>
      </c>
      <c r="Y560" s="497" t="str">
        <f t="shared" si="36"/>
        <v/>
      </c>
      <c r="Z560" s="497" t="str">
        <f t="shared" si="36"/>
        <v/>
      </c>
    </row>
    <row r="561" spans="1:26" s="82" customFormat="1" ht="32" x14ac:dyDescent="0.4">
      <c r="A561" s="493">
        <v>10613</v>
      </c>
      <c r="B561" s="105" t="s">
        <v>433</v>
      </c>
      <c r="C561" s="493" t="s">
        <v>330</v>
      </c>
      <c r="D561" s="105" t="s">
        <v>819</v>
      </c>
      <c r="E561" s="105" t="s">
        <v>820</v>
      </c>
      <c r="F561" s="493">
        <v>5232</v>
      </c>
      <c r="G561" s="105" t="s">
        <v>34</v>
      </c>
      <c r="H561" s="105" t="s">
        <v>342</v>
      </c>
      <c r="I561" s="105" t="s">
        <v>334</v>
      </c>
      <c r="J561" s="493">
        <v>322122</v>
      </c>
      <c r="K561" s="493">
        <v>7</v>
      </c>
      <c r="L561" s="105" t="s">
        <v>727</v>
      </c>
      <c r="M561" s="105" t="s">
        <v>360</v>
      </c>
      <c r="N561" s="105" t="s">
        <v>258</v>
      </c>
      <c r="O561" s="105" t="s">
        <v>387</v>
      </c>
      <c r="P561" s="105" t="s">
        <v>388</v>
      </c>
      <c r="Q561" s="494">
        <v>140971</v>
      </c>
      <c r="R561" s="494">
        <v>20525</v>
      </c>
      <c r="S561" s="494">
        <v>970154</v>
      </c>
      <c r="T561" s="494">
        <v>140587</v>
      </c>
      <c r="U561" s="494">
        <v>31727.02</v>
      </c>
      <c r="V561" s="493">
        <v>2024</v>
      </c>
      <c r="W561" s="495"/>
      <c r="X561" s="496" t="str">
        <f t="shared" si="34"/>
        <v/>
      </c>
      <c r="Y561" s="497" t="str">
        <f t="shared" si="36"/>
        <v/>
      </c>
      <c r="Z561" s="497" t="str">
        <f t="shared" si="36"/>
        <v/>
      </c>
    </row>
    <row r="562" spans="1:26" s="82" customFormat="1" ht="32" x14ac:dyDescent="0.4">
      <c r="A562" s="493">
        <v>10617</v>
      </c>
      <c r="B562" s="105" t="s">
        <v>433</v>
      </c>
      <c r="C562" s="493" t="s">
        <v>330</v>
      </c>
      <c r="D562" s="105" t="s">
        <v>821</v>
      </c>
      <c r="E562" s="105" t="s">
        <v>822</v>
      </c>
      <c r="F562" s="493">
        <v>58338</v>
      </c>
      <c r="G562" s="105" t="s">
        <v>52</v>
      </c>
      <c r="H562" s="105" t="s">
        <v>333</v>
      </c>
      <c r="I562" s="105" t="s">
        <v>334</v>
      </c>
      <c r="J562" s="493">
        <v>22</v>
      </c>
      <c r="K562" s="493">
        <v>3</v>
      </c>
      <c r="L562" s="105" t="s">
        <v>436</v>
      </c>
      <c r="M562" s="105" t="s">
        <v>380</v>
      </c>
      <c r="N562" s="105" t="s">
        <v>226</v>
      </c>
      <c r="O562" s="105" t="s">
        <v>226</v>
      </c>
      <c r="P562" s="105" t="s">
        <v>350</v>
      </c>
      <c r="Q562" s="494">
        <v>0</v>
      </c>
      <c r="R562" s="494">
        <v>0</v>
      </c>
      <c r="S562" s="494">
        <v>0</v>
      </c>
      <c r="T562" s="494">
        <v>0</v>
      </c>
      <c r="U562" s="494">
        <v>0</v>
      </c>
      <c r="V562" s="493">
        <v>2024</v>
      </c>
      <c r="W562" s="495"/>
      <c r="X562" s="496" t="str">
        <f t="shared" si="34"/>
        <v/>
      </c>
      <c r="Y562" s="497" t="str">
        <f t="shared" si="36"/>
        <v/>
      </c>
      <c r="Z562" s="497" t="str">
        <f t="shared" si="36"/>
        <v/>
      </c>
    </row>
    <row r="563" spans="1:26" s="82" customFormat="1" ht="32" x14ac:dyDescent="0.4">
      <c r="A563" s="493">
        <v>10617</v>
      </c>
      <c r="B563" s="105" t="s">
        <v>433</v>
      </c>
      <c r="C563" s="493" t="s">
        <v>330</v>
      </c>
      <c r="D563" s="105" t="s">
        <v>821</v>
      </c>
      <c r="E563" s="105" t="s">
        <v>822</v>
      </c>
      <c r="F563" s="493">
        <v>58338</v>
      </c>
      <c r="G563" s="105" t="s">
        <v>52</v>
      </c>
      <c r="H563" s="105" t="s">
        <v>333</v>
      </c>
      <c r="I563" s="105" t="s">
        <v>334</v>
      </c>
      <c r="J563" s="493">
        <v>22</v>
      </c>
      <c r="K563" s="493">
        <v>3</v>
      </c>
      <c r="L563" s="105" t="s">
        <v>436</v>
      </c>
      <c r="M563" s="105" t="s">
        <v>380</v>
      </c>
      <c r="N563" s="105" t="s">
        <v>228</v>
      </c>
      <c r="O563" s="105" t="s">
        <v>228</v>
      </c>
      <c r="P563" s="105" t="s">
        <v>356</v>
      </c>
      <c r="Q563" s="494">
        <v>994</v>
      </c>
      <c r="R563" s="494">
        <v>454</v>
      </c>
      <c r="S563" s="494">
        <v>1013</v>
      </c>
      <c r="T563" s="494">
        <v>463</v>
      </c>
      <c r="U563" s="494">
        <v>108</v>
      </c>
      <c r="V563" s="493">
        <v>2024</v>
      </c>
      <c r="W563" s="495"/>
      <c r="X563" s="496">
        <f t="shared" si="34"/>
        <v>4.2870370370370372</v>
      </c>
      <c r="Y563" s="497" t="str">
        <f t="shared" si="36"/>
        <v/>
      </c>
      <c r="Z563" s="497" t="str">
        <f t="shared" si="36"/>
        <v/>
      </c>
    </row>
    <row r="564" spans="1:26" s="82" customFormat="1" ht="32" x14ac:dyDescent="0.4">
      <c r="A564" s="493">
        <v>10617</v>
      </c>
      <c r="B564" s="105" t="s">
        <v>433</v>
      </c>
      <c r="C564" s="493" t="s">
        <v>330</v>
      </c>
      <c r="D564" s="105" t="s">
        <v>821</v>
      </c>
      <c r="E564" s="105" t="s">
        <v>822</v>
      </c>
      <c r="F564" s="493">
        <v>58338</v>
      </c>
      <c r="G564" s="105" t="s">
        <v>52</v>
      </c>
      <c r="H564" s="105" t="s">
        <v>333</v>
      </c>
      <c r="I564" s="105" t="s">
        <v>334</v>
      </c>
      <c r="J564" s="493">
        <v>22</v>
      </c>
      <c r="K564" s="493">
        <v>3</v>
      </c>
      <c r="L564" s="105" t="s">
        <v>436</v>
      </c>
      <c r="M564" s="105" t="s">
        <v>37</v>
      </c>
      <c r="N564" s="105" t="s">
        <v>226</v>
      </c>
      <c r="O564" s="105" t="s">
        <v>226</v>
      </c>
      <c r="P564" s="105" t="s">
        <v>350</v>
      </c>
      <c r="Q564" s="494">
        <v>0</v>
      </c>
      <c r="R564" s="494">
        <v>0</v>
      </c>
      <c r="S564" s="494">
        <v>0</v>
      </c>
      <c r="T564" s="494">
        <v>0</v>
      </c>
      <c r="U564" s="494">
        <v>0</v>
      </c>
      <c r="V564" s="493">
        <v>2024</v>
      </c>
      <c r="W564" s="495"/>
      <c r="X564" s="496" t="str">
        <f t="shared" si="34"/>
        <v/>
      </c>
      <c r="Y564" s="497" t="str">
        <f t="shared" si="36"/>
        <v/>
      </c>
      <c r="Z564" s="497" t="str">
        <f t="shared" si="36"/>
        <v/>
      </c>
    </row>
    <row r="565" spans="1:26" s="82" customFormat="1" ht="32" x14ac:dyDescent="0.4">
      <c r="A565" s="493">
        <v>10617</v>
      </c>
      <c r="B565" s="105" t="s">
        <v>433</v>
      </c>
      <c r="C565" s="493" t="s">
        <v>330</v>
      </c>
      <c r="D565" s="105" t="s">
        <v>821</v>
      </c>
      <c r="E565" s="105" t="s">
        <v>822</v>
      </c>
      <c r="F565" s="493">
        <v>58338</v>
      </c>
      <c r="G565" s="105" t="s">
        <v>52</v>
      </c>
      <c r="H565" s="105" t="s">
        <v>333</v>
      </c>
      <c r="I565" s="105" t="s">
        <v>334</v>
      </c>
      <c r="J565" s="493">
        <v>22</v>
      </c>
      <c r="K565" s="493">
        <v>3</v>
      </c>
      <c r="L565" s="105" t="s">
        <v>436</v>
      </c>
      <c r="M565" s="105" t="s">
        <v>37</v>
      </c>
      <c r="N565" s="105" t="s">
        <v>228</v>
      </c>
      <c r="O565" s="105" t="s">
        <v>228</v>
      </c>
      <c r="P565" s="105" t="s">
        <v>356</v>
      </c>
      <c r="Q565" s="494">
        <v>76732</v>
      </c>
      <c r="R565" s="494">
        <v>50901</v>
      </c>
      <c r="S565" s="494">
        <v>78190</v>
      </c>
      <c r="T565" s="494">
        <v>51868</v>
      </c>
      <c r="U565" s="494">
        <v>7787</v>
      </c>
      <c r="V565" s="493">
        <v>2024</v>
      </c>
      <c r="W565" s="495"/>
      <c r="X565" s="496">
        <f t="shared" si="34"/>
        <v>6.6608449980737126</v>
      </c>
      <c r="Y565" s="497" t="str">
        <f t="shared" si="36"/>
        <v/>
      </c>
      <c r="Z565" s="497" t="str">
        <f t="shared" si="36"/>
        <v/>
      </c>
    </row>
    <row r="566" spans="1:26" s="82" customFormat="1" x14ac:dyDescent="0.4">
      <c r="A566" s="493">
        <v>10620</v>
      </c>
      <c r="B566" s="105" t="s">
        <v>329</v>
      </c>
      <c r="C566" s="493" t="s">
        <v>330</v>
      </c>
      <c r="D566" s="105" t="s">
        <v>823</v>
      </c>
      <c r="E566" s="105" t="s">
        <v>823</v>
      </c>
      <c r="F566" s="493">
        <v>3085</v>
      </c>
      <c r="G566" s="105" t="s">
        <v>52</v>
      </c>
      <c r="H566" s="105" t="s">
        <v>333</v>
      </c>
      <c r="I566" s="105" t="s">
        <v>334</v>
      </c>
      <c r="J566" s="493">
        <v>22</v>
      </c>
      <c r="K566" s="493">
        <v>2</v>
      </c>
      <c r="L566" s="105" t="s">
        <v>343</v>
      </c>
      <c r="M566" s="105" t="s">
        <v>380</v>
      </c>
      <c r="N566" s="105" t="s">
        <v>226</v>
      </c>
      <c r="O566" s="105" t="s">
        <v>226</v>
      </c>
      <c r="P566" s="105" t="s">
        <v>350</v>
      </c>
      <c r="Q566" s="494">
        <v>0</v>
      </c>
      <c r="R566" s="494">
        <v>0</v>
      </c>
      <c r="S566" s="494">
        <v>0</v>
      </c>
      <c r="T566" s="494">
        <v>0</v>
      </c>
      <c r="U566" s="494">
        <v>0</v>
      </c>
      <c r="V566" s="493">
        <v>2024</v>
      </c>
      <c r="W566" s="495" t="s">
        <v>355</v>
      </c>
      <c r="X566" s="496" t="str">
        <f t="shared" si="34"/>
        <v/>
      </c>
      <c r="Y566" s="497" t="str">
        <f t="shared" si="36"/>
        <v/>
      </c>
      <c r="Z566" s="497" t="str">
        <f t="shared" si="36"/>
        <v/>
      </c>
    </row>
    <row r="567" spans="1:26" s="82" customFormat="1" x14ac:dyDescent="0.4">
      <c r="A567" s="493">
        <v>10620</v>
      </c>
      <c r="B567" s="105" t="s">
        <v>329</v>
      </c>
      <c r="C567" s="493" t="s">
        <v>330</v>
      </c>
      <c r="D567" s="105" t="s">
        <v>823</v>
      </c>
      <c r="E567" s="105" t="s">
        <v>823</v>
      </c>
      <c r="F567" s="493">
        <v>3085</v>
      </c>
      <c r="G567" s="105" t="s">
        <v>52</v>
      </c>
      <c r="H567" s="105" t="s">
        <v>333</v>
      </c>
      <c r="I567" s="105" t="s">
        <v>334</v>
      </c>
      <c r="J567" s="493">
        <v>22</v>
      </c>
      <c r="K567" s="493">
        <v>2</v>
      </c>
      <c r="L567" s="105" t="s">
        <v>343</v>
      </c>
      <c r="M567" s="105" t="s">
        <v>380</v>
      </c>
      <c r="N567" s="105" t="s">
        <v>228</v>
      </c>
      <c r="O567" s="105" t="s">
        <v>228</v>
      </c>
      <c r="P567" s="105" t="s">
        <v>356</v>
      </c>
      <c r="Q567" s="494">
        <v>2341</v>
      </c>
      <c r="R567" s="494">
        <v>2341</v>
      </c>
      <c r="S567" s="494">
        <v>2435</v>
      </c>
      <c r="T567" s="494">
        <v>2435</v>
      </c>
      <c r="U567" s="494">
        <v>1054</v>
      </c>
      <c r="V567" s="493">
        <v>2024</v>
      </c>
      <c r="W567" s="495" t="s">
        <v>355</v>
      </c>
      <c r="X567" s="496">
        <f t="shared" si="34"/>
        <v>2.3102466793168879</v>
      </c>
      <c r="Y567" s="497" t="str">
        <f t="shared" si="36"/>
        <v/>
      </c>
      <c r="Z567" s="497" t="str">
        <f t="shared" si="36"/>
        <v/>
      </c>
    </row>
    <row r="568" spans="1:26" s="82" customFormat="1" x14ac:dyDescent="0.4">
      <c r="A568" s="493">
        <v>10620</v>
      </c>
      <c r="B568" s="105" t="s">
        <v>329</v>
      </c>
      <c r="C568" s="493" t="s">
        <v>330</v>
      </c>
      <c r="D568" s="105" t="s">
        <v>823</v>
      </c>
      <c r="E568" s="105" t="s">
        <v>823</v>
      </c>
      <c r="F568" s="493">
        <v>3085</v>
      </c>
      <c r="G568" s="105" t="s">
        <v>52</v>
      </c>
      <c r="H568" s="105" t="s">
        <v>333</v>
      </c>
      <c r="I568" s="105" t="s">
        <v>334</v>
      </c>
      <c r="J568" s="493">
        <v>22</v>
      </c>
      <c r="K568" s="493">
        <v>2</v>
      </c>
      <c r="L568" s="105" t="s">
        <v>343</v>
      </c>
      <c r="M568" s="105" t="s">
        <v>37</v>
      </c>
      <c r="N568" s="105" t="s">
        <v>226</v>
      </c>
      <c r="O568" s="105" t="s">
        <v>226</v>
      </c>
      <c r="P568" s="105" t="s">
        <v>350</v>
      </c>
      <c r="Q568" s="494">
        <v>0</v>
      </c>
      <c r="R568" s="494">
        <v>0</v>
      </c>
      <c r="S568" s="494">
        <v>0</v>
      </c>
      <c r="T568" s="494">
        <v>0</v>
      </c>
      <c r="U568" s="494">
        <v>0</v>
      </c>
      <c r="V568" s="493">
        <v>2024</v>
      </c>
      <c r="W568" s="495" t="s">
        <v>355</v>
      </c>
      <c r="X568" s="496" t="str">
        <f t="shared" si="34"/>
        <v/>
      </c>
      <c r="Y568" s="497" t="str">
        <f t="shared" ref="Y568:Z587" si="37">IF(AND($M568=$Y$2,$N568=$Y$3,NOT($Q568=$R568),NOT($U568=0)),IF($K568=5,$S568/($U568+(8/5)*$U568),IF($K568=7,$S568/($U568+(29/25)*$U568),"")),"")</f>
        <v/>
      </c>
      <c r="Z568" s="497" t="str">
        <f t="shared" si="37"/>
        <v/>
      </c>
    </row>
    <row r="569" spans="1:26" s="82" customFormat="1" x14ac:dyDescent="0.4">
      <c r="A569" s="493">
        <v>10620</v>
      </c>
      <c r="B569" s="105" t="s">
        <v>329</v>
      </c>
      <c r="C569" s="493" t="s">
        <v>330</v>
      </c>
      <c r="D569" s="105" t="s">
        <v>823</v>
      </c>
      <c r="E569" s="105" t="s">
        <v>823</v>
      </c>
      <c r="F569" s="493">
        <v>3085</v>
      </c>
      <c r="G569" s="105" t="s">
        <v>52</v>
      </c>
      <c r="H569" s="105" t="s">
        <v>333</v>
      </c>
      <c r="I569" s="105" t="s">
        <v>334</v>
      </c>
      <c r="J569" s="493">
        <v>22</v>
      </c>
      <c r="K569" s="493">
        <v>2</v>
      </c>
      <c r="L569" s="105" t="s">
        <v>343</v>
      </c>
      <c r="M569" s="105" t="s">
        <v>37</v>
      </c>
      <c r="N569" s="105" t="s">
        <v>228</v>
      </c>
      <c r="O569" s="105" t="s">
        <v>228</v>
      </c>
      <c r="P569" s="105" t="s">
        <v>356</v>
      </c>
      <c r="Q569" s="494">
        <v>28704</v>
      </c>
      <c r="R569" s="494">
        <v>28704</v>
      </c>
      <c r="S569" s="494">
        <v>29853</v>
      </c>
      <c r="T569" s="494">
        <v>29853</v>
      </c>
      <c r="U569" s="494">
        <v>2229</v>
      </c>
      <c r="V569" s="493">
        <v>2024</v>
      </c>
      <c r="W569" s="495" t="s">
        <v>355</v>
      </c>
      <c r="X569" s="496">
        <f t="shared" si="34"/>
        <v>13.393001345895021</v>
      </c>
      <c r="Y569" s="497" t="str">
        <f t="shared" si="37"/>
        <v/>
      </c>
      <c r="Z569" s="497" t="str">
        <f t="shared" si="37"/>
        <v/>
      </c>
    </row>
    <row r="570" spans="1:26" s="82" customFormat="1" x14ac:dyDescent="0.4">
      <c r="A570" s="493">
        <v>10621</v>
      </c>
      <c r="B570" s="105" t="s">
        <v>329</v>
      </c>
      <c r="C570" s="493" t="s">
        <v>330</v>
      </c>
      <c r="D570" s="105" t="s">
        <v>824</v>
      </c>
      <c r="E570" s="105" t="s">
        <v>825</v>
      </c>
      <c r="F570" s="493">
        <v>58337</v>
      </c>
      <c r="G570" s="105" t="s">
        <v>52</v>
      </c>
      <c r="H570" s="105" t="s">
        <v>333</v>
      </c>
      <c r="I570" s="105" t="s">
        <v>334</v>
      </c>
      <c r="J570" s="493">
        <v>22</v>
      </c>
      <c r="K570" s="493">
        <v>2</v>
      </c>
      <c r="L570" s="105" t="s">
        <v>343</v>
      </c>
      <c r="M570" s="105" t="s">
        <v>380</v>
      </c>
      <c r="N570" s="105" t="s">
        <v>226</v>
      </c>
      <c r="O570" s="105" t="s">
        <v>226</v>
      </c>
      <c r="P570" s="105" t="s">
        <v>350</v>
      </c>
      <c r="Q570" s="494">
        <v>0</v>
      </c>
      <c r="R570" s="494">
        <v>0</v>
      </c>
      <c r="S570" s="494">
        <v>0</v>
      </c>
      <c r="T570" s="494">
        <v>0</v>
      </c>
      <c r="U570" s="494">
        <v>0</v>
      </c>
      <c r="V570" s="493">
        <v>2024</v>
      </c>
      <c r="W570" s="495" t="s">
        <v>355</v>
      </c>
      <c r="X570" s="496" t="str">
        <f t="shared" si="34"/>
        <v/>
      </c>
      <c r="Y570" s="497" t="str">
        <f t="shared" si="37"/>
        <v/>
      </c>
      <c r="Z570" s="497" t="str">
        <f t="shared" si="37"/>
        <v/>
      </c>
    </row>
    <row r="571" spans="1:26" s="82" customFormat="1" x14ac:dyDescent="0.4">
      <c r="A571" s="493">
        <v>10621</v>
      </c>
      <c r="B571" s="105" t="s">
        <v>329</v>
      </c>
      <c r="C571" s="493" t="s">
        <v>330</v>
      </c>
      <c r="D571" s="105" t="s">
        <v>824</v>
      </c>
      <c r="E571" s="105" t="s">
        <v>825</v>
      </c>
      <c r="F571" s="493">
        <v>58337</v>
      </c>
      <c r="G571" s="105" t="s">
        <v>52</v>
      </c>
      <c r="H571" s="105" t="s">
        <v>333</v>
      </c>
      <c r="I571" s="105" t="s">
        <v>334</v>
      </c>
      <c r="J571" s="493">
        <v>22</v>
      </c>
      <c r="K571" s="493">
        <v>2</v>
      </c>
      <c r="L571" s="105" t="s">
        <v>343</v>
      </c>
      <c r="M571" s="105" t="s">
        <v>380</v>
      </c>
      <c r="N571" s="105" t="s">
        <v>228</v>
      </c>
      <c r="O571" s="105" t="s">
        <v>228</v>
      </c>
      <c r="P571" s="105" t="s">
        <v>356</v>
      </c>
      <c r="Q571" s="494">
        <v>9250</v>
      </c>
      <c r="R571" s="494">
        <v>9250</v>
      </c>
      <c r="S571" s="494">
        <v>9101</v>
      </c>
      <c r="T571" s="494">
        <v>9101</v>
      </c>
      <c r="U571" s="494">
        <v>360</v>
      </c>
      <c r="V571" s="493">
        <v>2024</v>
      </c>
      <c r="W571" s="495" t="s">
        <v>355</v>
      </c>
      <c r="X571" s="496">
        <f t="shared" si="34"/>
        <v>25.280555555555555</v>
      </c>
      <c r="Y571" s="497" t="str">
        <f t="shared" si="37"/>
        <v/>
      </c>
      <c r="Z571" s="497" t="str">
        <f t="shared" si="37"/>
        <v/>
      </c>
    </row>
    <row r="572" spans="1:26" s="82" customFormat="1" x14ac:dyDescent="0.4">
      <c r="A572" s="493">
        <v>10621</v>
      </c>
      <c r="B572" s="105" t="s">
        <v>329</v>
      </c>
      <c r="C572" s="493" t="s">
        <v>330</v>
      </c>
      <c r="D572" s="105" t="s">
        <v>824</v>
      </c>
      <c r="E572" s="105" t="s">
        <v>825</v>
      </c>
      <c r="F572" s="493">
        <v>58337</v>
      </c>
      <c r="G572" s="105" t="s">
        <v>52</v>
      </c>
      <c r="H572" s="105" t="s">
        <v>333</v>
      </c>
      <c r="I572" s="105" t="s">
        <v>334</v>
      </c>
      <c r="J572" s="493">
        <v>22</v>
      </c>
      <c r="K572" s="493">
        <v>2</v>
      </c>
      <c r="L572" s="105" t="s">
        <v>343</v>
      </c>
      <c r="M572" s="105" t="s">
        <v>37</v>
      </c>
      <c r="N572" s="105" t="s">
        <v>226</v>
      </c>
      <c r="O572" s="105" t="s">
        <v>226</v>
      </c>
      <c r="P572" s="105" t="s">
        <v>350</v>
      </c>
      <c r="Q572" s="494">
        <v>0</v>
      </c>
      <c r="R572" s="494">
        <v>0</v>
      </c>
      <c r="S572" s="494">
        <v>0</v>
      </c>
      <c r="T572" s="494">
        <v>0</v>
      </c>
      <c r="U572" s="494">
        <v>0</v>
      </c>
      <c r="V572" s="493">
        <v>2024</v>
      </c>
      <c r="W572" s="495" t="s">
        <v>355</v>
      </c>
      <c r="X572" s="496" t="str">
        <f t="shared" si="34"/>
        <v/>
      </c>
      <c r="Y572" s="497" t="str">
        <f t="shared" si="37"/>
        <v/>
      </c>
      <c r="Z572" s="497" t="str">
        <f t="shared" si="37"/>
        <v/>
      </c>
    </row>
    <row r="573" spans="1:26" s="82" customFormat="1" x14ac:dyDescent="0.4">
      <c r="A573" s="493">
        <v>10621</v>
      </c>
      <c r="B573" s="105" t="s">
        <v>329</v>
      </c>
      <c r="C573" s="493" t="s">
        <v>330</v>
      </c>
      <c r="D573" s="105" t="s">
        <v>824</v>
      </c>
      <c r="E573" s="105" t="s">
        <v>825</v>
      </c>
      <c r="F573" s="493">
        <v>58337</v>
      </c>
      <c r="G573" s="105" t="s">
        <v>52</v>
      </c>
      <c r="H573" s="105" t="s">
        <v>333</v>
      </c>
      <c r="I573" s="105" t="s">
        <v>334</v>
      </c>
      <c r="J573" s="493">
        <v>22</v>
      </c>
      <c r="K573" s="493">
        <v>2</v>
      </c>
      <c r="L573" s="105" t="s">
        <v>343</v>
      </c>
      <c r="M573" s="105" t="s">
        <v>37</v>
      </c>
      <c r="N573" s="105" t="s">
        <v>228</v>
      </c>
      <c r="O573" s="105" t="s">
        <v>228</v>
      </c>
      <c r="P573" s="105" t="s">
        <v>356</v>
      </c>
      <c r="Q573" s="494">
        <v>129925</v>
      </c>
      <c r="R573" s="494">
        <v>129925</v>
      </c>
      <c r="S573" s="494">
        <v>127846</v>
      </c>
      <c r="T573" s="494">
        <v>127846</v>
      </c>
      <c r="U573" s="494">
        <v>15775</v>
      </c>
      <c r="V573" s="493">
        <v>2024</v>
      </c>
      <c r="W573" s="495" t="s">
        <v>355</v>
      </c>
      <c r="X573" s="496">
        <f t="shared" si="34"/>
        <v>8.1043423137876385</v>
      </c>
      <c r="Y573" s="497" t="str">
        <f t="shared" si="37"/>
        <v/>
      </c>
      <c r="Z573" s="497" t="str">
        <f t="shared" si="37"/>
        <v/>
      </c>
    </row>
    <row r="574" spans="1:26" s="82" customFormat="1" ht="32" x14ac:dyDescent="0.4">
      <c r="A574" s="493">
        <v>10642</v>
      </c>
      <c r="B574" s="105" t="s">
        <v>329</v>
      </c>
      <c r="C574" s="493" t="s">
        <v>330</v>
      </c>
      <c r="D574" s="105" t="s">
        <v>826</v>
      </c>
      <c r="E574" s="105" t="s">
        <v>827</v>
      </c>
      <c r="F574" s="493">
        <v>473</v>
      </c>
      <c r="G574" s="105" t="s">
        <v>52</v>
      </c>
      <c r="H574" s="105" t="s">
        <v>333</v>
      </c>
      <c r="I574" s="105" t="s">
        <v>334</v>
      </c>
      <c r="J574" s="493">
        <v>562213</v>
      </c>
      <c r="K574" s="493">
        <v>4</v>
      </c>
      <c r="L574" s="105" t="s">
        <v>766</v>
      </c>
      <c r="M574" s="105" t="s">
        <v>360</v>
      </c>
      <c r="N574" s="105" t="s">
        <v>226</v>
      </c>
      <c r="O574" s="105" t="s">
        <v>226</v>
      </c>
      <c r="P574" s="105" t="s">
        <v>350</v>
      </c>
      <c r="Q574" s="494">
        <v>1714</v>
      </c>
      <c r="R574" s="494">
        <v>1714</v>
      </c>
      <c r="S574" s="494">
        <v>10077</v>
      </c>
      <c r="T574" s="494">
        <v>10077</v>
      </c>
      <c r="U574" s="494">
        <v>583.32600000000002</v>
      </c>
      <c r="V574" s="493">
        <v>2024</v>
      </c>
      <c r="W574" s="495"/>
      <c r="X574" s="496" t="str">
        <f t="shared" si="34"/>
        <v/>
      </c>
      <c r="Y574" s="497" t="str">
        <f t="shared" si="37"/>
        <v/>
      </c>
      <c r="Z574" s="497" t="str">
        <f t="shared" si="37"/>
        <v/>
      </c>
    </row>
    <row r="575" spans="1:26" s="82" customFormat="1" ht="32" x14ac:dyDescent="0.4">
      <c r="A575" s="493">
        <v>10642</v>
      </c>
      <c r="B575" s="105" t="s">
        <v>329</v>
      </c>
      <c r="C575" s="493" t="s">
        <v>330</v>
      </c>
      <c r="D575" s="105" t="s">
        <v>826</v>
      </c>
      <c r="E575" s="105" t="s">
        <v>827</v>
      </c>
      <c r="F575" s="493">
        <v>473</v>
      </c>
      <c r="G575" s="105" t="s">
        <v>52</v>
      </c>
      <c r="H575" s="105" t="s">
        <v>333</v>
      </c>
      <c r="I575" s="105" t="s">
        <v>334</v>
      </c>
      <c r="J575" s="493">
        <v>562213</v>
      </c>
      <c r="K575" s="493">
        <v>4</v>
      </c>
      <c r="L575" s="105" t="s">
        <v>766</v>
      </c>
      <c r="M575" s="105" t="s">
        <v>360</v>
      </c>
      <c r="N575" s="105" t="s">
        <v>254</v>
      </c>
      <c r="O575" s="105" t="s">
        <v>688</v>
      </c>
      <c r="P575" s="105" t="s">
        <v>388</v>
      </c>
      <c r="Q575" s="494">
        <v>624458</v>
      </c>
      <c r="R575" s="494">
        <v>624458</v>
      </c>
      <c r="S575" s="494">
        <v>4606629</v>
      </c>
      <c r="T575" s="494">
        <v>4606629</v>
      </c>
      <c r="U575" s="494">
        <v>268135.93</v>
      </c>
      <c r="V575" s="493">
        <v>2024</v>
      </c>
      <c r="W575" s="495"/>
      <c r="X575" s="496" t="str">
        <f t="shared" si="34"/>
        <v/>
      </c>
      <c r="Y575" s="497" t="str">
        <f t="shared" si="37"/>
        <v/>
      </c>
      <c r="Z575" s="497" t="str">
        <f t="shared" si="37"/>
        <v/>
      </c>
    </row>
    <row r="576" spans="1:26" s="82" customFormat="1" ht="32" x14ac:dyDescent="0.4">
      <c r="A576" s="493">
        <v>10642</v>
      </c>
      <c r="B576" s="105" t="s">
        <v>329</v>
      </c>
      <c r="C576" s="493" t="s">
        <v>330</v>
      </c>
      <c r="D576" s="105" t="s">
        <v>826</v>
      </c>
      <c r="E576" s="105" t="s">
        <v>827</v>
      </c>
      <c r="F576" s="493">
        <v>473</v>
      </c>
      <c r="G576" s="105" t="s">
        <v>52</v>
      </c>
      <c r="H576" s="105" t="s">
        <v>333</v>
      </c>
      <c r="I576" s="105" t="s">
        <v>334</v>
      </c>
      <c r="J576" s="493">
        <v>562213</v>
      </c>
      <c r="K576" s="493">
        <v>4</v>
      </c>
      <c r="L576" s="105" t="s">
        <v>766</v>
      </c>
      <c r="M576" s="105" t="s">
        <v>360</v>
      </c>
      <c r="N576" s="105" t="s">
        <v>230</v>
      </c>
      <c r="O576" s="105" t="s">
        <v>232</v>
      </c>
      <c r="P576" s="105" t="s">
        <v>388</v>
      </c>
      <c r="Q576" s="494">
        <v>399247</v>
      </c>
      <c r="R576" s="494">
        <v>399247</v>
      </c>
      <c r="S576" s="494">
        <v>5630339</v>
      </c>
      <c r="T576" s="494">
        <v>5630339</v>
      </c>
      <c r="U576" s="494">
        <v>327722.74</v>
      </c>
      <c r="V576" s="493">
        <v>2024</v>
      </c>
      <c r="W576" s="495"/>
      <c r="X576" s="496" t="str">
        <f t="shared" si="34"/>
        <v/>
      </c>
      <c r="Y576" s="497" t="str">
        <f t="shared" si="37"/>
        <v/>
      </c>
      <c r="Z576" s="497" t="str">
        <f t="shared" si="37"/>
        <v/>
      </c>
    </row>
    <row r="577" spans="1:26" s="82" customFormat="1" ht="32" x14ac:dyDescent="0.4">
      <c r="A577" s="493">
        <v>10642</v>
      </c>
      <c r="B577" s="105" t="s">
        <v>329</v>
      </c>
      <c r="C577" s="493" t="s">
        <v>330</v>
      </c>
      <c r="D577" s="105" t="s">
        <v>826</v>
      </c>
      <c r="E577" s="105" t="s">
        <v>827</v>
      </c>
      <c r="F577" s="493">
        <v>473</v>
      </c>
      <c r="G577" s="105" t="s">
        <v>52</v>
      </c>
      <c r="H577" s="105" t="s">
        <v>333</v>
      </c>
      <c r="I577" s="105" t="s">
        <v>334</v>
      </c>
      <c r="J577" s="493">
        <v>562213</v>
      </c>
      <c r="K577" s="493">
        <v>4</v>
      </c>
      <c r="L577" s="105" t="s">
        <v>766</v>
      </c>
      <c r="M577" s="105" t="s">
        <v>360</v>
      </c>
      <c r="N577" s="105" t="s">
        <v>258</v>
      </c>
      <c r="O577" s="105" t="s">
        <v>387</v>
      </c>
      <c r="P577" s="105" t="s">
        <v>388</v>
      </c>
      <c r="Q577" s="494">
        <v>0</v>
      </c>
      <c r="R577" s="494">
        <v>0</v>
      </c>
      <c r="S577" s="494">
        <v>0</v>
      </c>
      <c r="T577" s="494">
        <v>0</v>
      </c>
      <c r="U577" s="494">
        <v>0</v>
      </c>
      <c r="V577" s="493">
        <v>2024</v>
      </c>
      <c r="W577" s="495"/>
      <c r="X577" s="496" t="str">
        <f t="shared" si="34"/>
        <v/>
      </c>
      <c r="Y577" s="497" t="str">
        <f t="shared" si="37"/>
        <v/>
      </c>
      <c r="Z577" s="497" t="str">
        <f t="shared" si="37"/>
        <v/>
      </c>
    </row>
    <row r="578" spans="1:26" s="82" customFormat="1" ht="32" x14ac:dyDescent="0.4">
      <c r="A578" s="493">
        <v>10646</v>
      </c>
      <c r="B578" s="105" t="s">
        <v>329</v>
      </c>
      <c r="C578" s="493" t="s">
        <v>330</v>
      </c>
      <c r="D578" s="105" t="s">
        <v>828</v>
      </c>
      <c r="E578" s="105" t="s">
        <v>828</v>
      </c>
      <c r="F578" s="493">
        <v>528</v>
      </c>
      <c r="G578" s="105" t="s">
        <v>37</v>
      </c>
      <c r="H578" s="105" t="s">
        <v>342</v>
      </c>
      <c r="I578" s="105" t="s">
        <v>334</v>
      </c>
      <c r="J578" s="493">
        <v>22</v>
      </c>
      <c r="K578" s="493">
        <v>2</v>
      </c>
      <c r="L578" s="105" t="s">
        <v>343</v>
      </c>
      <c r="M578" s="105" t="s">
        <v>360</v>
      </c>
      <c r="N578" s="105" t="s">
        <v>226</v>
      </c>
      <c r="O578" s="105" t="s">
        <v>226</v>
      </c>
      <c r="P578" s="105" t="s">
        <v>350</v>
      </c>
      <c r="Q578" s="494">
        <v>7416</v>
      </c>
      <c r="R578" s="494">
        <v>7416</v>
      </c>
      <c r="S578" s="494">
        <v>43197</v>
      </c>
      <c r="T578" s="494">
        <v>43197</v>
      </c>
      <c r="U578" s="494">
        <v>2074.136</v>
      </c>
      <c r="V578" s="493">
        <v>2024</v>
      </c>
      <c r="W578" s="495"/>
      <c r="X578" s="496">
        <f t="shared" si="34"/>
        <v>20.826503180119335</v>
      </c>
      <c r="Y578" s="497" t="str">
        <f t="shared" si="37"/>
        <v/>
      </c>
      <c r="Z578" s="497" t="str">
        <f t="shared" si="37"/>
        <v/>
      </c>
    </row>
    <row r="579" spans="1:26" s="82" customFormat="1" ht="32" x14ac:dyDescent="0.4">
      <c r="A579" s="493">
        <v>10646</v>
      </c>
      <c r="B579" s="105" t="s">
        <v>329</v>
      </c>
      <c r="C579" s="493" t="s">
        <v>330</v>
      </c>
      <c r="D579" s="105" t="s">
        <v>828</v>
      </c>
      <c r="E579" s="105" t="s">
        <v>828</v>
      </c>
      <c r="F579" s="493">
        <v>528</v>
      </c>
      <c r="G579" s="105" t="s">
        <v>37</v>
      </c>
      <c r="H579" s="105" t="s">
        <v>342</v>
      </c>
      <c r="I579" s="105" t="s">
        <v>334</v>
      </c>
      <c r="J579" s="493">
        <v>22</v>
      </c>
      <c r="K579" s="493">
        <v>2</v>
      </c>
      <c r="L579" s="105" t="s">
        <v>343</v>
      </c>
      <c r="M579" s="105" t="s">
        <v>360</v>
      </c>
      <c r="N579" s="105" t="s">
        <v>254</v>
      </c>
      <c r="O579" s="105" t="s">
        <v>688</v>
      </c>
      <c r="P579" s="105" t="s">
        <v>388</v>
      </c>
      <c r="Q579" s="494">
        <v>139895</v>
      </c>
      <c r="R579" s="494">
        <v>139895</v>
      </c>
      <c r="S579" s="494">
        <v>1032006</v>
      </c>
      <c r="T579" s="494">
        <v>1032006</v>
      </c>
      <c r="U579" s="494">
        <v>49607.993000000002</v>
      </c>
      <c r="V579" s="493">
        <v>2024</v>
      </c>
      <c r="W579" s="495"/>
      <c r="X579" s="496">
        <f t="shared" si="34"/>
        <v>20.80322015849341</v>
      </c>
      <c r="Y579" s="497" t="str">
        <f t="shared" si="37"/>
        <v/>
      </c>
      <c r="Z579" s="497" t="str">
        <f t="shared" si="37"/>
        <v/>
      </c>
    </row>
    <row r="580" spans="1:26" s="82" customFormat="1" ht="32" x14ac:dyDescent="0.4">
      <c r="A580" s="493">
        <v>10646</v>
      </c>
      <c r="B580" s="105" t="s">
        <v>329</v>
      </c>
      <c r="C580" s="493" t="s">
        <v>330</v>
      </c>
      <c r="D580" s="105" t="s">
        <v>828</v>
      </c>
      <c r="E580" s="105" t="s">
        <v>828</v>
      </c>
      <c r="F580" s="493">
        <v>528</v>
      </c>
      <c r="G580" s="105" t="s">
        <v>37</v>
      </c>
      <c r="H580" s="105" t="s">
        <v>342</v>
      </c>
      <c r="I580" s="105" t="s">
        <v>334</v>
      </c>
      <c r="J580" s="493">
        <v>22</v>
      </c>
      <c r="K580" s="493">
        <v>2</v>
      </c>
      <c r="L580" s="105" t="s">
        <v>343</v>
      </c>
      <c r="M580" s="105" t="s">
        <v>360</v>
      </c>
      <c r="N580" s="105" t="s">
        <v>230</v>
      </c>
      <c r="O580" s="105" t="s">
        <v>232</v>
      </c>
      <c r="P580" s="105" t="s">
        <v>388</v>
      </c>
      <c r="Q580" s="494">
        <v>89438</v>
      </c>
      <c r="R580" s="494">
        <v>89438</v>
      </c>
      <c r="S580" s="494">
        <v>1261337</v>
      </c>
      <c r="T580" s="494">
        <v>1261337</v>
      </c>
      <c r="U580" s="494">
        <v>60631.870999999999</v>
      </c>
      <c r="V580" s="493">
        <v>2024</v>
      </c>
      <c r="W580" s="495"/>
      <c r="X580" s="496">
        <f t="shared" si="34"/>
        <v>20.803201009581247</v>
      </c>
      <c r="Y580" s="497" t="str">
        <f t="shared" si="37"/>
        <v/>
      </c>
      <c r="Z580" s="497" t="str">
        <f t="shared" si="37"/>
        <v/>
      </c>
    </row>
    <row r="581" spans="1:26" s="82" customFormat="1" ht="32" x14ac:dyDescent="0.4">
      <c r="A581" s="493">
        <v>10687</v>
      </c>
      <c r="B581" s="105" t="s">
        <v>329</v>
      </c>
      <c r="C581" s="493" t="s">
        <v>330</v>
      </c>
      <c r="D581" s="105" t="s">
        <v>829</v>
      </c>
      <c r="E581" s="105" t="s">
        <v>755</v>
      </c>
      <c r="F581" s="493">
        <v>64078</v>
      </c>
      <c r="G581" s="105" t="s">
        <v>52</v>
      </c>
      <c r="H581" s="105" t="s">
        <v>333</v>
      </c>
      <c r="I581" s="105" t="s">
        <v>334</v>
      </c>
      <c r="J581" s="493">
        <v>22</v>
      </c>
      <c r="K581" s="493">
        <v>2</v>
      </c>
      <c r="L581" s="105" t="s">
        <v>343</v>
      </c>
      <c r="M581" s="105" t="s">
        <v>336</v>
      </c>
      <c r="N581" s="105" t="s">
        <v>337</v>
      </c>
      <c r="O581" s="105" t="s">
        <v>338</v>
      </c>
      <c r="P581" s="105" t="s">
        <v>339</v>
      </c>
      <c r="Q581" s="494">
        <v>0</v>
      </c>
      <c r="R581" s="494">
        <v>0</v>
      </c>
      <c r="S581" s="494">
        <v>79922</v>
      </c>
      <c r="T581" s="494">
        <v>79922</v>
      </c>
      <c r="U581" s="494">
        <v>23424</v>
      </c>
      <c r="V581" s="493">
        <v>2024</v>
      </c>
      <c r="W581" s="495"/>
      <c r="X581" s="496">
        <f t="shared" si="34"/>
        <v>3.4119706284153004</v>
      </c>
      <c r="Y581" s="497" t="str">
        <f t="shared" si="37"/>
        <v/>
      </c>
      <c r="Z581" s="497" t="str">
        <f t="shared" si="37"/>
        <v/>
      </c>
    </row>
    <row r="582" spans="1:26" s="82" customFormat="1" ht="32" x14ac:dyDescent="0.4">
      <c r="A582" s="493">
        <v>10694</v>
      </c>
      <c r="B582" s="105" t="s">
        <v>329</v>
      </c>
      <c r="C582" s="493" t="s">
        <v>330</v>
      </c>
      <c r="D582" s="105" t="s">
        <v>830</v>
      </c>
      <c r="E582" s="105" t="s">
        <v>592</v>
      </c>
      <c r="F582" s="493">
        <v>57280</v>
      </c>
      <c r="G582" s="105" t="s">
        <v>33</v>
      </c>
      <c r="H582" s="105" t="s">
        <v>342</v>
      </c>
      <c r="I582" s="105" t="s">
        <v>334</v>
      </c>
      <c r="J582" s="493">
        <v>22</v>
      </c>
      <c r="K582" s="493">
        <v>2</v>
      </c>
      <c r="L582" s="105" t="s">
        <v>343</v>
      </c>
      <c r="M582" s="105" t="s">
        <v>336</v>
      </c>
      <c r="N582" s="105" t="s">
        <v>337</v>
      </c>
      <c r="O582" s="105" t="s">
        <v>338</v>
      </c>
      <c r="P582" s="105" t="s">
        <v>339</v>
      </c>
      <c r="Q582" s="494">
        <v>0</v>
      </c>
      <c r="R582" s="494">
        <v>0</v>
      </c>
      <c r="S582" s="494">
        <v>20193</v>
      </c>
      <c r="T582" s="494">
        <v>20193</v>
      </c>
      <c r="U582" s="494">
        <v>5918</v>
      </c>
      <c r="V582" s="493">
        <v>2024</v>
      </c>
      <c r="W582" s="495"/>
      <c r="X582" s="496">
        <f t="shared" si="34"/>
        <v>3.4121324771882393</v>
      </c>
      <c r="Y582" s="497" t="str">
        <f t="shared" si="37"/>
        <v/>
      </c>
      <c r="Z582" s="497" t="str">
        <f t="shared" si="37"/>
        <v/>
      </c>
    </row>
    <row r="583" spans="1:26" s="82" customFormat="1" ht="32" x14ac:dyDescent="0.4">
      <c r="A583" s="493">
        <v>10700</v>
      </c>
      <c r="B583" s="105" t="s">
        <v>433</v>
      </c>
      <c r="C583" s="493" t="s">
        <v>330</v>
      </c>
      <c r="D583" s="105" t="s">
        <v>831</v>
      </c>
      <c r="E583" s="105" t="s">
        <v>787</v>
      </c>
      <c r="F583" s="493">
        <v>61813</v>
      </c>
      <c r="G583" s="105" t="s">
        <v>34</v>
      </c>
      <c r="H583" s="105" t="s">
        <v>342</v>
      </c>
      <c r="I583" s="105" t="s">
        <v>334</v>
      </c>
      <c r="J583" s="493">
        <v>322</v>
      </c>
      <c r="K583" s="493">
        <v>7</v>
      </c>
      <c r="L583" s="105" t="s">
        <v>727</v>
      </c>
      <c r="M583" s="105" t="s">
        <v>360</v>
      </c>
      <c r="N583" s="105" t="s">
        <v>256</v>
      </c>
      <c r="O583" s="105" t="s">
        <v>387</v>
      </c>
      <c r="P583" s="105" t="s">
        <v>388</v>
      </c>
      <c r="Q583" s="494">
        <v>0</v>
      </c>
      <c r="R583" s="494">
        <v>0</v>
      </c>
      <c r="S583" s="494">
        <v>0</v>
      </c>
      <c r="T583" s="494">
        <v>0</v>
      </c>
      <c r="U583" s="494">
        <v>0</v>
      </c>
      <c r="V583" s="493">
        <v>2024</v>
      </c>
      <c r="W583" s="495"/>
      <c r="X583" s="496" t="str">
        <f t="shared" si="34"/>
        <v/>
      </c>
      <c r="Y583" s="497" t="str">
        <f t="shared" si="37"/>
        <v/>
      </c>
      <c r="Z583" s="497" t="str">
        <f t="shared" si="37"/>
        <v/>
      </c>
    </row>
    <row r="584" spans="1:26" s="82" customFormat="1" ht="32" x14ac:dyDescent="0.4">
      <c r="A584" s="493">
        <v>10700</v>
      </c>
      <c r="B584" s="105" t="s">
        <v>433</v>
      </c>
      <c r="C584" s="493" t="s">
        <v>330</v>
      </c>
      <c r="D584" s="105" t="s">
        <v>831</v>
      </c>
      <c r="E584" s="105" t="s">
        <v>787</v>
      </c>
      <c r="F584" s="493">
        <v>61813</v>
      </c>
      <c r="G584" s="105" t="s">
        <v>34</v>
      </c>
      <c r="H584" s="105" t="s">
        <v>342</v>
      </c>
      <c r="I584" s="105" t="s">
        <v>334</v>
      </c>
      <c r="J584" s="493">
        <v>322</v>
      </c>
      <c r="K584" s="493">
        <v>7</v>
      </c>
      <c r="L584" s="105" t="s">
        <v>727</v>
      </c>
      <c r="M584" s="105" t="s">
        <v>360</v>
      </c>
      <c r="N584" s="105" t="s">
        <v>228</v>
      </c>
      <c r="O584" s="105" t="s">
        <v>228</v>
      </c>
      <c r="P584" s="105" t="s">
        <v>356</v>
      </c>
      <c r="Q584" s="494">
        <v>0</v>
      </c>
      <c r="R584" s="494">
        <v>0</v>
      </c>
      <c r="S584" s="494">
        <v>0</v>
      </c>
      <c r="T584" s="494">
        <v>0</v>
      </c>
      <c r="U584" s="494">
        <v>0</v>
      </c>
      <c r="V584" s="493">
        <v>2024</v>
      </c>
      <c r="W584" s="495"/>
      <c r="X584" s="496" t="str">
        <f t="shared" si="34"/>
        <v/>
      </c>
      <c r="Y584" s="497" t="str">
        <f t="shared" si="37"/>
        <v/>
      </c>
      <c r="Z584" s="497" t="str">
        <f t="shared" si="37"/>
        <v/>
      </c>
    </row>
    <row r="585" spans="1:26" s="82" customFormat="1" ht="32" x14ac:dyDescent="0.4">
      <c r="A585" s="493">
        <v>10700</v>
      </c>
      <c r="B585" s="105" t="s">
        <v>433</v>
      </c>
      <c r="C585" s="493" t="s">
        <v>330</v>
      </c>
      <c r="D585" s="105" t="s">
        <v>831</v>
      </c>
      <c r="E585" s="105" t="s">
        <v>787</v>
      </c>
      <c r="F585" s="493">
        <v>61813</v>
      </c>
      <c r="G585" s="105" t="s">
        <v>34</v>
      </c>
      <c r="H585" s="105" t="s">
        <v>342</v>
      </c>
      <c r="I585" s="105" t="s">
        <v>334</v>
      </c>
      <c r="J585" s="493">
        <v>322</v>
      </c>
      <c r="K585" s="493">
        <v>7</v>
      </c>
      <c r="L585" s="105" t="s">
        <v>727</v>
      </c>
      <c r="M585" s="105" t="s">
        <v>360</v>
      </c>
      <c r="N585" s="105" t="s">
        <v>238</v>
      </c>
      <c r="O585" s="105" t="s">
        <v>238</v>
      </c>
      <c r="P585" s="105" t="s">
        <v>350</v>
      </c>
      <c r="Q585" s="494">
        <v>0</v>
      </c>
      <c r="R585" s="494">
        <v>0</v>
      </c>
      <c r="S585" s="494">
        <v>0</v>
      </c>
      <c r="T585" s="494">
        <v>0</v>
      </c>
      <c r="U585" s="494">
        <v>0</v>
      </c>
      <c r="V585" s="493">
        <v>2024</v>
      </c>
      <c r="W585" s="495"/>
      <c r="X585" s="496" t="str">
        <f t="shared" ref="X585:X648" si="38">IF(OR(K585&gt;3,T585=0,NOT(U585&gt;0)),"",T585/U585)</f>
        <v/>
      </c>
      <c r="Y585" s="497" t="str">
        <f t="shared" si="37"/>
        <v/>
      </c>
      <c r="Z585" s="497" t="str">
        <f t="shared" si="37"/>
        <v/>
      </c>
    </row>
    <row r="586" spans="1:26" s="82" customFormat="1" ht="32" x14ac:dyDescent="0.4">
      <c r="A586" s="493">
        <v>10700</v>
      </c>
      <c r="B586" s="105" t="s">
        <v>433</v>
      </c>
      <c r="C586" s="493" t="s">
        <v>330</v>
      </c>
      <c r="D586" s="105" t="s">
        <v>831</v>
      </c>
      <c r="E586" s="105" t="s">
        <v>787</v>
      </c>
      <c r="F586" s="493">
        <v>61813</v>
      </c>
      <c r="G586" s="105" t="s">
        <v>34</v>
      </c>
      <c r="H586" s="105" t="s">
        <v>342</v>
      </c>
      <c r="I586" s="105" t="s">
        <v>334</v>
      </c>
      <c r="J586" s="493">
        <v>322</v>
      </c>
      <c r="K586" s="493">
        <v>7</v>
      </c>
      <c r="L586" s="105" t="s">
        <v>727</v>
      </c>
      <c r="M586" s="105" t="s">
        <v>360</v>
      </c>
      <c r="N586" s="105" t="s">
        <v>258</v>
      </c>
      <c r="O586" s="105" t="s">
        <v>387</v>
      </c>
      <c r="P586" s="105" t="s">
        <v>388</v>
      </c>
      <c r="Q586" s="494">
        <v>0</v>
      </c>
      <c r="R586" s="494">
        <v>0</v>
      </c>
      <c r="S586" s="494">
        <v>0</v>
      </c>
      <c r="T586" s="494">
        <v>0</v>
      </c>
      <c r="U586" s="494">
        <v>0</v>
      </c>
      <c r="V586" s="493">
        <v>2024</v>
      </c>
      <c r="W586" s="495"/>
      <c r="X586" s="496" t="str">
        <f t="shared" si="38"/>
        <v/>
      </c>
      <c r="Y586" s="497" t="str">
        <f t="shared" si="37"/>
        <v/>
      </c>
      <c r="Z586" s="497" t="str">
        <f t="shared" si="37"/>
        <v/>
      </c>
    </row>
    <row r="587" spans="1:26" s="82" customFormat="1" ht="32" x14ac:dyDescent="0.4">
      <c r="A587" s="493">
        <v>10725</v>
      </c>
      <c r="B587" s="105" t="s">
        <v>433</v>
      </c>
      <c r="C587" s="493" t="s">
        <v>330</v>
      </c>
      <c r="D587" s="105" t="s">
        <v>832</v>
      </c>
      <c r="E587" s="105" t="s">
        <v>833</v>
      </c>
      <c r="F587" s="493">
        <v>16909</v>
      </c>
      <c r="G587" s="105" t="s">
        <v>52</v>
      </c>
      <c r="H587" s="105" t="s">
        <v>333</v>
      </c>
      <c r="I587" s="105" t="s">
        <v>334</v>
      </c>
      <c r="J587" s="493">
        <v>22</v>
      </c>
      <c r="K587" s="493">
        <v>3</v>
      </c>
      <c r="L587" s="105" t="s">
        <v>436</v>
      </c>
      <c r="M587" s="105" t="s">
        <v>380</v>
      </c>
      <c r="N587" s="105" t="s">
        <v>226</v>
      </c>
      <c r="O587" s="105" t="s">
        <v>226</v>
      </c>
      <c r="P587" s="105" t="s">
        <v>350</v>
      </c>
      <c r="Q587" s="494">
        <v>0</v>
      </c>
      <c r="R587" s="494">
        <v>0</v>
      </c>
      <c r="S587" s="494">
        <v>0</v>
      </c>
      <c r="T587" s="494">
        <v>0</v>
      </c>
      <c r="U587" s="494">
        <v>0</v>
      </c>
      <c r="V587" s="493">
        <v>2024</v>
      </c>
      <c r="W587" s="495"/>
      <c r="X587" s="496" t="str">
        <f t="shared" si="38"/>
        <v/>
      </c>
      <c r="Y587" s="497" t="str">
        <f t="shared" si="37"/>
        <v/>
      </c>
      <c r="Z587" s="497" t="str">
        <f t="shared" si="37"/>
        <v/>
      </c>
    </row>
    <row r="588" spans="1:26" s="82" customFormat="1" ht="32" x14ac:dyDescent="0.4">
      <c r="A588" s="493">
        <v>10725</v>
      </c>
      <c r="B588" s="105" t="s">
        <v>433</v>
      </c>
      <c r="C588" s="493" t="s">
        <v>330</v>
      </c>
      <c r="D588" s="105" t="s">
        <v>832</v>
      </c>
      <c r="E588" s="105" t="s">
        <v>833</v>
      </c>
      <c r="F588" s="493">
        <v>16909</v>
      </c>
      <c r="G588" s="105" t="s">
        <v>52</v>
      </c>
      <c r="H588" s="105" t="s">
        <v>333</v>
      </c>
      <c r="I588" s="105" t="s">
        <v>334</v>
      </c>
      <c r="J588" s="493">
        <v>22</v>
      </c>
      <c r="K588" s="493">
        <v>3</v>
      </c>
      <c r="L588" s="105" t="s">
        <v>436</v>
      </c>
      <c r="M588" s="105" t="s">
        <v>380</v>
      </c>
      <c r="N588" s="105" t="s">
        <v>228</v>
      </c>
      <c r="O588" s="105" t="s">
        <v>228</v>
      </c>
      <c r="P588" s="105" t="s">
        <v>356</v>
      </c>
      <c r="Q588" s="494">
        <v>21616</v>
      </c>
      <c r="R588" s="494">
        <v>21616</v>
      </c>
      <c r="S588" s="494">
        <v>22265</v>
      </c>
      <c r="T588" s="494">
        <v>22265</v>
      </c>
      <c r="U588" s="494">
        <v>26095</v>
      </c>
      <c r="V588" s="493">
        <v>2024</v>
      </c>
      <c r="W588" s="495"/>
      <c r="X588" s="496">
        <f t="shared" si="38"/>
        <v>0.85322858785207889</v>
      </c>
      <c r="Y588" s="497" t="str">
        <f t="shared" ref="Y588:Z607" si="39">IF(AND($M588=$Y$2,$N588=$Y$3,NOT($Q588=$R588),NOT($U588=0)),IF($K588=5,$S588/($U588+(8/5)*$U588),IF($K588=7,$S588/($U588+(29/25)*$U588),"")),"")</f>
        <v/>
      </c>
      <c r="Z588" s="497" t="str">
        <f t="shared" si="39"/>
        <v/>
      </c>
    </row>
    <row r="589" spans="1:26" s="82" customFormat="1" ht="32" x14ac:dyDescent="0.4">
      <c r="A589" s="493">
        <v>10725</v>
      </c>
      <c r="B589" s="105" t="s">
        <v>433</v>
      </c>
      <c r="C589" s="493" t="s">
        <v>330</v>
      </c>
      <c r="D589" s="105" t="s">
        <v>832</v>
      </c>
      <c r="E589" s="105" t="s">
        <v>833</v>
      </c>
      <c r="F589" s="493">
        <v>16909</v>
      </c>
      <c r="G589" s="105" t="s">
        <v>52</v>
      </c>
      <c r="H589" s="105" t="s">
        <v>333</v>
      </c>
      <c r="I589" s="105" t="s">
        <v>334</v>
      </c>
      <c r="J589" s="493">
        <v>22</v>
      </c>
      <c r="K589" s="493">
        <v>3</v>
      </c>
      <c r="L589" s="105" t="s">
        <v>436</v>
      </c>
      <c r="M589" s="105" t="s">
        <v>37</v>
      </c>
      <c r="N589" s="105" t="s">
        <v>226</v>
      </c>
      <c r="O589" s="105" t="s">
        <v>226</v>
      </c>
      <c r="P589" s="105" t="s">
        <v>350</v>
      </c>
      <c r="Q589" s="494">
        <v>0</v>
      </c>
      <c r="R589" s="494">
        <v>0</v>
      </c>
      <c r="S589" s="494">
        <v>0</v>
      </c>
      <c r="T589" s="494">
        <v>0</v>
      </c>
      <c r="U589" s="494">
        <v>0</v>
      </c>
      <c r="V589" s="493">
        <v>2024</v>
      </c>
      <c r="W589" s="495"/>
      <c r="X589" s="496" t="str">
        <f t="shared" si="38"/>
        <v/>
      </c>
      <c r="Y589" s="497" t="str">
        <f t="shared" si="39"/>
        <v/>
      </c>
      <c r="Z589" s="497" t="str">
        <f t="shared" si="39"/>
        <v/>
      </c>
    </row>
    <row r="590" spans="1:26" s="82" customFormat="1" ht="32" x14ac:dyDescent="0.4">
      <c r="A590" s="493">
        <v>10725</v>
      </c>
      <c r="B590" s="105" t="s">
        <v>433</v>
      </c>
      <c r="C590" s="493" t="s">
        <v>330</v>
      </c>
      <c r="D590" s="105" t="s">
        <v>832</v>
      </c>
      <c r="E590" s="105" t="s">
        <v>833</v>
      </c>
      <c r="F590" s="493">
        <v>16909</v>
      </c>
      <c r="G590" s="105" t="s">
        <v>52</v>
      </c>
      <c r="H590" s="105" t="s">
        <v>333</v>
      </c>
      <c r="I590" s="105" t="s">
        <v>334</v>
      </c>
      <c r="J590" s="493">
        <v>22</v>
      </c>
      <c r="K590" s="493">
        <v>3</v>
      </c>
      <c r="L590" s="105" t="s">
        <v>436</v>
      </c>
      <c r="M590" s="105" t="s">
        <v>37</v>
      </c>
      <c r="N590" s="105" t="s">
        <v>228</v>
      </c>
      <c r="O590" s="105" t="s">
        <v>228</v>
      </c>
      <c r="P590" s="105" t="s">
        <v>356</v>
      </c>
      <c r="Q590" s="494">
        <v>860638</v>
      </c>
      <c r="R590" s="494">
        <v>694377</v>
      </c>
      <c r="S590" s="494">
        <v>886456</v>
      </c>
      <c r="T590" s="494">
        <v>715209</v>
      </c>
      <c r="U590" s="494">
        <v>66266</v>
      </c>
      <c r="V590" s="493">
        <v>2024</v>
      </c>
      <c r="W590" s="495"/>
      <c r="X590" s="496">
        <f t="shared" si="38"/>
        <v>10.793000935623095</v>
      </c>
      <c r="Y590" s="497" t="str">
        <f t="shared" si="39"/>
        <v/>
      </c>
      <c r="Z590" s="497" t="str">
        <f t="shared" si="39"/>
        <v/>
      </c>
    </row>
    <row r="591" spans="1:26" s="82" customFormat="1" x14ac:dyDescent="0.4">
      <c r="A591" s="493">
        <v>10726</v>
      </c>
      <c r="B591" s="105" t="s">
        <v>329</v>
      </c>
      <c r="C591" s="493" t="s">
        <v>330</v>
      </c>
      <c r="D591" s="105" t="s">
        <v>834</v>
      </c>
      <c r="E591" s="105" t="s">
        <v>834</v>
      </c>
      <c r="F591" s="493">
        <v>11741</v>
      </c>
      <c r="G591" s="105" t="s">
        <v>33</v>
      </c>
      <c r="H591" s="105" t="s">
        <v>342</v>
      </c>
      <c r="I591" s="105" t="s">
        <v>334</v>
      </c>
      <c r="J591" s="493">
        <v>22</v>
      </c>
      <c r="K591" s="493">
        <v>2</v>
      </c>
      <c r="L591" s="105" t="s">
        <v>343</v>
      </c>
      <c r="M591" s="105" t="s">
        <v>380</v>
      </c>
      <c r="N591" s="105" t="s">
        <v>226</v>
      </c>
      <c r="O591" s="105" t="s">
        <v>226</v>
      </c>
      <c r="P591" s="105" t="s">
        <v>350</v>
      </c>
      <c r="Q591" s="494">
        <v>0</v>
      </c>
      <c r="R591" s="494">
        <v>0</v>
      </c>
      <c r="S591" s="494">
        <v>0</v>
      </c>
      <c r="T591" s="494">
        <v>0</v>
      </c>
      <c r="U591" s="494">
        <v>0</v>
      </c>
      <c r="V591" s="493">
        <v>2024</v>
      </c>
      <c r="W591" s="495" t="s">
        <v>355</v>
      </c>
      <c r="X591" s="496" t="str">
        <f t="shared" si="38"/>
        <v/>
      </c>
      <c r="Y591" s="497" t="str">
        <f t="shared" si="39"/>
        <v/>
      </c>
      <c r="Z591" s="497" t="str">
        <f t="shared" si="39"/>
        <v/>
      </c>
    </row>
    <row r="592" spans="1:26" s="82" customFormat="1" x14ac:dyDescent="0.4">
      <c r="A592" s="493">
        <v>10726</v>
      </c>
      <c r="B592" s="105" t="s">
        <v>329</v>
      </c>
      <c r="C592" s="493" t="s">
        <v>330</v>
      </c>
      <c r="D592" s="105" t="s">
        <v>834</v>
      </c>
      <c r="E592" s="105" t="s">
        <v>834</v>
      </c>
      <c r="F592" s="493">
        <v>11741</v>
      </c>
      <c r="G592" s="105" t="s">
        <v>33</v>
      </c>
      <c r="H592" s="105" t="s">
        <v>342</v>
      </c>
      <c r="I592" s="105" t="s">
        <v>334</v>
      </c>
      <c r="J592" s="493">
        <v>22</v>
      </c>
      <c r="K592" s="493">
        <v>2</v>
      </c>
      <c r="L592" s="105" t="s">
        <v>343</v>
      </c>
      <c r="M592" s="105" t="s">
        <v>380</v>
      </c>
      <c r="N592" s="105" t="s">
        <v>228</v>
      </c>
      <c r="O592" s="105" t="s">
        <v>228</v>
      </c>
      <c r="P592" s="105" t="s">
        <v>356</v>
      </c>
      <c r="Q592" s="494">
        <v>0</v>
      </c>
      <c r="R592" s="494">
        <v>0</v>
      </c>
      <c r="S592" s="494">
        <v>0</v>
      </c>
      <c r="T592" s="494">
        <v>0</v>
      </c>
      <c r="U592" s="494">
        <v>158570</v>
      </c>
      <c r="V592" s="493">
        <v>2024</v>
      </c>
      <c r="W592" s="495" t="s">
        <v>355</v>
      </c>
      <c r="X592" s="496" t="str">
        <f t="shared" si="38"/>
        <v/>
      </c>
      <c r="Y592" s="497" t="str">
        <f t="shared" si="39"/>
        <v/>
      </c>
      <c r="Z592" s="497" t="str">
        <f t="shared" si="39"/>
        <v/>
      </c>
    </row>
    <row r="593" spans="1:26" s="82" customFormat="1" x14ac:dyDescent="0.4">
      <c r="A593" s="493">
        <v>10726</v>
      </c>
      <c r="B593" s="105" t="s">
        <v>329</v>
      </c>
      <c r="C593" s="493" t="s">
        <v>330</v>
      </c>
      <c r="D593" s="105" t="s">
        <v>834</v>
      </c>
      <c r="E593" s="105" t="s">
        <v>834</v>
      </c>
      <c r="F593" s="493">
        <v>11741</v>
      </c>
      <c r="G593" s="105" t="s">
        <v>33</v>
      </c>
      <c r="H593" s="105" t="s">
        <v>342</v>
      </c>
      <c r="I593" s="105" t="s">
        <v>334</v>
      </c>
      <c r="J593" s="493">
        <v>22</v>
      </c>
      <c r="K593" s="493">
        <v>2</v>
      </c>
      <c r="L593" s="105" t="s">
        <v>343</v>
      </c>
      <c r="M593" s="105" t="s">
        <v>37</v>
      </c>
      <c r="N593" s="105" t="s">
        <v>226</v>
      </c>
      <c r="O593" s="105" t="s">
        <v>226</v>
      </c>
      <c r="P593" s="105" t="s">
        <v>350</v>
      </c>
      <c r="Q593" s="494">
        <v>0</v>
      </c>
      <c r="R593" s="494">
        <v>0</v>
      </c>
      <c r="S593" s="494">
        <v>0</v>
      </c>
      <c r="T593" s="494">
        <v>0</v>
      </c>
      <c r="U593" s="494">
        <v>0</v>
      </c>
      <c r="V593" s="493">
        <v>2024</v>
      </c>
      <c r="W593" s="495" t="s">
        <v>355</v>
      </c>
      <c r="X593" s="496" t="str">
        <f t="shared" si="38"/>
        <v/>
      </c>
      <c r="Y593" s="497" t="str">
        <f t="shared" si="39"/>
        <v/>
      </c>
      <c r="Z593" s="497" t="str">
        <f t="shared" si="39"/>
        <v/>
      </c>
    </row>
    <row r="594" spans="1:26" s="82" customFormat="1" x14ac:dyDescent="0.4">
      <c r="A594" s="493">
        <v>10726</v>
      </c>
      <c r="B594" s="105" t="s">
        <v>329</v>
      </c>
      <c r="C594" s="493" t="s">
        <v>330</v>
      </c>
      <c r="D594" s="105" t="s">
        <v>834</v>
      </c>
      <c r="E594" s="105" t="s">
        <v>834</v>
      </c>
      <c r="F594" s="493">
        <v>11741</v>
      </c>
      <c r="G594" s="105" t="s">
        <v>33</v>
      </c>
      <c r="H594" s="105" t="s">
        <v>342</v>
      </c>
      <c r="I594" s="105" t="s">
        <v>334</v>
      </c>
      <c r="J594" s="493">
        <v>22</v>
      </c>
      <c r="K594" s="493">
        <v>2</v>
      </c>
      <c r="L594" s="105" t="s">
        <v>343</v>
      </c>
      <c r="M594" s="105" t="s">
        <v>37</v>
      </c>
      <c r="N594" s="105" t="s">
        <v>228</v>
      </c>
      <c r="O594" s="105" t="s">
        <v>228</v>
      </c>
      <c r="P594" s="105" t="s">
        <v>356</v>
      </c>
      <c r="Q594" s="494">
        <v>3940596</v>
      </c>
      <c r="R594" s="494">
        <v>3940596</v>
      </c>
      <c r="S594" s="494">
        <v>4090340</v>
      </c>
      <c r="T594" s="494">
        <v>4090340</v>
      </c>
      <c r="U594" s="494">
        <v>317140</v>
      </c>
      <c r="V594" s="493">
        <v>2024</v>
      </c>
      <c r="W594" s="495" t="s">
        <v>355</v>
      </c>
      <c r="X594" s="496">
        <f t="shared" si="38"/>
        <v>12.897584662924892</v>
      </c>
      <c r="Y594" s="497" t="str">
        <f t="shared" si="39"/>
        <v/>
      </c>
      <c r="Z594" s="497" t="str">
        <f t="shared" si="39"/>
        <v/>
      </c>
    </row>
    <row r="595" spans="1:26" s="82" customFormat="1" ht="32" x14ac:dyDescent="0.4">
      <c r="A595" s="493">
        <v>10728</v>
      </c>
      <c r="B595" s="105" t="s">
        <v>329</v>
      </c>
      <c r="C595" s="493" t="s">
        <v>330</v>
      </c>
      <c r="D595" s="105" t="s">
        <v>835</v>
      </c>
      <c r="E595" s="105" t="s">
        <v>836</v>
      </c>
      <c r="F595" s="493">
        <v>56838</v>
      </c>
      <c r="G595" s="105" t="s">
        <v>34</v>
      </c>
      <c r="H595" s="105" t="s">
        <v>342</v>
      </c>
      <c r="I595" s="105" t="s">
        <v>334</v>
      </c>
      <c r="J595" s="493">
        <v>22</v>
      </c>
      <c r="K595" s="493">
        <v>2</v>
      </c>
      <c r="L595" s="105" t="s">
        <v>343</v>
      </c>
      <c r="M595" s="105" t="s">
        <v>336</v>
      </c>
      <c r="N595" s="105" t="s">
        <v>337</v>
      </c>
      <c r="O595" s="105" t="s">
        <v>338</v>
      </c>
      <c r="P595" s="105" t="s">
        <v>339</v>
      </c>
      <c r="Q595" s="494">
        <v>0</v>
      </c>
      <c r="R595" s="494">
        <v>0</v>
      </c>
      <c r="S595" s="494">
        <v>12470</v>
      </c>
      <c r="T595" s="494">
        <v>12470</v>
      </c>
      <c r="U595" s="494">
        <v>3655</v>
      </c>
      <c r="V595" s="493">
        <v>2024</v>
      </c>
      <c r="W595" s="495"/>
      <c r="X595" s="496">
        <f t="shared" si="38"/>
        <v>3.4117647058823528</v>
      </c>
      <c r="Y595" s="497" t="str">
        <f t="shared" si="39"/>
        <v/>
      </c>
      <c r="Z595" s="497" t="str">
        <f t="shared" si="39"/>
        <v/>
      </c>
    </row>
    <row r="596" spans="1:26" s="82" customFormat="1" ht="32" x14ac:dyDescent="0.4">
      <c r="A596" s="493">
        <v>10752</v>
      </c>
      <c r="B596" s="105" t="s">
        <v>329</v>
      </c>
      <c r="C596" s="493" t="s">
        <v>330</v>
      </c>
      <c r="D596" s="105" t="s">
        <v>837</v>
      </c>
      <c r="E596" s="105" t="s">
        <v>755</v>
      </c>
      <c r="F596" s="493">
        <v>64078</v>
      </c>
      <c r="G596" s="105" t="s">
        <v>52</v>
      </c>
      <c r="H596" s="105" t="s">
        <v>333</v>
      </c>
      <c r="I596" s="105" t="s">
        <v>334</v>
      </c>
      <c r="J596" s="493">
        <v>22</v>
      </c>
      <c r="K596" s="493">
        <v>2</v>
      </c>
      <c r="L596" s="105" t="s">
        <v>343</v>
      </c>
      <c r="M596" s="105" t="s">
        <v>336</v>
      </c>
      <c r="N596" s="105" t="s">
        <v>337</v>
      </c>
      <c r="O596" s="105" t="s">
        <v>338</v>
      </c>
      <c r="P596" s="105" t="s">
        <v>339</v>
      </c>
      <c r="Q596" s="494">
        <v>0</v>
      </c>
      <c r="R596" s="494">
        <v>0</v>
      </c>
      <c r="S596" s="494">
        <v>42923</v>
      </c>
      <c r="T596" s="494">
        <v>42923</v>
      </c>
      <c r="U596" s="494">
        <v>12580</v>
      </c>
      <c r="V596" s="493">
        <v>2024</v>
      </c>
      <c r="W596" s="495"/>
      <c r="X596" s="496">
        <f t="shared" si="38"/>
        <v>3.4120031796502386</v>
      </c>
      <c r="Y596" s="497" t="str">
        <f t="shared" si="39"/>
        <v/>
      </c>
      <c r="Z596" s="497" t="str">
        <f t="shared" si="39"/>
        <v/>
      </c>
    </row>
    <row r="597" spans="1:26" s="82" customFormat="1" ht="32" x14ac:dyDescent="0.4">
      <c r="A597" s="493">
        <v>10753</v>
      </c>
      <c r="B597" s="105" t="s">
        <v>329</v>
      </c>
      <c r="C597" s="493" t="s">
        <v>330</v>
      </c>
      <c r="D597" s="105" t="s">
        <v>838</v>
      </c>
      <c r="E597" s="105" t="s">
        <v>755</v>
      </c>
      <c r="F597" s="493">
        <v>64078</v>
      </c>
      <c r="G597" s="105" t="s">
        <v>52</v>
      </c>
      <c r="H597" s="105" t="s">
        <v>333</v>
      </c>
      <c r="I597" s="105" t="s">
        <v>334</v>
      </c>
      <c r="J597" s="493">
        <v>22</v>
      </c>
      <c r="K597" s="493">
        <v>2</v>
      </c>
      <c r="L597" s="105" t="s">
        <v>343</v>
      </c>
      <c r="M597" s="105" t="s">
        <v>336</v>
      </c>
      <c r="N597" s="105" t="s">
        <v>337</v>
      </c>
      <c r="O597" s="105" t="s">
        <v>338</v>
      </c>
      <c r="P597" s="105" t="s">
        <v>339</v>
      </c>
      <c r="Q597" s="494">
        <v>0</v>
      </c>
      <c r="R597" s="494">
        <v>0</v>
      </c>
      <c r="S597" s="494">
        <v>42923</v>
      </c>
      <c r="T597" s="494">
        <v>42923</v>
      </c>
      <c r="U597" s="494">
        <v>12580</v>
      </c>
      <c r="V597" s="493">
        <v>2024</v>
      </c>
      <c r="W597" s="495"/>
      <c r="X597" s="496">
        <f t="shared" si="38"/>
        <v>3.4120031796502386</v>
      </c>
      <c r="Y597" s="497" t="str">
        <f t="shared" si="39"/>
        <v/>
      </c>
      <c r="Z597" s="497" t="str">
        <f t="shared" si="39"/>
        <v/>
      </c>
    </row>
    <row r="598" spans="1:26" s="82" customFormat="1" x14ac:dyDescent="0.4">
      <c r="A598" s="493">
        <v>10765</v>
      </c>
      <c r="B598" s="105" t="s">
        <v>329</v>
      </c>
      <c r="C598" s="493" t="s">
        <v>330</v>
      </c>
      <c r="D598" s="105" t="s">
        <v>839</v>
      </c>
      <c r="E598" s="105" t="s">
        <v>840</v>
      </c>
      <c r="F598" s="493">
        <v>62815</v>
      </c>
      <c r="G598" s="105" t="s">
        <v>34</v>
      </c>
      <c r="H598" s="105" t="s">
        <v>342</v>
      </c>
      <c r="I598" s="105" t="s">
        <v>334</v>
      </c>
      <c r="J598" s="493">
        <v>22</v>
      </c>
      <c r="K598" s="493">
        <v>2</v>
      </c>
      <c r="L598" s="105" t="s">
        <v>343</v>
      </c>
      <c r="M598" s="105" t="s">
        <v>360</v>
      </c>
      <c r="N598" s="105" t="s">
        <v>246</v>
      </c>
      <c r="O598" s="105" t="s">
        <v>349</v>
      </c>
      <c r="P598" s="105" t="s">
        <v>356</v>
      </c>
      <c r="Q598" s="494">
        <v>0</v>
      </c>
      <c r="R598" s="494">
        <v>0</v>
      </c>
      <c r="S598" s="494">
        <v>0</v>
      </c>
      <c r="T598" s="494">
        <v>0</v>
      </c>
      <c r="U598" s="494">
        <v>0</v>
      </c>
      <c r="V598" s="493">
        <v>2024</v>
      </c>
      <c r="W598" s="495"/>
      <c r="X598" s="496" t="str">
        <f t="shared" si="38"/>
        <v/>
      </c>
      <c r="Y598" s="497" t="str">
        <f t="shared" si="39"/>
        <v/>
      </c>
      <c r="Z598" s="497" t="str">
        <f t="shared" si="39"/>
        <v/>
      </c>
    </row>
    <row r="599" spans="1:26" s="82" customFormat="1" x14ac:dyDescent="0.4">
      <c r="A599" s="493">
        <v>10765</v>
      </c>
      <c r="B599" s="105" t="s">
        <v>329</v>
      </c>
      <c r="C599" s="493" t="s">
        <v>330</v>
      </c>
      <c r="D599" s="105" t="s">
        <v>839</v>
      </c>
      <c r="E599" s="105" t="s">
        <v>840</v>
      </c>
      <c r="F599" s="493">
        <v>62815</v>
      </c>
      <c r="G599" s="105" t="s">
        <v>34</v>
      </c>
      <c r="H599" s="105" t="s">
        <v>342</v>
      </c>
      <c r="I599" s="105" t="s">
        <v>334</v>
      </c>
      <c r="J599" s="493">
        <v>22</v>
      </c>
      <c r="K599" s="493">
        <v>2</v>
      </c>
      <c r="L599" s="105" t="s">
        <v>343</v>
      </c>
      <c r="M599" s="105" t="s">
        <v>360</v>
      </c>
      <c r="N599" s="105" t="s">
        <v>258</v>
      </c>
      <c r="O599" s="105" t="s">
        <v>387</v>
      </c>
      <c r="P599" s="105" t="s">
        <v>388</v>
      </c>
      <c r="Q599" s="494">
        <v>0</v>
      </c>
      <c r="R599" s="494">
        <v>0</v>
      </c>
      <c r="S599" s="494">
        <v>0</v>
      </c>
      <c r="T599" s="494">
        <v>0</v>
      </c>
      <c r="U599" s="494">
        <v>0</v>
      </c>
      <c r="V599" s="493">
        <v>2024</v>
      </c>
      <c r="W599" s="495"/>
      <c r="X599" s="496" t="str">
        <f t="shared" si="38"/>
        <v/>
      </c>
      <c r="Y599" s="497" t="str">
        <f t="shared" si="39"/>
        <v/>
      </c>
      <c r="Z599" s="497" t="str">
        <f t="shared" si="39"/>
        <v/>
      </c>
    </row>
    <row r="600" spans="1:26" s="82" customFormat="1" x14ac:dyDescent="0.4">
      <c r="A600" s="493">
        <v>10766</v>
      </c>
      <c r="B600" s="105" t="s">
        <v>329</v>
      </c>
      <c r="C600" s="493" t="s">
        <v>330</v>
      </c>
      <c r="D600" s="105" t="s">
        <v>841</v>
      </c>
      <c r="E600" s="105" t="s">
        <v>840</v>
      </c>
      <c r="F600" s="493">
        <v>62815</v>
      </c>
      <c r="G600" s="105" t="s">
        <v>34</v>
      </c>
      <c r="H600" s="105" t="s">
        <v>342</v>
      </c>
      <c r="I600" s="105" t="s">
        <v>334</v>
      </c>
      <c r="J600" s="493">
        <v>22</v>
      </c>
      <c r="K600" s="493">
        <v>2</v>
      </c>
      <c r="L600" s="105" t="s">
        <v>343</v>
      </c>
      <c r="M600" s="105" t="s">
        <v>360</v>
      </c>
      <c r="N600" s="105" t="s">
        <v>246</v>
      </c>
      <c r="O600" s="105" t="s">
        <v>349</v>
      </c>
      <c r="P600" s="105" t="s">
        <v>356</v>
      </c>
      <c r="Q600" s="494">
        <v>234</v>
      </c>
      <c r="R600" s="494">
        <v>234</v>
      </c>
      <c r="S600" s="494">
        <v>587</v>
      </c>
      <c r="T600" s="494">
        <v>587</v>
      </c>
      <c r="U600" s="494">
        <v>30.763999999999999</v>
      </c>
      <c r="V600" s="493">
        <v>2024</v>
      </c>
      <c r="W600" s="495"/>
      <c r="X600" s="496">
        <f t="shared" si="38"/>
        <v>19.080743726433493</v>
      </c>
      <c r="Y600" s="497" t="str">
        <f t="shared" si="39"/>
        <v/>
      </c>
      <c r="Z600" s="497" t="str">
        <f t="shared" si="39"/>
        <v/>
      </c>
    </row>
    <row r="601" spans="1:26" s="82" customFormat="1" x14ac:dyDescent="0.4">
      <c r="A601" s="493">
        <v>10766</v>
      </c>
      <c r="B601" s="105" t="s">
        <v>329</v>
      </c>
      <c r="C601" s="493" t="s">
        <v>330</v>
      </c>
      <c r="D601" s="105" t="s">
        <v>841</v>
      </c>
      <c r="E601" s="105" t="s">
        <v>840</v>
      </c>
      <c r="F601" s="493">
        <v>62815</v>
      </c>
      <c r="G601" s="105" t="s">
        <v>34</v>
      </c>
      <c r="H601" s="105" t="s">
        <v>342</v>
      </c>
      <c r="I601" s="105" t="s">
        <v>334</v>
      </c>
      <c r="J601" s="493">
        <v>22</v>
      </c>
      <c r="K601" s="493">
        <v>2</v>
      </c>
      <c r="L601" s="105" t="s">
        <v>343</v>
      </c>
      <c r="M601" s="105" t="s">
        <v>360</v>
      </c>
      <c r="N601" s="105" t="s">
        <v>258</v>
      </c>
      <c r="O601" s="105" t="s">
        <v>387</v>
      </c>
      <c r="P601" s="105" t="s">
        <v>388</v>
      </c>
      <c r="Q601" s="494">
        <v>109423</v>
      </c>
      <c r="R601" s="494">
        <v>109423</v>
      </c>
      <c r="S601" s="494">
        <v>941037</v>
      </c>
      <c r="T601" s="494">
        <v>941037</v>
      </c>
      <c r="U601" s="494">
        <v>50597.235999999997</v>
      </c>
      <c r="V601" s="493">
        <v>2024</v>
      </c>
      <c r="W601" s="495"/>
      <c r="X601" s="496">
        <f t="shared" si="38"/>
        <v>18.598585108483</v>
      </c>
      <c r="Y601" s="497" t="str">
        <f t="shared" si="39"/>
        <v/>
      </c>
      <c r="Z601" s="497" t="str">
        <f t="shared" si="39"/>
        <v/>
      </c>
    </row>
    <row r="602" spans="1:26" s="82" customFormat="1" ht="32" x14ac:dyDescent="0.4">
      <c r="A602" s="493">
        <v>10817</v>
      </c>
      <c r="B602" s="105" t="s">
        <v>329</v>
      </c>
      <c r="C602" s="493" t="s">
        <v>330</v>
      </c>
      <c r="D602" s="105" t="s">
        <v>842</v>
      </c>
      <c r="E602" s="105" t="s">
        <v>843</v>
      </c>
      <c r="F602" s="493">
        <v>66499</v>
      </c>
      <c r="G602" s="105" t="s">
        <v>52</v>
      </c>
      <c r="H602" s="105" t="s">
        <v>333</v>
      </c>
      <c r="I602" s="105" t="s">
        <v>334</v>
      </c>
      <c r="J602" s="493">
        <v>22</v>
      </c>
      <c r="K602" s="493">
        <v>2</v>
      </c>
      <c r="L602" s="105" t="s">
        <v>343</v>
      </c>
      <c r="M602" s="105" t="s">
        <v>336</v>
      </c>
      <c r="N602" s="105" t="s">
        <v>337</v>
      </c>
      <c r="O602" s="105" t="s">
        <v>338</v>
      </c>
      <c r="P602" s="105" t="s">
        <v>339</v>
      </c>
      <c r="Q602" s="494">
        <v>0</v>
      </c>
      <c r="R602" s="494">
        <v>0</v>
      </c>
      <c r="S602" s="494">
        <v>16154</v>
      </c>
      <c r="T602" s="494">
        <v>16154</v>
      </c>
      <c r="U602" s="494">
        <v>4734</v>
      </c>
      <c r="V602" s="493">
        <v>2024</v>
      </c>
      <c r="W602" s="495"/>
      <c r="X602" s="496">
        <f t="shared" si="38"/>
        <v>3.412336290663287</v>
      </c>
      <c r="Y602" s="497" t="str">
        <f t="shared" si="39"/>
        <v/>
      </c>
      <c r="Z602" s="497" t="str">
        <f t="shared" si="39"/>
        <v/>
      </c>
    </row>
    <row r="603" spans="1:26" s="82" customFormat="1" ht="32" x14ac:dyDescent="0.4">
      <c r="A603" s="493">
        <v>10823</v>
      </c>
      <c r="B603" s="105" t="s">
        <v>433</v>
      </c>
      <c r="C603" s="493" t="s">
        <v>330</v>
      </c>
      <c r="D603" s="105" t="s">
        <v>844</v>
      </c>
      <c r="E603" s="105" t="s">
        <v>845</v>
      </c>
      <c r="F603" s="493">
        <v>11427</v>
      </c>
      <c r="G603" s="105" t="s">
        <v>33</v>
      </c>
      <c r="H603" s="105" t="s">
        <v>342</v>
      </c>
      <c r="I603" s="105" t="s">
        <v>334</v>
      </c>
      <c r="J603" s="493">
        <v>22132</v>
      </c>
      <c r="K603" s="493">
        <v>5</v>
      </c>
      <c r="L603" s="105" t="s">
        <v>771</v>
      </c>
      <c r="M603" s="105" t="s">
        <v>295</v>
      </c>
      <c r="N603" s="105" t="s">
        <v>226</v>
      </c>
      <c r="O603" s="105" t="s">
        <v>226</v>
      </c>
      <c r="P603" s="105" t="s">
        <v>350</v>
      </c>
      <c r="Q603" s="494">
        <v>6123</v>
      </c>
      <c r="R603" s="494">
        <v>2081</v>
      </c>
      <c r="S603" s="494">
        <v>34717</v>
      </c>
      <c r="T603" s="494">
        <v>11799</v>
      </c>
      <c r="U603" s="494">
        <v>2880.22</v>
      </c>
      <c r="V603" s="493">
        <v>2024</v>
      </c>
      <c r="W603" s="495"/>
      <c r="X603" s="496" t="str">
        <f t="shared" si="38"/>
        <v/>
      </c>
      <c r="Y603" s="497" t="str">
        <f t="shared" si="39"/>
        <v/>
      </c>
      <c r="Z603" s="497" t="str">
        <f t="shared" si="39"/>
        <v/>
      </c>
    </row>
    <row r="604" spans="1:26" s="82" customFormat="1" ht="32" x14ac:dyDescent="0.4">
      <c r="A604" s="493">
        <v>10823</v>
      </c>
      <c r="B604" s="105" t="s">
        <v>433</v>
      </c>
      <c r="C604" s="493" t="s">
        <v>330</v>
      </c>
      <c r="D604" s="105" t="s">
        <v>844</v>
      </c>
      <c r="E604" s="105" t="s">
        <v>845</v>
      </c>
      <c r="F604" s="493">
        <v>11427</v>
      </c>
      <c r="G604" s="105" t="s">
        <v>33</v>
      </c>
      <c r="H604" s="105" t="s">
        <v>342</v>
      </c>
      <c r="I604" s="105" t="s">
        <v>334</v>
      </c>
      <c r="J604" s="493">
        <v>22132</v>
      </c>
      <c r="K604" s="493">
        <v>5</v>
      </c>
      <c r="L604" s="105" t="s">
        <v>771</v>
      </c>
      <c r="M604" s="105" t="s">
        <v>336</v>
      </c>
      <c r="N604" s="105" t="s">
        <v>337</v>
      </c>
      <c r="O604" s="105" t="s">
        <v>338</v>
      </c>
      <c r="P604" s="105" t="s">
        <v>339</v>
      </c>
      <c r="Q604" s="494">
        <v>0</v>
      </c>
      <c r="R604" s="494">
        <v>0</v>
      </c>
      <c r="S604" s="494">
        <v>9672</v>
      </c>
      <c r="T604" s="494">
        <v>9672</v>
      </c>
      <c r="U604" s="494">
        <v>2834.37</v>
      </c>
      <c r="V604" s="493">
        <v>2024</v>
      </c>
      <c r="W604" s="495"/>
      <c r="X604" s="496" t="str">
        <f t="shared" si="38"/>
        <v/>
      </c>
      <c r="Y604" s="497" t="str">
        <f t="shared" si="39"/>
        <v/>
      </c>
      <c r="Z604" s="497" t="str">
        <f t="shared" si="39"/>
        <v/>
      </c>
    </row>
    <row r="605" spans="1:26" s="82" customFormat="1" ht="32" x14ac:dyDescent="0.4">
      <c r="A605" s="493">
        <v>10823</v>
      </c>
      <c r="B605" s="105" t="s">
        <v>433</v>
      </c>
      <c r="C605" s="493" t="s">
        <v>330</v>
      </c>
      <c r="D605" s="105" t="s">
        <v>844</v>
      </c>
      <c r="E605" s="105" t="s">
        <v>845</v>
      </c>
      <c r="F605" s="493">
        <v>11427</v>
      </c>
      <c r="G605" s="105" t="s">
        <v>33</v>
      </c>
      <c r="H605" s="105" t="s">
        <v>342</v>
      </c>
      <c r="I605" s="105" t="s">
        <v>334</v>
      </c>
      <c r="J605" s="493">
        <v>22132</v>
      </c>
      <c r="K605" s="493">
        <v>5</v>
      </c>
      <c r="L605" s="105" t="s">
        <v>771</v>
      </c>
      <c r="M605" s="105" t="s">
        <v>655</v>
      </c>
      <c r="N605" s="105" t="s">
        <v>656</v>
      </c>
      <c r="O605" s="105" t="s">
        <v>656</v>
      </c>
      <c r="P605" s="105" t="s">
        <v>339</v>
      </c>
      <c r="Q605" s="494">
        <v>0</v>
      </c>
      <c r="R605" s="494">
        <v>0</v>
      </c>
      <c r="S605" s="494">
        <v>2130</v>
      </c>
      <c r="T605" s="494">
        <v>2130</v>
      </c>
      <c r="U605" s="494">
        <v>624.69000000000005</v>
      </c>
      <c r="V605" s="493">
        <v>2024</v>
      </c>
      <c r="W605" s="495"/>
      <c r="X605" s="496" t="str">
        <f t="shared" si="38"/>
        <v/>
      </c>
      <c r="Y605" s="497" t="str">
        <f t="shared" si="39"/>
        <v/>
      </c>
      <c r="Z605" s="497" t="str">
        <f t="shared" si="39"/>
        <v/>
      </c>
    </row>
    <row r="606" spans="1:26" s="82" customFormat="1" ht="32" x14ac:dyDescent="0.4">
      <c r="A606" s="493">
        <v>10823</v>
      </c>
      <c r="B606" s="105" t="s">
        <v>433</v>
      </c>
      <c r="C606" s="493" t="s">
        <v>330</v>
      </c>
      <c r="D606" s="105" t="s">
        <v>844</v>
      </c>
      <c r="E606" s="105" t="s">
        <v>845</v>
      </c>
      <c r="F606" s="493">
        <v>11427</v>
      </c>
      <c r="G606" s="105" t="s">
        <v>33</v>
      </c>
      <c r="H606" s="105" t="s">
        <v>342</v>
      </c>
      <c r="I606" s="105" t="s">
        <v>334</v>
      </c>
      <c r="J606" s="493">
        <v>22132</v>
      </c>
      <c r="K606" s="493">
        <v>5</v>
      </c>
      <c r="L606" s="105" t="s">
        <v>771</v>
      </c>
      <c r="M606" s="105" t="s">
        <v>360</v>
      </c>
      <c r="N606" s="105" t="s">
        <v>226</v>
      </c>
      <c r="O606" s="105" t="s">
        <v>226</v>
      </c>
      <c r="P606" s="105" t="s">
        <v>350</v>
      </c>
      <c r="Q606" s="494">
        <v>17660</v>
      </c>
      <c r="R606" s="494">
        <v>2111</v>
      </c>
      <c r="S606" s="494">
        <v>100134</v>
      </c>
      <c r="T606" s="494">
        <v>11963</v>
      </c>
      <c r="U606" s="494">
        <v>2890.6759999999999</v>
      </c>
      <c r="V606" s="493">
        <v>2024</v>
      </c>
      <c r="W606" s="495"/>
      <c r="X606" s="496" t="str">
        <f t="shared" si="38"/>
        <v/>
      </c>
      <c r="Y606" s="497" t="str">
        <f t="shared" si="39"/>
        <v/>
      </c>
      <c r="Z606" s="497" t="str">
        <f t="shared" si="39"/>
        <v/>
      </c>
    </row>
    <row r="607" spans="1:26" s="82" customFormat="1" ht="32" x14ac:dyDescent="0.4">
      <c r="A607" s="493">
        <v>10823</v>
      </c>
      <c r="B607" s="105" t="s">
        <v>433</v>
      </c>
      <c r="C607" s="493" t="s">
        <v>330</v>
      </c>
      <c r="D607" s="105" t="s">
        <v>844</v>
      </c>
      <c r="E607" s="105" t="s">
        <v>845</v>
      </c>
      <c r="F607" s="493">
        <v>11427</v>
      </c>
      <c r="G607" s="105" t="s">
        <v>33</v>
      </c>
      <c r="H607" s="105" t="s">
        <v>342</v>
      </c>
      <c r="I607" s="105" t="s">
        <v>334</v>
      </c>
      <c r="J607" s="493">
        <v>22132</v>
      </c>
      <c r="K607" s="493">
        <v>5</v>
      </c>
      <c r="L607" s="105" t="s">
        <v>771</v>
      </c>
      <c r="M607" s="105" t="s">
        <v>360</v>
      </c>
      <c r="N607" s="105" t="s">
        <v>266</v>
      </c>
      <c r="O607" s="105" t="s">
        <v>481</v>
      </c>
      <c r="P607" s="105" t="s">
        <v>846</v>
      </c>
      <c r="Q607" s="494">
        <v>1573940</v>
      </c>
      <c r="R607" s="494">
        <v>184272</v>
      </c>
      <c r="S607" s="494">
        <v>956953</v>
      </c>
      <c r="T607" s="494">
        <v>112037</v>
      </c>
      <c r="U607" s="494">
        <v>27073.594000000001</v>
      </c>
      <c r="V607" s="493">
        <v>2024</v>
      </c>
      <c r="W607" s="495"/>
      <c r="X607" s="496" t="str">
        <f t="shared" si="38"/>
        <v/>
      </c>
      <c r="Y607" s="497" t="str">
        <f t="shared" si="39"/>
        <v/>
      </c>
      <c r="Z607" s="497" t="str">
        <f t="shared" si="39"/>
        <v/>
      </c>
    </row>
    <row r="608" spans="1:26" s="82" customFormat="1" ht="32" x14ac:dyDescent="0.4">
      <c r="A608" s="493">
        <v>10823</v>
      </c>
      <c r="B608" s="105" t="s">
        <v>433</v>
      </c>
      <c r="C608" s="493" t="s">
        <v>330</v>
      </c>
      <c r="D608" s="105" t="s">
        <v>844</v>
      </c>
      <c r="E608" s="105" t="s">
        <v>845</v>
      </c>
      <c r="F608" s="493">
        <v>11427</v>
      </c>
      <c r="G608" s="105" t="s">
        <v>33</v>
      </c>
      <c r="H608" s="105" t="s">
        <v>342</v>
      </c>
      <c r="I608" s="105" t="s">
        <v>334</v>
      </c>
      <c r="J608" s="493">
        <v>22132</v>
      </c>
      <c r="K608" s="493">
        <v>5</v>
      </c>
      <c r="L608" s="105" t="s">
        <v>771</v>
      </c>
      <c r="M608" s="105" t="s">
        <v>695</v>
      </c>
      <c r="N608" s="105" t="s">
        <v>696</v>
      </c>
      <c r="O608" s="105" t="s">
        <v>696</v>
      </c>
      <c r="P608" s="105" t="s">
        <v>339</v>
      </c>
      <c r="Q608" s="494">
        <v>0</v>
      </c>
      <c r="R608" s="494">
        <v>0</v>
      </c>
      <c r="S608" s="494">
        <v>2382</v>
      </c>
      <c r="T608" s="494">
        <v>2382</v>
      </c>
      <c r="U608" s="494">
        <v>697.95</v>
      </c>
      <c r="V608" s="493">
        <v>2024</v>
      </c>
      <c r="W608" s="495"/>
      <c r="X608" s="496" t="str">
        <f t="shared" si="38"/>
        <v/>
      </c>
      <c r="Y608" s="497" t="str">
        <f t="shared" ref="Y608:Z627" si="40">IF(AND($M608=$Y$2,$N608=$Y$3,NOT($Q608=$R608),NOT($U608=0)),IF($K608=5,$S608/($U608+(8/5)*$U608),IF($K608=7,$S608/($U608+(29/25)*$U608),"")),"")</f>
        <v/>
      </c>
      <c r="Z608" s="497" t="str">
        <f t="shared" si="40"/>
        <v/>
      </c>
    </row>
    <row r="609" spans="1:26" s="82" customFormat="1" ht="32" x14ac:dyDescent="0.4">
      <c r="A609" s="493">
        <v>10824</v>
      </c>
      <c r="B609" s="105" t="s">
        <v>329</v>
      </c>
      <c r="C609" s="493" t="s">
        <v>330</v>
      </c>
      <c r="D609" s="105" t="s">
        <v>847</v>
      </c>
      <c r="E609" s="105" t="s">
        <v>848</v>
      </c>
      <c r="F609" s="493">
        <v>11426</v>
      </c>
      <c r="G609" s="105" t="s">
        <v>33</v>
      </c>
      <c r="H609" s="105" t="s">
        <v>342</v>
      </c>
      <c r="I609" s="105" t="s">
        <v>334</v>
      </c>
      <c r="J609" s="493">
        <v>22</v>
      </c>
      <c r="K609" s="493">
        <v>2</v>
      </c>
      <c r="L609" s="105" t="s">
        <v>343</v>
      </c>
      <c r="M609" s="105" t="s">
        <v>336</v>
      </c>
      <c r="N609" s="105" t="s">
        <v>337</v>
      </c>
      <c r="O609" s="105" t="s">
        <v>338</v>
      </c>
      <c r="P609" s="105" t="s">
        <v>339</v>
      </c>
      <c r="Q609" s="494">
        <v>0</v>
      </c>
      <c r="R609" s="494">
        <v>0</v>
      </c>
      <c r="S609" s="494">
        <v>47574</v>
      </c>
      <c r="T609" s="494">
        <v>47574</v>
      </c>
      <c r="U609" s="494">
        <v>13943</v>
      </c>
      <c r="V609" s="493">
        <v>2024</v>
      </c>
      <c r="W609" s="495"/>
      <c r="X609" s="496">
        <f t="shared" si="38"/>
        <v>3.4120347127590906</v>
      </c>
      <c r="Y609" s="497" t="str">
        <f t="shared" si="40"/>
        <v/>
      </c>
      <c r="Z609" s="497" t="str">
        <f t="shared" si="40"/>
        <v/>
      </c>
    </row>
    <row r="610" spans="1:26" s="82" customFormat="1" ht="32" x14ac:dyDescent="0.4">
      <c r="A610" s="493">
        <v>10825</v>
      </c>
      <c r="B610" s="105" t="s">
        <v>329</v>
      </c>
      <c r="C610" s="493" t="s">
        <v>330</v>
      </c>
      <c r="D610" s="105" t="s">
        <v>849</v>
      </c>
      <c r="E610" s="105" t="s">
        <v>848</v>
      </c>
      <c r="F610" s="493">
        <v>11426</v>
      </c>
      <c r="G610" s="105" t="s">
        <v>33</v>
      </c>
      <c r="H610" s="105" t="s">
        <v>342</v>
      </c>
      <c r="I610" s="105" t="s">
        <v>334</v>
      </c>
      <c r="J610" s="493">
        <v>22</v>
      </c>
      <c r="K610" s="493">
        <v>2</v>
      </c>
      <c r="L610" s="105" t="s">
        <v>343</v>
      </c>
      <c r="M610" s="105" t="s">
        <v>336</v>
      </c>
      <c r="N610" s="105" t="s">
        <v>337</v>
      </c>
      <c r="O610" s="105" t="s">
        <v>338</v>
      </c>
      <c r="P610" s="105" t="s">
        <v>339</v>
      </c>
      <c r="Q610" s="494">
        <v>0</v>
      </c>
      <c r="R610" s="494">
        <v>0</v>
      </c>
      <c r="S610" s="494">
        <v>2519</v>
      </c>
      <c r="T610" s="494">
        <v>2519</v>
      </c>
      <c r="U610" s="494">
        <v>738</v>
      </c>
      <c r="V610" s="493">
        <v>2024</v>
      </c>
      <c r="W610" s="495"/>
      <c r="X610" s="496">
        <f t="shared" si="38"/>
        <v>3.4132791327913279</v>
      </c>
      <c r="Y610" s="497" t="str">
        <f t="shared" si="40"/>
        <v/>
      </c>
      <c r="Z610" s="497" t="str">
        <f t="shared" si="40"/>
        <v/>
      </c>
    </row>
    <row r="611" spans="1:26" s="82" customFormat="1" ht="32" x14ac:dyDescent="0.4">
      <c r="A611" s="493">
        <v>10838</v>
      </c>
      <c r="B611" s="105" t="s">
        <v>329</v>
      </c>
      <c r="C611" s="493" t="s">
        <v>330</v>
      </c>
      <c r="D611" s="105" t="s">
        <v>850</v>
      </c>
      <c r="E611" s="105" t="s">
        <v>850</v>
      </c>
      <c r="F611" s="493">
        <v>65546</v>
      </c>
      <c r="G611" s="105" t="s">
        <v>35</v>
      </c>
      <c r="H611" s="105" t="s">
        <v>342</v>
      </c>
      <c r="I611" s="105" t="s">
        <v>334</v>
      </c>
      <c r="J611" s="493">
        <v>22</v>
      </c>
      <c r="K611" s="493">
        <v>2</v>
      </c>
      <c r="L611" s="105" t="s">
        <v>343</v>
      </c>
      <c r="M611" s="105" t="s">
        <v>360</v>
      </c>
      <c r="N611" s="105" t="s">
        <v>258</v>
      </c>
      <c r="O611" s="105" t="s">
        <v>387</v>
      </c>
      <c r="P611" s="105" t="s">
        <v>388</v>
      </c>
      <c r="Q611" s="494">
        <v>60944</v>
      </c>
      <c r="R611" s="494">
        <v>60944</v>
      </c>
      <c r="S611" s="494">
        <v>487552</v>
      </c>
      <c r="T611" s="494">
        <v>487552</v>
      </c>
      <c r="U611" s="494">
        <v>33053</v>
      </c>
      <c r="V611" s="493">
        <v>2024</v>
      </c>
      <c r="W611" s="495"/>
      <c r="X611" s="496">
        <f t="shared" si="38"/>
        <v>14.75061265240674</v>
      </c>
      <c r="Y611" s="497" t="str">
        <f t="shared" si="40"/>
        <v/>
      </c>
      <c r="Z611" s="497" t="str">
        <f t="shared" si="40"/>
        <v/>
      </c>
    </row>
    <row r="612" spans="1:26" s="82" customFormat="1" ht="32" x14ac:dyDescent="0.4">
      <c r="A612" s="493">
        <v>10839</v>
      </c>
      <c r="B612" s="105" t="s">
        <v>329</v>
      </c>
      <c r="C612" s="493" t="s">
        <v>330</v>
      </c>
      <c r="D612" s="105" t="s">
        <v>851</v>
      </c>
      <c r="E612" s="105" t="s">
        <v>851</v>
      </c>
      <c r="F612" s="493">
        <v>65544</v>
      </c>
      <c r="G612" s="105" t="s">
        <v>35</v>
      </c>
      <c r="H612" s="105" t="s">
        <v>342</v>
      </c>
      <c r="I612" s="105" t="s">
        <v>334</v>
      </c>
      <c r="J612" s="493">
        <v>22</v>
      </c>
      <c r="K612" s="493">
        <v>2</v>
      </c>
      <c r="L612" s="105" t="s">
        <v>343</v>
      </c>
      <c r="M612" s="105" t="s">
        <v>360</v>
      </c>
      <c r="N612" s="105" t="s">
        <v>258</v>
      </c>
      <c r="O612" s="105" t="s">
        <v>387</v>
      </c>
      <c r="P612" s="105" t="s">
        <v>388</v>
      </c>
      <c r="Q612" s="494">
        <v>106789</v>
      </c>
      <c r="R612" s="494">
        <v>106789</v>
      </c>
      <c r="S612" s="494">
        <v>854312</v>
      </c>
      <c r="T612" s="494">
        <v>854312</v>
      </c>
      <c r="U612" s="494">
        <v>54363</v>
      </c>
      <c r="V612" s="493">
        <v>2024</v>
      </c>
      <c r="W612" s="495"/>
      <c r="X612" s="496">
        <f t="shared" si="38"/>
        <v>15.714953185070728</v>
      </c>
      <c r="Y612" s="497" t="str">
        <f t="shared" si="40"/>
        <v/>
      </c>
      <c r="Z612" s="497" t="str">
        <f t="shared" si="40"/>
        <v/>
      </c>
    </row>
    <row r="613" spans="1:26" s="82" customFormat="1" ht="32" x14ac:dyDescent="0.4">
      <c r="A613" s="493">
        <v>10853</v>
      </c>
      <c r="B613" s="105" t="s">
        <v>329</v>
      </c>
      <c r="C613" s="493" t="s">
        <v>330</v>
      </c>
      <c r="D613" s="105" t="s">
        <v>852</v>
      </c>
      <c r="E613" s="105" t="s">
        <v>853</v>
      </c>
      <c r="F613" s="493">
        <v>8736</v>
      </c>
      <c r="G613" s="105" t="s">
        <v>52</v>
      </c>
      <c r="H613" s="105" t="s">
        <v>333</v>
      </c>
      <c r="I613" s="105" t="s">
        <v>334</v>
      </c>
      <c r="J613" s="493">
        <v>322</v>
      </c>
      <c r="K613" s="493">
        <v>6</v>
      </c>
      <c r="L613" s="105" t="s">
        <v>729</v>
      </c>
      <c r="M613" s="105" t="s">
        <v>336</v>
      </c>
      <c r="N613" s="105" t="s">
        <v>337</v>
      </c>
      <c r="O613" s="105" t="s">
        <v>338</v>
      </c>
      <c r="P613" s="105" t="s">
        <v>339</v>
      </c>
      <c r="Q613" s="494">
        <v>0</v>
      </c>
      <c r="R613" s="494">
        <v>0</v>
      </c>
      <c r="S613" s="494">
        <v>10099</v>
      </c>
      <c r="T613" s="494">
        <v>10099</v>
      </c>
      <c r="U613" s="494">
        <v>2960</v>
      </c>
      <c r="V613" s="493">
        <v>2024</v>
      </c>
      <c r="W613" s="495"/>
      <c r="X613" s="496" t="str">
        <f t="shared" si="38"/>
        <v/>
      </c>
      <c r="Y613" s="497" t="str">
        <f t="shared" si="40"/>
        <v/>
      </c>
      <c r="Z613" s="497" t="str">
        <f t="shared" si="40"/>
        <v/>
      </c>
    </row>
    <row r="614" spans="1:26" s="82" customFormat="1" x14ac:dyDescent="0.4">
      <c r="A614" s="493">
        <v>10872</v>
      </c>
      <c r="B614" s="105" t="s">
        <v>329</v>
      </c>
      <c r="C614" s="493" t="s">
        <v>330</v>
      </c>
      <c r="D614" s="105" t="s">
        <v>854</v>
      </c>
      <c r="E614" s="105" t="s">
        <v>731</v>
      </c>
      <c r="F614" s="493">
        <v>56590</v>
      </c>
      <c r="G614" s="105" t="s">
        <v>52</v>
      </c>
      <c r="H614" s="105" t="s">
        <v>333</v>
      </c>
      <c r="I614" s="105" t="s">
        <v>334</v>
      </c>
      <c r="J614" s="493">
        <v>22</v>
      </c>
      <c r="K614" s="493">
        <v>2</v>
      </c>
      <c r="L614" s="105" t="s">
        <v>343</v>
      </c>
      <c r="M614" s="105" t="s">
        <v>336</v>
      </c>
      <c r="N614" s="105" t="s">
        <v>337</v>
      </c>
      <c r="O614" s="105" t="s">
        <v>338</v>
      </c>
      <c r="P614" s="105" t="s">
        <v>339</v>
      </c>
      <c r="Q614" s="494">
        <v>0</v>
      </c>
      <c r="R614" s="494">
        <v>0</v>
      </c>
      <c r="S614" s="494">
        <v>6687</v>
      </c>
      <c r="T614" s="494">
        <v>6687</v>
      </c>
      <c r="U614" s="494">
        <v>1960</v>
      </c>
      <c r="V614" s="493">
        <v>2024</v>
      </c>
      <c r="W614" s="495"/>
      <c r="X614" s="496">
        <f t="shared" si="38"/>
        <v>3.411734693877551</v>
      </c>
      <c r="Y614" s="497" t="str">
        <f t="shared" si="40"/>
        <v/>
      </c>
      <c r="Z614" s="497" t="str">
        <f t="shared" si="40"/>
        <v/>
      </c>
    </row>
    <row r="615" spans="1:26" s="82" customFormat="1" ht="32" x14ac:dyDescent="0.4">
      <c r="A615" s="493">
        <v>10883</v>
      </c>
      <c r="B615" s="105" t="s">
        <v>433</v>
      </c>
      <c r="C615" s="493" t="s">
        <v>330</v>
      </c>
      <c r="D615" s="105" t="s">
        <v>855</v>
      </c>
      <c r="E615" s="105" t="s">
        <v>856</v>
      </c>
      <c r="F615" s="493">
        <v>12258</v>
      </c>
      <c r="G615" s="105" t="s">
        <v>33</v>
      </c>
      <c r="H615" s="105" t="s">
        <v>342</v>
      </c>
      <c r="I615" s="105" t="s">
        <v>334</v>
      </c>
      <c r="J615" s="493">
        <v>622</v>
      </c>
      <c r="K615" s="493">
        <v>5</v>
      </c>
      <c r="L615" s="105" t="s">
        <v>771</v>
      </c>
      <c r="M615" s="105" t="s">
        <v>295</v>
      </c>
      <c r="N615" s="105" t="s">
        <v>226</v>
      </c>
      <c r="O615" s="105" t="s">
        <v>226</v>
      </c>
      <c r="P615" s="105" t="s">
        <v>350</v>
      </c>
      <c r="Q615" s="494">
        <v>3018</v>
      </c>
      <c r="R615" s="494">
        <v>1237</v>
      </c>
      <c r="S615" s="494">
        <v>17441</v>
      </c>
      <c r="T615" s="494">
        <v>7147</v>
      </c>
      <c r="U615" s="494">
        <v>1498.027</v>
      </c>
      <c r="V615" s="493">
        <v>2024</v>
      </c>
      <c r="W615" s="495"/>
      <c r="X615" s="496" t="str">
        <f t="shared" si="38"/>
        <v/>
      </c>
      <c r="Y615" s="497" t="str">
        <f t="shared" si="40"/>
        <v/>
      </c>
      <c r="Z615" s="497" t="str">
        <f t="shared" si="40"/>
        <v/>
      </c>
    </row>
    <row r="616" spans="1:26" s="82" customFormat="1" ht="32" x14ac:dyDescent="0.4">
      <c r="A616" s="493">
        <v>10883</v>
      </c>
      <c r="B616" s="105" t="s">
        <v>433</v>
      </c>
      <c r="C616" s="493" t="s">
        <v>330</v>
      </c>
      <c r="D616" s="105" t="s">
        <v>855</v>
      </c>
      <c r="E616" s="105" t="s">
        <v>856</v>
      </c>
      <c r="F616" s="493">
        <v>12258</v>
      </c>
      <c r="G616" s="105" t="s">
        <v>33</v>
      </c>
      <c r="H616" s="105" t="s">
        <v>342</v>
      </c>
      <c r="I616" s="105" t="s">
        <v>334</v>
      </c>
      <c r="J616" s="493">
        <v>622</v>
      </c>
      <c r="K616" s="493">
        <v>5</v>
      </c>
      <c r="L616" s="105" t="s">
        <v>771</v>
      </c>
      <c r="M616" s="105" t="s">
        <v>295</v>
      </c>
      <c r="N616" s="105" t="s">
        <v>228</v>
      </c>
      <c r="O616" s="105" t="s">
        <v>228</v>
      </c>
      <c r="P616" s="105" t="s">
        <v>356</v>
      </c>
      <c r="Q616" s="494">
        <v>2654568</v>
      </c>
      <c r="R616" s="494">
        <v>1087432</v>
      </c>
      <c r="S616" s="494">
        <v>2726240</v>
      </c>
      <c r="T616" s="494">
        <v>1116792</v>
      </c>
      <c r="U616" s="494">
        <v>234159.63</v>
      </c>
      <c r="V616" s="493">
        <v>2024</v>
      </c>
      <c r="W616" s="495"/>
      <c r="X616" s="496" t="str">
        <f t="shared" si="38"/>
        <v/>
      </c>
      <c r="Y616" s="497">
        <f t="shared" si="40"/>
        <v>4.4779445806001918</v>
      </c>
      <c r="Z616" s="497">
        <f t="shared" si="40"/>
        <v>4.4779445806001918</v>
      </c>
    </row>
    <row r="617" spans="1:26" s="82" customFormat="1" ht="32" x14ac:dyDescent="0.4">
      <c r="A617" s="493">
        <v>10883</v>
      </c>
      <c r="B617" s="105" t="s">
        <v>433</v>
      </c>
      <c r="C617" s="493" t="s">
        <v>330</v>
      </c>
      <c r="D617" s="105" t="s">
        <v>855</v>
      </c>
      <c r="E617" s="105" t="s">
        <v>856</v>
      </c>
      <c r="F617" s="493">
        <v>12258</v>
      </c>
      <c r="G617" s="105" t="s">
        <v>33</v>
      </c>
      <c r="H617" s="105" t="s">
        <v>342</v>
      </c>
      <c r="I617" s="105" t="s">
        <v>334</v>
      </c>
      <c r="J617" s="493">
        <v>622</v>
      </c>
      <c r="K617" s="493">
        <v>5</v>
      </c>
      <c r="L617" s="105" t="s">
        <v>771</v>
      </c>
      <c r="M617" s="105" t="s">
        <v>359</v>
      </c>
      <c r="N617" s="105" t="s">
        <v>226</v>
      </c>
      <c r="O617" s="105" t="s">
        <v>226</v>
      </c>
      <c r="P617" s="105" t="s">
        <v>350</v>
      </c>
      <c r="Q617" s="494">
        <v>1698</v>
      </c>
      <c r="R617" s="494">
        <v>766</v>
      </c>
      <c r="S617" s="494">
        <v>9813</v>
      </c>
      <c r="T617" s="494">
        <v>4426</v>
      </c>
      <c r="U617" s="494">
        <v>928.06</v>
      </c>
      <c r="V617" s="493">
        <v>2024</v>
      </c>
      <c r="W617" s="495"/>
      <c r="X617" s="496" t="str">
        <f t="shared" si="38"/>
        <v/>
      </c>
      <c r="Y617" s="497" t="str">
        <f t="shared" si="40"/>
        <v/>
      </c>
      <c r="Z617" s="497" t="str">
        <f t="shared" si="40"/>
        <v/>
      </c>
    </row>
    <row r="618" spans="1:26" s="82" customFormat="1" ht="32" x14ac:dyDescent="0.4">
      <c r="A618" s="493">
        <v>10883</v>
      </c>
      <c r="B618" s="105" t="s">
        <v>433</v>
      </c>
      <c r="C618" s="493" t="s">
        <v>330</v>
      </c>
      <c r="D618" s="105" t="s">
        <v>855</v>
      </c>
      <c r="E618" s="105" t="s">
        <v>856</v>
      </c>
      <c r="F618" s="493">
        <v>12258</v>
      </c>
      <c r="G618" s="105" t="s">
        <v>33</v>
      </c>
      <c r="H618" s="105" t="s">
        <v>342</v>
      </c>
      <c r="I618" s="105" t="s">
        <v>334</v>
      </c>
      <c r="J618" s="493">
        <v>622</v>
      </c>
      <c r="K618" s="493">
        <v>5</v>
      </c>
      <c r="L618" s="105" t="s">
        <v>771</v>
      </c>
      <c r="M618" s="105" t="s">
        <v>360</v>
      </c>
      <c r="N618" s="105" t="s">
        <v>226</v>
      </c>
      <c r="O618" s="105" t="s">
        <v>226</v>
      </c>
      <c r="P618" s="105" t="s">
        <v>350</v>
      </c>
      <c r="Q618" s="494">
        <v>22169</v>
      </c>
      <c r="R618" s="494">
        <v>2496</v>
      </c>
      <c r="S618" s="494">
        <v>128114</v>
      </c>
      <c r="T618" s="494">
        <v>14425</v>
      </c>
      <c r="U618" s="494">
        <v>2993.52</v>
      </c>
      <c r="V618" s="493">
        <v>2024</v>
      </c>
      <c r="W618" s="495"/>
      <c r="X618" s="496" t="str">
        <f t="shared" si="38"/>
        <v/>
      </c>
      <c r="Y618" s="497" t="str">
        <f t="shared" si="40"/>
        <v/>
      </c>
      <c r="Z618" s="497" t="str">
        <f t="shared" si="40"/>
        <v/>
      </c>
    </row>
    <row r="619" spans="1:26" s="82" customFormat="1" ht="32" x14ac:dyDescent="0.4">
      <c r="A619" s="493">
        <v>10883</v>
      </c>
      <c r="B619" s="105" t="s">
        <v>433</v>
      </c>
      <c r="C619" s="493" t="s">
        <v>330</v>
      </c>
      <c r="D619" s="105" t="s">
        <v>855</v>
      </c>
      <c r="E619" s="105" t="s">
        <v>856</v>
      </c>
      <c r="F619" s="493">
        <v>12258</v>
      </c>
      <c r="G619" s="105" t="s">
        <v>33</v>
      </c>
      <c r="H619" s="105" t="s">
        <v>342</v>
      </c>
      <c r="I619" s="105" t="s">
        <v>334</v>
      </c>
      <c r="J619" s="493">
        <v>622</v>
      </c>
      <c r="K619" s="493">
        <v>5</v>
      </c>
      <c r="L619" s="105" t="s">
        <v>771</v>
      </c>
      <c r="M619" s="105" t="s">
        <v>360</v>
      </c>
      <c r="N619" s="105" t="s">
        <v>228</v>
      </c>
      <c r="O619" s="105" t="s">
        <v>228</v>
      </c>
      <c r="P619" s="105" t="s">
        <v>356</v>
      </c>
      <c r="Q619" s="494">
        <v>2023199</v>
      </c>
      <c r="R619" s="494">
        <v>368429</v>
      </c>
      <c r="S619" s="494">
        <v>2077824</v>
      </c>
      <c r="T619" s="494">
        <v>378378</v>
      </c>
      <c r="U619" s="494">
        <v>78525.48</v>
      </c>
      <c r="V619" s="493">
        <v>2024</v>
      </c>
      <c r="W619" s="495"/>
      <c r="X619" s="496" t="str">
        <f t="shared" si="38"/>
        <v/>
      </c>
      <c r="Y619" s="497" t="str">
        <f t="shared" si="40"/>
        <v/>
      </c>
      <c r="Z619" s="497" t="str">
        <f t="shared" si="40"/>
        <v/>
      </c>
    </row>
    <row r="620" spans="1:26" s="82" customFormat="1" ht="32" x14ac:dyDescent="0.4">
      <c r="A620" s="493">
        <v>10902</v>
      </c>
      <c r="B620" s="105" t="s">
        <v>329</v>
      </c>
      <c r="C620" s="493" t="s">
        <v>330</v>
      </c>
      <c r="D620" s="105" t="s">
        <v>857</v>
      </c>
      <c r="E620" s="105" t="s">
        <v>755</v>
      </c>
      <c r="F620" s="493">
        <v>64078</v>
      </c>
      <c r="G620" s="105" t="s">
        <v>52</v>
      </c>
      <c r="H620" s="105" t="s">
        <v>333</v>
      </c>
      <c r="I620" s="105" t="s">
        <v>334</v>
      </c>
      <c r="J620" s="493">
        <v>22</v>
      </c>
      <c r="K620" s="493">
        <v>2</v>
      </c>
      <c r="L620" s="105" t="s">
        <v>343</v>
      </c>
      <c r="M620" s="105" t="s">
        <v>336</v>
      </c>
      <c r="N620" s="105" t="s">
        <v>337</v>
      </c>
      <c r="O620" s="105" t="s">
        <v>338</v>
      </c>
      <c r="P620" s="105" t="s">
        <v>339</v>
      </c>
      <c r="Q620" s="494">
        <v>0</v>
      </c>
      <c r="R620" s="494">
        <v>0</v>
      </c>
      <c r="S620" s="494">
        <v>9307</v>
      </c>
      <c r="T620" s="494">
        <v>9307</v>
      </c>
      <c r="U620" s="494">
        <v>2728</v>
      </c>
      <c r="V620" s="493">
        <v>2024</v>
      </c>
      <c r="W620" s="495"/>
      <c r="X620" s="496">
        <f t="shared" si="38"/>
        <v>3.4116568914956011</v>
      </c>
      <c r="Y620" s="497" t="str">
        <f t="shared" si="40"/>
        <v/>
      </c>
      <c r="Z620" s="497" t="str">
        <f t="shared" si="40"/>
        <v/>
      </c>
    </row>
    <row r="621" spans="1:26" s="82" customFormat="1" ht="32" x14ac:dyDescent="0.4">
      <c r="A621" s="493">
        <v>50002</v>
      </c>
      <c r="B621" s="105" t="s">
        <v>433</v>
      </c>
      <c r="C621" s="493" t="s">
        <v>330</v>
      </c>
      <c r="D621" s="105" t="s">
        <v>858</v>
      </c>
      <c r="E621" s="105" t="s">
        <v>859</v>
      </c>
      <c r="F621" s="493">
        <v>15114</v>
      </c>
      <c r="G621" s="105" t="s">
        <v>33</v>
      </c>
      <c r="H621" s="105" t="s">
        <v>342</v>
      </c>
      <c r="I621" s="105" t="s">
        <v>334</v>
      </c>
      <c r="J621" s="493">
        <v>22</v>
      </c>
      <c r="K621" s="493">
        <v>3</v>
      </c>
      <c r="L621" s="105" t="s">
        <v>436</v>
      </c>
      <c r="M621" s="105" t="s">
        <v>380</v>
      </c>
      <c r="N621" s="105" t="s">
        <v>226</v>
      </c>
      <c r="O621" s="105" t="s">
        <v>226</v>
      </c>
      <c r="P621" s="105" t="s">
        <v>350</v>
      </c>
      <c r="Q621" s="494">
        <v>0</v>
      </c>
      <c r="R621" s="494">
        <v>0</v>
      </c>
      <c r="S621" s="494">
        <v>0</v>
      </c>
      <c r="T621" s="494">
        <v>0</v>
      </c>
      <c r="U621" s="494">
        <v>73.997</v>
      </c>
      <c r="V621" s="493">
        <v>2024</v>
      </c>
      <c r="W621" s="495"/>
      <c r="X621" s="496" t="str">
        <f t="shared" si="38"/>
        <v/>
      </c>
      <c r="Y621" s="497" t="str">
        <f t="shared" si="40"/>
        <v/>
      </c>
      <c r="Z621" s="497" t="str">
        <f t="shared" si="40"/>
        <v/>
      </c>
    </row>
    <row r="622" spans="1:26" s="82" customFormat="1" ht="32" x14ac:dyDescent="0.4">
      <c r="A622" s="493">
        <v>50002</v>
      </c>
      <c r="B622" s="105" t="s">
        <v>433</v>
      </c>
      <c r="C622" s="493" t="s">
        <v>330</v>
      </c>
      <c r="D622" s="105" t="s">
        <v>858</v>
      </c>
      <c r="E622" s="105" t="s">
        <v>859</v>
      </c>
      <c r="F622" s="493">
        <v>15114</v>
      </c>
      <c r="G622" s="105" t="s">
        <v>33</v>
      </c>
      <c r="H622" s="105" t="s">
        <v>342</v>
      </c>
      <c r="I622" s="105" t="s">
        <v>334</v>
      </c>
      <c r="J622" s="493">
        <v>22</v>
      </c>
      <c r="K622" s="493">
        <v>3</v>
      </c>
      <c r="L622" s="105" t="s">
        <v>436</v>
      </c>
      <c r="M622" s="105" t="s">
        <v>380</v>
      </c>
      <c r="N622" s="105" t="s">
        <v>228</v>
      </c>
      <c r="O622" s="105" t="s">
        <v>228</v>
      </c>
      <c r="P622" s="105" t="s">
        <v>356</v>
      </c>
      <c r="Q622" s="494">
        <v>332</v>
      </c>
      <c r="R622" s="494">
        <v>202</v>
      </c>
      <c r="S622" s="494">
        <v>342</v>
      </c>
      <c r="T622" s="494">
        <v>208</v>
      </c>
      <c r="U622" s="494">
        <v>8958.0030000000006</v>
      </c>
      <c r="V622" s="493">
        <v>2024</v>
      </c>
      <c r="W622" s="495"/>
      <c r="X622" s="496">
        <f t="shared" si="38"/>
        <v>2.3219460855282141E-2</v>
      </c>
      <c r="Y622" s="497" t="str">
        <f t="shared" si="40"/>
        <v/>
      </c>
      <c r="Z622" s="497" t="str">
        <f t="shared" si="40"/>
        <v/>
      </c>
    </row>
    <row r="623" spans="1:26" s="82" customFormat="1" ht="32" x14ac:dyDescent="0.4">
      <c r="A623" s="493">
        <v>50002</v>
      </c>
      <c r="B623" s="105" t="s">
        <v>433</v>
      </c>
      <c r="C623" s="493" t="s">
        <v>330</v>
      </c>
      <c r="D623" s="105" t="s">
        <v>858</v>
      </c>
      <c r="E623" s="105" t="s">
        <v>859</v>
      </c>
      <c r="F623" s="493">
        <v>15114</v>
      </c>
      <c r="G623" s="105" t="s">
        <v>33</v>
      </c>
      <c r="H623" s="105" t="s">
        <v>342</v>
      </c>
      <c r="I623" s="105" t="s">
        <v>334</v>
      </c>
      <c r="J623" s="493">
        <v>22</v>
      </c>
      <c r="K623" s="493">
        <v>3</v>
      </c>
      <c r="L623" s="105" t="s">
        <v>436</v>
      </c>
      <c r="M623" s="105" t="s">
        <v>37</v>
      </c>
      <c r="N623" s="105" t="s">
        <v>226</v>
      </c>
      <c r="O623" s="105" t="s">
        <v>226</v>
      </c>
      <c r="P623" s="105" t="s">
        <v>350</v>
      </c>
      <c r="Q623" s="494">
        <v>351</v>
      </c>
      <c r="R623" s="494">
        <v>351</v>
      </c>
      <c r="S623" s="494">
        <v>2041</v>
      </c>
      <c r="T623" s="494">
        <v>2041</v>
      </c>
      <c r="U623" s="494">
        <v>150.386</v>
      </c>
      <c r="V623" s="493">
        <v>2024</v>
      </c>
      <c r="W623" s="495"/>
      <c r="X623" s="496">
        <f t="shared" si="38"/>
        <v>13.571742050456825</v>
      </c>
      <c r="Y623" s="497" t="str">
        <f t="shared" si="40"/>
        <v/>
      </c>
      <c r="Z623" s="497" t="str">
        <f t="shared" si="40"/>
        <v/>
      </c>
    </row>
    <row r="624" spans="1:26" s="82" customFormat="1" ht="32" x14ac:dyDescent="0.4">
      <c r="A624" s="493">
        <v>50002</v>
      </c>
      <c r="B624" s="105" t="s">
        <v>433</v>
      </c>
      <c r="C624" s="493" t="s">
        <v>330</v>
      </c>
      <c r="D624" s="105" t="s">
        <v>858</v>
      </c>
      <c r="E624" s="105" t="s">
        <v>859</v>
      </c>
      <c r="F624" s="493">
        <v>15114</v>
      </c>
      <c r="G624" s="105" t="s">
        <v>33</v>
      </c>
      <c r="H624" s="105" t="s">
        <v>342</v>
      </c>
      <c r="I624" s="105" t="s">
        <v>334</v>
      </c>
      <c r="J624" s="493">
        <v>22</v>
      </c>
      <c r="K624" s="493">
        <v>3</v>
      </c>
      <c r="L624" s="105" t="s">
        <v>436</v>
      </c>
      <c r="M624" s="105" t="s">
        <v>37</v>
      </c>
      <c r="N624" s="105" t="s">
        <v>228</v>
      </c>
      <c r="O624" s="105" t="s">
        <v>228</v>
      </c>
      <c r="P624" s="105" t="s">
        <v>356</v>
      </c>
      <c r="Q624" s="494">
        <v>286234</v>
      </c>
      <c r="R624" s="494">
        <v>253010</v>
      </c>
      <c r="S624" s="494">
        <v>296587</v>
      </c>
      <c r="T624" s="494">
        <v>262112</v>
      </c>
      <c r="U624" s="494">
        <v>18938.614000000001</v>
      </c>
      <c r="V624" s="493">
        <v>2024</v>
      </c>
      <c r="W624" s="495"/>
      <c r="X624" s="496">
        <f t="shared" si="38"/>
        <v>13.840083545712478</v>
      </c>
      <c r="Y624" s="497" t="str">
        <f t="shared" si="40"/>
        <v/>
      </c>
      <c r="Z624" s="497" t="str">
        <f t="shared" si="40"/>
        <v/>
      </c>
    </row>
    <row r="625" spans="1:26" s="82" customFormat="1" x14ac:dyDescent="0.4">
      <c r="A625" s="493">
        <v>50034</v>
      </c>
      <c r="B625" s="105" t="s">
        <v>329</v>
      </c>
      <c r="C625" s="493" t="s">
        <v>330</v>
      </c>
      <c r="D625" s="105" t="s">
        <v>860</v>
      </c>
      <c r="E625" s="105" t="s">
        <v>861</v>
      </c>
      <c r="F625" s="493">
        <v>19774</v>
      </c>
      <c r="G625" s="105" t="s">
        <v>52</v>
      </c>
      <c r="H625" s="105" t="s">
        <v>333</v>
      </c>
      <c r="I625" s="105" t="s">
        <v>334</v>
      </c>
      <c r="J625" s="493">
        <v>22</v>
      </c>
      <c r="K625" s="493">
        <v>2</v>
      </c>
      <c r="L625" s="105" t="s">
        <v>343</v>
      </c>
      <c r="M625" s="105" t="s">
        <v>336</v>
      </c>
      <c r="N625" s="105" t="s">
        <v>337</v>
      </c>
      <c r="O625" s="105" t="s">
        <v>338</v>
      </c>
      <c r="P625" s="105" t="s">
        <v>339</v>
      </c>
      <c r="Q625" s="494">
        <v>0</v>
      </c>
      <c r="R625" s="494">
        <v>0</v>
      </c>
      <c r="S625" s="494">
        <v>21750</v>
      </c>
      <c r="T625" s="494">
        <v>21750</v>
      </c>
      <c r="U625" s="494">
        <v>6375</v>
      </c>
      <c r="V625" s="493">
        <v>2024</v>
      </c>
      <c r="W625" s="495"/>
      <c r="X625" s="496">
        <f t="shared" si="38"/>
        <v>3.4117647058823528</v>
      </c>
      <c r="Y625" s="497" t="str">
        <f t="shared" si="40"/>
        <v/>
      </c>
      <c r="Z625" s="497" t="str">
        <f t="shared" si="40"/>
        <v/>
      </c>
    </row>
    <row r="626" spans="1:26" s="82" customFormat="1" ht="32" x14ac:dyDescent="0.4">
      <c r="A626" s="493">
        <v>50035</v>
      </c>
      <c r="B626" s="105" t="s">
        <v>329</v>
      </c>
      <c r="C626" s="493" t="s">
        <v>330</v>
      </c>
      <c r="D626" s="105" t="s">
        <v>862</v>
      </c>
      <c r="E626" s="105" t="s">
        <v>863</v>
      </c>
      <c r="F626" s="493">
        <v>22219</v>
      </c>
      <c r="G626" s="105" t="s">
        <v>34</v>
      </c>
      <c r="H626" s="105" t="s">
        <v>342</v>
      </c>
      <c r="I626" s="105" t="s">
        <v>334</v>
      </c>
      <c r="J626" s="493">
        <v>562212</v>
      </c>
      <c r="K626" s="493">
        <v>4</v>
      </c>
      <c r="L626" s="105" t="s">
        <v>766</v>
      </c>
      <c r="M626" s="105" t="s">
        <v>360</v>
      </c>
      <c r="N626" s="105" t="s">
        <v>254</v>
      </c>
      <c r="O626" s="105" t="s">
        <v>688</v>
      </c>
      <c r="P626" s="105" t="s">
        <v>388</v>
      </c>
      <c r="Q626" s="494">
        <v>37658</v>
      </c>
      <c r="R626" s="494">
        <v>37658</v>
      </c>
      <c r="S626" s="494">
        <v>288913</v>
      </c>
      <c r="T626" s="494">
        <v>288913</v>
      </c>
      <c r="U626" s="494">
        <v>4446.1989999999996</v>
      </c>
      <c r="V626" s="493">
        <v>2024</v>
      </c>
      <c r="W626" s="495"/>
      <c r="X626" s="496" t="str">
        <f t="shared" si="38"/>
        <v/>
      </c>
      <c r="Y626" s="497" t="str">
        <f t="shared" si="40"/>
        <v/>
      </c>
      <c r="Z626" s="497" t="str">
        <f t="shared" si="40"/>
        <v/>
      </c>
    </row>
    <row r="627" spans="1:26" s="82" customFormat="1" ht="32" x14ac:dyDescent="0.4">
      <c r="A627" s="493">
        <v>50035</v>
      </c>
      <c r="B627" s="105" t="s">
        <v>329</v>
      </c>
      <c r="C627" s="493" t="s">
        <v>330</v>
      </c>
      <c r="D627" s="105" t="s">
        <v>862</v>
      </c>
      <c r="E627" s="105" t="s">
        <v>863</v>
      </c>
      <c r="F627" s="493">
        <v>22219</v>
      </c>
      <c r="G627" s="105" t="s">
        <v>34</v>
      </c>
      <c r="H627" s="105" t="s">
        <v>342</v>
      </c>
      <c r="I627" s="105" t="s">
        <v>334</v>
      </c>
      <c r="J627" s="493">
        <v>562212</v>
      </c>
      <c r="K627" s="493">
        <v>4</v>
      </c>
      <c r="L627" s="105" t="s">
        <v>766</v>
      </c>
      <c r="M627" s="105" t="s">
        <v>360</v>
      </c>
      <c r="N627" s="105" t="s">
        <v>230</v>
      </c>
      <c r="O627" s="105" t="s">
        <v>232</v>
      </c>
      <c r="P627" s="105" t="s">
        <v>388</v>
      </c>
      <c r="Q627" s="494">
        <v>24076</v>
      </c>
      <c r="R627" s="494">
        <v>24076</v>
      </c>
      <c r="S627" s="494">
        <v>353120</v>
      </c>
      <c r="T627" s="494">
        <v>353120</v>
      </c>
      <c r="U627" s="494">
        <v>5434.3090000000002</v>
      </c>
      <c r="V627" s="493">
        <v>2024</v>
      </c>
      <c r="W627" s="495"/>
      <c r="X627" s="496" t="str">
        <f t="shared" si="38"/>
        <v/>
      </c>
      <c r="Y627" s="497" t="str">
        <f t="shared" si="40"/>
        <v/>
      </c>
      <c r="Z627" s="497" t="str">
        <f t="shared" si="40"/>
        <v/>
      </c>
    </row>
    <row r="628" spans="1:26" s="82" customFormat="1" ht="32" x14ac:dyDescent="0.4">
      <c r="A628" s="493">
        <v>50035</v>
      </c>
      <c r="B628" s="105" t="s">
        <v>329</v>
      </c>
      <c r="C628" s="493" t="s">
        <v>330</v>
      </c>
      <c r="D628" s="105" t="s">
        <v>862</v>
      </c>
      <c r="E628" s="105" t="s">
        <v>863</v>
      </c>
      <c r="F628" s="493">
        <v>22219</v>
      </c>
      <c r="G628" s="105" t="s">
        <v>34</v>
      </c>
      <c r="H628" s="105" t="s">
        <v>342</v>
      </c>
      <c r="I628" s="105" t="s">
        <v>334</v>
      </c>
      <c r="J628" s="493">
        <v>562212</v>
      </c>
      <c r="K628" s="493">
        <v>4</v>
      </c>
      <c r="L628" s="105" t="s">
        <v>766</v>
      </c>
      <c r="M628" s="105" t="s">
        <v>360</v>
      </c>
      <c r="N628" s="105" t="s">
        <v>228</v>
      </c>
      <c r="O628" s="105" t="s">
        <v>228</v>
      </c>
      <c r="P628" s="105" t="s">
        <v>356</v>
      </c>
      <c r="Q628" s="494">
        <v>11410</v>
      </c>
      <c r="R628" s="494">
        <v>11410</v>
      </c>
      <c r="S628" s="494">
        <v>11410</v>
      </c>
      <c r="T628" s="494">
        <v>11410</v>
      </c>
      <c r="U628" s="494">
        <v>168.49199999999999</v>
      </c>
      <c r="V628" s="493">
        <v>2024</v>
      </c>
      <c r="W628" s="495"/>
      <c r="X628" s="496" t="str">
        <f t="shared" si="38"/>
        <v/>
      </c>
      <c r="Y628" s="497" t="str">
        <f t="shared" ref="Y628:Z647" si="41">IF(AND($M628=$Y$2,$N628=$Y$3,NOT($Q628=$R628),NOT($U628=0)),IF($K628=5,$S628/($U628+(8/5)*$U628),IF($K628=7,$S628/($U628+(29/25)*$U628),"")),"")</f>
        <v/>
      </c>
      <c r="Z628" s="497" t="str">
        <f t="shared" si="41"/>
        <v/>
      </c>
    </row>
    <row r="629" spans="1:26" s="82" customFormat="1" ht="32" x14ac:dyDescent="0.4">
      <c r="A629" s="493">
        <v>50047</v>
      </c>
      <c r="B629" s="105" t="s">
        <v>329</v>
      </c>
      <c r="C629" s="493" t="s">
        <v>330</v>
      </c>
      <c r="D629" s="105" t="s">
        <v>864</v>
      </c>
      <c r="E629" s="105" t="s">
        <v>592</v>
      </c>
      <c r="F629" s="493">
        <v>57280</v>
      </c>
      <c r="G629" s="105" t="s">
        <v>34</v>
      </c>
      <c r="H629" s="105" t="s">
        <v>342</v>
      </c>
      <c r="I629" s="105" t="s">
        <v>334</v>
      </c>
      <c r="J629" s="493">
        <v>22</v>
      </c>
      <c r="K629" s="493">
        <v>2</v>
      </c>
      <c r="L629" s="105" t="s">
        <v>343</v>
      </c>
      <c r="M629" s="105" t="s">
        <v>336</v>
      </c>
      <c r="N629" s="105" t="s">
        <v>337</v>
      </c>
      <c r="O629" s="105" t="s">
        <v>338</v>
      </c>
      <c r="P629" s="105" t="s">
        <v>339</v>
      </c>
      <c r="Q629" s="494">
        <v>0</v>
      </c>
      <c r="R629" s="494">
        <v>0</v>
      </c>
      <c r="S629" s="494">
        <v>24294</v>
      </c>
      <c r="T629" s="494">
        <v>24294</v>
      </c>
      <c r="U629" s="494">
        <v>7120</v>
      </c>
      <c r="V629" s="493">
        <v>2024</v>
      </c>
      <c r="W629" s="495"/>
      <c r="X629" s="496">
        <f t="shared" si="38"/>
        <v>3.4120786516853934</v>
      </c>
      <c r="Y629" s="497" t="str">
        <f t="shared" si="41"/>
        <v/>
      </c>
      <c r="Z629" s="497" t="str">
        <f t="shared" si="41"/>
        <v/>
      </c>
    </row>
    <row r="630" spans="1:26" s="82" customFormat="1" ht="32" x14ac:dyDescent="0.4">
      <c r="A630" s="493">
        <v>50051</v>
      </c>
      <c r="B630" s="105" t="s">
        <v>329</v>
      </c>
      <c r="C630" s="493" t="s">
        <v>330</v>
      </c>
      <c r="D630" s="105" t="s">
        <v>865</v>
      </c>
      <c r="E630" s="105" t="s">
        <v>866</v>
      </c>
      <c r="F630" s="493">
        <v>66698</v>
      </c>
      <c r="G630" s="105" t="s">
        <v>34</v>
      </c>
      <c r="H630" s="105" t="s">
        <v>342</v>
      </c>
      <c r="I630" s="105" t="s">
        <v>334</v>
      </c>
      <c r="J630" s="493">
        <v>562213</v>
      </c>
      <c r="K630" s="493">
        <v>4</v>
      </c>
      <c r="L630" s="105" t="s">
        <v>766</v>
      </c>
      <c r="M630" s="105" t="s">
        <v>360</v>
      </c>
      <c r="N630" s="105" t="s">
        <v>226</v>
      </c>
      <c r="O630" s="105" t="s">
        <v>226</v>
      </c>
      <c r="P630" s="105" t="s">
        <v>350</v>
      </c>
      <c r="Q630" s="494">
        <v>0</v>
      </c>
      <c r="R630" s="494">
        <v>0</v>
      </c>
      <c r="S630" s="494">
        <v>0</v>
      </c>
      <c r="T630" s="494">
        <v>0</v>
      </c>
      <c r="U630" s="494">
        <v>0</v>
      </c>
      <c r="V630" s="493">
        <v>2024</v>
      </c>
      <c r="W630" s="495"/>
      <c r="X630" s="496" t="str">
        <f t="shared" si="38"/>
        <v/>
      </c>
      <c r="Y630" s="497" t="str">
        <f t="shared" si="41"/>
        <v/>
      </c>
      <c r="Z630" s="497" t="str">
        <f t="shared" si="41"/>
        <v/>
      </c>
    </row>
    <row r="631" spans="1:26" s="82" customFormat="1" ht="32" x14ac:dyDescent="0.4">
      <c r="A631" s="493">
        <v>50051</v>
      </c>
      <c r="B631" s="105" t="s">
        <v>329</v>
      </c>
      <c r="C631" s="493" t="s">
        <v>330</v>
      </c>
      <c r="D631" s="105" t="s">
        <v>865</v>
      </c>
      <c r="E631" s="105" t="s">
        <v>866</v>
      </c>
      <c r="F631" s="493">
        <v>66698</v>
      </c>
      <c r="G631" s="105" t="s">
        <v>34</v>
      </c>
      <c r="H631" s="105" t="s">
        <v>342</v>
      </c>
      <c r="I631" s="105" t="s">
        <v>334</v>
      </c>
      <c r="J631" s="493">
        <v>562213</v>
      </c>
      <c r="K631" s="493">
        <v>4</v>
      </c>
      <c r="L631" s="105" t="s">
        <v>766</v>
      </c>
      <c r="M631" s="105" t="s">
        <v>360</v>
      </c>
      <c r="N631" s="105" t="s">
        <v>254</v>
      </c>
      <c r="O631" s="105" t="s">
        <v>688</v>
      </c>
      <c r="P631" s="105" t="s">
        <v>388</v>
      </c>
      <c r="Q631" s="494">
        <v>0</v>
      </c>
      <c r="R631" s="494">
        <v>0</v>
      </c>
      <c r="S631" s="494">
        <v>0</v>
      </c>
      <c r="T631" s="494">
        <v>0</v>
      </c>
      <c r="U631" s="494">
        <v>0</v>
      </c>
      <c r="V631" s="493">
        <v>2024</v>
      </c>
      <c r="W631" s="495"/>
      <c r="X631" s="496" t="str">
        <f t="shared" si="38"/>
        <v/>
      </c>
      <c r="Y631" s="497" t="str">
        <f t="shared" si="41"/>
        <v/>
      </c>
      <c r="Z631" s="497" t="str">
        <f t="shared" si="41"/>
        <v/>
      </c>
    </row>
    <row r="632" spans="1:26" s="82" customFormat="1" ht="32" x14ac:dyDescent="0.4">
      <c r="A632" s="493">
        <v>50051</v>
      </c>
      <c r="B632" s="105" t="s">
        <v>329</v>
      </c>
      <c r="C632" s="493" t="s">
        <v>330</v>
      </c>
      <c r="D632" s="105" t="s">
        <v>865</v>
      </c>
      <c r="E632" s="105" t="s">
        <v>866</v>
      </c>
      <c r="F632" s="493">
        <v>66698</v>
      </c>
      <c r="G632" s="105" t="s">
        <v>34</v>
      </c>
      <c r="H632" s="105" t="s">
        <v>342</v>
      </c>
      <c r="I632" s="105" t="s">
        <v>334</v>
      </c>
      <c r="J632" s="493">
        <v>562213</v>
      </c>
      <c r="K632" s="493">
        <v>4</v>
      </c>
      <c r="L632" s="105" t="s">
        <v>766</v>
      </c>
      <c r="M632" s="105" t="s">
        <v>360</v>
      </c>
      <c r="N632" s="105" t="s">
        <v>230</v>
      </c>
      <c r="O632" s="105" t="s">
        <v>232</v>
      </c>
      <c r="P632" s="105" t="s">
        <v>388</v>
      </c>
      <c r="Q632" s="494">
        <v>0</v>
      </c>
      <c r="R632" s="494">
        <v>0</v>
      </c>
      <c r="S632" s="494">
        <v>0</v>
      </c>
      <c r="T632" s="494">
        <v>0</v>
      </c>
      <c r="U632" s="494">
        <v>0</v>
      </c>
      <c r="V632" s="493">
        <v>2024</v>
      </c>
      <c r="W632" s="495"/>
      <c r="X632" s="496" t="str">
        <f t="shared" si="38"/>
        <v/>
      </c>
      <c r="Y632" s="497" t="str">
        <f t="shared" si="41"/>
        <v/>
      </c>
      <c r="Z632" s="497" t="str">
        <f t="shared" si="41"/>
        <v/>
      </c>
    </row>
    <row r="633" spans="1:26" s="82" customFormat="1" ht="32" x14ac:dyDescent="0.4">
      <c r="A633" s="493">
        <v>50051</v>
      </c>
      <c r="B633" s="105" t="s">
        <v>329</v>
      </c>
      <c r="C633" s="493" t="s">
        <v>330</v>
      </c>
      <c r="D633" s="105" t="s">
        <v>865</v>
      </c>
      <c r="E633" s="105" t="s">
        <v>866</v>
      </c>
      <c r="F633" s="493">
        <v>66698</v>
      </c>
      <c r="G633" s="105" t="s">
        <v>34</v>
      </c>
      <c r="H633" s="105" t="s">
        <v>342</v>
      </c>
      <c r="I633" s="105" t="s">
        <v>334</v>
      </c>
      <c r="J633" s="493">
        <v>562213</v>
      </c>
      <c r="K633" s="493">
        <v>4</v>
      </c>
      <c r="L633" s="105" t="s">
        <v>766</v>
      </c>
      <c r="M633" s="105" t="s">
        <v>360</v>
      </c>
      <c r="N633" s="105" t="s">
        <v>258</v>
      </c>
      <c r="O633" s="105" t="s">
        <v>387</v>
      </c>
      <c r="P633" s="105" t="s">
        <v>388</v>
      </c>
      <c r="Q633" s="494">
        <v>0</v>
      </c>
      <c r="R633" s="494">
        <v>0</v>
      </c>
      <c r="S633" s="494">
        <v>0</v>
      </c>
      <c r="T633" s="494">
        <v>0</v>
      </c>
      <c r="U633" s="494">
        <v>0</v>
      </c>
      <c r="V633" s="493">
        <v>2024</v>
      </c>
      <c r="W633" s="495"/>
      <c r="X633" s="496" t="str">
        <f t="shared" si="38"/>
        <v/>
      </c>
      <c r="Y633" s="497" t="str">
        <f t="shared" si="41"/>
        <v/>
      </c>
      <c r="Z633" s="497" t="str">
        <f t="shared" si="41"/>
        <v/>
      </c>
    </row>
    <row r="634" spans="1:26" s="82" customFormat="1" ht="32" x14ac:dyDescent="0.4">
      <c r="A634" s="493">
        <v>50080</v>
      </c>
      <c r="B634" s="105" t="s">
        <v>329</v>
      </c>
      <c r="C634" s="493" t="s">
        <v>330</v>
      </c>
      <c r="D634" s="105" t="s">
        <v>867</v>
      </c>
      <c r="E634" s="105" t="s">
        <v>592</v>
      </c>
      <c r="F634" s="493">
        <v>57280</v>
      </c>
      <c r="G634" s="105" t="s">
        <v>34</v>
      </c>
      <c r="H634" s="105" t="s">
        <v>342</v>
      </c>
      <c r="I634" s="105" t="s">
        <v>334</v>
      </c>
      <c r="J634" s="493">
        <v>22</v>
      </c>
      <c r="K634" s="493">
        <v>2</v>
      </c>
      <c r="L634" s="105" t="s">
        <v>343</v>
      </c>
      <c r="M634" s="105" t="s">
        <v>336</v>
      </c>
      <c r="N634" s="105" t="s">
        <v>337</v>
      </c>
      <c r="O634" s="105" t="s">
        <v>338</v>
      </c>
      <c r="P634" s="105" t="s">
        <v>339</v>
      </c>
      <c r="Q634" s="494">
        <v>0</v>
      </c>
      <c r="R634" s="494">
        <v>0</v>
      </c>
      <c r="S634" s="494">
        <v>99392</v>
      </c>
      <c r="T634" s="494">
        <v>99392</v>
      </c>
      <c r="U634" s="494">
        <v>29130</v>
      </c>
      <c r="V634" s="493">
        <v>2024</v>
      </c>
      <c r="W634" s="495"/>
      <c r="X634" s="496">
        <f t="shared" si="38"/>
        <v>3.4120151047030554</v>
      </c>
      <c r="Y634" s="497" t="str">
        <f t="shared" si="41"/>
        <v/>
      </c>
      <c r="Z634" s="497" t="str">
        <f t="shared" si="41"/>
        <v/>
      </c>
    </row>
    <row r="635" spans="1:26" s="82" customFormat="1" ht="32" x14ac:dyDescent="0.4">
      <c r="A635" s="493">
        <v>50081</v>
      </c>
      <c r="B635" s="105" t="s">
        <v>329</v>
      </c>
      <c r="C635" s="493" t="s">
        <v>330</v>
      </c>
      <c r="D635" s="105" t="s">
        <v>868</v>
      </c>
      <c r="E635" s="105" t="s">
        <v>592</v>
      </c>
      <c r="F635" s="493">
        <v>57280</v>
      </c>
      <c r="G635" s="105" t="s">
        <v>34</v>
      </c>
      <c r="H635" s="105" t="s">
        <v>342</v>
      </c>
      <c r="I635" s="105" t="s">
        <v>334</v>
      </c>
      <c r="J635" s="493">
        <v>22</v>
      </c>
      <c r="K635" s="493">
        <v>2</v>
      </c>
      <c r="L635" s="105" t="s">
        <v>343</v>
      </c>
      <c r="M635" s="105" t="s">
        <v>336</v>
      </c>
      <c r="N635" s="105" t="s">
        <v>337</v>
      </c>
      <c r="O635" s="105" t="s">
        <v>338</v>
      </c>
      <c r="P635" s="105" t="s">
        <v>339</v>
      </c>
      <c r="Q635" s="494">
        <v>0</v>
      </c>
      <c r="R635" s="494">
        <v>0</v>
      </c>
      <c r="S635" s="494">
        <v>60375</v>
      </c>
      <c r="T635" s="494">
        <v>60375</v>
      </c>
      <c r="U635" s="494">
        <v>17695</v>
      </c>
      <c r="V635" s="493">
        <v>2024</v>
      </c>
      <c r="W635" s="495"/>
      <c r="X635" s="496">
        <f t="shared" si="38"/>
        <v>3.4119807855326365</v>
      </c>
      <c r="Y635" s="497" t="str">
        <f t="shared" si="41"/>
        <v/>
      </c>
      <c r="Z635" s="497" t="str">
        <f t="shared" si="41"/>
        <v/>
      </c>
    </row>
    <row r="636" spans="1:26" s="82" customFormat="1" ht="32" x14ac:dyDescent="0.4">
      <c r="A636" s="493">
        <v>50082</v>
      </c>
      <c r="B636" s="105" t="s">
        <v>329</v>
      </c>
      <c r="C636" s="493" t="s">
        <v>330</v>
      </c>
      <c r="D636" s="105" t="s">
        <v>869</v>
      </c>
      <c r="E636" s="105" t="s">
        <v>592</v>
      </c>
      <c r="F636" s="493">
        <v>57280</v>
      </c>
      <c r="G636" s="105" t="s">
        <v>34</v>
      </c>
      <c r="H636" s="105" t="s">
        <v>342</v>
      </c>
      <c r="I636" s="105" t="s">
        <v>334</v>
      </c>
      <c r="J636" s="493">
        <v>22</v>
      </c>
      <c r="K636" s="493">
        <v>2</v>
      </c>
      <c r="L636" s="105" t="s">
        <v>343</v>
      </c>
      <c r="M636" s="105" t="s">
        <v>336</v>
      </c>
      <c r="N636" s="105" t="s">
        <v>337</v>
      </c>
      <c r="O636" s="105" t="s">
        <v>338</v>
      </c>
      <c r="P636" s="105" t="s">
        <v>339</v>
      </c>
      <c r="Q636" s="494">
        <v>0</v>
      </c>
      <c r="R636" s="494">
        <v>0</v>
      </c>
      <c r="S636" s="494">
        <v>59083</v>
      </c>
      <c r="T636" s="494">
        <v>59083</v>
      </c>
      <c r="U636" s="494">
        <v>17316</v>
      </c>
      <c r="V636" s="493">
        <v>2024</v>
      </c>
      <c r="W636" s="495"/>
      <c r="X636" s="496">
        <f t="shared" si="38"/>
        <v>3.4120466620466621</v>
      </c>
      <c r="Y636" s="497" t="str">
        <f t="shared" si="41"/>
        <v/>
      </c>
      <c r="Z636" s="497" t="str">
        <f t="shared" si="41"/>
        <v/>
      </c>
    </row>
    <row r="637" spans="1:26" s="82" customFormat="1" ht="32" x14ac:dyDescent="0.4">
      <c r="A637" s="493">
        <v>50087</v>
      </c>
      <c r="B637" s="105" t="s">
        <v>433</v>
      </c>
      <c r="C637" s="493" t="s">
        <v>330</v>
      </c>
      <c r="D637" s="105" t="s">
        <v>870</v>
      </c>
      <c r="E637" s="105" t="s">
        <v>871</v>
      </c>
      <c r="F637" s="493">
        <v>23955</v>
      </c>
      <c r="G637" s="105" t="s">
        <v>33</v>
      </c>
      <c r="H637" s="105" t="s">
        <v>342</v>
      </c>
      <c r="I637" s="105" t="s">
        <v>334</v>
      </c>
      <c r="J637" s="493">
        <v>611</v>
      </c>
      <c r="K637" s="493">
        <v>5</v>
      </c>
      <c r="L637" s="105" t="s">
        <v>771</v>
      </c>
      <c r="M637" s="105" t="s">
        <v>295</v>
      </c>
      <c r="N637" s="105" t="s">
        <v>226</v>
      </c>
      <c r="O637" s="105" t="s">
        <v>226</v>
      </c>
      <c r="P637" s="105" t="s">
        <v>350</v>
      </c>
      <c r="Q637" s="494">
        <v>1005</v>
      </c>
      <c r="R637" s="494">
        <v>490</v>
      </c>
      <c r="S637" s="494">
        <v>5831</v>
      </c>
      <c r="T637" s="494">
        <v>2838</v>
      </c>
      <c r="U637" s="494">
        <v>457.47399999999999</v>
      </c>
      <c r="V637" s="493">
        <v>2024</v>
      </c>
      <c r="W637" s="495"/>
      <c r="X637" s="496" t="str">
        <f t="shared" si="38"/>
        <v/>
      </c>
      <c r="Y637" s="497" t="str">
        <f t="shared" si="41"/>
        <v/>
      </c>
      <c r="Z637" s="497" t="str">
        <f t="shared" si="41"/>
        <v/>
      </c>
    </row>
    <row r="638" spans="1:26" s="82" customFormat="1" ht="32" x14ac:dyDescent="0.4">
      <c r="A638" s="493">
        <v>50087</v>
      </c>
      <c r="B638" s="105" t="s">
        <v>433</v>
      </c>
      <c r="C638" s="493" t="s">
        <v>330</v>
      </c>
      <c r="D638" s="105" t="s">
        <v>870</v>
      </c>
      <c r="E638" s="105" t="s">
        <v>871</v>
      </c>
      <c r="F638" s="493">
        <v>23955</v>
      </c>
      <c r="G638" s="105" t="s">
        <v>33</v>
      </c>
      <c r="H638" s="105" t="s">
        <v>342</v>
      </c>
      <c r="I638" s="105" t="s">
        <v>334</v>
      </c>
      <c r="J638" s="493">
        <v>611</v>
      </c>
      <c r="K638" s="493">
        <v>5</v>
      </c>
      <c r="L638" s="105" t="s">
        <v>771</v>
      </c>
      <c r="M638" s="105" t="s">
        <v>295</v>
      </c>
      <c r="N638" s="105" t="s">
        <v>228</v>
      </c>
      <c r="O638" s="105" t="s">
        <v>228</v>
      </c>
      <c r="P638" s="105" t="s">
        <v>356</v>
      </c>
      <c r="Q638" s="494">
        <v>642638</v>
      </c>
      <c r="R638" s="494">
        <v>312889</v>
      </c>
      <c r="S638" s="494">
        <v>655490</v>
      </c>
      <c r="T638" s="494">
        <v>319144</v>
      </c>
      <c r="U638" s="494">
        <v>51444.525999999998</v>
      </c>
      <c r="V638" s="493">
        <v>2024</v>
      </c>
      <c r="W638" s="495"/>
      <c r="X638" s="496" t="str">
        <f t="shared" si="38"/>
        <v/>
      </c>
      <c r="Y638" s="497">
        <f t="shared" si="41"/>
        <v>4.9006484861292812</v>
      </c>
      <c r="Z638" s="497">
        <f t="shared" si="41"/>
        <v>4.9006484861292812</v>
      </c>
    </row>
    <row r="639" spans="1:26" s="82" customFormat="1" ht="32" x14ac:dyDescent="0.4">
      <c r="A639" s="493">
        <v>50087</v>
      </c>
      <c r="B639" s="105" t="s">
        <v>433</v>
      </c>
      <c r="C639" s="493" t="s">
        <v>330</v>
      </c>
      <c r="D639" s="105" t="s">
        <v>870</v>
      </c>
      <c r="E639" s="105" t="s">
        <v>871</v>
      </c>
      <c r="F639" s="493">
        <v>23955</v>
      </c>
      <c r="G639" s="105" t="s">
        <v>33</v>
      </c>
      <c r="H639" s="105" t="s">
        <v>342</v>
      </c>
      <c r="I639" s="105" t="s">
        <v>334</v>
      </c>
      <c r="J639" s="493">
        <v>611</v>
      </c>
      <c r="K639" s="493">
        <v>5</v>
      </c>
      <c r="L639" s="105" t="s">
        <v>771</v>
      </c>
      <c r="M639" s="105" t="s">
        <v>360</v>
      </c>
      <c r="N639" s="105" t="s">
        <v>228</v>
      </c>
      <c r="O639" s="105" t="s">
        <v>228</v>
      </c>
      <c r="P639" s="105" t="s">
        <v>356</v>
      </c>
      <c r="Q639" s="494">
        <v>955855</v>
      </c>
      <c r="R639" s="494">
        <v>280313</v>
      </c>
      <c r="S639" s="494">
        <v>974972</v>
      </c>
      <c r="T639" s="494">
        <v>285919</v>
      </c>
      <c r="U639" s="494">
        <v>16707.009999999998</v>
      </c>
      <c r="V639" s="493">
        <v>2024</v>
      </c>
      <c r="W639" s="495"/>
      <c r="X639" s="496" t="str">
        <f t="shared" si="38"/>
        <v/>
      </c>
      <c r="Y639" s="497" t="str">
        <f t="shared" si="41"/>
        <v/>
      </c>
      <c r="Z639" s="497" t="str">
        <f t="shared" si="41"/>
        <v/>
      </c>
    </row>
    <row r="640" spans="1:26" s="82" customFormat="1" ht="32" x14ac:dyDescent="0.4">
      <c r="A640" s="493">
        <v>50087</v>
      </c>
      <c r="B640" s="105" t="s">
        <v>433</v>
      </c>
      <c r="C640" s="493" t="s">
        <v>330</v>
      </c>
      <c r="D640" s="105" t="s">
        <v>870</v>
      </c>
      <c r="E640" s="105" t="s">
        <v>871</v>
      </c>
      <c r="F640" s="493">
        <v>23955</v>
      </c>
      <c r="G640" s="105" t="s">
        <v>33</v>
      </c>
      <c r="H640" s="105" t="s">
        <v>342</v>
      </c>
      <c r="I640" s="105" t="s">
        <v>334</v>
      </c>
      <c r="J640" s="493">
        <v>611</v>
      </c>
      <c r="K640" s="493">
        <v>5</v>
      </c>
      <c r="L640" s="105" t="s">
        <v>771</v>
      </c>
      <c r="M640" s="105" t="s">
        <v>360</v>
      </c>
      <c r="N640" s="105" t="s">
        <v>238</v>
      </c>
      <c r="O640" s="105" t="s">
        <v>238</v>
      </c>
      <c r="P640" s="105" t="s">
        <v>350</v>
      </c>
      <c r="Q640" s="494">
        <v>363</v>
      </c>
      <c r="R640" s="494">
        <v>144</v>
      </c>
      <c r="S640" s="494">
        <v>2468</v>
      </c>
      <c r="T640" s="494">
        <v>982</v>
      </c>
      <c r="U640" s="494">
        <v>98.99</v>
      </c>
      <c r="V640" s="493">
        <v>2024</v>
      </c>
      <c r="W640" s="495"/>
      <c r="X640" s="496" t="str">
        <f t="shared" si="38"/>
        <v/>
      </c>
      <c r="Y640" s="497" t="str">
        <f t="shared" si="41"/>
        <v/>
      </c>
      <c r="Z640" s="497" t="str">
        <f t="shared" si="41"/>
        <v/>
      </c>
    </row>
    <row r="641" spans="1:26" s="82" customFormat="1" ht="32" x14ac:dyDescent="0.4">
      <c r="A641" s="493">
        <v>50103</v>
      </c>
      <c r="B641" s="105" t="s">
        <v>329</v>
      </c>
      <c r="C641" s="493" t="s">
        <v>330</v>
      </c>
      <c r="D641" s="105" t="s">
        <v>872</v>
      </c>
      <c r="E641" s="105" t="s">
        <v>873</v>
      </c>
      <c r="F641" s="493">
        <v>13442</v>
      </c>
      <c r="G641" s="105" t="s">
        <v>35</v>
      </c>
      <c r="H641" s="105" t="s">
        <v>342</v>
      </c>
      <c r="I641" s="105" t="s">
        <v>334</v>
      </c>
      <c r="J641" s="493">
        <v>22</v>
      </c>
      <c r="K641" s="493">
        <v>2</v>
      </c>
      <c r="L641" s="105" t="s">
        <v>343</v>
      </c>
      <c r="M641" s="105" t="s">
        <v>336</v>
      </c>
      <c r="N641" s="105" t="s">
        <v>337</v>
      </c>
      <c r="O641" s="105" t="s">
        <v>338</v>
      </c>
      <c r="P641" s="105" t="s">
        <v>339</v>
      </c>
      <c r="Q641" s="494">
        <v>0</v>
      </c>
      <c r="R641" s="494">
        <v>0</v>
      </c>
      <c r="S641" s="494">
        <v>9575</v>
      </c>
      <c r="T641" s="494">
        <v>9575</v>
      </c>
      <c r="U641" s="494">
        <v>2806</v>
      </c>
      <c r="V641" s="493">
        <v>2024</v>
      </c>
      <c r="W641" s="495"/>
      <c r="X641" s="496">
        <f t="shared" si="38"/>
        <v>3.4123307198859587</v>
      </c>
      <c r="Y641" s="497" t="str">
        <f t="shared" si="41"/>
        <v/>
      </c>
      <c r="Z641" s="497" t="str">
        <f t="shared" si="41"/>
        <v/>
      </c>
    </row>
    <row r="642" spans="1:26" s="82" customFormat="1" x14ac:dyDescent="0.4">
      <c r="A642" s="493">
        <v>50123</v>
      </c>
      <c r="B642" s="105" t="s">
        <v>329</v>
      </c>
      <c r="C642" s="493" t="s">
        <v>330</v>
      </c>
      <c r="D642" s="105" t="s">
        <v>874</v>
      </c>
      <c r="E642" s="105" t="s">
        <v>875</v>
      </c>
      <c r="F642" s="493">
        <v>20148</v>
      </c>
      <c r="G642" s="105" t="s">
        <v>52</v>
      </c>
      <c r="H642" s="105" t="s">
        <v>333</v>
      </c>
      <c r="I642" s="105" t="s">
        <v>334</v>
      </c>
      <c r="J642" s="493">
        <v>22</v>
      </c>
      <c r="K642" s="493">
        <v>2</v>
      </c>
      <c r="L642" s="105" t="s">
        <v>343</v>
      </c>
      <c r="M642" s="105" t="s">
        <v>336</v>
      </c>
      <c r="N642" s="105" t="s">
        <v>337</v>
      </c>
      <c r="O642" s="105" t="s">
        <v>338</v>
      </c>
      <c r="P642" s="105" t="s">
        <v>339</v>
      </c>
      <c r="Q642" s="494">
        <v>0</v>
      </c>
      <c r="R642" s="494">
        <v>0</v>
      </c>
      <c r="S642" s="494">
        <v>7752</v>
      </c>
      <c r="T642" s="494">
        <v>7752</v>
      </c>
      <c r="U642" s="494">
        <v>2272</v>
      </c>
      <c r="V642" s="493">
        <v>2024</v>
      </c>
      <c r="W642" s="495"/>
      <c r="X642" s="496">
        <f t="shared" si="38"/>
        <v>3.4119718309859155</v>
      </c>
      <c r="Y642" s="497" t="str">
        <f t="shared" si="41"/>
        <v/>
      </c>
      <c r="Z642" s="497" t="str">
        <f t="shared" si="41"/>
        <v/>
      </c>
    </row>
    <row r="643" spans="1:26" s="82" customFormat="1" ht="32" x14ac:dyDescent="0.4">
      <c r="A643" s="493">
        <v>50126</v>
      </c>
      <c r="B643" s="105" t="s">
        <v>329</v>
      </c>
      <c r="C643" s="493" t="s">
        <v>330</v>
      </c>
      <c r="D643" s="105" t="s">
        <v>876</v>
      </c>
      <c r="E643" s="105" t="s">
        <v>394</v>
      </c>
      <c r="F643" s="493">
        <v>7601</v>
      </c>
      <c r="G643" s="105" t="s">
        <v>36</v>
      </c>
      <c r="H643" s="105" t="s">
        <v>342</v>
      </c>
      <c r="I643" s="105" t="s">
        <v>334</v>
      </c>
      <c r="J643" s="493">
        <v>22</v>
      </c>
      <c r="K643" s="493">
        <v>1</v>
      </c>
      <c r="L643" s="105" t="s">
        <v>335</v>
      </c>
      <c r="M643" s="105" t="s">
        <v>336</v>
      </c>
      <c r="N643" s="105" t="s">
        <v>337</v>
      </c>
      <c r="O643" s="105" t="s">
        <v>338</v>
      </c>
      <c r="P643" s="105" t="s">
        <v>339</v>
      </c>
      <c r="Q643" s="494">
        <v>0</v>
      </c>
      <c r="R643" s="494">
        <v>0</v>
      </c>
      <c r="S643" s="494">
        <v>3360</v>
      </c>
      <c r="T643" s="494">
        <v>3360</v>
      </c>
      <c r="U643" s="494">
        <v>978</v>
      </c>
      <c r="V643" s="493">
        <v>2024</v>
      </c>
      <c r="W643" s="495"/>
      <c r="X643" s="496">
        <f t="shared" si="38"/>
        <v>3.4355828220858897</v>
      </c>
      <c r="Y643" s="497" t="str">
        <f t="shared" si="41"/>
        <v/>
      </c>
      <c r="Z643" s="497" t="str">
        <f t="shared" si="41"/>
        <v/>
      </c>
    </row>
    <row r="644" spans="1:26" s="82" customFormat="1" ht="32" x14ac:dyDescent="0.4">
      <c r="A644" s="493">
        <v>50136</v>
      </c>
      <c r="B644" s="105" t="s">
        <v>433</v>
      </c>
      <c r="C644" s="493" t="s">
        <v>330</v>
      </c>
      <c r="D644" s="105" t="s">
        <v>877</v>
      </c>
      <c r="E644" s="105" t="s">
        <v>878</v>
      </c>
      <c r="F644" s="493">
        <v>17460</v>
      </c>
      <c r="G644" s="105" t="s">
        <v>52</v>
      </c>
      <c r="H644" s="105" t="s">
        <v>333</v>
      </c>
      <c r="I644" s="105" t="s">
        <v>334</v>
      </c>
      <c r="J644" s="493">
        <v>622</v>
      </c>
      <c r="K644" s="493">
        <v>5</v>
      </c>
      <c r="L644" s="105" t="s">
        <v>771</v>
      </c>
      <c r="M644" s="105" t="s">
        <v>359</v>
      </c>
      <c r="N644" s="105" t="s">
        <v>228</v>
      </c>
      <c r="O644" s="105" t="s">
        <v>228</v>
      </c>
      <c r="P644" s="105" t="s">
        <v>356</v>
      </c>
      <c r="Q644" s="494">
        <v>81028</v>
      </c>
      <c r="R644" s="494">
        <v>25558</v>
      </c>
      <c r="S644" s="494">
        <v>89132</v>
      </c>
      <c r="T644" s="494">
        <v>28114</v>
      </c>
      <c r="U644" s="494">
        <v>6815</v>
      </c>
      <c r="V644" s="493">
        <v>2024</v>
      </c>
      <c r="W644" s="495"/>
      <c r="X644" s="496" t="str">
        <f t="shared" si="38"/>
        <v/>
      </c>
      <c r="Y644" s="497" t="str">
        <f t="shared" si="41"/>
        <v/>
      </c>
      <c r="Z644" s="497" t="str">
        <f t="shared" si="41"/>
        <v/>
      </c>
    </row>
    <row r="645" spans="1:26" s="82" customFormat="1" ht="32" x14ac:dyDescent="0.4">
      <c r="A645" s="493">
        <v>50166</v>
      </c>
      <c r="B645" s="105" t="s">
        <v>329</v>
      </c>
      <c r="C645" s="493" t="s">
        <v>330</v>
      </c>
      <c r="D645" s="105" t="s">
        <v>879</v>
      </c>
      <c r="E645" s="105" t="s">
        <v>592</v>
      </c>
      <c r="F645" s="493">
        <v>57280</v>
      </c>
      <c r="G645" s="105" t="s">
        <v>33</v>
      </c>
      <c r="H645" s="105" t="s">
        <v>342</v>
      </c>
      <c r="I645" s="105" t="s">
        <v>334</v>
      </c>
      <c r="J645" s="493">
        <v>22</v>
      </c>
      <c r="K645" s="493">
        <v>2</v>
      </c>
      <c r="L645" s="105" t="s">
        <v>343</v>
      </c>
      <c r="M645" s="105" t="s">
        <v>336</v>
      </c>
      <c r="N645" s="105" t="s">
        <v>337</v>
      </c>
      <c r="O645" s="105" t="s">
        <v>338</v>
      </c>
      <c r="P645" s="105" t="s">
        <v>339</v>
      </c>
      <c r="Q645" s="494">
        <v>0</v>
      </c>
      <c r="R645" s="494">
        <v>0</v>
      </c>
      <c r="S645" s="494">
        <v>18422</v>
      </c>
      <c r="T645" s="494">
        <v>18422</v>
      </c>
      <c r="U645" s="494">
        <v>5400</v>
      </c>
      <c r="V645" s="493">
        <v>2024</v>
      </c>
      <c r="W645" s="495"/>
      <c r="X645" s="496">
        <f t="shared" si="38"/>
        <v>3.4114814814814816</v>
      </c>
      <c r="Y645" s="497" t="str">
        <f t="shared" si="41"/>
        <v/>
      </c>
      <c r="Z645" s="497" t="str">
        <f t="shared" si="41"/>
        <v/>
      </c>
    </row>
    <row r="646" spans="1:26" s="82" customFormat="1" ht="32" x14ac:dyDescent="0.4">
      <c r="A646" s="493">
        <v>50176</v>
      </c>
      <c r="B646" s="105" t="s">
        <v>329</v>
      </c>
      <c r="C646" s="493" t="s">
        <v>330</v>
      </c>
      <c r="D646" s="105" t="s">
        <v>880</v>
      </c>
      <c r="E646" s="105" t="s">
        <v>881</v>
      </c>
      <c r="F646" s="493">
        <v>56842</v>
      </c>
      <c r="G646" s="105" t="s">
        <v>52</v>
      </c>
      <c r="H646" s="105" t="s">
        <v>333</v>
      </c>
      <c r="I646" s="105" t="s">
        <v>334</v>
      </c>
      <c r="J646" s="493">
        <v>22</v>
      </c>
      <c r="K646" s="493">
        <v>2</v>
      </c>
      <c r="L646" s="105" t="s">
        <v>343</v>
      </c>
      <c r="M646" s="105" t="s">
        <v>336</v>
      </c>
      <c r="N646" s="105" t="s">
        <v>337</v>
      </c>
      <c r="O646" s="105" t="s">
        <v>338</v>
      </c>
      <c r="P646" s="105" t="s">
        <v>339</v>
      </c>
      <c r="Q646" s="494">
        <v>0</v>
      </c>
      <c r="R646" s="494">
        <v>0</v>
      </c>
      <c r="S646" s="494">
        <v>40210</v>
      </c>
      <c r="T646" s="494">
        <v>40210</v>
      </c>
      <c r="U646" s="494">
        <v>11785</v>
      </c>
      <c r="V646" s="493">
        <v>2024</v>
      </c>
      <c r="W646" s="495"/>
      <c r="X646" s="496">
        <f t="shared" si="38"/>
        <v>3.411964361476453</v>
      </c>
      <c r="Y646" s="497" t="str">
        <f t="shared" si="41"/>
        <v/>
      </c>
      <c r="Z646" s="497" t="str">
        <f t="shared" si="41"/>
        <v/>
      </c>
    </row>
    <row r="647" spans="1:26" s="82" customFormat="1" x14ac:dyDescent="0.4">
      <c r="A647" s="493">
        <v>50177</v>
      </c>
      <c r="B647" s="105" t="s">
        <v>329</v>
      </c>
      <c r="C647" s="493" t="s">
        <v>330</v>
      </c>
      <c r="D647" s="105" t="s">
        <v>882</v>
      </c>
      <c r="E647" s="105" t="s">
        <v>883</v>
      </c>
      <c r="F647" s="493">
        <v>56844</v>
      </c>
      <c r="G647" s="105" t="s">
        <v>38</v>
      </c>
      <c r="H647" s="105" t="s">
        <v>342</v>
      </c>
      <c r="I647" s="105" t="s">
        <v>334</v>
      </c>
      <c r="J647" s="493">
        <v>22</v>
      </c>
      <c r="K647" s="493">
        <v>2</v>
      </c>
      <c r="L647" s="105" t="s">
        <v>343</v>
      </c>
      <c r="M647" s="105" t="s">
        <v>336</v>
      </c>
      <c r="N647" s="105" t="s">
        <v>337</v>
      </c>
      <c r="O647" s="105" t="s">
        <v>338</v>
      </c>
      <c r="P647" s="105" t="s">
        <v>339</v>
      </c>
      <c r="Q647" s="494">
        <v>0</v>
      </c>
      <c r="R647" s="494">
        <v>0</v>
      </c>
      <c r="S647" s="494">
        <v>8993</v>
      </c>
      <c r="T647" s="494">
        <v>8993</v>
      </c>
      <c r="U647" s="494">
        <v>2636</v>
      </c>
      <c r="V647" s="493">
        <v>2024</v>
      </c>
      <c r="W647" s="495"/>
      <c r="X647" s="496">
        <f t="shared" si="38"/>
        <v>3.4116084977238241</v>
      </c>
      <c r="Y647" s="497" t="str">
        <f t="shared" si="41"/>
        <v/>
      </c>
      <c r="Z647" s="497" t="str">
        <f t="shared" si="41"/>
        <v/>
      </c>
    </row>
    <row r="648" spans="1:26" s="82" customFormat="1" ht="32" x14ac:dyDescent="0.4">
      <c r="A648" s="493">
        <v>50203</v>
      </c>
      <c r="B648" s="105" t="s">
        <v>433</v>
      </c>
      <c r="C648" s="493" t="s">
        <v>330</v>
      </c>
      <c r="D648" s="105" t="s">
        <v>884</v>
      </c>
      <c r="E648" s="105" t="s">
        <v>885</v>
      </c>
      <c r="F648" s="493">
        <v>19351</v>
      </c>
      <c r="G648" s="105" t="s">
        <v>52</v>
      </c>
      <c r="H648" s="105" t="s">
        <v>333</v>
      </c>
      <c r="I648" s="105" t="s">
        <v>334</v>
      </c>
      <c r="J648" s="493">
        <v>322</v>
      </c>
      <c r="K648" s="493">
        <v>7</v>
      </c>
      <c r="L648" s="105" t="s">
        <v>727</v>
      </c>
      <c r="M648" s="105" t="s">
        <v>295</v>
      </c>
      <c r="N648" s="105" t="s">
        <v>228</v>
      </c>
      <c r="O648" s="105" t="s">
        <v>228</v>
      </c>
      <c r="P648" s="105" t="s">
        <v>356</v>
      </c>
      <c r="Q648" s="494">
        <v>20693</v>
      </c>
      <c r="R648" s="494">
        <v>6546</v>
      </c>
      <c r="S648" s="494">
        <v>22246</v>
      </c>
      <c r="T648" s="494">
        <v>7037</v>
      </c>
      <c r="U648" s="494">
        <v>1293.5999999999999</v>
      </c>
      <c r="V648" s="493">
        <v>2024</v>
      </c>
      <c r="W648" s="495"/>
      <c r="X648" s="496" t="str">
        <f t="shared" si="38"/>
        <v/>
      </c>
      <c r="Y648" s="497">
        <f t="shared" ref="Y648:Z667" si="42">IF(AND($M648=$Y$2,$N648=$Y$3,NOT($Q648=$R648),NOT($U648=0)),IF($K648=5,$S648/($U648+(8/5)*$U648),IF($K648=7,$S648/($U648+(29/25)*$U648),"")),"")</f>
        <v>7.9615600448933801</v>
      </c>
      <c r="Z648" s="497">
        <f t="shared" si="42"/>
        <v>7.9615600448933801</v>
      </c>
    </row>
    <row r="649" spans="1:26" s="82" customFormat="1" ht="32" x14ac:dyDescent="0.4">
      <c r="A649" s="493">
        <v>50208</v>
      </c>
      <c r="B649" s="105" t="s">
        <v>329</v>
      </c>
      <c r="C649" s="493" t="s">
        <v>330</v>
      </c>
      <c r="D649" s="105" t="s">
        <v>886</v>
      </c>
      <c r="E649" s="105" t="s">
        <v>886</v>
      </c>
      <c r="F649" s="493">
        <v>65548</v>
      </c>
      <c r="G649" s="105" t="s">
        <v>35</v>
      </c>
      <c r="H649" s="105" t="s">
        <v>342</v>
      </c>
      <c r="I649" s="105" t="s">
        <v>334</v>
      </c>
      <c r="J649" s="493">
        <v>22</v>
      </c>
      <c r="K649" s="493">
        <v>2</v>
      </c>
      <c r="L649" s="105" t="s">
        <v>343</v>
      </c>
      <c r="M649" s="105" t="s">
        <v>360</v>
      </c>
      <c r="N649" s="105" t="s">
        <v>258</v>
      </c>
      <c r="O649" s="105" t="s">
        <v>387</v>
      </c>
      <c r="P649" s="105" t="s">
        <v>388</v>
      </c>
      <c r="Q649" s="494">
        <v>0</v>
      </c>
      <c r="R649" s="494">
        <v>0</v>
      </c>
      <c r="S649" s="494">
        <v>0</v>
      </c>
      <c r="T649" s="494">
        <v>0</v>
      </c>
      <c r="U649" s="494">
        <v>0</v>
      </c>
      <c r="V649" s="493">
        <v>2024</v>
      </c>
      <c r="W649" s="495"/>
      <c r="X649" s="496" t="str">
        <f t="shared" ref="X649:X712" si="43">IF(OR(K649&gt;3,T649=0,NOT(U649&gt;0)),"",T649/U649)</f>
        <v/>
      </c>
      <c r="Y649" s="497" t="str">
        <f t="shared" si="42"/>
        <v/>
      </c>
      <c r="Z649" s="497" t="str">
        <f t="shared" si="42"/>
        <v/>
      </c>
    </row>
    <row r="650" spans="1:26" s="82" customFormat="1" x14ac:dyDescent="0.4">
      <c r="A650" s="493">
        <v>50225</v>
      </c>
      <c r="B650" s="105" t="s">
        <v>329</v>
      </c>
      <c r="C650" s="493" t="s">
        <v>330</v>
      </c>
      <c r="D650" s="105" t="s">
        <v>887</v>
      </c>
      <c r="E650" s="105" t="s">
        <v>888</v>
      </c>
      <c r="F650" s="493">
        <v>15824</v>
      </c>
      <c r="G650" s="105" t="s">
        <v>34</v>
      </c>
      <c r="H650" s="105" t="s">
        <v>342</v>
      </c>
      <c r="I650" s="105" t="s">
        <v>334</v>
      </c>
      <c r="J650" s="493">
        <v>22</v>
      </c>
      <c r="K650" s="493">
        <v>2</v>
      </c>
      <c r="L650" s="105" t="s">
        <v>343</v>
      </c>
      <c r="M650" s="105" t="s">
        <v>360</v>
      </c>
      <c r="N650" s="105" t="s">
        <v>254</v>
      </c>
      <c r="O650" s="105" t="s">
        <v>688</v>
      </c>
      <c r="P650" s="105" t="s">
        <v>388</v>
      </c>
      <c r="Q650" s="494">
        <v>93772</v>
      </c>
      <c r="R650" s="494">
        <v>93772</v>
      </c>
      <c r="S650" s="494">
        <v>691759</v>
      </c>
      <c r="T650" s="494">
        <v>691759</v>
      </c>
      <c r="U650" s="494">
        <v>36670.440999999999</v>
      </c>
      <c r="V650" s="493">
        <v>2024</v>
      </c>
      <c r="W650" s="495"/>
      <c r="X650" s="496">
        <f t="shared" si="43"/>
        <v>18.864212731993053</v>
      </c>
      <c r="Y650" s="497" t="str">
        <f t="shared" si="42"/>
        <v/>
      </c>
      <c r="Z650" s="497" t="str">
        <f t="shared" si="42"/>
        <v/>
      </c>
    </row>
    <row r="651" spans="1:26" s="82" customFormat="1" x14ac:dyDescent="0.4">
      <c r="A651" s="493">
        <v>50225</v>
      </c>
      <c r="B651" s="105" t="s">
        <v>329</v>
      </c>
      <c r="C651" s="493" t="s">
        <v>330</v>
      </c>
      <c r="D651" s="105" t="s">
        <v>887</v>
      </c>
      <c r="E651" s="105" t="s">
        <v>888</v>
      </c>
      <c r="F651" s="493">
        <v>15824</v>
      </c>
      <c r="G651" s="105" t="s">
        <v>34</v>
      </c>
      <c r="H651" s="105" t="s">
        <v>342</v>
      </c>
      <c r="I651" s="105" t="s">
        <v>334</v>
      </c>
      <c r="J651" s="493">
        <v>22</v>
      </c>
      <c r="K651" s="493">
        <v>2</v>
      </c>
      <c r="L651" s="105" t="s">
        <v>343</v>
      </c>
      <c r="M651" s="105" t="s">
        <v>360</v>
      </c>
      <c r="N651" s="105" t="s">
        <v>230</v>
      </c>
      <c r="O651" s="105" t="s">
        <v>232</v>
      </c>
      <c r="P651" s="105" t="s">
        <v>388</v>
      </c>
      <c r="Q651" s="494">
        <v>59951</v>
      </c>
      <c r="R651" s="494">
        <v>59951</v>
      </c>
      <c r="S651" s="494">
        <v>845474</v>
      </c>
      <c r="T651" s="494">
        <v>845474</v>
      </c>
      <c r="U651" s="494">
        <v>44818.868999999999</v>
      </c>
      <c r="V651" s="493">
        <v>2024</v>
      </c>
      <c r="W651" s="495"/>
      <c r="X651" s="496">
        <f t="shared" si="43"/>
        <v>18.864242201203247</v>
      </c>
      <c r="Y651" s="497" t="str">
        <f t="shared" si="42"/>
        <v/>
      </c>
      <c r="Z651" s="497" t="str">
        <f t="shared" si="42"/>
        <v/>
      </c>
    </row>
    <row r="652" spans="1:26" s="82" customFormat="1" x14ac:dyDescent="0.4">
      <c r="A652" s="493">
        <v>50225</v>
      </c>
      <c r="B652" s="105" t="s">
        <v>329</v>
      </c>
      <c r="C652" s="493" t="s">
        <v>330</v>
      </c>
      <c r="D652" s="105" t="s">
        <v>887</v>
      </c>
      <c r="E652" s="105" t="s">
        <v>888</v>
      </c>
      <c r="F652" s="493">
        <v>15824</v>
      </c>
      <c r="G652" s="105" t="s">
        <v>34</v>
      </c>
      <c r="H652" s="105" t="s">
        <v>342</v>
      </c>
      <c r="I652" s="105" t="s">
        <v>334</v>
      </c>
      <c r="J652" s="493">
        <v>22</v>
      </c>
      <c r="K652" s="493">
        <v>2</v>
      </c>
      <c r="L652" s="105" t="s">
        <v>343</v>
      </c>
      <c r="M652" s="105" t="s">
        <v>360</v>
      </c>
      <c r="N652" s="105" t="s">
        <v>228</v>
      </c>
      <c r="O652" s="105" t="s">
        <v>228</v>
      </c>
      <c r="P652" s="105" t="s">
        <v>356</v>
      </c>
      <c r="Q652" s="494">
        <v>14802</v>
      </c>
      <c r="R652" s="494">
        <v>14802</v>
      </c>
      <c r="S652" s="494">
        <v>14802</v>
      </c>
      <c r="T652" s="494">
        <v>14802</v>
      </c>
      <c r="U652" s="494">
        <v>780.69</v>
      </c>
      <c r="V652" s="493">
        <v>2024</v>
      </c>
      <c r="W652" s="495"/>
      <c r="X652" s="496">
        <f t="shared" si="43"/>
        <v>18.960150635975864</v>
      </c>
      <c r="Y652" s="497" t="str">
        <f t="shared" si="42"/>
        <v/>
      </c>
      <c r="Z652" s="497" t="str">
        <f t="shared" si="42"/>
        <v/>
      </c>
    </row>
    <row r="653" spans="1:26" s="82" customFormat="1" ht="32" x14ac:dyDescent="0.4">
      <c r="A653" s="493">
        <v>50230</v>
      </c>
      <c r="B653" s="105" t="s">
        <v>433</v>
      </c>
      <c r="C653" s="493" t="s">
        <v>330</v>
      </c>
      <c r="D653" s="105" t="s">
        <v>889</v>
      </c>
      <c r="E653" s="105" t="s">
        <v>890</v>
      </c>
      <c r="F653" s="493">
        <v>16191</v>
      </c>
      <c r="G653" s="105" t="s">
        <v>34</v>
      </c>
      <c r="H653" s="105" t="s">
        <v>342</v>
      </c>
      <c r="I653" s="105" t="s">
        <v>334</v>
      </c>
      <c r="J653" s="493">
        <v>321</v>
      </c>
      <c r="K653" s="493">
        <v>7</v>
      </c>
      <c r="L653" s="105" t="s">
        <v>727</v>
      </c>
      <c r="M653" s="105" t="s">
        <v>359</v>
      </c>
      <c r="N653" s="105" t="s">
        <v>226</v>
      </c>
      <c r="O653" s="105" t="s">
        <v>226</v>
      </c>
      <c r="P653" s="105" t="s">
        <v>350</v>
      </c>
      <c r="Q653" s="494">
        <v>66</v>
      </c>
      <c r="R653" s="494">
        <v>66</v>
      </c>
      <c r="S653" s="494">
        <v>403</v>
      </c>
      <c r="T653" s="494">
        <v>403</v>
      </c>
      <c r="U653" s="494">
        <v>0</v>
      </c>
      <c r="V653" s="493">
        <v>2024</v>
      </c>
      <c r="W653" s="495"/>
      <c r="X653" s="496" t="str">
        <f t="shared" si="43"/>
        <v/>
      </c>
      <c r="Y653" s="497" t="str">
        <f t="shared" si="42"/>
        <v/>
      </c>
      <c r="Z653" s="497" t="str">
        <f t="shared" si="42"/>
        <v/>
      </c>
    </row>
    <row r="654" spans="1:26" s="82" customFormat="1" ht="32" x14ac:dyDescent="0.4">
      <c r="A654" s="493">
        <v>50230</v>
      </c>
      <c r="B654" s="105" t="s">
        <v>433</v>
      </c>
      <c r="C654" s="493" t="s">
        <v>330</v>
      </c>
      <c r="D654" s="105" t="s">
        <v>889</v>
      </c>
      <c r="E654" s="105" t="s">
        <v>890</v>
      </c>
      <c r="F654" s="493">
        <v>16191</v>
      </c>
      <c r="G654" s="105" t="s">
        <v>34</v>
      </c>
      <c r="H654" s="105" t="s">
        <v>342</v>
      </c>
      <c r="I654" s="105" t="s">
        <v>334</v>
      </c>
      <c r="J654" s="493">
        <v>321</v>
      </c>
      <c r="K654" s="493">
        <v>7</v>
      </c>
      <c r="L654" s="105" t="s">
        <v>727</v>
      </c>
      <c r="M654" s="105" t="s">
        <v>360</v>
      </c>
      <c r="N654" s="105" t="s">
        <v>262</v>
      </c>
      <c r="O654" s="105" t="s">
        <v>481</v>
      </c>
      <c r="P654" s="105" t="s">
        <v>388</v>
      </c>
      <c r="Q654" s="494">
        <v>0</v>
      </c>
      <c r="R654" s="494">
        <v>0</v>
      </c>
      <c r="S654" s="494">
        <v>0</v>
      </c>
      <c r="T654" s="494">
        <v>0</v>
      </c>
      <c r="U654" s="494">
        <v>0</v>
      </c>
      <c r="V654" s="493">
        <v>2024</v>
      </c>
      <c r="W654" s="495"/>
      <c r="X654" s="496" t="str">
        <f t="shared" si="43"/>
        <v/>
      </c>
      <c r="Y654" s="497" t="str">
        <f t="shared" si="42"/>
        <v/>
      </c>
      <c r="Z654" s="497" t="str">
        <f t="shared" si="42"/>
        <v/>
      </c>
    </row>
    <row r="655" spans="1:26" s="82" customFormat="1" ht="32" x14ac:dyDescent="0.4">
      <c r="A655" s="493">
        <v>50230</v>
      </c>
      <c r="B655" s="105" t="s">
        <v>433</v>
      </c>
      <c r="C655" s="493" t="s">
        <v>330</v>
      </c>
      <c r="D655" s="105" t="s">
        <v>889</v>
      </c>
      <c r="E655" s="105" t="s">
        <v>890</v>
      </c>
      <c r="F655" s="493">
        <v>16191</v>
      </c>
      <c r="G655" s="105" t="s">
        <v>34</v>
      </c>
      <c r="H655" s="105" t="s">
        <v>342</v>
      </c>
      <c r="I655" s="105" t="s">
        <v>334</v>
      </c>
      <c r="J655" s="493">
        <v>321</v>
      </c>
      <c r="K655" s="493">
        <v>7</v>
      </c>
      <c r="L655" s="105" t="s">
        <v>727</v>
      </c>
      <c r="M655" s="105" t="s">
        <v>360</v>
      </c>
      <c r="N655" s="105" t="s">
        <v>258</v>
      </c>
      <c r="O655" s="105" t="s">
        <v>387</v>
      </c>
      <c r="P655" s="105" t="s">
        <v>388</v>
      </c>
      <c r="Q655" s="494">
        <v>0</v>
      </c>
      <c r="R655" s="494">
        <v>0</v>
      </c>
      <c r="S655" s="494">
        <v>0</v>
      </c>
      <c r="T655" s="494">
        <v>0</v>
      </c>
      <c r="U655" s="494">
        <v>0</v>
      </c>
      <c r="V655" s="493">
        <v>2024</v>
      </c>
      <c r="W655" s="495"/>
      <c r="X655" s="496" t="str">
        <f t="shared" si="43"/>
        <v/>
      </c>
      <c r="Y655" s="497" t="str">
        <f t="shared" si="42"/>
        <v/>
      </c>
      <c r="Z655" s="497" t="str">
        <f t="shared" si="42"/>
        <v/>
      </c>
    </row>
    <row r="656" spans="1:26" s="82" customFormat="1" ht="32" x14ac:dyDescent="0.4">
      <c r="A656" s="493">
        <v>50243</v>
      </c>
      <c r="B656" s="105" t="s">
        <v>329</v>
      </c>
      <c r="C656" s="493" t="s">
        <v>330</v>
      </c>
      <c r="D656" s="105" t="s">
        <v>891</v>
      </c>
      <c r="E656" s="105" t="s">
        <v>891</v>
      </c>
      <c r="F656" s="493">
        <v>9303</v>
      </c>
      <c r="G656" s="105" t="s">
        <v>34</v>
      </c>
      <c r="H656" s="105" t="s">
        <v>342</v>
      </c>
      <c r="I656" s="105" t="s">
        <v>334</v>
      </c>
      <c r="J656" s="493">
        <v>22</v>
      </c>
      <c r="K656" s="493">
        <v>2</v>
      </c>
      <c r="L656" s="105" t="s">
        <v>343</v>
      </c>
      <c r="M656" s="105" t="s">
        <v>295</v>
      </c>
      <c r="N656" s="105" t="s">
        <v>222</v>
      </c>
      <c r="O656" s="105" t="s">
        <v>479</v>
      </c>
      <c r="P656" s="105" t="s">
        <v>388</v>
      </c>
      <c r="Q656" s="494">
        <v>0</v>
      </c>
      <c r="R656" s="494">
        <v>0</v>
      </c>
      <c r="S656" s="494">
        <v>0</v>
      </c>
      <c r="T656" s="494">
        <v>0</v>
      </c>
      <c r="U656" s="494">
        <v>0</v>
      </c>
      <c r="V656" s="493">
        <v>2024</v>
      </c>
      <c r="W656" s="495" t="s">
        <v>355</v>
      </c>
      <c r="X656" s="496" t="str">
        <f t="shared" si="43"/>
        <v/>
      </c>
      <c r="Y656" s="497" t="str">
        <f t="shared" si="42"/>
        <v/>
      </c>
      <c r="Z656" s="497" t="str">
        <f t="shared" si="42"/>
        <v/>
      </c>
    </row>
    <row r="657" spans="1:26" s="82" customFormat="1" ht="32" x14ac:dyDescent="0.4">
      <c r="A657" s="493">
        <v>50243</v>
      </c>
      <c r="B657" s="105" t="s">
        <v>329</v>
      </c>
      <c r="C657" s="493" t="s">
        <v>330</v>
      </c>
      <c r="D657" s="105" t="s">
        <v>891</v>
      </c>
      <c r="E657" s="105" t="s">
        <v>891</v>
      </c>
      <c r="F657" s="493">
        <v>9303</v>
      </c>
      <c r="G657" s="105" t="s">
        <v>34</v>
      </c>
      <c r="H657" s="105" t="s">
        <v>342</v>
      </c>
      <c r="I657" s="105" t="s">
        <v>334</v>
      </c>
      <c r="J657" s="493">
        <v>22</v>
      </c>
      <c r="K657" s="493">
        <v>2</v>
      </c>
      <c r="L657" s="105" t="s">
        <v>343</v>
      </c>
      <c r="M657" s="105" t="s">
        <v>295</v>
      </c>
      <c r="N657" s="105" t="s">
        <v>226</v>
      </c>
      <c r="O657" s="105" t="s">
        <v>226</v>
      </c>
      <c r="P657" s="105" t="s">
        <v>350</v>
      </c>
      <c r="Q657" s="494">
        <v>510</v>
      </c>
      <c r="R657" s="494">
        <v>510</v>
      </c>
      <c r="S657" s="494">
        <v>2933</v>
      </c>
      <c r="T657" s="494">
        <v>2933</v>
      </c>
      <c r="U657" s="494">
        <v>240.011</v>
      </c>
      <c r="V657" s="493">
        <v>2024</v>
      </c>
      <c r="W657" s="495" t="s">
        <v>355</v>
      </c>
      <c r="X657" s="496">
        <f t="shared" si="43"/>
        <v>12.220273237476617</v>
      </c>
      <c r="Y657" s="497" t="str">
        <f t="shared" si="42"/>
        <v/>
      </c>
      <c r="Z657" s="497" t="str">
        <f t="shared" si="42"/>
        <v/>
      </c>
    </row>
    <row r="658" spans="1:26" s="82" customFormat="1" ht="32" x14ac:dyDescent="0.4">
      <c r="A658" s="493">
        <v>50243</v>
      </c>
      <c r="B658" s="105" t="s">
        <v>329</v>
      </c>
      <c r="C658" s="493" t="s">
        <v>330</v>
      </c>
      <c r="D658" s="105" t="s">
        <v>891</v>
      </c>
      <c r="E658" s="105" t="s">
        <v>891</v>
      </c>
      <c r="F658" s="493">
        <v>9303</v>
      </c>
      <c r="G658" s="105" t="s">
        <v>34</v>
      </c>
      <c r="H658" s="105" t="s">
        <v>342</v>
      </c>
      <c r="I658" s="105" t="s">
        <v>334</v>
      </c>
      <c r="J658" s="493">
        <v>22</v>
      </c>
      <c r="K658" s="493">
        <v>2</v>
      </c>
      <c r="L658" s="105" t="s">
        <v>343</v>
      </c>
      <c r="M658" s="105" t="s">
        <v>295</v>
      </c>
      <c r="N658" s="105" t="s">
        <v>228</v>
      </c>
      <c r="O658" s="105" t="s">
        <v>228</v>
      </c>
      <c r="P658" s="105" t="s">
        <v>356</v>
      </c>
      <c r="Q658" s="494">
        <v>161396</v>
      </c>
      <c r="R658" s="494">
        <v>161396</v>
      </c>
      <c r="S658" s="494">
        <v>167507</v>
      </c>
      <c r="T658" s="494">
        <v>167507</v>
      </c>
      <c r="U658" s="494">
        <v>13769.989</v>
      </c>
      <c r="V658" s="493">
        <v>2024</v>
      </c>
      <c r="W658" s="495" t="s">
        <v>355</v>
      </c>
      <c r="X658" s="496">
        <f t="shared" si="43"/>
        <v>12.164642978291413</v>
      </c>
      <c r="Y658" s="497" t="str">
        <f t="shared" si="42"/>
        <v/>
      </c>
      <c r="Z658" s="497" t="str">
        <f t="shared" si="42"/>
        <v/>
      </c>
    </row>
    <row r="659" spans="1:26" s="82" customFormat="1" ht="32" x14ac:dyDescent="0.4">
      <c r="A659" s="493">
        <v>50243</v>
      </c>
      <c r="B659" s="105" t="s">
        <v>329</v>
      </c>
      <c r="C659" s="493" t="s">
        <v>330</v>
      </c>
      <c r="D659" s="105" t="s">
        <v>891</v>
      </c>
      <c r="E659" s="105" t="s">
        <v>891</v>
      </c>
      <c r="F659" s="493">
        <v>9303</v>
      </c>
      <c r="G659" s="105" t="s">
        <v>34</v>
      </c>
      <c r="H659" s="105" t="s">
        <v>342</v>
      </c>
      <c r="I659" s="105" t="s">
        <v>334</v>
      </c>
      <c r="J659" s="493">
        <v>22</v>
      </c>
      <c r="K659" s="493">
        <v>2</v>
      </c>
      <c r="L659" s="105" t="s">
        <v>343</v>
      </c>
      <c r="M659" s="105" t="s">
        <v>295</v>
      </c>
      <c r="N659" s="105" t="s">
        <v>238</v>
      </c>
      <c r="O659" s="105" t="s">
        <v>238</v>
      </c>
      <c r="P659" s="105" t="s">
        <v>350</v>
      </c>
      <c r="Q659" s="494">
        <v>0</v>
      </c>
      <c r="R659" s="494">
        <v>0</v>
      </c>
      <c r="S659" s="494">
        <v>0</v>
      </c>
      <c r="T659" s="494">
        <v>0</v>
      </c>
      <c r="U659" s="494">
        <v>0</v>
      </c>
      <c r="V659" s="493">
        <v>2024</v>
      </c>
      <c r="W659" s="495" t="s">
        <v>355</v>
      </c>
      <c r="X659" s="496" t="str">
        <f t="shared" si="43"/>
        <v/>
      </c>
      <c r="Y659" s="497" t="str">
        <f t="shared" si="42"/>
        <v/>
      </c>
      <c r="Z659" s="497" t="str">
        <f t="shared" si="42"/>
        <v/>
      </c>
    </row>
    <row r="660" spans="1:26" s="82" customFormat="1" ht="32" x14ac:dyDescent="0.4">
      <c r="A660" s="493">
        <v>50268</v>
      </c>
      <c r="B660" s="105" t="s">
        <v>329</v>
      </c>
      <c r="C660" s="493" t="s">
        <v>330</v>
      </c>
      <c r="D660" s="105" t="s">
        <v>892</v>
      </c>
      <c r="E660" s="105" t="s">
        <v>520</v>
      </c>
      <c r="F660" s="493">
        <v>5914</v>
      </c>
      <c r="G660" s="105" t="s">
        <v>52</v>
      </c>
      <c r="H660" s="105" t="s">
        <v>333</v>
      </c>
      <c r="I660" s="105" t="s">
        <v>334</v>
      </c>
      <c r="J660" s="493">
        <v>22</v>
      </c>
      <c r="K660" s="493">
        <v>2</v>
      </c>
      <c r="L660" s="105" t="s">
        <v>343</v>
      </c>
      <c r="M660" s="105" t="s">
        <v>336</v>
      </c>
      <c r="N660" s="105" t="s">
        <v>337</v>
      </c>
      <c r="O660" s="105" t="s">
        <v>338</v>
      </c>
      <c r="P660" s="105" t="s">
        <v>339</v>
      </c>
      <c r="Q660" s="494">
        <v>0</v>
      </c>
      <c r="R660" s="494">
        <v>0</v>
      </c>
      <c r="S660" s="494">
        <v>47160</v>
      </c>
      <c r="T660" s="494">
        <v>47160</v>
      </c>
      <c r="U660" s="494">
        <v>13822</v>
      </c>
      <c r="V660" s="493">
        <v>2024</v>
      </c>
      <c r="W660" s="495"/>
      <c r="X660" s="496">
        <f t="shared" si="43"/>
        <v>3.4119519606424542</v>
      </c>
      <c r="Y660" s="497" t="str">
        <f t="shared" si="42"/>
        <v/>
      </c>
      <c r="Z660" s="497" t="str">
        <f t="shared" si="42"/>
        <v/>
      </c>
    </row>
    <row r="661" spans="1:26" s="82" customFormat="1" ht="32" x14ac:dyDescent="0.4">
      <c r="A661" s="493">
        <v>50269</v>
      </c>
      <c r="B661" s="105" t="s">
        <v>329</v>
      </c>
      <c r="C661" s="493" t="s">
        <v>330</v>
      </c>
      <c r="D661" s="105" t="s">
        <v>893</v>
      </c>
      <c r="E661" s="105" t="s">
        <v>520</v>
      </c>
      <c r="F661" s="493">
        <v>5914</v>
      </c>
      <c r="G661" s="105" t="s">
        <v>52</v>
      </c>
      <c r="H661" s="105" t="s">
        <v>333</v>
      </c>
      <c r="I661" s="105" t="s">
        <v>334</v>
      </c>
      <c r="J661" s="493">
        <v>22</v>
      </c>
      <c r="K661" s="493">
        <v>2</v>
      </c>
      <c r="L661" s="105" t="s">
        <v>343</v>
      </c>
      <c r="M661" s="105" t="s">
        <v>336</v>
      </c>
      <c r="N661" s="105" t="s">
        <v>337</v>
      </c>
      <c r="O661" s="105" t="s">
        <v>338</v>
      </c>
      <c r="P661" s="105" t="s">
        <v>339</v>
      </c>
      <c r="Q661" s="494">
        <v>0</v>
      </c>
      <c r="R661" s="494">
        <v>0</v>
      </c>
      <c r="S661" s="494">
        <v>45530</v>
      </c>
      <c r="T661" s="494">
        <v>45530</v>
      </c>
      <c r="U661" s="494">
        <v>13344</v>
      </c>
      <c r="V661" s="493">
        <v>2024</v>
      </c>
      <c r="W661" s="495"/>
      <c r="X661" s="496">
        <f t="shared" si="43"/>
        <v>3.4120203836930454</v>
      </c>
      <c r="Y661" s="497" t="str">
        <f t="shared" si="42"/>
        <v/>
      </c>
      <c r="Z661" s="497" t="str">
        <f t="shared" si="42"/>
        <v/>
      </c>
    </row>
    <row r="662" spans="1:26" s="82" customFormat="1" ht="32" x14ac:dyDescent="0.4">
      <c r="A662" s="493">
        <v>50278</v>
      </c>
      <c r="B662" s="105" t="s">
        <v>329</v>
      </c>
      <c r="C662" s="493" t="s">
        <v>330</v>
      </c>
      <c r="D662" s="105" t="s">
        <v>894</v>
      </c>
      <c r="E662" s="105" t="s">
        <v>592</v>
      </c>
      <c r="F662" s="493">
        <v>57280</v>
      </c>
      <c r="G662" s="105" t="s">
        <v>34</v>
      </c>
      <c r="H662" s="105" t="s">
        <v>342</v>
      </c>
      <c r="I662" s="105" t="s">
        <v>334</v>
      </c>
      <c r="J662" s="493">
        <v>22</v>
      </c>
      <c r="K662" s="493">
        <v>2</v>
      </c>
      <c r="L662" s="105" t="s">
        <v>343</v>
      </c>
      <c r="M662" s="105" t="s">
        <v>336</v>
      </c>
      <c r="N662" s="105" t="s">
        <v>337</v>
      </c>
      <c r="O662" s="105" t="s">
        <v>338</v>
      </c>
      <c r="P662" s="105" t="s">
        <v>339</v>
      </c>
      <c r="Q662" s="494">
        <v>0</v>
      </c>
      <c r="R662" s="494">
        <v>0</v>
      </c>
      <c r="S662" s="494">
        <v>302753</v>
      </c>
      <c r="T662" s="494">
        <v>302753</v>
      </c>
      <c r="U662" s="494">
        <v>88732</v>
      </c>
      <c r="V662" s="493">
        <v>2024</v>
      </c>
      <c r="W662" s="495"/>
      <c r="X662" s="496">
        <f t="shared" si="43"/>
        <v>3.4119934183834468</v>
      </c>
      <c r="Y662" s="497" t="str">
        <f t="shared" si="42"/>
        <v/>
      </c>
      <c r="Z662" s="497" t="str">
        <f t="shared" si="42"/>
        <v/>
      </c>
    </row>
    <row r="663" spans="1:26" s="82" customFormat="1" x14ac:dyDescent="0.4">
      <c r="A663" s="493">
        <v>50280</v>
      </c>
      <c r="B663" s="105" t="s">
        <v>329</v>
      </c>
      <c r="C663" s="493" t="s">
        <v>330</v>
      </c>
      <c r="D663" s="105" t="s">
        <v>895</v>
      </c>
      <c r="E663" s="105" t="s">
        <v>896</v>
      </c>
      <c r="F663" s="493">
        <v>63070</v>
      </c>
      <c r="G663" s="105" t="s">
        <v>52</v>
      </c>
      <c r="H663" s="105" t="s">
        <v>333</v>
      </c>
      <c r="I663" s="105" t="s">
        <v>334</v>
      </c>
      <c r="J663" s="493">
        <v>22</v>
      </c>
      <c r="K663" s="493">
        <v>2</v>
      </c>
      <c r="L663" s="105" t="s">
        <v>343</v>
      </c>
      <c r="M663" s="105" t="s">
        <v>336</v>
      </c>
      <c r="N663" s="105" t="s">
        <v>337</v>
      </c>
      <c r="O663" s="105" t="s">
        <v>338</v>
      </c>
      <c r="P663" s="105" t="s">
        <v>339</v>
      </c>
      <c r="Q663" s="494">
        <v>0</v>
      </c>
      <c r="R663" s="494">
        <v>0</v>
      </c>
      <c r="S663" s="494">
        <v>93557</v>
      </c>
      <c r="T663" s="494">
        <v>93557</v>
      </c>
      <c r="U663" s="494">
        <v>27420</v>
      </c>
      <c r="V663" s="493">
        <v>2024</v>
      </c>
      <c r="W663" s="495"/>
      <c r="X663" s="496">
        <f t="shared" si="43"/>
        <v>3.4119985412107949</v>
      </c>
      <c r="Y663" s="497" t="str">
        <f t="shared" si="42"/>
        <v/>
      </c>
      <c r="Z663" s="497" t="str">
        <f t="shared" si="42"/>
        <v/>
      </c>
    </row>
    <row r="664" spans="1:26" s="82" customFormat="1" x14ac:dyDescent="0.4">
      <c r="A664" s="493">
        <v>50285</v>
      </c>
      <c r="B664" s="105" t="s">
        <v>329</v>
      </c>
      <c r="C664" s="493" t="s">
        <v>330</v>
      </c>
      <c r="D664" s="105" t="s">
        <v>897</v>
      </c>
      <c r="E664" s="105" t="s">
        <v>898</v>
      </c>
      <c r="F664" s="493">
        <v>60832</v>
      </c>
      <c r="G664" s="105" t="s">
        <v>35</v>
      </c>
      <c r="H664" s="105" t="s">
        <v>342</v>
      </c>
      <c r="I664" s="105" t="s">
        <v>334</v>
      </c>
      <c r="J664" s="493">
        <v>22</v>
      </c>
      <c r="K664" s="493">
        <v>2</v>
      </c>
      <c r="L664" s="105" t="s">
        <v>343</v>
      </c>
      <c r="M664" s="105" t="s">
        <v>336</v>
      </c>
      <c r="N664" s="105" t="s">
        <v>337</v>
      </c>
      <c r="O664" s="105" t="s">
        <v>338</v>
      </c>
      <c r="P664" s="105" t="s">
        <v>339</v>
      </c>
      <c r="Q664" s="494">
        <v>0</v>
      </c>
      <c r="R664" s="494">
        <v>0</v>
      </c>
      <c r="S664" s="494">
        <v>13235</v>
      </c>
      <c r="T664" s="494">
        <v>13235</v>
      </c>
      <c r="U664" s="494">
        <v>3879</v>
      </c>
      <c r="V664" s="493">
        <v>2024</v>
      </c>
      <c r="W664" s="495"/>
      <c r="X664" s="496">
        <f t="shared" si="43"/>
        <v>3.4119618458365557</v>
      </c>
      <c r="Y664" s="497" t="str">
        <f t="shared" si="42"/>
        <v/>
      </c>
      <c r="Z664" s="497" t="str">
        <f t="shared" si="42"/>
        <v/>
      </c>
    </row>
    <row r="665" spans="1:26" s="82" customFormat="1" ht="32" x14ac:dyDescent="0.4">
      <c r="A665" s="493">
        <v>50290</v>
      </c>
      <c r="B665" s="105" t="s">
        <v>329</v>
      </c>
      <c r="C665" s="493" t="s">
        <v>330</v>
      </c>
      <c r="D665" s="105" t="s">
        <v>899</v>
      </c>
      <c r="E665" s="105" t="s">
        <v>900</v>
      </c>
      <c r="F665" s="493">
        <v>16929</v>
      </c>
      <c r="G665" s="105" t="s">
        <v>33</v>
      </c>
      <c r="H665" s="105" t="s">
        <v>342</v>
      </c>
      <c r="I665" s="105" t="s">
        <v>334</v>
      </c>
      <c r="J665" s="493">
        <v>562213</v>
      </c>
      <c r="K665" s="493">
        <v>4</v>
      </c>
      <c r="L665" s="105" t="s">
        <v>766</v>
      </c>
      <c r="M665" s="105" t="s">
        <v>360</v>
      </c>
      <c r="N665" s="105" t="s">
        <v>226</v>
      </c>
      <c r="O665" s="105" t="s">
        <v>226</v>
      </c>
      <c r="P665" s="105" t="s">
        <v>350</v>
      </c>
      <c r="Q665" s="494">
        <v>832</v>
      </c>
      <c r="R665" s="494">
        <v>832</v>
      </c>
      <c r="S665" s="494">
        <v>4825</v>
      </c>
      <c r="T665" s="494">
        <v>4825</v>
      </c>
      <c r="U665" s="494">
        <v>253.8</v>
      </c>
      <c r="V665" s="493">
        <v>2024</v>
      </c>
      <c r="W665" s="495"/>
      <c r="X665" s="496" t="str">
        <f t="shared" si="43"/>
        <v/>
      </c>
      <c r="Y665" s="497" t="str">
        <f t="shared" si="42"/>
        <v/>
      </c>
      <c r="Z665" s="497" t="str">
        <f t="shared" si="42"/>
        <v/>
      </c>
    </row>
    <row r="666" spans="1:26" s="82" customFormat="1" ht="32" x14ac:dyDescent="0.4">
      <c r="A666" s="493">
        <v>50290</v>
      </c>
      <c r="B666" s="105" t="s">
        <v>329</v>
      </c>
      <c r="C666" s="493" t="s">
        <v>330</v>
      </c>
      <c r="D666" s="105" t="s">
        <v>899</v>
      </c>
      <c r="E666" s="105" t="s">
        <v>900</v>
      </c>
      <c r="F666" s="493">
        <v>16929</v>
      </c>
      <c r="G666" s="105" t="s">
        <v>33</v>
      </c>
      <c r="H666" s="105" t="s">
        <v>342</v>
      </c>
      <c r="I666" s="105" t="s">
        <v>334</v>
      </c>
      <c r="J666" s="493">
        <v>562213</v>
      </c>
      <c r="K666" s="493">
        <v>4</v>
      </c>
      <c r="L666" s="105" t="s">
        <v>766</v>
      </c>
      <c r="M666" s="105" t="s">
        <v>360</v>
      </c>
      <c r="N666" s="105" t="s">
        <v>254</v>
      </c>
      <c r="O666" s="105" t="s">
        <v>688</v>
      </c>
      <c r="P666" s="105" t="s">
        <v>388</v>
      </c>
      <c r="Q666" s="494">
        <v>636510</v>
      </c>
      <c r="R666" s="494">
        <v>636510</v>
      </c>
      <c r="S666" s="494">
        <v>4695534</v>
      </c>
      <c r="T666" s="494">
        <v>4695534</v>
      </c>
      <c r="U666" s="494">
        <v>251623.78</v>
      </c>
      <c r="V666" s="493">
        <v>2024</v>
      </c>
      <c r="W666" s="495"/>
      <c r="X666" s="496" t="str">
        <f t="shared" si="43"/>
        <v/>
      </c>
      <c r="Y666" s="497" t="str">
        <f t="shared" si="42"/>
        <v/>
      </c>
      <c r="Z666" s="497" t="str">
        <f t="shared" si="42"/>
        <v/>
      </c>
    </row>
    <row r="667" spans="1:26" s="82" customFormat="1" ht="32" x14ac:dyDescent="0.4">
      <c r="A667" s="493">
        <v>50290</v>
      </c>
      <c r="B667" s="105" t="s">
        <v>329</v>
      </c>
      <c r="C667" s="493" t="s">
        <v>330</v>
      </c>
      <c r="D667" s="105" t="s">
        <v>899</v>
      </c>
      <c r="E667" s="105" t="s">
        <v>900</v>
      </c>
      <c r="F667" s="493">
        <v>16929</v>
      </c>
      <c r="G667" s="105" t="s">
        <v>33</v>
      </c>
      <c r="H667" s="105" t="s">
        <v>342</v>
      </c>
      <c r="I667" s="105" t="s">
        <v>334</v>
      </c>
      <c r="J667" s="493">
        <v>562213</v>
      </c>
      <c r="K667" s="493">
        <v>4</v>
      </c>
      <c r="L667" s="105" t="s">
        <v>766</v>
      </c>
      <c r="M667" s="105" t="s">
        <v>360</v>
      </c>
      <c r="N667" s="105" t="s">
        <v>230</v>
      </c>
      <c r="O667" s="105" t="s">
        <v>232</v>
      </c>
      <c r="P667" s="105" t="s">
        <v>388</v>
      </c>
      <c r="Q667" s="494">
        <v>406950</v>
      </c>
      <c r="R667" s="494">
        <v>406950</v>
      </c>
      <c r="S667" s="494">
        <v>5738983</v>
      </c>
      <c r="T667" s="494">
        <v>5738983</v>
      </c>
      <c r="U667" s="494">
        <v>307539.8</v>
      </c>
      <c r="V667" s="493">
        <v>2024</v>
      </c>
      <c r="W667" s="495"/>
      <c r="X667" s="496" t="str">
        <f t="shared" si="43"/>
        <v/>
      </c>
      <c r="Y667" s="497" t="str">
        <f t="shared" si="42"/>
        <v/>
      </c>
      <c r="Z667" s="497" t="str">
        <f t="shared" si="42"/>
        <v/>
      </c>
    </row>
    <row r="668" spans="1:26" s="82" customFormat="1" ht="32" x14ac:dyDescent="0.4">
      <c r="A668" s="493">
        <v>50290</v>
      </c>
      <c r="B668" s="105" t="s">
        <v>329</v>
      </c>
      <c r="C668" s="493" t="s">
        <v>330</v>
      </c>
      <c r="D668" s="105" t="s">
        <v>899</v>
      </c>
      <c r="E668" s="105" t="s">
        <v>900</v>
      </c>
      <c r="F668" s="493">
        <v>16929</v>
      </c>
      <c r="G668" s="105" t="s">
        <v>33</v>
      </c>
      <c r="H668" s="105" t="s">
        <v>342</v>
      </c>
      <c r="I668" s="105" t="s">
        <v>334</v>
      </c>
      <c r="J668" s="493">
        <v>562213</v>
      </c>
      <c r="K668" s="493">
        <v>4</v>
      </c>
      <c r="L668" s="105" t="s">
        <v>766</v>
      </c>
      <c r="M668" s="105" t="s">
        <v>360</v>
      </c>
      <c r="N668" s="105" t="s">
        <v>228</v>
      </c>
      <c r="O668" s="105" t="s">
        <v>228</v>
      </c>
      <c r="P668" s="105" t="s">
        <v>356</v>
      </c>
      <c r="Q668" s="494">
        <v>163034</v>
      </c>
      <c r="R668" s="494">
        <v>163034</v>
      </c>
      <c r="S668" s="494">
        <v>163034</v>
      </c>
      <c r="T668" s="494">
        <v>163034</v>
      </c>
      <c r="U668" s="494">
        <v>8725.6209999999992</v>
      </c>
      <c r="V668" s="493">
        <v>2024</v>
      </c>
      <c r="W668" s="495"/>
      <c r="X668" s="496" t="str">
        <f t="shared" si="43"/>
        <v/>
      </c>
      <c r="Y668" s="497" t="str">
        <f t="shared" ref="Y668:Z687" si="44">IF(AND($M668=$Y$2,$N668=$Y$3,NOT($Q668=$R668),NOT($U668=0)),IF($K668=5,$S668/($U668+(8/5)*$U668),IF($K668=7,$S668/($U668+(29/25)*$U668),"")),"")</f>
        <v/>
      </c>
      <c r="Z668" s="497" t="str">
        <f t="shared" si="44"/>
        <v/>
      </c>
    </row>
    <row r="669" spans="1:26" s="82" customFormat="1" x14ac:dyDescent="0.4">
      <c r="A669" s="493">
        <v>50292</v>
      </c>
      <c r="B669" s="105" t="s">
        <v>329</v>
      </c>
      <c r="C669" s="493" t="s">
        <v>330</v>
      </c>
      <c r="D669" s="105" t="s">
        <v>901</v>
      </c>
      <c r="E669" s="105" t="s">
        <v>902</v>
      </c>
      <c r="F669" s="493">
        <v>24457</v>
      </c>
      <c r="G669" s="105" t="s">
        <v>52</v>
      </c>
      <c r="H669" s="105" t="s">
        <v>333</v>
      </c>
      <c r="I669" s="105" t="s">
        <v>334</v>
      </c>
      <c r="J669" s="493">
        <v>22</v>
      </c>
      <c r="K669" s="493">
        <v>2</v>
      </c>
      <c r="L669" s="105" t="s">
        <v>343</v>
      </c>
      <c r="M669" s="105" t="s">
        <v>380</v>
      </c>
      <c r="N669" s="105" t="s">
        <v>226</v>
      </c>
      <c r="O669" s="105" t="s">
        <v>226</v>
      </c>
      <c r="P669" s="105" t="s">
        <v>350</v>
      </c>
      <c r="Q669" s="494">
        <v>0</v>
      </c>
      <c r="R669" s="494">
        <v>0</v>
      </c>
      <c r="S669" s="494">
        <v>0</v>
      </c>
      <c r="T669" s="494">
        <v>0</v>
      </c>
      <c r="U669" s="494">
        <v>0</v>
      </c>
      <c r="V669" s="493">
        <v>2024</v>
      </c>
      <c r="W669" s="495" t="s">
        <v>355</v>
      </c>
      <c r="X669" s="496" t="str">
        <f t="shared" si="43"/>
        <v/>
      </c>
      <c r="Y669" s="497" t="str">
        <f t="shared" si="44"/>
        <v/>
      </c>
      <c r="Z669" s="497" t="str">
        <f t="shared" si="44"/>
        <v/>
      </c>
    </row>
    <row r="670" spans="1:26" s="82" customFormat="1" x14ac:dyDescent="0.4">
      <c r="A670" s="493">
        <v>50292</v>
      </c>
      <c r="B670" s="105" t="s">
        <v>329</v>
      </c>
      <c r="C670" s="493" t="s">
        <v>330</v>
      </c>
      <c r="D670" s="105" t="s">
        <v>901</v>
      </c>
      <c r="E670" s="105" t="s">
        <v>902</v>
      </c>
      <c r="F670" s="493">
        <v>24457</v>
      </c>
      <c r="G670" s="105" t="s">
        <v>52</v>
      </c>
      <c r="H670" s="105" t="s">
        <v>333</v>
      </c>
      <c r="I670" s="105" t="s">
        <v>334</v>
      </c>
      <c r="J670" s="493">
        <v>22</v>
      </c>
      <c r="K670" s="493">
        <v>2</v>
      </c>
      <c r="L670" s="105" t="s">
        <v>343</v>
      </c>
      <c r="M670" s="105" t="s">
        <v>380</v>
      </c>
      <c r="N670" s="105" t="s">
        <v>228</v>
      </c>
      <c r="O670" s="105" t="s">
        <v>228</v>
      </c>
      <c r="P670" s="105" t="s">
        <v>356</v>
      </c>
      <c r="Q670" s="494">
        <v>348848</v>
      </c>
      <c r="R670" s="494">
        <v>348848</v>
      </c>
      <c r="S670" s="494">
        <v>359334</v>
      </c>
      <c r="T670" s="494">
        <v>359334</v>
      </c>
      <c r="U670" s="494">
        <v>117635</v>
      </c>
      <c r="V670" s="493">
        <v>2024</v>
      </c>
      <c r="W670" s="495" t="s">
        <v>355</v>
      </c>
      <c r="X670" s="496">
        <f t="shared" si="43"/>
        <v>3.0546521018404387</v>
      </c>
      <c r="Y670" s="497" t="str">
        <f t="shared" si="44"/>
        <v/>
      </c>
      <c r="Z670" s="497" t="str">
        <f t="shared" si="44"/>
        <v/>
      </c>
    </row>
    <row r="671" spans="1:26" s="82" customFormat="1" x14ac:dyDescent="0.4">
      <c r="A671" s="493">
        <v>50292</v>
      </c>
      <c r="B671" s="105" t="s">
        <v>329</v>
      </c>
      <c r="C671" s="493" t="s">
        <v>330</v>
      </c>
      <c r="D671" s="105" t="s">
        <v>901</v>
      </c>
      <c r="E671" s="105" t="s">
        <v>902</v>
      </c>
      <c r="F671" s="493">
        <v>24457</v>
      </c>
      <c r="G671" s="105" t="s">
        <v>52</v>
      </c>
      <c r="H671" s="105" t="s">
        <v>333</v>
      </c>
      <c r="I671" s="105" t="s">
        <v>334</v>
      </c>
      <c r="J671" s="493">
        <v>22</v>
      </c>
      <c r="K671" s="493">
        <v>2</v>
      </c>
      <c r="L671" s="105" t="s">
        <v>343</v>
      </c>
      <c r="M671" s="105" t="s">
        <v>37</v>
      </c>
      <c r="N671" s="105" t="s">
        <v>226</v>
      </c>
      <c r="O671" s="105" t="s">
        <v>226</v>
      </c>
      <c r="P671" s="105" t="s">
        <v>350</v>
      </c>
      <c r="Q671" s="494">
        <v>0</v>
      </c>
      <c r="R671" s="494">
        <v>0</v>
      </c>
      <c r="S671" s="494">
        <v>0</v>
      </c>
      <c r="T671" s="494">
        <v>0</v>
      </c>
      <c r="U671" s="494">
        <v>0</v>
      </c>
      <c r="V671" s="493">
        <v>2024</v>
      </c>
      <c r="W671" s="495" t="s">
        <v>355</v>
      </c>
      <c r="X671" s="496" t="str">
        <f t="shared" si="43"/>
        <v/>
      </c>
      <c r="Y671" s="497" t="str">
        <f t="shared" si="44"/>
        <v/>
      </c>
      <c r="Z671" s="497" t="str">
        <f t="shared" si="44"/>
        <v/>
      </c>
    </row>
    <row r="672" spans="1:26" s="82" customFormat="1" x14ac:dyDescent="0.4">
      <c r="A672" s="493">
        <v>50292</v>
      </c>
      <c r="B672" s="105" t="s">
        <v>329</v>
      </c>
      <c r="C672" s="493" t="s">
        <v>330</v>
      </c>
      <c r="D672" s="105" t="s">
        <v>901</v>
      </c>
      <c r="E672" s="105" t="s">
        <v>902</v>
      </c>
      <c r="F672" s="493">
        <v>24457</v>
      </c>
      <c r="G672" s="105" t="s">
        <v>52</v>
      </c>
      <c r="H672" s="105" t="s">
        <v>333</v>
      </c>
      <c r="I672" s="105" t="s">
        <v>334</v>
      </c>
      <c r="J672" s="493">
        <v>22</v>
      </c>
      <c r="K672" s="493">
        <v>2</v>
      </c>
      <c r="L672" s="105" t="s">
        <v>343</v>
      </c>
      <c r="M672" s="105" t="s">
        <v>37</v>
      </c>
      <c r="N672" s="105" t="s">
        <v>228</v>
      </c>
      <c r="O672" s="105" t="s">
        <v>228</v>
      </c>
      <c r="P672" s="105" t="s">
        <v>356</v>
      </c>
      <c r="Q672" s="494">
        <v>3679692</v>
      </c>
      <c r="R672" s="494">
        <v>3679692</v>
      </c>
      <c r="S672" s="494">
        <v>3789754</v>
      </c>
      <c r="T672" s="494">
        <v>3789754</v>
      </c>
      <c r="U672" s="494">
        <v>348951</v>
      </c>
      <c r="V672" s="493">
        <v>2024</v>
      </c>
      <c r="W672" s="495" t="s">
        <v>355</v>
      </c>
      <c r="X672" s="496">
        <f t="shared" si="43"/>
        <v>10.860418798054742</v>
      </c>
      <c r="Y672" s="497" t="str">
        <f t="shared" si="44"/>
        <v/>
      </c>
      <c r="Z672" s="497" t="str">
        <f t="shared" si="44"/>
        <v/>
      </c>
    </row>
    <row r="673" spans="1:26" s="82" customFormat="1" x14ac:dyDescent="0.4">
      <c r="A673" s="493">
        <v>50292</v>
      </c>
      <c r="B673" s="105" t="s">
        <v>329</v>
      </c>
      <c r="C673" s="493" t="s">
        <v>330</v>
      </c>
      <c r="D673" s="105" t="s">
        <v>901</v>
      </c>
      <c r="E673" s="105" t="s">
        <v>902</v>
      </c>
      <c r="F673" s="493">
        <v>24457</v>
      </c>
      <c r="G673" s="105" t="s">
        <v>52</v>
      </c>
      <c r="H673" s="105" t="s">
        <v>333</v>
      </c>
      <c r="I673" s="105" t="s">
        <v>334</v>
      </c>
      <c r="J673" s="493">
        <v>22</v>
      </c>
      <c r="K673" s="493">
        <v>2</v>
      </c>
      <c r="L673" s="105" t="s">
        <v>343</v>
      </c>
      <c r="M673" s="105" t="s">
        <v>295</v>
      </c>
      <c r="N673" s="105" t="s">
        <v>228</v>
      </c>
      <c r="O673" s="105" t="s">
        <v>228</v>
      </c>
      <c r="P673" s="105" t="s">
        <v>356</v>
      </c>
      <c r="Q673" s="494">
        <v>1063730</v>
      </c>
      <c r="R673" s="494">
        <v>1063730</v>
      </c>
      <c r="S673" s="494">
        <v>1095642</v>
      </c>
      <c r="T673" s="494">
        <v>1095642</v>
      </c>
      <c r="U673" s="494">
        <v>106882</v>
      </c>
      <c r="V673" s="493">
        <v>2024</v>
      </c>
      <c r="W673" s="495" t="s">
        <v>355</v>
      </c>
      <c r="X673" s="496">
        <f t="shared" si="43"/>
        <v>10.250949645403342</v>
      </c>
      <c r="Y673" s="497" t="str">
        <f t="shared" si="44"/>
        <v/>
      </c>
      <c r="Z673" s="497" t="str">
        <f t="shared" si="44"/>
        <v/>
      </c>
    </row>
    <row r="674" spans="1:26" s="82" customFormat="1" x14ac:dyDescent="0.4">
      <c r="A674" s="493">
        <v>50292</v>
      </c>
      <c r="B674" s="105" t="s">
        <v>329</v>
      </c>
      <c r="C674" s="493" t="s">
        <v>330</v>
      </c>
      <c r="D674" s="105" t="s">
        <v>901</v>
      </c>
      <c r="E674" s="105" t="s">
        <v>902</v>
      </c>
      <c r="F674" s="493">
        <v>24457</v>
      </c>
      <c r="G674" s="105" t="s">
        <v>52</v>
      </c>
      <c r="H674" s="105" t="s">
        <v>333</v>
      </c>
      <c r="I674" s="105" t="s">
        <v>334</v>
      </c>
      <c r="J674" s="493">
        <v>22</v>
      </c>
      <c r="K674" s="493">
        <v>2</v>
      </c>
      <c r="L674" s="105" t="s">
        <v>343</v>
      </c>
      <c r="M674" s="105" t="s">
        <v>359</v>
      </c>
      <c r="N674" s="105" t="s">
        <v>226</v>
      </c>
      <c r="O674" s="105" t="s">
        <v>226</v>
      </c>
      <c r="P674" s="105" t="s">
        <v>350</v>
      </c>
      <c r="Q674" s="494">
        <v>0</v>
      </c>
      <c r="R674" s="494">
        <v>0</v>
      </c>
      <c r="S674" s="494">
        <v>0</v>
      </c>
      <c r="T674" s="494">
        <v>0</v>
      </c>
      <c r="U674" s="494">
        <v>0</v>
      </c>
      <c r="V674" s="493">
        <v>2024</v>
      </c>
      <c r="W674" s="495"/>
      <c r="X674" s="496" t="str">
        <f t="shared" si="43"/>
        <v/>
      </c>
      <c r="Y674" s="497" t="str">
        <f t="shared" si="44"/>
        <v/>
      </c>
      <c r="Z674" s="497" t="str">
        <f t="shared" si="44"/>
        <v/>
      </c>
    </row>
    <row r="675" spans="1:26" s="82" customFormat="1" ht="32" x14ac:dyDescent="0.4">
      <c r="A675" s="493">
        <v>50312</v>
      </c>
      <c r="B675" s="105" t="s">
        <v>329</v>
      </c>
      <c r="C675" s="493" t="s">
        <v>330</v>
      </c>
      <c r="D675" s="105" t="s">
        <v>903</v>
      </c>
      <c r="E675" s="105" t="s">
        <v>592</v>
      </c>
      <c r="F675" s="493">
        <v>57280</v>
      </c>
      <c r="G675" s="105" t="s">
        <v>35</v>
      </c>
      <c r="H675" s="105" t="s">
        <v>342</v>
      </c>
      <c r="I675" s="105" t="s">
        <v>334</v>
      </c>
      <c r="J675" s="493">
        <v>22</v>
      </c>
      <c r="K675" s="493">
        <v>2</v>
      </c>
      <c r="L675" s="105" t="s">
        <v>343</v>
      </c>
      <c r="M675" s="105" t="s">
        <v>336</v>
      </c>
      <c r="N675" s="105" t="s">
        <v>337</v>
      </c>
      <c r="O675" s="105" t="s">
        <v>338</v>
      </c>
      <c r="P675" s="105" t="s">
        <v>339</v>
      </c>
      <c r="Q675" s="494">
        <v>0</v>
      </c>
      <c r="R675" s="494">
        <v>0</v>
      </c>
      <c r="S675" s="494">
        <v>25256</v>
      </c>
      <c r="T675" s="494">
        <v>25256</v>
      </c>
      <c r="U675" s="494">
        <v>7402</v>
      </c>
      <c r="V675" s="493">
        <v>2024</v>
      </c>
      <c r="W675" s="495"/>
      <c r="X675" s="496">
        <f t="shared" si="43"/>
        <v>3.4120507970818696</v>
      </c>
      <c r="Y675" s="497" t="str">
        <f t="shared" si="44"/>
        <v/>
      </c>
      <c r="Z675" s="497" t="str">
        <f t="shared" si="44"/>
        <v/>
      </c>
    </row>
    <row r="676" spans="1:26" s="82" customFormat="1" ht="32" x14ac:dyDescent="0.4">
      <c r="A676" s="493">
        <v>50315</v>
      </c>
      <c r="B676" s="105" t="s">
        <v>329</v>
      </c>
      <c r="C676" s="493" t="s">
        <v>330</v>
      </c>
      <c r="D676" s="105" t="s">
        <v>904</v>
      </c>
      <c r="E676" s="105" t="s">
        <v>905</v>
      </c>
      <c r="F676" s="493">
        <v>24979</v>
      </c>
      <c r="G676" s="105" t="s">
        <v>52</v>
      </c>
      <c r="H676" s="105" t="s">
        <v>333</v>
      </c>
      <c r="I676" s="105" t="s">
        <v>334</v>
      </c>
      <c r="J676" s="493">
        <v>22</v>
      </c>
      <c r="K676" s="493">
        <v>2</v>
      </c>
      <c r="L676" s="105" t="s">
        <v>343</v>
      </c>
      <c r="M676" s="105" t="s">
        <v>336</v>
      </c>
      <c r="N676" s="105" t="s">
        <v>337</v>
      </c>
      <c r="O676" s="105" t="s">
        <v>338</v>
      </c>
      <c r="P676" s="105" t="s">
        <v>339</v>
      </c>
      <c r="Q676" s="494">
        <v>0</v>
      </c>
      <c r="R676" s="494">
        <v>0</v>
      </c>
      <c r="S676" s="494">
        <v>15179</v>
      </c>
      <c r="T676" s="494">
        <v>15179</v>
      </c>
      <c r="U676" s="494">
        <v>4449</v>
      </c>
      <c r="V676" s="493">
        <v>2024</v>
      </c>
      <c r="W676" s="495"/>
      <c r="X676" s="496">
        <f t="shared" si="43"/>
        <v>3.4117779276241853</v>
      </c>
      <c r="Y676" s="497" t="str">
        <f t="shared" si="44"/>
        <v/>
      </c>
      <c r="Z676" s="497" t="str">
        <f t="shared" si="44"/>
        <v/>
      </c>
    </row>
    <row r="677" spans="1:26" s="82" customFormat="1" ht="32" x14ac:dyDescent="0.4">
      <c r="A677" s="493">
        <v>50324</v>
      </c>
      <c r="B677" s="105" t="s">
        <v>329</v>
      </c>
      <c r="C677" s="493" t="s">
        <v>330</v>
      </c>
      <c r="D677" s="105" t="s">
        <v>906</v>
      </c>
      <c r="E677" s="105" t="s">
        <v>592</v>
      </c>
      <c r="F677" s="493">
        <v>57280</v>
      </c>
      <c r="G677" s="105" t="s">
        <v>35</v>
      </c>
      <c r="H677" s="105" t="s">
        <v>342</v>
      </c>
      <c r="I677" s="105" t="s">
        <v>334</v>
      </c>
      <c r="J677" s="493">
        <v>22</v>
      </c>
      <c r="K677" s="493">
        <v>2</v>
      </c>
      <c r="L677" s="105" t="s">
        <v>343</v>
      </c>
      <c r="M677" s="105" t="s">
        <v>336</v>
      </c>
      <c r="N677" s="105" t="s">
        <v>337</v>
      </c>
      <c r="O677" s="105" t="s">
        <v>338</v>
      </c>
      <c r="P677" s="105" t="s">
        <v>339</v>
      </c>
      <c r="Q677" s="494">
        <v>0</v>
      </c>
      <c r="R677" s="494">
        <v>0</v>
      </c>
      <c r="S677" s="494">
        <v>13931</v>
      </c>
      <c r="T677" s="494">
        <v>13931</v>
      </c>
      <c r="U677" s="494">
        <v>4083</v>
      </c>
      <c r="V677" s="493">
        <v>2024</v>
      </c>
      <c r="W677" s="495"/>
      <c r="X677" s="496">
        <f t="shared" si="43"/>
        <v>3.4119519960813127</v>
      </c>
      <c r="Y677" s="497" t="str">
        <f t="shared" si="44"/>
        <v/>
      </c>
      <c r="Z677" s="497" t="str">
        <f t="shared" si="44"/>
        <v/>
      </c>
    </row>
    <row r="678" spans="1:26" s="82" customFormat="1" x14ac:dyDescent="0.4">
      <c r="A678" s="493">
        <v>50351</v>
      </c>
      <c r="B678" s="105" t="s">
        <v>329</v>
      </c>
      <c r="C678" s="493" t="s">
        <v>330</v>
      </c>
      <c r="D678" s="105" t="s">
        <v>907</v>
      </c>
      <c r="E678" s="105" t="s">
        <v>908</v>
      </c>
      <c r="F678" s="493">
        <v>24793</v>
      </c>
      <c r="G678" s="105" t="s">
        <v>35</v>
      </c>
      <c r="H678" s="105" t="s">
        <v>342</v>
      </c>
      <c r="I678" s="105" t="s">
        <v>334</v>
      </c>
      <c r="J678" s="493">
        <v>22</v>
      </c>
      <c r="K678" s="493">
        <v>2</v>
      </c>
      <c r="L678" s="105" t="s">
        <v>343</v>
      </c>
      <c r="M678" s="105" t="s">
        <v>336</v>
      </c>
      <c r="N678" s="105" t="s">
        <v>337</v>
      </c>
      <c r="O678" s="105" t="s">
        <v>338</v>
      </c>
      <c r="P678" s="105" t="s">
        <v>339</v>
      </c>
      <c r="Q678" s="494">
        <v>0</v>
      </c>
      <c r="R678" s="494">
        <v>0</v>
      </c>
      <c r="S678" s="494">
        <v>58864</v>
      </c>
      <c r="T678" s="494">
        <v>58864</v>
      </c>
      <c r="U678" s="494">
        <v>17252</v>
      </c>
      <c r="V678" s="493">
        <v>2024</v>
      </c>
      <c r="W678" s="495"/>
      <c r="X678" s="496">
        <f t="shared" si="43"/>
        <v>3.4120102017157432</v>
      </c>
      <c r="Y678" s="497" t="str">
        <f t="shared" si="44"/>
        <v/>
      </c>
      <c r="Z678" s="497" t="str">
        <f t="shared" si="44"/>
        <v/>
      </c>
    </row>
    <row r="679" spans="1:26" s="82" customFormat="1" x14ac:dyDescent="0.4">
      <c r="A679" s="493">
        <v>50353</v>
      </c>
      <c r="B679" s="105" t="s">
        <v>329</v>
      </c>
      <c r="C679" s="493" t="s">
        <v>330</v>
      </c>
      <c r="D679" s="105" t="s">
        <v>909</v>
      </c>
      <c r="E679" s="105" t="s">
        <v>908</v>
      </c>
      <c r="F679" s="493">
        <v>24793</v>
      </c>
      <c r="G679" s="105" t="s">
        <v>35</v>
      </c>
      <c r="H679" s="105" t="s">
        <v>342</v>
      </c>
      <c r="I679" s="105" t="s">
        <v>334</v>
      </c>
      <c r="J679" s="493">
        <v>22</v>
      </c>
      <c r="K679" s="493">
        <v>2</v>
      </c>
      <c r="L679" s="105" t="s">
        <v>343</v>
      </c>
      <c r="M679" s="105" t="s">
        <v>336</v>
      </c>
      <c r="N679" s="105" t="s">
        <v>337</v>
      </c>
      <c r="O679" s="105" t="s">
        <v>338</v>
      </c>
      <c r="P679" s="105" t="s">
        <v>339</v>
      </c>
      <c r="Q679" s="494">
        <v>0</v>
      </c>
      <c r="R679" s="494">
        <v>0</v>
      </c>
      <c r="S679" s="494">
        <v>56758</v>
      </c>
      <c r="T679" s="494">
        <v>56758</v>
      </c>
      <c r="U679" s="494">
        <v>16635</v>
      </c>
      <c r="V679" s="493">
        <v>2024</v>
      </c>
      <c r="W679" s="495"/>
      <c r="X679" s="496">
        <f t="shared" si="43"/>
        <v>3.4119627291854524</v>
      </c>
      <c r="Y679" s="497" t="str">
        <f t="shared" si="44"/>
        <v/>
      </c>
      <c r="Z679" s="497" t="str">
        <f t="shared" si="44"/>
        <v/>
      </c>
    </row>
    <row r="680" spans="1:26" s="82" customFormat="1" ht="32" x14ac:dyDescent="0.4">
      <c r="A680" s="493">
        <v>50354</v>
      </c>
      <c r="B680" s="105" t="s">
        <v>329</v>
      </c>
      <c r="C680" s="493" t="s">
        <v>330</v>
      </c>
      <c r="D680" s="105" t="s">
        <v>910</v>
      </c>
      <c r="E680" s="105" t="s">
        <v>592</v>
      </c>
      <c r="F680" s="493">
        <v>57280</v>
      </c>
      <c r="G680" s="105" t="s">
        <v>52</v>
      </c>
      <c r="H680" s="105" t="s">
        <v>333</v>
      </c>
      <c r="I680" s="105" t="s">
        <v>334</v>
      </c>
      <c r="J680" s="493">
        <v>22</v>
      </c>
      <c r="K680" s="493">
        <v>2</v>
      </c>
      <c r="L680" s="105" t="s">
        <v>343</v>
      </c>
      <c r="M680" s="105" t="s">
        <v>336</v>
      </c>
      <c r="N680" s="105" t="s">
        <v>337</v>
      </c>
      <c r="O680" s="105" t="s">
        <v>338</v>
      </c>
      <c r="P680" s="105" t="s">
        <v>339</v>
      </c>
      <c r="Q680" s="494">
        <v>0</v>
      </c>
      <c r="R680" s="494">
        <v>0</v>
      </c>
      <c r="S680" s="494">
        <v>21489</v>
      </c>
      <c r="T680" s="494">
        <v>21489</v>
      </c>
      <c r="U680" s="494">
        <v>6298</v>
      </c>
      <c r="V680" s="493">
        <v>2024</v>
      </c>
      <c r="W680" s="495"/>
      <c r="X680" s="496">
        <f t="shared" si="43"/>
        <v>3.412035566846618</v>
      </c>
      <c r="Y680" s="497" t="str">
        <f t="shared" si="44"/>
        <v/>
      </c>
      <c r="Z680" s="497" t="str">
        <f t="shared" si="44"/>
        <v/>
      </c>
    </row>
    <row r="681" spans="1:26" s="82" customFormat="1" ht="32" x14ac:dyDescent="0.4">
      <c r="A681" s="493">
        <v>50365</v>
      </c>
      <c r="B681" s="105" t="s">
        <v>329</v>
      </c>
      <c r="C681" s="493" t="s">
        <v>330</v>
      </c>
      <c r="D681" s="105" t="s">
        <v>911</v>
      </c>
      <c r="E681" s="105" t="s">
        <v>912</v>
      </c>
      <c r="F681" s="493">
        <v>56889</v>
      </c>
      <c r="G681" s="105" t="s">
        <v>38</v>
      </c>
      <c r="H681" s="105" t="s">
        <v>342</v>
      </c>
      <c r="I681" s="105" t="s">
        <v>334</v>
      </c>
      <c r="J681" s="493">
        <v>22</v>
      </c>
      <c r="K681" s="493">
        <v>2</v>
      </c>
      <c r="L681" s="105" t="s">
        <v>343</v>
      </c>
      <c r="M681" s="105" t="s">
        <v>359</v>
      </c>
      <c r="N681" s="105" t="s">
        <v>252</v>
      </c>
      <c r="O681" s="105" t="s">
        <v>688</v>
      </c>
      <c r="P681" s="105" t="s">
        <v>356</v>
      </c>
      <c r="Q681" s="494">
        <v>258320</v>
      </c>
      <c r="R681" s="494">
        <v>258320</v>
      </c>
      <c r="S681" s="494">
        <v>129164</v>
      </c>
      <c r="T681" s="494">
        <v>129164</v>
      </c>
      <c r="U681" s="494">
        <v>1463</v>
      </c>
      <c r="V681" s="493">
        <v>2024</v>
      </c>
      <c r="W681" s="495"/>
      <c r="X681" s="496">
        <f t="shared" si="43"/>
        <v>88.287081339712913</v>
      </c>
      <c r="Y681" s="497" t="str">
        <f t="shared" si="44"/>
        <v/>
      </c>
      <c r="Z681" s="497" t="str">
        <f t="shared" si="44"/>
        <v/>
      </c>
    </row>
    <row r="682" spans="1:26" s="82" customFormat="1" ht="32" x14ac:dyDescent="0.4">
      <c r="A682" s="493">
        <v>50368</v>
      </c>
      <c r="B682" s="105" t="s">
        <v>433</v>
      </c>
      <c r="C682" s="493" t="s">
        <v>330</v>
      </c>
      <c r="D682" s="105" t="s">
        <v>913</v>
      </c>
      <c r="E682" s="105" t="s">
        <v>914</v>
      </c>
      <c r="F682" s="493">
        <v>21508</v>
      </c>
      <c r="G682" s="105" t="s">
        <v>52</v>
      </c>
      <c r="H682" s="105" t="s">
        <v>333</v>
      </c>
      <c r="I682" s="105" t="s">
        <v>334</v>
      </c>
      <c r="J682" s="493">
        <v>611</v>
      </c>
      <c r="K682" s="493">
        <v>5</v>
      </c>
      <c r="L682" s="105" t="s">
        <v>771</v>
      </c>
      <c r="M682" s="105" t="s">
        <v>380</v>
      </c>
      <c r="N682" s="105" t="s">
        <v>226</v>
      </c>
      <c r="O682" s="105" t="s">
        <v>226</v>
      </c>
      <c r="P682" s="105" t="s">
        <v>350</v>
      </c>
      <c r="Q682" s="494">
        <v>249</v>
      </c>
      <c r="R682" s="494">
        <v>6</v>
      </c>
      <c r="S682" s="494">
        <v>1420</v>
      </c>
      <c r="T682" s="494">
        <v>40</v>
      </c>
      <c r="U682" s="494">
        <v>8.7319999999999993</v>
      </c>
      <c r="V682" s="493">
        <v>2024</v>
      </c>
      <c r="W682" s="495"/>
      <c r="X682" s="496" t="str">
        <f t="shared" si="43"/>
        <v/>
      </c>
      <c r="Y682" s="497" t="str">
        <f t="shared" si="44"/>
        <v/>
      </c>
      <c r="Z682" s="497" t="str">
        <f t="shared" si="44"/>
        <v/>
      </c>
    </row>
    <row r="683" spans="1:26" s="82" customFormat="1" ht="32" x14ac:dyDescent="0.4">
      <c r="A683" s="493">
        <v>50368</v>
      </c>
      <c r="B683" s="105" t="s">
        <v>433</v>
      </c>
      <c r="C683" s="493" t="s">
        <v>330</v>
      </c>
      <c r="D683" s="105" t="s">
        <v>913</v>
      </c>
      <c r="E683" s="105" t="s">
        <v>914</v>
      </c>
      <c r="F683" s="493">
        <v>21508</v>
      </c>
      <c r="G683" s="105" t="s">
        <v>52</v>
      </c>
      <c r="H683" s="105" t="s">
        <v>333</v>
      </c>
      <c r="I683" s="105" t="s">
        <v>334</v>
      </c>
      <c r="J683" s="493">
        <v>611</v>
      </c>
      <c r="K683" s="493">
        <v>5</v>
      </c>
      <c r="L683" s="105" t="s">
        <v>771</v>
      </c>
      <c r="M683" s="105" t="s">
        <v>380</v>
      </c>
      <c r="N683" s="105" t="s">
        <v>228</v>
      </c>
      <c r="O683" s="105" t="s">
        <v>228</v>
      </c>
      <c r="P683" s="105" t="s">
        <v>356</v>
      </c>
      <c r="Q683" s="494">
        <v>309260</v>
      </c>
      <c r="R683" s="494">
        <v>63782</v>
      </c>
      <c r="S683" s="494">
        <v>318538</v>
      </c>
      <c r="T683" s="494">
        <v>65694</v>
      </c>
      <c r="U683" s="494">
        <v>14440.268</v>
      </c>
      <c r="V683" s="493">
        <v>2024</v>
      </c>
      <c r="W683" s="495"/>
      <c r="X683" s="496" t="str">
        <f t="shared" si="43"/>
        <v/>
      </c>
      <c r="Y683" s="497" t="str">
        <f t="shared" si="44"/>
        <v/>
      </c>
      <c r="Z683" s="497" t="str">
        <f t="shared" si="44"/>
        <v/>
      </c>
    </row>
    <row r="684" spans="1:26" s="82" customFormat="1" ht="32" x14ac:dyDescent="0.4">
      <c r="A684" s="493">
        <v>50368</v>
      </c>
      <c r="B684" s="105" t="s">
        <v>433</v>
      </c>
      <c r="C684" s="493" t="s">
        <v>330</v>
      </c>
      <c r="D684" s="105" t="s">
        <v>913</v>
      </c>
      <c r="E684" s="105" t="s">
        <v>914</v>
      </c>
      <c r="F684" s="493">
        <v>21508</v>
      </c>
      <c r="G684" s="105" t="s">
        <v>52</v>
      </c>
      <c r="H684" s="105" t="s">
        <v>333</v>
      </c>
      <c r="I684" s="105" t="s">
        <v>334</v>
      </c>
      <c r="J684" s="493">
        <v>611</v>
      </c>
      <c r="K684" s="493">
        <v>5</v>
      </c>
      <c r="L684" s="105" t="s">
        <v>771</v>
      </c>
      <c r="M684" s="105" t="s">
        <v>37</v>
      </c>
      <c r="N684" s="105" t="s">
        <v>222</v>
      </c>
      <c r="O684" s="105" t="s">
        <v>479</v>
      </c>
      <c r="P684" s="105" t="s">
        <v>388</v>
      </c>
      <c r="Q684" s="494">
        <v>0</v>
      </c>
      <c r="R684" s="494">
        <v>0</v>
      </c>
      <c r="S684" s="494">
        <v>0</v>
      </c>
      <c r="T684" s="494">
        <v>0</v>
      </c>
      <c r="U684" s="494">
        <v>0</v>
      </c>
      <c r="V684" s="493">
        <v>2024</v>
      </c>
      <c r="W684" s="495"/>
      <c r="X684" s="496" t="str">
        <f t="shared" si="43"/>
        <v/>
      </c>
      <c r="Y684" s="497" t="str">
        <f t="shared" si="44"/>
        <v/>
      </c>
      <c r="Z684" s="497" t="str">
        <f t="shared" si="44"/>
        <v/>
      </c>
    </row>
    <row r="685" spans="1:26" s="82" customFormat="1" ht="32" x14ac:dyDescent="0.4">
      <c r="A685" s="493">
        <v>50368</v>
      </c>
      <c r="B685" s="105" t="s">
        <v>433</v>
      </c>
      <c r="C685" s="493" t="s">
        <v>330</v>
      </c>
      <c r="D685" s="105" t="s">
        <v>913</v>
      </c>
      <c r="E685" s="105" t="s">
        <v>914</v>
      </c>
      <c r="F685" s="493">
        <v>21508</v>
      </c>
      <c r="G685" s="105" t="s">
        <v>52</v>
      </c>
      <c r="H685" s="105" t="s">
        <v>333</v>
      </c>
      <c r="I685" s="105" t="s">
        <v>334</v>
      </c>
      <c r="J685" s="493">
        <v>611</v>
      </c>
      <c r="K685" s="493">
        <v>5</v>
      </c>
      <c r="L685" s="105" t="s">
        <v>771</v>
      </c>
      <c r="M685" s="105" t="s">
        <v>37</v>
      </c>
      <c r="N685" s="105" t="s">
        <v>226</v>
      </c>
      <c r="O685" s="105" t="s">
        <v>226</v>
      </c>
      <c r="P685" s="105" t="s">
        <v>350</v>
      </c>
      <c r="Q685" s="494">
        <v>37</v>
      </c>
      <c r="R685" s="494">
        <v>14</v>
      </c>
      <c r="S685" s="494">
        <v>214</v>
      </c>
      <c r="T685" s="494">
        <v>84</v>
      </c>
      <c r="U685" s="494">
        <v>18.442</v>
      </c>
      <c r="V685" s="493">
        <v>2024</v>
      </c>
      <c r="W685" s="495"/>
      <c r="X685" s="496" t="str">
        <f t="shared" si="43"/>
        <v/>
      </c>
      <c r="Y685" s="497" t="str">
        <f t="shared" si="44"/>
        <v/>
      </c>
      <c r="Z685" s="497" t="str">
        <f t="shared" si="44"/>
        <v/>
      </c>
    </row>
    <row r="686" spans="1:26" s="82" customFormat="1" ht="32" x14ac:dyDescent="0.4">
      <c r="A686" s="493">
        <v>50368</v>
      </c>
      <c r="B686" s="105" t="s">
        <v>433</v>
      </c>
      <c r="C686" s="493" t="s">
        <v>330</v>
      </c>
      <c r="D686" s="105" t="s">
        <v>913</v>
      </c>
      <c r="E686" s="105" t="s">
        <v>914</v>
      </c>
      <c r="F686" s="493">
        <v>21508</v>
      </c>
      <c r="G686" s="105" t="s">
        <v>52</v>
      </c>
      <c r="H686" s="105" t="s">
        <v>333</v>
      </c>
      <c r="I686" s="105" t="s">
        <v>334</v>
      </c>
      <c r="J686" s="493">
        <v>611</v>
      </c>
      <c r="K686" s="493">
        <v>5</v>
      </c>
      <c r="L686" s="105" t="s">
        <v>771</v>
      </c>
      <c r="M686" s="105" t="s">
        <v>37</v>
      </c>
      <c r="N686" s="105" t="s">
        <v>228</v>
      </c>
      <c r="O686" s="105" t="s">
        <v>228</v>
      </c>
      <c r="P686" s="105" t="s">
        <v>356</v>
      </c>
      <c r="Q686" s="494">
        <v>2308029</v>
      </c>
      <c r="R686" s="494">
        <v>938961</v>
      </c>
      <c r="S686" s="494">
        <v>2377269</v>
      </c>
      <c r="T686" s="494">
        <v>967130</v>
      </c>
      <c r="U686" s="494">
        <v>207876.56</v>
      </c>
      <c r="V686" s="493">
        <v>2024</v>
      </c>
      <c r="W686" s="495"/>
      <c r="X686" s="496" t="str">
        <f t="shared" si="43"/>
        <v/>
      </c>
      <c r="Y686" s="497" t="str">
        <f t="shared" si="44"/>
        <v/>
      </c>
      <c r="Z686" s="497" t="str">
        <f t="shared" si="44"/>
        <v/>
      </c>
    </row>
    <row r="687" spans="1:26" s="82" customFormat="1" ht="32" x14ac:dyDescent="0.4">
      <c r="A687" s="493">
        <v>50368</v>
      </c>
      <c r="B687" s="105" t="s">
        <v>433</v>
      </c>
      <c r="C687" s="493" t="s">
        <v>330</v>
      </c>
      <c r="D687" s="105" t="s">
        <v>913</v>
      </c>
      <c r="E687" s="105" t="s">
        <v>914</v>
      </c>
      <c r="F687" s="493">
        <v>21508</v>
      </c>
      <c r="G687" s="105" t="s">
        <v>52</v>
      </c>
      <c r="H687" s="105" t="s">
        <v>333</v>
      </c>
      <c r="I687" s="105" t="s">
        <v>334</v>
      </c>
      <c r="J687" s="493">
        <v>611</v>
      </c>
      <c r="K687" s="493">
        <v>5</v>
      </c>
      <c r="L687" s="105" t="s">
        <v>771</v>
      </c>
      <c r="M687" s="105" t="s">
        <v>37</v>
      </c>
      <c r="N687" s="105" t="s">
        <v>238</v>
      </c>
      <c r="O687" s="105" t="s">
        <v>238</v>
      </c>
      <c r="P687" s="105" t="s">
        <v>350</v>
      </c>
      <c r="Q687" s="494">
        <v>0</v>
      </c>
      <c r="R687" s="494">
        <v>0</v>
      </c>
      <c r="S687" s="494">
        <v>0</v>
      </c>
      <c r="T687" s="494">
        <v>0</v>
      </c>
      <c r="U687" s="494">
        <v>0</v>
      </c>
      <c r="V687" s="493">
        <v>2024</v>
      </c>
      <c r="W687" s="495"/>
      <c r="X687" s="496" t="str">
        <f t="shared" si="43"/>
        <v/>
      </c>
      <c r="Y687" s="497" t="str">
        <f t="shared" si="44"/>
        <v/>
      </c>
      <c r="Z687" s="497" t="str">
        <f t="shared" si="44"/>
        <v/>
      </c>
    </row>
    <row r="688" spans="1:26" s="82" customFormat="1" ht="32" x14ac:dyDescent="0.4">
      <c r="A688" s="493">
        <v>50368</v>
      </c>
      <c r="B688" s="105" t="s">
        <v>433</v>
      </c>
      <c r="C688" s="493" t="s">
        <v>330</v>
      </c>
      <c r="D688" s="105" t="s">
        <v>913</v>
      </c>
      <c r="E688" s="105" t="s">
        <v>914</v>
      </c>
      <c r="F688" s="493">
        <v>21508</v>
      </c>
      <c r="G688" s="105" t="s">
        <v>52</v>
      </c>
      <c r="H688" s="105" t="s">
        <v>333</v>
      </c>
      <c r="I688" s="105" t="s">
        <v>334</v>
      </c>
      <c r="J688" s="493">
        <v>611</v>
      </c>
      <c r="K688" s="493">
        <v>5</v>
      </c>
      <c r="L688" s="105" t="s">
        <v>771</v>
      </c>
      <c r="M688" s="105" t="s">
        <v>359</v>
      </c>
      <c r="N688" s="105" t="s">
        <v>226</v>
      </c>
      <c r="O688" s="105" t="s">
        <v>226</v>
      </c>
      <c r="P688" s="105" t="s">
        <v>350</v>
      </c>
      <c r="Q688" s="494">
        <v>167</v>
      </c>
      <c r="R688" s="494">
        <v>72</v>
      </c>
      <c r="S688" s="494">
        <v>951</v>
      </c>
      <c r="T688" s="494">
        <v>413</v>
      </c>
      <c r="U688" s="494">
        <v>91</v>
      </c>
      <c r="V688" s="493">
        <v>2024</v>
      </c>
      <c r="W688" s="495"/>
      <c r="X688" s="496" t="str">
        <f t="shared" si="43"/>
        <v/>
      </c>
      <c r="Y688" s="497" t="str">
        <f t="shared" ref="Y688:Z707" si="45">IF(AND($M688=$Y$2,$N688=$Y$3,NOT($Q688=$R688),NOT($U688=0)),IF($K688=5,$S688/($U688+(8/5)*$U688),IF($K688=7,$S688/($U688+(29/25)*$U688),"")),"")</f>
        <v/>
      </c>
      <c r="Z688" s="497" t="str">
        <f t="shared" si="45"/>
        <v/>
      </c>
    </row>
    <row r="689" spans="1:26" s="82" customFormat="1" ht="32" x14ac:dyDescent="0.4">
      <c r="A689" s="493">
        <v>50384</v>
      </c>
      <c r="B689" s="105" t="s">
        <v>329</v>
      </c>
      <c r="C689" s="493" t="s">
        <v>330</v>
      </c>
      <c r="D689" s="105" t="s">
        <v>915</v>
      </c>
      <c r="E689" s="105" t="s">
        <v>592</v>
      </c>
      <c r="F689" s="493">
        <v>57280</v>
      </c>
      <c r="G689" s="105" t="s">
        <v>35</v>
      </c>
      <c r="H689" s="105" t="s">
        <v>342</v>
      </c>
      <c r="I689" s="105" t="s">
        <v>334</v>
      </c>
      <c r="J689" s="493">
        <v>22</v>
      </c>
      <c r="K689" s="493">
        <v>2</v>
      </c>
      <c r="L689" s="105" t="s">
        <v>343</v>
      </c>
      <c r="M689" s="105" t="s">
        <v>336</v>
      </c>
      <c r="N689" s="105" t="s">
        <v>337</v>
      </c>
      <c r="O689" s="105" t="s">
        <v>338</v>
      </c>
      <c r="P689" s="105" t="s">
        <v>339</v>
      </c>
      <c r="Q689" s="494">
        <v>0</v>
      </c>
      <c r="R689" s="494">
        <v>0</v>
      </c>
      <c r="S689" s="494">
        <v>30476</v>
      </c>
      <c r="T689" s="494">
        <v>30476</v>
      </c>
      <c r="U689" s="494">
        <v>8932</v>
      </c>
      <c r="V689" s="493">
        <v>2024</v>
      </c>
      <c r="W689" s="495"/>
      <c r="X689" s="496">
        <f t="shared" si="43"/>
        <v>3.4120017913121363</v>
      </c>
      <c r="Y689" s="497" t="str">
        <f t="shared" si="45"/>
        <v/>
      </c>
      <c r="Z689" s="497" t="str">
        <f t="shared" si="45"/>
        <v/>
      </c>
    </row>
    <row r="690" spans="1:26" s="82" customFormat="1" ht="32" x14ac:dyDescent="0.4">
      <c r="A690" s="493">
        <v>50406</v>
      </c>
      <c r="B690" s="105" t="s">
        <v>433</v>
      </c>
      <c r="C690" s="493" t="s">
        <v>330</v>
      </c>
      <c r="D690" s="105" t="s">
        <v>916</v>
      </c>
      <c r="E690" s="105" t="s">
        <v>917</v>
      </c>
      <c r="F690" s="493">
        <v>16190</v>
      </c>
      <c r="G690" s="105" t="s">
        <v>34</v>
      </c>
      <c r="H690" s="105" t="s">
        <v>342</v>
      </c>
      <c r="I690" s="105" t="s">
        <v>334</v>
      </c>
      <c r="J690" s="493">
        <v>322122</v>
      </c>
      <c r="K690" s="493">
        <v>7</v>
      </c>
      <c r="L690" s="105" t="s">
        <v>727</v>
      </c>
      <c r="M690" s="105" t="s">
        <v>360</v>
      </c>
      <c r="N690" s="105" t="s">
        <v>256</v>
      </c>
      <c r="O690" s="105" t="s">
        <v>387</v>
      </c>
      <c r="P690" s="105" t="s">
        <v>388</v>
      </c>
      <c r="Q690" s="494">
        <v>775258</v>
      </c>
      <c r="R690" s="494">
        <v>100930</v>
      </c>
      <c r="S690" s="494">
        <v>8969734</v>
      </c>
      <c r="T690" s="494">
        <v>1167746</v>
      </c>
      <c r="U690" s="494">
        <v>243632.7</v>
      </c>
      <c r="V690" s="493">
        <v>2024</v>
      </c>
      <c r="W690" s="495"/>
      <c r="X690" s="496" t="str">
        <f t="shared" si="43"/>
        <v/>
      </c>
      <c r="Y690" s="497" t="str">
        <f t="shared" si="45"/>
        <v/>
      </c>
      <c r="Z690" s="497" t="str">
        <f t="shared" si="45"/>
        <v/>
      </c>
    </row>
    <row r="691" spans="1:26" s="82" customFormat="1" ht="32" x14ac:dyDescent="0.4">
      <c r="A691" s="493">
        <v>50406</v>
      </c>
      <c r="B691" s="105" t="s">
        <v>433</v>
      </c>
      <c r="C691" s="493" t="s">
        <v>330</v>
      </c>
      <c r="D691" s="105" t="s">
        <v>916</v>
      </c>
      <c r="E691" s="105" t="s">
        <v>917</v>
      </c>
      <c r="F691" s="493">
        <v>16190</v>
      </c>
      <c r="G691" s="105" t="s">
        <v>34</v>
      </c>
      <c r="H691" s="105" t="s">
        <v>342</v>
      </c>
      <c r="I691" s="105" t="s">
        <v>334</v>
      </c>
      <c r="J691" s="493">
        <v>322122</v>
      </c>
      <c r="K691" s="493">
        <v>7</v>
      </c>
      <c r="L691" s="105" t="s">
        <v>727</v>
      </c>
      <c r="M691" s="105" t="s">
        <v>360</v>
      </c>
      <c r="N691" s="105" t="s">
        <v>226</v>
      </c>
      <c r="O691" s="105" t="s">
        <v>226</v>
      </c>
      <c r="P691" s="105" t="s">
        <v>350</v>
      </c>
      <c r="Q691" s="494">
        <v>1823</v>
      </c>
      <c r="R691" s="494">
        <v>220</v>
      </c>
      <c r="S691" s="494">
        <v>10664</v>
      </c>
      <c r="T691" s="494">
        <v>1296</v>
      </c>
      <c r="U691" s="494">
        <v>269.49400000000003</v>
      </c>
      <c r="V691" s="493">
        <v>2024</v>
      </c>
      <c r="W691" s="495"/>
      <c r="X691" s="496" t="str">
        <f t="shared" si="43"/>
        <v/>
      </c>
      <c r="Y691" s="497" t="str">
        <f t="shared" si="45"/>
        <v/>
      </c>
      <c r="Z691" s="497" t="str">
        <f t="shared" si="45"/>
        <v/>
      </c>
    </row>
    <row r="692" spans="1:26" s="82" customFormat="1" ht="32" x14ac:dyDescent="0.4">
      <c r="A692" s="493">
        <v>50406</v>
      </c>
      <c r="B692" s="105" t="s">
        <v>433</v>
      </c>
      <c r="C692" s="493" t="s">
        <v>330</v>
      </c>
      <c r="D692" s="105" t="s">
        <v>916</v>
      </c>
      <c r="E692" s="105" t="s">
        <v>917</v>
      </c>
      <c r="F692" s="493">
        <v>16190</v>
      </c>
      <c r="G692" s="105" t="s">
        <v>34</v>
      </c>
      <c r="H692" s="105" t="s">
        <v>342</v>
      </c>
      <c r="I692" s="105" t="s">
        <v>334</v>
      </c>
      <c r="J692" s="493">
        <v>322122</v>
      </c>
      <c r="K692" s="493">
        <v>7</v>
      </c>
      <c r="L692" s="105" t="s">
        <v>727</v>
      </c>
      <c r="M692" s="105" t="s">
        <v>360</v>
      </c>
      <c r="N692" s="105" t="s">
        <v>228</v>
      </c>
      <c r="O692" s="105" t="s">
        <v>228</v>
      </c>
      <c r="P692" s="105" t="s">
        <v>356</v>
      </c>
      <c r="Q692" s="494">
        <v>1235465</v>
      </c>
      <c r="R692" s="494">
        <v>161869</v>
      </c>
      <c r="S692" s="494">
        <v>1290755</v>
      </c>
      <c r="T692" s="494">
        <v>169097</v>
      </c>
      <c r="U692" s="494">
        <v>35316.697999999997</v>
      </c>
      <c r="V692" s="493">
        <v>2024</v>
      </c>
      <c r="W692" s="495"/>
      <c r="X692" s="496" t="str">
        <f t="shared" si="43"/>
        <v/>
      </c>
      <c r="Y692" s="497" t="str">
        <f t="shared" si="45"/>
        <v/>
      </c>
      <c r="Z692" s="497" t="str">
        <f t="shared" si="45"/>
        <v/>
      </c>
    </row>
    <row r="693" spans="1:26" s="82" customFormat="1" ht="32" x14ac:dyDescent="0.4">
      <c r="A693" s="493">
        <v>50406</v>
      </c>
      <c r="B693" s="105" t="s">
        <v>433</v>
      </c>
      <c r="C693" s="493" t="s">
        <v>330</v>
      </c>
      <c r="D693" s="105" t="s">
        <v>916</v>
      </c>
      <c r="E693" s="105" t="s">
        <v>917</v>
      </c>
      <c r="F693" s="493">
        <v>16190</v>
      </c>
      <c r="G693" s="105" t="s">
        <v>34</v>
      </c>
      <c r="H693" s="105" t="s">
        <v>342</v>
      </c>
      <c r="I693" s="105" t="s">
        <v>334</v>
      </c>
      <c r="J693" s="493">
        <v>322122</v>
      </c>
      <c r="K693" s="493">
        <v>7</v>
      </c>
      <c r="L693" s="105" t="s">
        <v>727</v>
      </c>
      <c r="M693" s="105" t="s">
        <v>360</v>
      </c>
      <c r="N693" s="105" t="s">
        <v>264</v>
      </c>
      <c r="O693" s="105" t="s">
        <v>481</v>
      </c>
      <c r="P693" s="105" t="s">
        <v>350</v>
      </c>
      <c r="Q693" s="494">
        <v>8330</v>
      </c>
      <c r="R693" s="494">
        <v>1071</v>
      </c>
      <c r="S693" s="494">
        <v>17161</v>
      </c>
      <c r="T693" s="494">
        <v>2205</v>
      </c>
      <c r="U693" s="494">
        <v>460.00299999999999</v>
      </c>
      <c r="V693" s="493">
        <v>2024</v>
      </c>
      <c r="W693" s="495"/>
      <c r="X693" s="496" t="str">
        <f t="shared" si="43"/>
        <v/>
      </c>
      <c r="Y693" s="497" t="str">
        <f t="shared" si="45"/>
        <v/>
      </c>
      <c r="Z693" s="497" t="str">
        <f t="shared" si="45"/>
        <v/>
      </c>
    </row>
    <row r="694" spans="1:26" s="82" customFormat="1" ht="32" x14ac:dyDescent="0.4">
      <c r="A694" s="493">
        <v>50406</v>
      </c>
      <c r="B694" s="105" t="s">
        <v>433</v>
      </c>
      <c r="C694" s="493" t="s">
        <v>330</v>
      </c>
      <c r="D694" s="105" t="s">
        <v>916</v>
      </c>
      <c r="E694" s="105" t="s">
        <v>917</v>
      </c>
      <c r="F694" s="493">
        <v>16190</v>
      </c>
      <c r="G694" s="105" t="s">
        <v>34</v>
      </c>
      <c r="H694" s="105" t="s">
        <v>342</v>
      </c>
      <c r="I694" s="105" t="s">
        <v>334</v>
      </c>
      <c r="J694" s="493">
        <v>322122</v>
      </c>
      <c r="K694" s="493">
        <v>7</v>
      </c>
      <c r="L694" s="105" t="s">
        <v>727</v>
      </c>
      <c r="M694" s="105" t="s">
        <v>360</v>
      </c>
      <c r="N694" s="105" t="s">
        <v>238</v>
      </c>
      <c r="O694" s="105" t="s">
        <v>238</v>
      </c>
      <c r="P694" s="105" t="s">
        <v>350</v>
      </c>
      <c r="Q694" s="494">
        <v>75000</v>
      </c>
      <c r="R694" s="494">
        <v>9270</v>
      </c>
      <c r="S694" s="494">
        <v>474750</v>
      </c>
      <c r="T694" s="494">
        <v>58673</v>
      </c>
      <c r="U694" s="494">
        <v>12216.985000000001</v>
      </c>
      <c r="V694" s="493">
        <v>2024</v>
      </c>
      <c r="W694" s="495"/>
      <c r="X694" s="496" t="str">
        <f t="shared" si="43"/>
        <v/>
      </c>
      <c r="Y694" s="497" t="str">
        <f t="shared" si="45"/>
        <v/>
      </c>
      <c r="Z694" s="497" t="str">
        <f t="shared" si="45"/>
        <v/>
      </c>
    </row>
    <row r="695" spans="1:26" s="82" customFormat="1" ht="32" x14ac:dyDescent="0.4">
      <c r="A695" s="493">
        <v>50406</v>
      </c>
      <c r="B695" s="105" t="s">
        <v>433</v>
      </c>
      <c r="C695" s="493" t="s">
        <v>330</v>
      </c>
      <c r="D695" s="105" t="s">
        <v>916</v>
      </c>
      <c r="E695" s="105" t="s">
        <v>917</v>
      </c>
      <c r="F695" s="493">
        <v>16190</v>
      </c>
      <c r="G695" s="105" t="s">
        <v>34</v>
      </c>
      <c r="H695" s="105" t="s">
        <v>342</v>
      </c>
      <c r="I695" s="105" t="s">
        <v>334</v>
      </c>
      <c r="J695" s="493">
        <v>322122</v>
      </c>
      <c r="K695" s="493">
        <v>7</v>
      </c>
      <c r="L695" s="105" t="s">
        <v>727</v>
      </c>
      <c r="M695" s="105" t="s">
        <v>360</v>
      </c>
      <c r="N695" s="105" t="s">
        <v>260</v>
      </c>
      <c r="O695" s="105" t="s">
        <v>481</v>
      </c>
      <c r="P695" s="105" t="s">
        <v>388</v>
      </c>
      <c r="Q695" s="494">
        <v>42309</v>
      </c>
      <c r="R695" s="494">
        <v>5496</v>
      </c>
      <c r="S695" s="494">
        <v>185737</v>
      </c>
      <c r="T695" s="494">
        <v>24129</v>
      </c>
      <c r="U695" s="494">
        <v>5033.7569999999996</v>
      </c>
      <c r="V695" s="493">
        <v>2024</v>
      </c>
      <c r="W695" s="495"/>
      <c r="X695" s="496" t="str">
        <f t="shared" si="43"/>
        <v/>
      </c>
      <c r="Y695" s="497" t="str">
        <f t="shared" si="45"/>
        <v/>
      </c>
      <c r="Z695" s="497" t="str">
        <f t="shared" si="45"/>
        <v/>
      </c>
    </row>
    <row r="696" spans="1:26" s="82" customFormat="1" ht="32" x14ac:dyDescent="0.4">
      <c r="A696" s="493">
        <v>50406</v>
      </c>
      <c r="B696" s="105" t="s">
        <v>433</v>
      </c>
      <c r="C696" s="493" t="s">
        <v>330</v>
      </c>
      <c r="D696" s="105" t="s">
        <v>916</v>
      </c>
      <c r="E696" s="105" t="s">
        <v>917</v>
      </c>
      <c r="F696" s="493">
        <v>16190</v>
      </c>
      <c r="G696" s="105" t="s">
        <v>34</v>
      </c>
      <c r="H696" s="105" t="s">
        <v>342</v>
      </c>
      <c r="I696" s="105" t="s">
        <v>334</v>
      </c>
      <c r="J696" s="493">
        <v>322122</v>
      </c>
      <c r="K696" s="493">
        <v>7</v>
      </c>
      <c r="L696" s="105" t="s">
        <v>727</v>
      </c>
      <c r="M696" s="105" t="s">
        <v>360</v>
      </c>
      <c r="N696" s="105" t="s">
        <v>234</v>
      </c>
      <c r="O696" s="105" t="s">
        <v>232</v>
      </c>
      <c r="P696" s="105" t="s">
        <v>388</v>
      </c>
      <c r="Q696" s="494">
        <v>37267</v>
      </c>
      <c r="R696" s="494">
        <v>4849</v>
      </c>
      <c r="S696" s="494">
        <v>1215652</v>
      </c>
      <c r="T696" s="494">
        <v>158210</v>
      </c>
      <c r="U696" s="494">
        <v>33034.307000000001</v>
      </c>
      <c r="V696" s="493">
        <v>2024</v>
      </c>
      <c r="W696" s="495"/>
      <c r="X696" s="496" t="str">
        <f t="shared" si="43"/>
        <v/>
      </c>
      <c r="Y696" s="497" t="str">
        <f t="shared" si="45"/>
        <v/>
      </c>
      <c r="Z696" s="497" t="str">
        <f t="shared" si="45"/>
        <v/>
      </c>
    </row>
    <row r="697" spans="1:26" s="82" customFormat="1" ht="32" x14ac:dyDescent="0.4">
      <c r="A697" s="493">
        <v>50406</v>
      </c>
      <c r="B697" s="105" t="s">
        <v>433</v>
      </c>
      <c r="C697" s="493" t="s">
        <v>330</v>
      </c>
      <c r="D697" s="105" t="s">
        <v>916</v>
      </c>
      <c r="E697" s="105" t="s">
        <v>917</v>
      </c>
      <c r="F697" s="493">
        <v>16190</v>
      </c>
      <c r="G697" s="105" t="s">
        <v>34</v>
      </c>
      <c r="H697" s="105" t="s">
        <v>342</v>
      </c>
      <c r="I697" s="105" t="s">
        <v>334</v>
      </c>
      <c r="J697" s="493">
        <v>322122</v>
      </c>
      <c r="K697" s="493">
        <v>7</v>
      </c>
      <c r="L697" s="105" t="s">
        <v>727</v>
      </c>
      <c r="M697" s="105" t="s">
        <v>360</v>
      </c>
      <c r="N697" s="105" t="s">
        <v>258</v>
      </c>
      <c r="O697" s="105" t="s">
        <v>387</v>
      </c>
      <c r="P697" s="105" t="s">
        <v>388</v>
      </c>
      <c r="Q697" s="494">
        <v>820024</v>
      </c>
      <c r="R697" s="494">
        <v>107257</v>
      </c>
      <c r="S697" s="494">
        <v>7224411</v>
      </c>
      <c r="T697" s="494">
        <v>944926</v>
      </c>
      <c r="U697" s="494">
        <v>197284.06</v>
      </c>
      <c r="V697" s="493">
        <v>2024</v>
      </c>
      <c r="W697" s="495"/>
      <c r="X697" s="496" t="str">
        <f t="shared" si="43"/>
        <v/>
      </c>
      <c r="Y697" s="497" t="str">
        <f t="shared" si="45"/>
        <v/>
      </c>
      <c r="Z697" s="497" t="str">
        <f t="shared" si="45"/>
        <v/>
      </c>
    </row>
    <row r="698" spans="1:26" s="82" customFormat="1" x14ac:dyDescent="0.4">
      <c r="A698" s="493">
        <v>50414</v>
      </c>
      <c r="B698" s="105" t="s">
        <v>329</v>
      </c>
      <c r="C698" s="493" t="s">
        <v>330</v>
      </c>
      <c r="D698" s="105" t="s">
        <v>918</v>
      </c>
      <c r="E698" s="105" t="s">
        <v>908</v>
      </c>
      <c r="F698" s="493">
        <v>24793</v>
      </c>
      <c r="G698" s="105" t="s">
        <v>35</v>
      </c>
      <c r="H698" s="105" t="s">
        <v>342</v>
      </c>
      <c r="I698" s="105" t="s">
        <v>334</v>
      </c>
      <c r="J698" s="493">
        <v>22</v>
      </c>
      <c r="K698" s="493">
        <v>2</v>
      </c>
      <c r="L698" s="105" t="s">
        <v>343</v>
      </c>
      <c r="M698" s="105" t="s">
        <v>336</v>
      </c>
      <c r="N698" s="105" t="s">
        <v>337</v>
      </c>
      <c r="O698" s="105" t="s">
        <v>338</v>
      </c>
      <c r="P698" s="105" t="s">
        <v>339</v>
      </c>
      <c r="Q698" s="494">
        <v>0</v>
      </c>
      <c r="R698" s="494">
        <v>0</v>
      </c>
      <c r="S698" s="494">
        <v>39595</v>
      </c>
      <c r="T698" s="494">
        <v>39595</v>
      </c>
      <c r="U698" s="494">
        <v>11605</v>
      </c>
      <c r="V698" s="493">
        <v>2024</v>
      </c>
      <c r="W698" s="495"/>
      <c r="X698" s="496">
        <f t="shared" si="43"/>
        <v>3.4118914261094355</v>
      </c>
      <c r="Y698" s="497" t="str">
        <f t="shared" si="45"/>
        <v/>
      </c>
      <c r="Z698" s="497" t="str">
        <f t="shared" si="45"/>
        <v/>
      </c>
    </row>
    <row r="699" spans="1:26" s="82" customFormat="1" ht="32" x14ac:dyDescent="0.4">
      <c r="A699" s="493">
        <v>50427</v>
      </c>
      <c r="B699" s="105" t="s">
        <v>433</v>
      </c>
      <c r="C699" s="493" t="s">
        <v>330</v>
      </c>
      <c r="D699" s="105" t="s">
        <v>919</v>
      </c>
      <c r="E699" s="105" t="s">
        <v>920</v>
      </c>
      <c r="F699" s="493">
        <v>13487</v>
      </c>
      <c r="G699" s="105" t="s">
        <v>52</v>
      </c>
      <c r="H699" s="105" t="s">
        <v>333</v>
      </c>
      <c r="I699" s="105" t="s">
        <v>334</v>
      </c>
      <c r="J699" s="493">
        <v>712</v>
      </c>
      <c r="K699" s="493">
        <v>5</v>
      </c>
      <c r="L699" s="105" t="s">
        <v>771</v>
      </c>
      <c r="M699" s="105" t="s">
        <v>359</v>
      </c>
      <c r="N699" s="105" t="s">
        <v>226</v>
      </c>
      <c r="O699" s="105" t="s">
        <v>226</v>
      </c>
      <c r="P699" s="105" t="s">
        <v>350</v>
      </c>
      <c r="Q699" s="494">
        <v>0</v>
      </c>
      <c r="R699" s="494">
        <v>0</v>
      </c>
      <c r="S699" s="494">
        <v>0</v>
      </c>
      <c r="T699" s="494">
        <v>0</v>
      </c>
      <c r="U699" s="494">
        <v>0</v>
      </c>
      <c r="V699" s="493">
        <v>2024</v>
      </c>
      <c r="W699" s="495"/>
      <c r="X699" s="496" t="str">
        <f t="shared" si="43"/>
        <v/>
      </c>
      <c r="Y699" s="497" t="str">
        <f t="shared" si="45"/>
        <v/>
      </c>
      <c r="Z699" s="497" t="str">
        <f t="shared" si="45"/>
        <v/>
      </c>
    </row>
    <row r="700" spans="1:26" s="82" customFormat="1" ht="32" x14ac:dyDescent="0.4">
      <c r="A700" s="493">
        <v>50427</v>
      </c>
      <c r="B700" s="105" t="s">
        <v>433</v>
      </c>
      <c r="C700" s="493" t="s">
        <v>330</v>
      </c>
      <c r="D700" s="105" t="s">
        <v>919</v>
      </c>
      <c r="E700" s="105" t="s">
        <v>920</v>
      </c>
      <c r="F700" s="493">
        <v>13487</v>
      </c>
      <c r="G700" s="105" t="s">
        <v>52</v>
      </c>
      <c r="H700" s="105" t="s">
        <v>333</v>
      </c>
      <c r="I700" s="105" t="s">
        <v>334</v>
      </c>
      <c r="J700" s="493">
        <v>712</v>
      </c>
      <c r="K700" s="493">
        <v>5</v>
      </c>
      <c r="L700" s="105" t="s">
        <v>771</v>
      </c>
      <c r="M700" s="105" t="s">
        <v>359</v>
      </c>
      <c r="N700" s="105" t="s">
        <v>228</v>
      </c>
      <c r="O700" s="105" t="s">
        <v>228</v>
      </c>
      <c r="P700" s="105" t="s">
        <v>356</v>
      </c>
      <c r="Q700" s="494">
        <v>265209</v>
      </c>
      <c r="R700" s="494">
        <v>119602</v>
      </c>
      <c r="S700" s="494">
        <v>291734</v>
      </c>
      <c r="T700" s="494">
        <v>131562</v>
      </c>
      <c r="U700" s="494">
        <v>21593</v>
      </c>
      <c r="V700" s="493">
        <v>2024</v>
      </c>
      <c r="W700" s="495"/>
      <c r="X700" s="496" t="str">
        <f t="shared" si="43"/>
        <v/>
      </c>
      <c r="Y700" s="497" t="str">
        <f t="shared" si="45"/>
        <v/>
      </c>
      <c r="Z700" s="497" t="str">
        <f t="shared" si="45"/>
        <v/>
      </c>
    </row>
    <row r="701" spans="1:26" s="82" customFormat="1" ht="32" x14ac:dyDescent="0.4">
      <c r="A701" s="493">
        <v>50449</v>
      </c>
      <c r="B701" s="105" t="s">
        <v>433</v>
      </c>
      <c r="C701" s="493" t="s">
        <v>330</v>
      </c>
      <c r="D701" s="105" t="s">
        <v>921</v>
      </c>
      <c r="E701" s="105" t="s">
        <v>922</v>
      </c>
      <c r="F701" s="493">
        <v>9245</v>
      </c>
      <c r="G701" s="105" t="s">
        <v>52</v>
      </c>
      <c r="H701" s="105" t="s">
        <v>333</v>
      </c>
      <c r="I701" s="105" t="s">
        <v>334</v>
      </c>
      <c r="J701" s="493">
        <v>22</v>
      </c>
      <c r="K701" s="493">
        <v>3</v>
      </c>
      <c r="L701" s="105" t="s">
        <v>436</v>
      </c>
      <c r="M701" s="105" t="s">
        <v>380</v>
      </c>
      <c r="N701" s="105" t="s">
        <v>226</v>
      </c>
      <c r="O701" s="105" t="s">
        <v>226</v>
      </c>
      <c r="P701" s="105" t="s">
        <v>350</v>
      </c>
      <c r="Q701" s="494">
        <v>0</v>
      </c>
      <c r="R701" s="494">
        <v>0</v>
      </c>
      <c r="S701" s="494">
        <v>0</v>
      </c>
      <c r="T701" s="494">
        <v>0</v>
      </c>
      <c r="U701" s="494">
        <v>0</v>
      </c>
      <c r="V701" s="493">
        <v>2024</v>
      </c>
      <c r="W701" s="495"/>
      <c r="X701" s="496" t="str">
        <f t="shared" si="43"/>
        <v/>
      </c>
      <c r="Y701" s="497" t="str">
        <f t="shared" si="45"/>
        <v/>
      </c>
      <c r="Z701" s="497" t="str">
        <f t="shared" si="45"/>
        <v/>
      </c>
    </row>
    <row r="702" spans="1:26" s="82" customFormat="1" ht="32" x14ac:dyDescent="0.4">
      <c r="A702" s="493">
        <v>50449</v>
      </c>
      <c r="B702" s="105" t="s">
        <v>433</v>
      </c>
      <c r="C702" s="493" t="s">
        <v>330</v>
      </c>
      <c r="D702" s="105" t="s">
        <v>921</v>
      </c>
      <c r="E702" s="105" t="s">
        <v>922</v>
      </c>
      <c r="F702" s="493">
        <v>9245</v>
      </c>
      <c r="G702" s="105" t="s">
        <v>52</v>
      </c>
      <c r="H702" s="105" t="s">
        <v>333</v>
      </c>
      <c r="I702" s="105" t="s">
        <v>334</v>
      </c>
      <c r="J702" s="493">
        <v>22</v>
      </c>
      <c r="K702" s="493">
        <v>3</v>
      </c>
      <c r="L702" s="105" t="s">
        <v>436</v>
      </c>
      <c r="M702" s="105" t="s">
        <v>380</v>
      </c>
      <c r="N702" s="105" t="s">
        <v>228</v>
      </c>
      <c r="O702" s="105" t="s">
        <v>228</v>
      </c>
      <c r="P702" s="105" t="s">
        <v>356</v>
      </c>
      <c r="Q702" s="494">
        <v>8707</v>
      </c>
      <c r="R702" s="494">
        <v>8707</v>
      </c>
      <c r="S702" s="494">
        <v>8956</v>
      </c>
      <c r="T702" s="494">
        <v>8956</v>
      </c>
      <c r="U702" s="494">
        <v>14280.34</v>
      </c>
      <c r="V702" s="493">
        <v>2024</v>
      </c>
      <c r="W702" s="495"/>
      <c r="X702" s="496">
        <f t="shared" si="43"/>
        <v>0.6271559360631469</v>
      </c>
      <c r="Y702" s="497" t="str">
        <f t="shared" si="45"/>
        <v/>
      </c>
      <c r="Z702" s="497" t="str">
        <f t="shared" si="45"/>
        <v/>
      </c>
    </row>
    <row r="703" spans="1:26" s="82" customFormat="1" ht="32" x14ac:dyDescent="0.4">
      <c r="A703" s="493">
        <v>50449</v>
      </c>
      <c r="B703" s="105" t="s">
        <v>433</v>
      </c>
      <c r="C703" s="493" t="s">
        <v>330</v>
      </c>
      <c r="D703" s="105" t="s">
        <v>921</v>
      </c>
      <c r="E703" s="105" t="s">
        <v>922</v>
      </c>
      <c r="F703" s="493">
        <v>9245</v>
      </c>
      <c r="G703" s="105" t="s">
        <v>52</v>
      </c>
      <c r="H703" s="105" t="s">
        <v>333</v>
      </c>
      <c r="I703" s="105" t="s">
        <v>334</v>
      </c>
      <c r="J703" s="493">
        <v>22</v>
      </c>
      <c r="K703" s="493">
        <v>3</v>
      </c>
      <c r="L703" s="105" t="s">
        <v>436</v>
      </c>
      <c r="M703" s="105" t="s">
        <v>37</v>
      </c>
      <c r="N703" s="105" t="s">
        <v>226</v>
      </c>
      <c r="O703" s="105" t="s">
        <v>226</v>
      </c>
      <c r="P703" s="105" t="s">
        <v>350</v>
      </c>
      <c r="Q703" s="494">
        <v>0</v>
      </c>
      <c r="R703" s="494">
        <v>0</v>
      </c>
      <c r="S703" s="494">
        <v>0</v>
      </c>
      <c r="T703" s="494">
        <v>0</v>
      </c>
      <c r="U703" s="494">
        <v>0</v>
      </c>
      <c r="V703" s="493">
        <v>2024</v>
      </c>
      <c r="W703" s="495"/>
      <c r="X703" s="496" t="str">
        <f t="shared" si="43"/>
        <v/>
      </c>
      <c r="Y703" s="497" t="str">
        <f t="shared" si="45"/>
        <v/>
      </c>
      <c r="Z703" s="497" t="str">
        <f t="shared" si="45"/>
        <v/>
      </c>
    </row>
    <row r="704" spans="1:26" s="82" customFormat="1" ht="32" x14ac:dyDescent="0.4">
      <c r="A704" s="493">
        <v>50449</v>
      </c>
      <c r="B704" s="105" t="s">
        <v>433</v>
      </c>
      <c r="C704" s="493" t="s">
        <v>330</v>
      </c>
      <c r="D704" s="105" t="s">
        <v>921</v>
      </c>
      <c r="E704" s="105" t="s">
        <v>922</v>
      </c>
      <c r="F704" s="493">
        <v>9245</v>
      </c>
      <c r="G704" s="105" t="s">
        <v>52</v>
      </c>
      <c r="H704" s="105" t="s">
        <v>333</v>
      </c>
      <c r="I704" s="105" t="s">
        <v>334</v>
      </c>
      <c r="J704" s="493">
        <v>22</v>
      </c>
      <c r="K704" s="493">
        <v>3</v>
      </c>
      <c r="L704" s="105" t="s">
        <v>436</v>
      </c>
      <c r="M704" s="105" t="s">
        <v>37</v>
      </c>
      <c r="N704" s="105" t="s">
        <v>228</v>
      </c>
      <c r="O704" s="105" t="s">
        <v>228</v>
      </c>
      <c r="P704" s="105" t="s">
        <v>356</v>
      </c>
      <c r="Q704" s="494">
        <v>561654</v>
      </c>
      <c r="R704" s="494">
        <v>561129</v>
      </c>
      <c r="S704" s="494">
        <v>578124</v>
      </c>
      <c r="T704" s="494">
        <v>577584</v>
      </c>
      <c r="U704" s="494">
        <v>46248.63</v>
      </c>
      <c r="V704" s="493">
        <v>2024</v>
      </c>
      <c r="W704" s="495"/>
      <c r="X704" s="496">
        <f t="shared" si="43"/>
        <v>12.488672637438127</v>
      </c>
      <c r="Y704" s="497" t="str">
        <f t="shared" si="45"/>
        <v/>
      </c>
      <c r="Z704" s="497" t="str">
        <f t="shared" si="45"/>
        <v/>
      </c>
    </row>
    <row r="705" spans="1:26" s="82" customFormat="1" ht="32" x14ac:dyDescent="0.4">
      <c r="A705" s="493">
        <v>50450</v>
      </c>
      <c r="B705" s="105" t="s">
        <v>433</v>
      </c>
      <c r="C705" s="493" t="s">
        <v>330</v>
      </c>
      <c r="D705" s="105" t="s">
        <v>923</v>
      </c>
      <c r="E705" s="105" t="s">
        <v>924</v>
      </c>
      <c r="F705" s="493">
        <v>9244</v>
      </c>
      <c r="G705" s="105" t="s">
        <v>52</v>
      </c>
      <c r="H705" s="105" t="s">
        <v>333</v>
      </c>
      <c r="I705" s="105" t="s">
        <v>334</v>
      </c>
      <c r="J705" s="493">
        <v>22</v>
      </c>
      <c r="K705" s="493">
        <v>3</v>
      </c>
      <c r="L705" s="105" t="s">
        <v>436</v>
      </c>
      <c r="M705" s="105" t="s">
        <v>380</v>
      </c>
      <c r="N705" s="105" t="s">
        <v>226</v>
      </c>
      <c r="O705" s="105" t="s">
        <v>226</v>
      </c>
      <c r="P705" s="105" t="s">
        <v>350</v>
      </c>
      <c r="Q705" s="494">
        <v>0</v>
      </c>
      <c r="R705" s="494">
        <v>0</v>
      </c>
      <c r="S705" s="494">
        <v>0</v>
      </c>
      <c r="T705" s="494">
        <v>0</v>
      </c>
      <c r="U705" s="494">
        <v>1.819</v>
      </c>
      <c r="V705" s="493">
        <v>2024</v>
      </c>
      <c r="W705" s="495"/>
      <c r="X705" s="496" t="str">
        <f t="shared" si="43"/>
        <v/>
      </c>
      <c r="Y705" s="497" t="str">
        <f t="shared" si="45"/>
        <v/>
      </c>
      <c r="Z705" s="497" t="str">
        <f t="shared" si="45"/>
        <v/>
      </c>
    </row>
    <row r="706" spans="1:26" s="82" customFormat="1" ht="32" x14ac:dyDescent="0.4">
      <c r="A706" s="493">
        <v>50450</v>
      </c>
      <c r="B706" s="105" t="s">
        <v>433</v>
      </c>
      <c r="C706" s="493" t="s">
        <v>330</v>
      </c>
      <c r="D706" s="105" t="s">
        <v>923</v>
      </c>
      <c r="E706" s="105" t="s">
        <v>924</v>
      </c>
      <c r="F706" s="493">
        <v>9244</v>
      </c>
      <c r="G706" s="105" t="s">
        <v>52</v>
      </c>
      <c r="H706" s="105" t="s">
        <v>333</v>
      </c>
      <c r="I706" s="105" t="s">
        <v>334</v>
      </c>
      <c r="J706" s="493">
        <v>22</v>
      </c>
      <c r="K706" s="493">
        <v>3</v>
      </c>
      <c r="L706" s="105" t="s">
        <v>436</v>
      </c>
      <c r="M706" s="105" t="s">
        <v>380</v>
      </c>
      <c r="N706" s="105" t="s">
        <v>228</v>
      </c>
      <c r="O706" s="105" t="s">
        <v>228</v>
      </c>
      <c r="P706" s="105" t="s">
        <v>356</v>
      </c>
      <c r="Q706" s="494">
        <v>13061</v>
      </c>
      <c r="R706" s="494">
        <v>13061</v>
      </c>
      <c r="S706" s="494">
        <v>13457</v>
      </c>
      <c r="T706" s="494">
        <v>13457</v>
      </c>
      <c r="U706" s="494">
        <v>15692.181</v>
      </c>
      <c r="V706" s="493">
        <v>2024</v>
      </c>
      <c r="W706" s="495"/>
      <c r="X706" s="496">
        <f t="shared" si="43"/>
        <v>0.85756084511133279</v>
      </c>
      <c r="Y706" s="497" t="str">
        <f t="shared" si="45"/>
        <v/>
      </c>
      <c r="Z706" s="497" t="str">
        <f t="shared" si="45"/>
        <v/>
      </c>
    </row>
    <row r="707" spans="1:26" s="82" customFormat="1" ht="32" x14ac:dyDescent="0.4">
      <c r="A707" s="493">
        <v>50450</v>
      </c>
      <c r="B707" s="105" t="s">
        <v>433</v>
      </c>
      <c r="C707" s="493" t="s">
        <v>330</v>
      </c>
      <c r="D707" s="105" t="s">
        <v>923</v>
      </c>
      <c r="E707" s="105" t="s">
        <v>924</v>
      </c>
      <c r="F707" s="493">
        <v>9244</v>
      </c>
      <c r="G707" s="105" t="s">
        <v>52</v>
      </c>
      <c r="H707" s="105" t="s">
        <v>333</v>
      </c>
      <c r="I707" s="105" t="s">
        <v>334</v>
      </c>
      <c r="J707" s="493">
        <v>22</v>
      </c>
      <c r="K707" s="493">
        <v>3</v>
      </c>
      <c r="L707" s="105" t="s">
        <v>436</v>
      </c>
      <c r="M707" s="105" t="s">
        <v>37</v>
      </c>
      <c r="N707" s="105" t="s">
        <v>226</v>
      </c>
      <c r="O707" s="105" t="s">
        <v>226</v>
      </c>
      <c r="P707" s="105" t="s">
        <v>350</v>
      </c>
      <c r="Q707" s="494">
        <v>10</v>
      </c>
      <c r="R707" s="494">
        <v>10</v>
      </c>
      <c r="S707" s="494">
        <v>55</v>
      </c>
      <c r="T707" s="494">
        <v>55</v>
      </c>
      <c r="U707" s="494">
        <v>4.0510000000000002</v>
      </c>
      <c r="V707" s="493">
        <v>2024</v>
      </c>
      <c r="W707" s="495"/>
      <c r="X707" s="496">
        <f t="shared" si="43"/>
        <v>13.576894593927424</v>
      </c>
      <c r="Y707" s="497" t="str">
        <f t="shared" si="45"/>
        <v/>
      </c>
      <c r="Z707" s="497" t="str">
        <f t="shared" si="45"/>
        <v/>
      </c>
    </row>
    <row r="708" spans="1:26" s="82" customFormat="1" ht="32" x14ac:dyDescent="0.4">
      <c r="A708" s="493">
        <v>50450</v>
      </c>
      <c r="B708" s="105" t="s">
        <v>433</v>
      </c>
      <c r="C708" s="493" t="s">
        <v>330</v>
      </c>
      <c r="D708" s="105" t="s">
        <v>923</v>
      </c>
      <c r="E708" s="105" t="s">
        <v>924</v>
      </c>
      <c r="F708" s="493">
        <v>9244</v>
      </c>
      <c r="G708" s="105" t="s">
        <v>52</v>
      </c>
      <c r="H708" s="105" t="s">
        <v>333</v>
      </c>
      <c r="I708" s="105" t="s">
        <v>334</v>
      </c>
      <c r="J708" s="493">
        <v>22</v>
      </c>
      <c r="K708" s="493">
        <v>3</v>
      </c>
      <c r="L708" s="105" t="s">
        <v>436</v>
      </c>
      <c r="M708" s="105" t="s">
        <v>37</v>
      </c>
      <c r="N708" s="105" t="s">
        <v>228</v>
      </c>
      <c r="O708" s="105" t="s">
        <v>228</v>
      </c>
      <c r="P708" s="105" t="s">
        <v>356</v>
      </c>
      <c r="Q708" s="494">
        <v>436623</v>
      </c>
      <c r="R708" s="494">
        <v>436432</v>
      </c>
      <c r="S708" s="494">
        <v>449859</v>
      </c>
      <c r="T708" s="494">
        <v>449662</v>
      </c>
      <c r="U708" s="494">
        <v>34123.949000000001</v>
      </c>
      <c r="V708" s="493">
        <v>2024</v>
      </c>
      <c r="W708" s="495"/>
      <c r="X708" s="496">
        <f t="shared" si="43"/>
        <v>13.177314266880424</v>
      </c>
      <c r="Y708" s="497" t="str">
        <f t="shared" ref="Y708:Z727" si="46">IF(AND($M708=$Y$2,$N708=$Y$3,NOT($Q708=$R708),NOT($U708=0)),IF($K708=5,$S708/($U708+(8/5)*$U708),IF($K708=7,$S708/($U708+(29/25)*$U708),"")),"")</f>
        <v/>
      </c>
      <c r="Z708" s="497" t="str">
        <f t="shared" si="46"/>
        <v/>
      </c>
    </row>
    <row r="709" spans="1:26" s="82" customFormat="1" ht="32" x14ac:dyDescent="0.4">
      <c r="A709" s="493">
        <v>50451</v>
      </c>
      <c r="B709" s="105" t="s">
        <v>433</v>
      </c>
      <c r="C709" s="493" t="s">
        <v>330</v>
      </c>
      <c r="D709" s="105" t="s">
        <v>925</v>
      </c>
      <c r="E709" s="105" t="s">
        <v>926</v>
      </c>
      <c r="F709" s="493">
        <v>9243</v>
      </c>
      <c r="G709" s="105" t="s">
        <v>52</v>
      </c>
      <c r="H709" s="105" t="s">
        <v>333</v>
      </c>
      <c r="I709" s="105" t="s">
        <v>334</v>
      </c>
      <c r="J709" s="493">
        <v>22</v>
      </c>
      <c r="K709" s="493">
        <v>3</v>
      </c>
      <c r="L709" s="105" t="s">
        <v>436</v>
      </c>
      <c r="M709" s="105" t="s">
        <v>380</v>
      </c>
      <c r="N709" s="105" t="s">
        <v>226</v>
      </c>
      <c r="O709" s="105" t="s">
        <v>226</v>
      </c>
      <c r="P709" s="105" t="s">
        <v>350</v>
      </c>
      <c r="Q709" s="494">
        <v>0</v>
      </c>
      <c r="R709" s="494">
        <v>0</v>
      </c>
      <c r="S709" s="494">
        <v>0</v>
      </c>
      <c r="T709" s="494">
        <v>0</v>
      </c>
      <c r="U709" s="494">
        <v>1.19</v>
      </c>
      <c r="V709" s="493">
        <v>2024</v>
      </c>
      <c r="W709" s="495"/>
      <c r="X709" s="496" t="str">
        <f t="shared" si="43"/>
        <v/>
      </c>
      <c r="Y709" s="497" t="str">
        <f t="shared" si="46"/>
        <v/>
      </c>
      <c r="Z709" s="497" t="str">
        <f t="shared" si="46"/>
        <v/>
      </c>
    </row>
    <row r="710" spans="1:26" s="82" customFormat="1" ht="32" x14ac:dyDescent="0.4">
      <c r="A710" s="493">
        <v>50451</v>
      </c>
      <c r="B710" s="105" t="s">
        <v>433</v>
      </c>
      <c r="C710" s="493" t="s">
        <v>330</v>
      </c>
      <c r="D710" s="105" t="s">
        <v>925</v>
      </c>
      <c r="E710" s="105" t="s">
        <v>926</v>
      </c>
      <c r="F710" s="493">
        <v>9243</v>
      </c>
      <c r="G710" s="105" t="s">
        <v>52</v>
      </c>
      <c r="H710" s="105" t="s">
        <v>333</v>
      </c>
      <c r="I710" s="105" t="s">
        <v>334</v>
      </c>
      <c r="J710" s="493">
        <v>22</v>
      </c>
      <c r="K710" s="493">
        <v>3</v>
      </c>
      <c r="L710" s="105" t="s">
        <v>436</v>
      </c>
      <c r="M710" s="105" t="s">
        <v>380</v>
      </c>
      <c r="N710" s="105" t="s">
        <v>228</v>
      </c>
      <c r="O710" s="105" t="s">
        <v>228</v>
      </c>
      <c r="P710" s="105" t="s">
        <v>356</v>
      </c>
      <c r="Q710" s="494">
        <v>2159</v>
      </c>
      <c r="R710" s="494">
        <v>2159</v>
      </c>
      <c r="S710" s="494">
        <v>2229</v>
      </c>
      <c r="T710" s="494">
        <v>2229</v>
      </c>
      <c r="U710" s="494">
        <v>4824.8100000000004</v>
      </c>
      <c r="V710" s="493">
        <v>2024</v>
      </c>
      <c r="W710" s="495"/>
      <c r="X710" s="496">
        <f t="shared" si="43"/>
        <v>0.46198710415539673</v>
      </c>
      <c r="Y710" s="497" t="str">
        <f t="shared" si="46"/>
        <v/>
      </c>
      <c r="Z710" s="497" t="str">
        <f t="shared" si="46"/>
        <v/>
      </c>
    </row>
    <row r="711" spans="1:26" s="82" customFormat="1" ht="32" x14ac:dyDescent="0.4">
      <c r="A711" s="493">
        <v>50451</v>
      </c>
      <c r="B711" s="105" t="s">
        <v>433</v>
      </c>
      <c r="C711" s="493" t="s">
        <v>330</v>
      </c>
      <c r="D711" s="105" t="s">
        <v>925</v>
      </c>
      <c r="E711" s="105" t="s">
        <v>926</v>
      </c>
      <c r="F711" s="493">
        <v>9243</v>
      </c>
      <c r="G711" s="105" t="s">
        <v>52</v>
      </c>
      <c r="H711" s="105" t="s">
        <v>333</v>
      </c>
      <c r="I711" s="105" t="s">
        <v>334</v>
      </c>
      <c r="J711" s="493">
        <v>22</v>
      </c>
      <c r="K711" s="493">
        <v>3</v>
      </c>
      <c r="L711" s="105" t="s">
        <v>436</v>
      </c>
      <c r="M711" s="105" t="s">
        <v>37</v>
      </c>
      <c r="N711" s="105" t="s">
        <v>226</v>
      </c>
      <c r="O711" s="105" t="s">
        <v>226</v>
      </c>
      <c r="P711" s="105" t="s">
        <v>350</v>
      </c>
      <c r="Q711" s="494">
        <v>11</v>
      </c>
      <c r="R711" s="494">
        <v>11</v>
      </c>
      <c r="S711" s="494">
        <v>61</v>
      </c>
      <c r="T711" s="494">
        <v>59</v>
      </c>
      <c r="U711" s="494">
        <v>4.2359999999999998</v>
      </c>
      <c r="V711" s="493">
        <v>2024</v>
      </c>
      <c r="W711" s="495"/>
      <c r="X711" s="496">
        <f t="shared" si="43"/>
        <v>13.928234183191691</v>
      </c>
      <c r="Y711" s="497" t="str">
        <f t="shared" si="46"/>
        <v/>
      </c>
      <c r="Z711" s="497" t="str">
        <f t="shared" si="46"/>
        <v/>
      </c>
    </row>
    <row r="712" spans="1:26" s="82" customFormat="1" ht="32" x14ac:dyDescent="0.4">
      <c r="A712" s="493">
        <v>50451</v>
      </c>
      <c r="B712" s="105" t="s">
        <v>433</v>
      </c>
      <c r="C712" s="493" t="s">
        <v>330</v>
      </c>
      <c r="D712" s="105" t="s">
        <v>925</v>
      </c>
      <c r="E712" s="105" t="s">
        <v>926</v>
      </c>
      <c r="F712" s="493">
        <v>9243</v>
      </c>
      <c r="G712" s="105" t="s">
        <v>52</v>
      </c>
      <c r="H712" s="105" t="s">
        <v>333</v>
      </c>
      <c r="I712" s="105" t="s">
        <v>334</v>
      </c>
      <c r="J712" s="493">
        <v>22</v>
      </c>
      <c r="K712" s="493">
        <v>3</v>
      </c>
      <c r="L712" s="105" t="s">
        <v>436</v>
      </c>
      <c r="M712" s="105" t="s">
        <v>37</v>
      </c>
      <c r="N712" s="105" t="s">
        <v>228</v>
      </c>
      <c r="O712" s="105" t="s">
        <v>228</v>
      </c>
      <c r="P712" s="105" t="s">
        <v>356</v>
      </c>
      <c r="Q712" s="494">
        <v>207349</v>
      </c>
      <c r="R712" s="494">
        <v>206844</v>
      </c>
      <c r="S712" s="494">
        <v>214096</v>
      </c>
      <c r="T712" s="494">
        <v>213575</v>
      </c>
      <c r="U712" s="494">
        <v>16113.763999999999</v>
      </c>
      <c r="V712" s="493">
        <v>2024</v>
      </c>
      <c r="W712" s="495"/>
      <c r="X712" s="496">
        <f t="shared" si="43"/>
        <v>13.254196846869547</v>
      </c>
      <c r="Y712" s="497" t="str">
        <f t="shared" si="46"/>
        <v/>
      </c>
      <c r="Z712" s="497" t="str">
        <f t="shared" si="46"/>
        <v/>
      </c>
    </row>
    <row r="713" spans="1:26" s="82" customFormat="1" ht="32" x14ac:dyDescent="0.4">
      <c r="A713" s="493">
        <v>50458</v>
      </c>
      <c r="B713" s="105" t="s">
        <v>433</v>
      </c>
      <c r="C713" s="493" t="s">
        <v>330</v>
      </c>
      <c r="D713" s="105" t="s">
        <v>927</v>
      </c>
      <c r="E713" s="105" t="s">
        <v>928</v>
      </c>
      <c r="F713" s="493">
        <v>9263</v>
      </c>
      <c r="G713" s="105" t="s">
        <v>52</v>
      </c>
      <c r="H713" s="105" t="s">
        <v>333</v>
      </c>
      <c r="I713" s="105" t="s">
        <v>334</v>
      </c>
      <c r="J713" s="493">
        <v>22</v>
      </c>
      <c r="K713" s="493">
        <v>3</v>
      </c>
      <c r="L713" s="105" t="s">
        <v>436</v>
      </c>
      <c r="M713" s="105" t="s">
        <v>380</v>
      </c>
      <c r="N713" s="105" t="s">
        <v>226</v>
      </c>
      <c r="O713" s="105" t="s">
        <v>226</v>
      </c>
      <c r="P713" s="105" t="s">
        <v>350</v>
      </c>
      <c r="Q713" s="494">
        <v>0</v>
      </c>
      <c r="R713" s="494">
        <v>0</v>
      </c>
      <c r="S713" s="494">
        <v>0</v>
      </c>
      <c r="T713" s="494">
        <v>0</v>
      </c>
      <c r="U713" s="494">
        <v>0</v>
      </c>
      <c r="V713" s="493">
        <v>2024</v>
      </c>
      <c r="W713" s="495"/>
      <c r="X713" s="496" t="str">
        <f t="shared" ref="X713:X776" si="47">IF(OR(K713&gt;3,T713=0,NOT(U713&gt;0)),"",T713/U713)</f>
        <v/>
      </c>
      <c r="Y713" s="497" t="str">
        <f t="shared" si="46"/>
        <v/>
      </c>
      <c r="Z713" s="497" t="str">
        <f t="shared" si="46"/>
        <v/>
      </c>
    </row>
    <row r="714" spans="1:26" s="82" customFormat="1" ht="32" x14ac:dyDescent="0.4">
      <c r="A714" s="493">
        <v>50458</v>
      </c>
      <c r="B714" s="105" t="s">
        <v>433</v>
      </c>
      <c r="C714" s="493" t="s">
        <v>330</v>
      </c>
      <c r="D714" s="105" t="s">
        <v>927</v>
      </c>
      <c r="E714" s="105" t="s">
        <v>928</v>
      </c>
      <c r="F714" s="493">
        <v>9263</v>
      </c>
      <c r="G714" s="105" t="s">
        <v>52</v>
      </c>
      <c r="H714" s="105" t="s">
        <v>333</v>
      </c>
      <c r="I714" s="105" t="s">
        <v>334</v>
      </c>
      <c r="J714" s="493">
        <v>22</v>
      </c>
      <c r="K714" s="493">
        <v>3</v>
      </c>
      <c r="L714" s="105" t="s">
        <v>436</v>
      </c>
      <c r="M714" s="105" t="s">
        <v>380</v>
      </c>
      <c r="N714" s="105" t="s">
        <v>242</v>
      </c>
      <c r="O714" s="105" t="s">
        <v>349</v>
      </c>
      <c r="P714" s="105" t="s">
        <v>350</v>
      </c>
      <c r="Q714" s="494">
        <v>0</v>
      </c>
      <c r="R714" s="494">
        <v>0</v>
      </c>
      <c r="S714" s="494">
        <v>0</v>
      </c>
      <c r="T714" s="494">
        <v>0</v>
      </c>
      <c r="U714" s="494">
        <v>0</v>
      </c>
      <c r="V714" s="493">
        <v>2024</v>
      </c>
      <c r="W714" s="495"/>
      <c r="X714" s="496" t="str">
        <f t="shared" si="47"/>
        <v/>
      </c>
      <c r="Y714" s="497" t="str">
        <f t="shared" si="46"/>
        <v/>
      </c>
      <c r="Z714" s="497" t="str">
        <f t="shared" si="46"/>
        <v/>
      </c>
    </row>
    <row r="715" spans="1:26" s="82" customFormat="1" ht="32" x14ac:dyDescent="0.4">
      <c r="A715" s="493">
        <v>50458</v>
      </c>
      <c r="B715" s="105" t="s">
        <v>433</v>
      </c>
      <c r="C715" s="493" t="s">
        <v>330</v>
      </c>
      <c r="D715" s="105" t="s">
        <v>927</v>
      </c>
      <c r="E715" s="105" t="s">
        <v>928</v>
      </c>
      <c r="F715" s="493">
        <v>9263</v>
      </c>
      <c r="G715" s="105" t="s">
        <v>52</v>
      </c>
      <c r="H715" s="105" t="s">
        <v>333</v>
      </c>
      <c r="I715" s="105" t="s">
        <v>334</v>
      </c>
      <c r="J715" s="493">
        <v>22</v>
      </c>
      <c r="K715" s="493">
        <v>3</v>
      </c>
      <c r="L715" s="105" t="s">
        <v>436</v>
      </c>
      <c r="M715" s="105" t="s">
        <v>380</v>
      </c>
      <c r="N715" s="105" t="s">
        <v>228</v>
      </c>
      <c r="O715" s="105" t="s">
        <v>228</v>
      </c>
      <c r="P715" s="105" t="s">
        <v>356</v>
      </c>
      <c r="Q715" s="494">
        <v>185857</v>
      </c>
      <c r="R715" s="494">
        <v>185857</v>
      </c>
      <c r="S715" s="494">
        <v>191040</v>
      </c>
      <c r="T715" s="494">
        <v>191040</v>
      </c>
      <c r="U715" s="494">
        <v>153854</v>
      </c>
      <c r="V715" s="493">
        <v>2024</v>
      </c>
      <c r="W715" s="495"/>
      <c r="X715" s="496">
        <f t="shared" si="47"/>
        <v>1.2416966734696531</v>
      </c>
      <c r="Y715" s="497" t="str">
        <f t="shared" si="46"/>
        <v/>
      </c>
      <c r="Z715" s="497" t="str">
        <f t="shared" si="46"/>
        <v/>
      </c>
    </row>
    <row r="716" spans="1:26" s="82" customFormat="1" ht="32" x14ac:dyDescent="0.4">
      <c r="A716" s="493">
        <v>50458</v>
      </c>
      <c r="B716" s="105" t="s">
        <v>433</v>
      </c>
      <c r="C716" s="493" t="s">
        <v>330</v>
      </c>
      <c r="D716" s="105" t="s">
        <v>927</v>
      </c>
      <c r="E716" s="105" t="s">
        <v>928</v>
      </c>
      <c r="F716" s="493">
        <v>9263</v>
      </c>
      <c r="G716" s="105" t="s">
        <v>52</v>
      </c>
      <c r="H716" s="105" t="s">
        <v>333</v>
      </c>
      <c r="I716" s="105" t="s">
        <v>334</v>
      </c>
      <c r="J716" s="493">
        <v>22</v>
      </c>
      <c r="K716" s="493">
        <v>3</v>
      </c>
      <c r="L716" s="105" t="s">
        <v>436</v>
      </c>
      <c r="M716" s="105" t="s">
        <v>37</v>
      </c>
      <c r="N716" s="105" t="s">
        <v>226</v>
      </c>
      <c r="O716" s="105" t="s">
        <v>226</v>
      </c>
      <c r="P716" s="105" t="s">
        <v>350</v>
      </c>
      <c r="Q716" s="494">
        <v>0</v>
      </c>
      <c r="R716" s="494">
        <v>0</v>
      </c>
      <c r="S716" s="494">
        <v>0</v>
      </c>
      <c r="T716" s="494">
        <v>0</v>
      </c>
      <c r="U716" s="494">
        <v>0</v>
      </c>
      <c r="V716" s="493">
        <v>2024</v>
      </c>
      <c r="W716" s="495"/>
      <c r="X716" s="496" t="str">
        <f t="shared" si="47"/>
        <v/>
      </c>
      <c r="Y716" s="497" t="str">
        <f t="shared" si="46"/>
        <v/>
      </c>
      <c r="Z716" s="497" t="str">
        <f t="shared" si="46"/>
        <v/>
      </c>
    </row>
    <row r="717" spans="1:26" s="82" customFormat="1" ht="32" x14ac:dyDescent="0.4">
      <c r="A717" s="493">
        <v>50458</v>
      </c>
      <c r="B717" s="105" t="s">
        <v>433</v>
      </c>
      <c r="C717" s="493" t="s">
        <v>330</v>
      </c>
      <c r="D717" s="105" t="s">
        <v>927</v>
      </c>
      <c r="E717" s="105" t="s">
        <v>928</v>
      </c>
      <c r="F717" s="493">
        <v>9263</v>
      </c>
      <c r="G717" s="105" t="s">
        <v>52</v>
      </c>
      <c r="H717" s="105" t="s">
        <v>333</v>
      </c>
      <c r="I717" s="105" t="s">
        <v>334</v>
      </c>
      <c r="J717" s="493">
        <v>22</v>
      </c>
      <c r="K717" s="493">
        <v>3</v>
      </c>
      <c r="L717" s="105" t="s">
        <v>436</v>
      </c>
      <c r="M717" s="105" t="s">
        <v>37</v>
      </c>
      <c r="N717" s="105" t="s">
        <v>242</v>
      </c>
      <c r="O717" s="105" t="s">
        <v>349</v>
      </c>
      <c r="P717" s="105" t="s">
        <v>350</v>
      </c>
      <c r="Q717" s="494">
        <v>0</v>
      </c>
      <c r="R717" s="494">
        <v>0</v>
      </c>
      <c r="S717" s="494">
        <v>0</v>
      </c>
      <c r="T717" s="494">
        <v>0</v>
      </c>
      <c r="U717" s="494">
        <v>0</v>
      </c>
      <c r="V717" s="493">
        <v>2024</v>
      </c>
      <c r="W717" s="495"/>
      <c r="X717" s="496" t="str">
        <f t="shared" si="47"/>
        <v/>
      </c>
      <c r="Y717" s="497" t="str">
        <f t="shared" si="46"/>
        <v/>
      </c>
      <c r="Z717" s="497" t="str">
        <f t="shared" si="46"/>
        <v/>
      </c>
    </row>
    <row r="718" spans="1:26" s="82" customFormat="1" ht="32" x14ac:dyDescent="0.4">
      <c r="A718" s="493">
        <v>50458</v>
      </c>
      <c r="B718" s="105" t="s">
        <v>433</v>
      </c>
      <c r="C718" s="493" t="s">
        <v>330</v>
      </c>
      <c r="D718" s="105" t="s">
        <v>927</v>
      </c>
      <c r="E718" s="105" t="s">
        <v>928</v>
      </c>
      <c r="F718" s="493">
        <v>9263</v>
      </c>
      <c r="G718" s="105" t="s">
        <v>52</v>
      </c>
      <c r="H718" s="105" t="s">
        <v>333</v>
      </c>
      <c r="I718" s="105" t="s">
        <v>334</v>
      </c>
      <c r="J718" s="493">
        <v>22</v>
      </c>
      <c r="K718" s="493">
        <v>3</v>
      </c>
      <c r="L718" s="105" t="s">
        <v>436</v>
      </c>
      <c r="M718" s="105" t="s">
        <v>37</v>
      </c>
      <c r="N718" s="105" t="s">
        <v>228</v>
      </c>
      <c r="O718" s="105" t="s">
        <v>228</v>
      </c>
      <c r="P718" s="105" t="s">
        <v>356</v>
      </c>
      <c r="Q718" s="494">
        <v>3168978</v>
      </c>
      <c r="R718" s="494">
        <v>3019766</v>
      </c>
      <c r="S718" s="494">
        <v>3257180</v>
      </c>
      <c r="T718" s="494">
        <v>3103814</v>
      </c>
      <c r="U718" s="494">
        <v>268398</v>
      </c>
      <c r="V718" s="493">
        <v>2024</v>
      </c>
      <c r="W718" s="495"/>
      <c r="X718" s="496">
        <f t="shared" si="47"/>
        <v>11.564221790028242</v>
      </c>
      <c r="Y718" s="497" t="str">
        <f t="shared" si="46"/>
        <v/>
      </c>
      <c r="Z718" s="497" t="str">
        <f t="shared" si="46"/>
        <v/>
      </c>
    </row>
    <row r="719" spans="1:26" s="82" customFormat="1" ht="32" x14ac:dyDescent="0.4">
      <c r="A719" s="493">
        <v>50472</v>
      </c>
      <c r="B719" s="105" t="s">
        <v>433</v>
      </c>
      <c r="C719" s="493" t="s">
        <v>330</v>
      </c>
      <c r="D719" s="105" t="s">
        <v>929</v>
      </c>
      <c r="E719" s="105" t="s">
        <v>930</v>
      </c>
      <c r="F719" s="493">
        <v>470</v>
      </c>
      <c r="G719" s="105" t="s">
        <v>52</v>
      </c>
      <c r="H719" s="105" t="s">
        <v>333</v>
      </c>
      <c r="I719" s="105" t="s">
        <v>334</v>
      </c>
      <c r="J719" s="493">
        <v>562213</v>
      </c>
      <c r="K719" s="493">
        <v>5</v>
      </c>
      <c r="L719" s="105" t="s">
        <v>771</v>
      </c>
      <c r="M719" s="105" t="s">
        <v>360</v>
      </c>
      <c r="N719" s="105" t="s">
        <v>226</v>
      </c>
      <c r="O719" s="105" t="s">
        <v>226</v>
      </c>
      <c r="P719" s="105" t="s">
        <v>350</v>
      </c>
      <c r="Q719" s="494">
        <v>0</v>
      </c>
      <c r="R719" s="494">
        <v>0</v>
      </c>
      <c r="S719" s="494">
        <v>0</v>
      </c>
      <c r="T719" s="494">
        <v>0</v>
      </c>
      <c r="U719" s="494">
        <v>0</v>
      </c>
      <c r="V719" s="493">
        <v>2024</v>
      </c>
      <c r="W719" s="495"/>
      <c r="X719" s="496" t="str">
        <f t="shared" si="47"/>
        <v/>
      </c>
      <c r="Y719" s="497" t="str">
        <f t="shared" si="46"/>
        <v/>
      </c>
      <c r="Z719" s="497" t="str">
        <f t="shared" si="46"/>
        <v/>
      </c>
    </row>
    <row r="720" spans="1:26" s="82" customFormat="1" ht="32" x14ac:dyDescent="0.4">
      <c r="A720" s="493">
        <v>50472</v>
      </c>
      <c r="B720" s="105" t="s">
        <v>433</v>
      </c>
      <c r="C720" s="493" t="s">
        <v>330</v>
      </c>
      <c r="D720" s="105" t="s">
        <v>929</v>
      </c>
      <c r="E720" s="105" t="s">
        <v>930</v>
      </c>
      <c r="F720" s="493">
        <v>470</v>
      </c>
      <c r="G720" s="105" t="s">
        <v>52</v>
      </c>
      <c r="H720" s="105" t="s">
        <v>333</v>
      </c>
      <c r="I720" s="105" t="s">
        <v>334</v>
      </c>
      <c r="J720" s="493">
        <v>562213</v>
      </c>
      <c r="K720" s="493">
        <v>5</v>
      </c>
      <c r="L720" s="105" t="s">
        <v>771</v>
      </c>
      <c r="M720" s="105" t="s">
        <v>360</v>
      </c>
      <c r="N720" s="105" t="s">
        <v>254</v>
      </c>
      <c r="O720" s="105" t="s">
        <v>688</v>
      </c>
      <c r="P720" s="105" t="s">
        <v>388</v>
      </c>
      <c r="Q720" s="494">
        <v>477469</v>
      </c>
      <c r="R720" s="494">
        <v>76882</v>
      </c>
      <c r="S720" s="494">
        <v>3462209</v>
      </c>
      <c r="T720" s="494">
        <v>557563</v>
      </c>
      <c r="U720" s="494">
        <v>87917.66</v>
      </c>
      <c r="V720" s="493">
        <v>2024</v>
      </c>
      <c r="W720" s="495"/>
      <c r="X720" s="496" t="str">
        <f t="shared" si="47"/>
        <v/>
      </c>
      <c r="Y720" s="497" t="str">
        <f t="shared" si="46"/>
        <v/>
      </c>
      <c r="Z720" s="497" t="str">
        <f t="shared" si="46"/>
        <v/>
      </c>
    </row>
    <row r="721" spans="1:26" s="82" customFormat="1" ht="32" x14ac:dyDescent="0.4">
      <c r="A721" s="493">
        <v>50472</v>
      </c>
      <c r="B721" s="105" t="s">
        <v>433</v>
      </c>
      <c r="C721" s="493" t="s">
        <v>330</v>
      </c>
      <c r="D721" s="105" t="s">
        <v>929</v>
      </c>
      <c r="E721" s="105" t="s">
        <v>930</v>
      </c>
      <c r="F721" s="493">
        <v>470</v>
      </c>
      <c r="G721" s="105" t="s">
        <v>52</v>
      </c>
      <c r="H721" s="105" t="s">
        <v>333</v>
      </c>
      <c r="I721" s="105" t="s">
        <v>334</v>
      </c>
      <c r="J721" s="493">
        <v>562213</v>
      </c>
      <c r="K721" s="493">
        <v>5</v>
      </c>
      <c r="L721" s="105" t="s">
        <v>771</v>
      </c>
      <c r="M721" s="105" t="s">
        <v>360</v>
      </c>
      <c r="N721" s="105" t="s">
        <v>230</v>
      </c>
      <c r="O721" s="105" t="s">
        <v>232</v>
      </c>
      <c r="P721" s="105" t="s">
        <v>388</v>
      </c>
      <c r="Q721" s="494">
        <v>305263</v>
      </c>
      <c r="R721" s="494">
        <v>49151</v>
      </c>
      <c r="S721" s="494">
        <v>4231581</v>
      </c>
      <c r="T721" s="494">
        <v>681463</v>
      </c>
      <c r="U721" s="494">
        <v>107454.74</v>
      </c>
      <c r="V721" s="493">
        <v>2024</v>
      </c>
      <c r="W721" s="495"/>
      <c r="X721" s="496" t="str">
        <f t="shared" si="47"/>
        <v/>
      </c>
      <c r="Y721" s="497" t="str">
        <f t="shared" si="46"/>
        <v/>
      </c>
      <c r="Z721" s="497" t="str">
        <f t="shared" si="46"/>
        <v/>
      </c>
    </row>
    <row r="722" spans="1:26" s="82" customFormat="1" ht="32" x14ac:dyDescent="0.4">
      <c r="A722" s="493">
        <v>50472</v>
      </c>
      <c r="B722" s="105" t="s">
        <v>433</v>
      </c>
      <c r="C722" s="493" t="s">
        <v>330</v>
      </c>
      <c r="D722" s="105" t="s">
        <v>929</v>
      </c>
      <c r="E722" s="105" t="s">
        <v>930</v>
      </c>
      <c r="F722" s="493">
        <v>470</v>
      </c>
      <c r="G722" s="105" t="s">
        <v>52</v>
      </c>
      <c r="H722" s="105" t="s">
        <v>333</v>
      </c>
      <c r="I722" s="105" t="s">
        <v>334</v>
      </c>
      <c r="J722" s="493">
        <v>562213</v>
      </c>
      <c r="K722" s="493">
        <v>5</v>
      </c>
      <c r="L722" s="105" t="s">
        <v>771</v>
      </c>
      <c r="M722" s="105" t="s">
        <v>360</v>
      </c>
      <c r="N722" s="105" t="s">
        <v>228</v>
      </c>
      <c r="O722" s="105" t="s">
        <v>228</v>
      </c>
      <c r="P722" s="105" t="s">
        <v>356</v>
      </c>
      <c r="Q722" s="494">
        <v>584242</v>
      </c>
      <c r="R722" s="494">
        <v>93291</v>
      </c>
      <c r="S722" s="494">
        <v>584242</v>
      </c>
      <c r="T722" s="494">
        <v>93291</v>
      </c>
      <c r="U722" s="494">
        <v>14625.602999999999</v>
      </c>
      <c r="V722" s="493">
        <v>2024</v>
      </c>
      <c r="W722" s="495"/>
      <c r="X722" s="496" t="str">
        <f t="shared" si="47"/>
        <v/>
      </c>
      <c r="Y722" s="497" t="str">
        <f t="shared" si="46"/>
        <v/>
      </c>
      <c r="Z722" s="497" t="str">
        <f t="shared" si="46"/>
        <v/>
      </c>
    </row>
    <row r="723" spans="1:26" s="82" customFormat="1" ht="32" x14ac:dyDescent="0.4">
      <c r="A723" s="493">
        <v>50512</v>
      </c>
      <c r="B723" s="105" t="s">
        <v>329</v>
      </c>
      <c r="C723" s="493" t="s">
        <v>330</v>
      </c>
      <c r="D723" s="105" t="s">
        <v>931</v>
      </c>
      <c r="E723" s="105" t="s">
        <v>592</v>
      </c>
      <c r="F723" s="493">
        <v>57280</v>
      </c>
      <c r="G723" s="105" t="s">
        <v>52</v>
      </c>
      <c r="H723" s="105" t="s">
        <v>333</v>
      </c>
      <c r="I723" s="105" t="s">
        <v>334</v>
      </c>
      <c r="J723" s="493">
        <v>22</v>
      </c>
      <c r="K723" s="493">
        <v>2</v>
      </c>
      <c r="L723" s="105" t="s">
        <v>343</v>
      </c>
      <c r="M723" s="105" t="s">
        <v>336</v>
      </c>
      <c r="N723" s="105" t="s">
        <v>337</v>
      </c>
      <c r="O723" s="105" t="s">
        <v>338</v>
      </c>
      <c r="P723" s="105" t="s">
        <v>339</v>
      </c>
      <c r="Q723" s="494">
        <v>0</v>
      </c>
      <c r="R723" s="494">
        <v>0</v>
      </c>
      <c r="S723" s="494">
        <v>486040</v>
      </c>
      <c r="T723" s="494">
        <v>486040</v>
      </c>
      <c r="U723" s="494">
        <v>142450</v>
      </c>
      <c r="V723" s="493">
        <v>2024</v>
      </c>
      <c r="W723" s="495"/>
      <c r="X723" s="496">
        <f t="shared" si="47"/>
        <v>3.412004212004212</v>
      </c>
      <c r="Y723" s="497" t="str">
        <f t="shared" si="46"/>
        <v/>
      </c>
      <c r="Z723" s="497" t="str">
        <f t="shared" si="46"/>
        <v/>
      </c>
    </row>
    <row r="724" spans="1:26" s="82" customFormat="1" x14ac:dyDescent="0.4">
      <c r="A724" s="493">
        <v>50514</v>
      </c>
      <c r="B724" s="105" t="s">
        <v>329</v>
      </c>
      <c r="C724" s="493" t="s">
        <v>330</v>
      </c>
      <c r="D724" s="105" t="s">
        <v>932</v>
      </c>
      <c r="E724" s="105" t="s">
        <v>933</v>
      </c>
      <c r="F724" s="493">
        <v>6495</v>
      </c>
      <c r="G724" s="105" t="s">
        <v>52</v>
      </c>
      <c r="H724" s="105" t="s">
        <v>333</v>
      </c>
      <c r="I724" s="105" t="s">
        <v>334</v>
      </c>
      <c r="J724" s="493">
        <v>22</v>
      </c>
      <c r="K724" s="493">
        <v>2</v>
      </c>
      <c r="L724" s="105" t="s">
        <v>343</v>
      </c>
      <c r="M724" s="105" t="s">
        <v>336</v>
      </c>
      <c r="N724" s="105" t="s">
        <v>337</v>
      </c>
      <c r="O724" s="105" t="s">
        <v>338</v>
      </c>
      <c r="P724" s="105" t="s">
        <v>339</v>
      </c>
      <c r="Q724" s="494">
        <v>0</v>
      </c>
      <c r="R724" s="494">
        <v>0</v>
      </c>
      <c r="S724" s="494">
        <v>50533</v>
      </c>
      <c r="T724" s="494">
        <v>50533</v>
      </c>
      <c r="U724" s="494">
        <v>14811</v>
      </c>
      <c r="V724" s="493">
        <v>2024</v>
      </c>
      <c r="W724" s="495"/>
      <c r="X724" s="496">
        <f t="shared" si="47"/>
        <v>3.4118560529336306</v>
      </c>
      <c r="Y724" s="497" t="str">
        <f t="shared" si="46"/>
        <v/>
      </c>
      <c r="Z724" s="497" t="str">
        <f t="shared" si="46"/>
        <v/>
      </c>
    </row>
    <row r="725" spans="1:26" s="82" customFormat="1" ht="32" x14ac:dyDescent="0.4">
      <c r="A725" s="493">
        <v>50539</v>
      </c>
      <c r="B725" s="105" t="s">
        <v>329</v>
      </c>
      <c r="C725" s="493" t="s">
        <v>330</v>
      </c>
      <c r="D725" s="105" t="s">
        <v>934</v>
      </c>
      <c r="E725" s="105" t="s">
        <v>934</v>
      </c>
      <c r="F725" s="493">
        <v>1966</v>
      </c>
      <c r="G725" s="105" t="s">
        <v>36</v>
      </c>
      <c r="H725" s="105" t="s">
        <v>342</v>
      </c>
      <c r="I725" s="105" t="s">
        <v>334</v>
      </c>
      <c r="J725" s="493">
        <v>22</v>
      </c>
      <c r="K725" s="493">
        <v>2</v>
      </c>
      <c r="L725" s="105" t="s">
        <v>343</v>
      </c>
      <c r="M725" s="105" t="s">
        <v>336</v>
      </c>
      <c r="N725" s="105" t="s">
        <v>337</v>
      </c>
      <c r="O725" s="105" t="s">
        <v>338</v>
      </c>
      <c r="P725" s="105" t="s">
        <v>339</v>
      </c>
      <c r="Q725" s="494">
        <v>0</v>
      </c>
      <c r="R725" s="494">
        <v>0</v>
      </c>
      <c r="S725" s="494">
        <v>11207</v>
      </c>
      <c r="T725" s="494">
        <v>11207</v>
      </c>
      <c r="U725" s="494">
        <v>3285</v>
      </c>
      <c r="V725" s="493">
        <v>2024</v>
      </c>
      <c r="W725" s="495"/>
      <c r="X725" s="496">
        <f t="shared" si="47"/>
        <v>3.4115677321156772</v>
      </c>
      <c r="Y725" s="497" t="str">
        <f t="shared" si="46"/>
        <v/>
      </c>
      <c r="Z725" s="497" t="str">
        <f t="shared" si="46"/>
        <v/>
      </c>
    </row>
    <row r="726" spans="1:26" s="82" customFormat="1" ht="32" x14ac:dyDescent="0.4">
      <c r="A726" s="493">
        <v>50545</v>
      </c>
      <c r="B726" s="105" t="s">
        <v>329</v>
      </c>
      <c r="C726" s="493" t="s">
        <v>330</v>
      </c>
      <c r="D726" s="105" t="s">
        <v>935</v>
      </c>
      <c r="E726" s="105" t="s">
        <v>755</v>
      </c>
      <c r="F726" s="493">
        <v>64078</v>
      </c>
      <c r="G726" s="105" t="s">
        <v>33</v>
      </c>
      <c r="H726" s="105" t="s">
        <v>342</v>
      </c>
      <c r="I726" s="105" t="s">
        <v>334</v>
      </c>
      <c r="J726" s="493">
        <v>22</v>
      </c>
      <c r="K726" s="493">
        <v>2</v>
      </c>
      <c r="L726" s="105" t="s">
        <v>343</v>
      </c>
      <c r="M726" s="105" t="s">
        <v>336</v>
      </c>
      <c r="N726" s="105" t="s">
        <v>337</v>
      </c>
      <c r="O726" s="105" t="s">
        <v>338</v>
      </c>
      <c r="P726" s="105" t="s">
        <v>339</v>
      </c>
      <c r="Q726" s="494">
        <v>0</v>
      </c>
      <c r="R726" s="494">
        <v>0</v>
      </c>
      <c r="S726" s="494">
        <v>222221</v>
      </c>
      <c r="T726" s="494">
        <v>222221</v>
      </c>
      <c r="U726" s="494">
        <v>65129</v>
      </c>
      <c r="V726" s="493">
        <v>2024</v>
      </c>
      <c r="W726" s="495"/>
      <c r="X726" s="496">
        <f t="shared" si="47"/>
        <v>3.4120130817301049</v>
      </c>
      <c r="Y726" s="497" t="str">
        <f t="shared" si="46"/>
        <v/>
      </c>
      <c r="Z726" s="497" t="str">
        <f t="shared" si="46"/>
        <v/>
      </c>
    </row>
    <row r="727" spans="1:26" s="82" customFormat="1" ht="32" x14ac:dyDescent="0.4">
      <c r="A727" s="493">
        <v>50564</v>
      </c>
      <c r="B727" s="105" t="s">
        <v>329</v>
      </c>
      <c r="C727" s="493" t="s">
        <v>330</v>
      </c>
      <c r="D727" s="105" t="s">
        <v>936</v>
      </c>
      <c r="E727" s="105" t="s">
        <v>937</v>
      </c>
      <c r="F727" s="493">
        <v>54842</v>
      </c>
      <c r="G727" s="105" t="s">
        <v>37</v>
      </c>
      <c r="H727" s="105" t="s">
        <v>342</v>
      </c>
      <c r="I727" s="105" t="s">
        <v>334</v>
      </c>
      <c r="J727" s="493">
        <v>22</v>
      </c>
      <c r="K727" s="493">
        <v>2</v>
      </c>
      <c r="L727" s="105" t="s">
        <v>343</v>
      </c>
      <c r="M727" s="105" t="s">
        <v>359</v>
      </c>
      <c r="N727" s="105" t="s">
        <v>252</v>
      </c>
      <c r="O727" s="105" t="s">
        <v>688</v>
      </c>
      <c r="P727" s="105" t="s">
        <v>356</v>
      </c>
      <c r="Q727" s="494">
        <v>130120</v>
      </c>
      <c r="R727" s="494">
        <v>130120</v>
      </c>
      <c r="S727" s="494">
        <v>62458</v>
      </c>
      <c r="T727" s="494">
        <v>62458</v>
      </c>
      <c r="U727" s="494">
        <v>4725</v>
      </c>
      <c r="V727" s="493">
        <v>2024</v>
      </c>
      <c r="W727" s="495"/>
      <c r="X727" s="496">
        <f t="shared" si="47"/>
        <v>13.218624338624339</v>
      </c>
      <c r="Y727" s="497" t="str">
        <f t="shared" si="46"/>
        <v/>
      </c>
      <c r="Z727" s="497" t="str">
        <f t="shared" si="46"/>
        <v/>
      </c>
    </row>
    <row r="728" spans="1:26" s="82" customFormat="1" ht="32" x14ac:dyDescent="0.4">
      <c r="A728" s="493">
        <v>50568</v>
      </c>
      <c r="B728" s="105" t="s">
        <v>329</v>
      </c>
      <c r="C728" s="493" t="s">
        <v>330</v>
      </c>
      <c r="D728" s="105" t="s">
        <v>938</v>
      </c>
      <c r="E728" s="105" t="s">
        <v>937</v>
      </c>
      <c r="F728" s="493">
        <v>54842</v>
      </c>
      <c r="G728" s="105" t="s">
        <v>52</v>
      </c>
      <c r="H728" s="105" t="s">
        <v>333</v>
      </c>
      <c r="I728" s="105" t="s">
        <v>334</v>
      </c>
      <c r="J728" s="493">
        <v>22</v>
      </c>
      <c r="K728" s="493">
        <v>2</v>
      </c>
      <c r="L728" s="105" t="s">
        <v>343</v>
      </c>
      <c r="M728" s="105" t="s">
        <v>359</v>
      </c>
      <c r="N728" s="105" t="s">
        <v>252</v>
      </c>
      <c r="O728" s="105" t="s">
        <v>688</v>
      </c>
      <c r="P728" s="105" t="s">
        <v>356</v>
      </c>
      <c r="Q728" s="494">
        <v>1550468</v>
      </c>
      <c r="R728" s="494">
        <v>1550468</v>
      </c>
      <c r="S728" s="494">
        <v>775237</v>
      </c>
      <c r="T728" s="494">
        <v>775237</v>
      </c>
      <c r="U728" s="494">
        <v>69959</v>
      </c>
      <c r="V728" s="493">
        <v>2024</v>
      </c>
      <c r="W728" s="495"/>
      <c r="X728" s="496">
        <f t="shared" si="47"/>
        <v>11.081304764219043</v>
      </c>
      <c r="Y728" s="497" t="str">
        <f t="shared" ref="Y728:Z747" si="48">IF(AND($M728=$Y$2,$N728=$Y$3,NOT($Q728=$R728),NOT($U728=0)),IF($K728=5,$S728/($U728+(8/5)*$U728),IF($K728=7,$S728/($U728+(29/25)*$U728),"")),"")</f>
        <v/>
      </c>
      <c r="Z728" s="497" t="str">
        <f t="shared" si="48"/>
        <v/>
      </c>
    </row>
    <row r="729" spans="1:26" s="82" customFormat="1" ht="32" x14ac:dyDescent="0.4">
      <c r="A729" s="493">
        <v>50621</v>
      </c>
      <c r="B729" s="105" t="s">
        <v>433</v>
      </c>
      <c r="C729" s="493" t="s">
        <v>330</v>
      </c>
      <c r="D729" s="105" t="s">
        <v>939</v>
      </c>
      <c r="E729" s="105" t="s">
        <v>940</v>
      </c>
      <c r="F729" s="493">
        <v>18000</v>
      </c>
      <c r="G729" s="105" t="s">
        <v>38</v>
      </c>
      <c r="H729" s="105" t="s">
        <v>342</v>
      </c>
      <c r="I729" s="105" t="s">
        <v>334</v>
      </c>
      <c r="J729" s="493">
        <v>622</v>
      </c>
      <c r="K729" s="493">
        <v>5</v>
      </c>
      <c r="L729" s="105" t="s">
        <v>771</v>
      </c>
      <c r="M729" s="105" t="s">
        <v>295</v>
      </c>
      <c r="N729" s="105" t="s">
        <v>226</v>
      </c>
      <c r="O729" s="105" t="s">
        <v>226</v>
      </c>
      <c r="P729" s="105" t="s">
        <v>350</v>
      </c>
      <c r="Q729" s="494">
        <v>0</v>
      </c>
      <c r="R729" s="494">
        <v>0</v>
      </c>
      <c r="S729" s="494">
        <v>0</v>
      </c>
      <c r="T729" s="494">
        <v>0</v>
      </c>
      <c r="U729" s="494">
        <v>0</v>
      </c>
      <c r="V729" s="493">
        <v>2024</v>
      </c>
      <c r="W729" s="495"/>
      <c r="X729" s="496" t="str">
        <f t="shared" si="47"/>
        <v/>
      </c>
      <c r="Y729" s="497" t="str">
        <f t="shared" si="48"/>
        <v/>
      </c>
      <c r="Z729" s="497" t="str">
        <f t="shared" si="48"/>
        <v/>
      </c>
    </row>
    <row r="730" spans="1:26" s="82" customFormat="1" ht="32" x14ac:dyDescent="0.4">
      <c r="A730" s="493">
        <v>50621</v>
      </c>
      <c r="B730" s="105" t="s">
        <v>433</v>
      </c>
      <c r="C730" s="493" t="s">
        <v>330</v>
      </c>
      <c r="D730" s="105" t="s">
        <v>939</v>
      </c>
      <c r="E730" s="105" t="s">
        <v>940</v>
      </c>
      <c r="F730" s="493">
        <v>18000</v>
      </c>
      <c r="G730" s="105" t="s">
        <v>38</v>
      </c>
      <c r="H730" s="105" t="s">
        <v>342</v>
      </c>
      <c r="I730" s="105" t="s">
        <v>334</v>
      </c>
      <c r="J730" s="493">
        <v>622</v>
      </c>
      <c r="K730" s="493">
        <v>5</v>
      </c>
      <c r="L730" s="105" t="s">
        <v>771</v>
      </c>
      <c r="M730" s="105" t="s">
        <v>295</v>
      </c>
      <c r="N730" s="105" t="s">
        <v>228</v>
      </c>
      <c r="O730" s="105" t="s">
        <v>228</v>
      </c>
      <c r="P730" s="105" t="s">
        <v>356</v>
      </c>
      <c r="Q730" s="494">
        <v>380076</v>
      </c>
      <c r="R730" s="494">
        <v>97875</v>
      </c>
      <c r="S730" s="494">
        <v>394516</v>
      </c>
      <c r="T730" s="494">
        <v>101595</v>
      </c>
      <c r="U730" s="494">
        <v>19044</v>
      </c>
      <c r="V730" s="493">
        <v>2024</v>
      </c>
      <c r="W730" s="495"/>
      <c r="X730" s="496" t="str">
        <f t="shared" si="47"/>
        <v/>
      </c>
      <c r="Y730" s="497">
        <f t="shared" si="48"/>
        <v>7.9677023249802073</v>
      </c>
      <c r="Z730" s="497">
        <f t="shared" si="48"/>
        <v>7.9677023249802073</v>
      </c>
    </row>
    <row r="731" spans="1:26" s="82" customFormat="1" ht="32" x14ac:dyDescent="0.4">
      <c r="A731" s="493">
        <v>50621</v>
      </c>
      <c r="B731" s="105" t="s">
        <v>433</v>
      </c>
      <c r="C731" s="493" t="s">
        <v>330</v>
      </c>
      <c r="D731" s="105" t="s">
        <v>939</v>
      </c>
      <c r="E731" s="105" t="s">
        <v>940</v>
      </c>
      <c r="F731" s="493">
        <v>18000</v>
      </c>
      <c r="G731" s="105" t="s">
        <v>38</v>
      </c>
      <c r="H731" s="105" t="s">
        <v>342</v>
      </c>
      <c r="I731" s="105" t="s">
        <v>334</v>
      </c>
      <c r="J731" s="493">
        <v>622</v>
      </c>
      <c r="K731" s="493">
        <v>5</v>
      </c>
      <c r="L731" s="105" t="s">
        <v>771</v>
      </c>
      <c r="M731" s="105" t="s">
        <v>295</v>
      </c>
      <c r="N731" s="105" t="s">
        <v>238</v>
      </c>
      <c r="O731" s="105" t="s">
        <v>238</v>
      </c>
      <c r="P731" s="105" t="s">
        <v>350</v>
      </c>
      <c r="Q731" s="494">
        <v>0</v>
      </c>
      <c r="R731" s="494">
        <v>0</v>
      </c>
      <c r="S731" s="494">
        <v>0</v>
      </c>
      <c r="T731" s="494">
        <v>0</v>
      </c>
      <c r="U731" s="494">
        <v>0</v>
      </c>
      <c r="V731" s="493">
        <v>2024</v>
      </c>
      <c r="W731" s="495"/>
      <c r="X731" s="496" t="str">
        <f t="shared" si="47"/>
        <v/>
      </c>
      <c r="Y731" s="497" t="str">
        <f t="shared" si="48"/>
        <v/>
      </c>
      <c r="Z731" s="497" t="str">
        <f t="shared" si="48"/>
        <v/>
      </c>
    </row>
    <row r="732" spans="1:26" s="82" customFormat="1" ht="32" x14ac:dyDescent="0.4">
      <c r="A732" s="493">
        <v>50621</v>
      </c>
      <c r="B732" s="105" t="s">
        <v>433</v>
      </c>
      <c r="C732" s="493" t="s">
        <v>330</v>
      </c>
      <c r="D732" s="105" t="s">
        <v>939</v>
      </c>
      <c r="E732" s="105" t="s">
        <v>940</v>
      </c>
      <c r="F732" s="493">
        <v>18000</v>
      </c>
      <c r="G732" s="105" t="s">
        <v>38</v>
      </c>
      <c r="H732" s="105" t="s">
        <v>342</v>
      </c>
      <c r="I732" s="105" t="s">
        <v>334</v>
      </c>
      <c r="J732" s="493">
        <v>622</v>
      </c>
      <c r="K732" s="493">
        <v>5</v>
      </c>
      <c r="L732" s="105" t="s">
        <v>771</v>
      </c>
      <c r="M732" s="105" t="s">
        <v>359</v>
      </c>
      <c r="N732" s="105" t="s">
        <v>228</v>
      </c>
      <c r="O732" s="105" t="s">
        <v>228</v>
      </c>
      <c r="P732" s="105" t="s">
        <v>356</v>
      </c>
      <c r="Q732" s="494">
        <v>1179</v>
      </c>
      <c r="R732" s="494">
        <v>303</v>
      </c>
      <c r="S732" s="494">
        <v>1222</v>
      </c>
      <c r="T732" s="494">
        <v>312</v>
      </c>
      <c r="U732" s="494">
        <v>72</v>
      </c>
      <c r="V732" s="493">
        <v>2024</v>
      </c>
      <c r="W732" s="495"/>
      <c r="X732" s="496" t="str">
        <f t="shared" si="47"/>
        <v/>
      </c>
      <c r="Y732" s="497" t="str">
        <f t="shared" si="48"/>
        <v/>
      </c>
      <c r="Z732" s="497" t="str">
        <f t="shared" si="48"/>
        <v/>
      </c>
    </row>
    <row r="733" spans="1:26" s="82" customFormat="1" ht="32" x14ac:dyDescent="0.4">
      <c r="A733" s="493">
        <v>50621</v>
      </c>
      <c r="B733" s="105" t="s">
        <v>433</v>
      </c>
      <c r="C733" s="493" t="s">
        <v>330</v>
      </c>
      <c r="D733" s="105" t="s">
        <v>939</v>
      </c>
      <c r="E733" s="105" t="s">
        <v>940</v>
      </c>
      <c r="F733" s="493">
        <v>18000</v>
      </c>
      <c r="G733" s="105" t="s">
        <v>38</v>
      </c>
      <c r="H733" s="105" t="s">
        <v>342</v>
      </c>
      <c r="I733" s="105" t="s">
        <v>334</v>
      </c>
      <c r="J733" s="493">
        <v>622</v>
      </c>
      <c r="K733" s="493">
        <v>5</v>
      </c>
      <c r="L733" s="105" t="s">
        <v>771</v>
      </c>
      <c r="M733" s="105" t="s">
        <v>360</v>
      </c>
      <c r="N733" s="105" t="s">
        <v>226</v>
      </c>
      <c r="O733" s="105" t="s">
        <v>226</v>
      </c>
      <c r="P733" s="105" t="s">
        <v>350</v>
      </c>
      <c r="Q733" s="494">
        <v>0</v>
      </c>
      <c r="R733" s="494">
        <v>0</v>
      </c>
      <c r="S733" s="494">
        <v>0</v>
      </c>
      <c r="T733" s="494">
        <v>0</v>
      </c>
      <c r="U733" s="494">
        <v>0</v>
      </c>
      <c r="V733" s="493">
        <v>2024</v>
      </c>
      <c r="W733" s="495"/>
      <c r="X733" s="496" t="str">
        <f t="shared" si="47"/>
        <v/>
      </c>
      <c r="Y733" s="497" t="str">
        <f t="shared" si="48"/>
        <v/>
      </c>
      <c r="Z733" s="497" t="str">
        <f t="shared" si="48"/>
        <v/>
      </c>
    </row>
    <row r="734" spans="1:26" s="82" customFormat="1" ht="32" x14ac:dyDescent="0.4">
      <c r="A734" s="493">
        <v>50621</v>
      </c>
      <c r="B734" s="105" t="s">
        <v>433</v>
      </c>
      <c r="C734" s="493" t="s">
        <v>330</v>
      </c>
      <c r="D734" s="105" t="s">
        <v>939</v>
      </c>
      <c r="E734" s="105" t="s">
        <v>940</v>
      </c>
      <c r="F734" s="493">
        <v>18000</v>
      </c>
      <c r="G734" s="105" t="s">
        <v>38</v>
      </c>
      <c r="H734" s="105" t="s">
        <v>342</v>
      </c>
      <c r="I734" s="105" t="s">
        <v>334</v>
      </c>
      <c r="J734" s="493">
        <v>622</v>
      </c>
      <c r="K734" s="493">
        <v>5</v>
      </c>
      <c r="L734" s="105" t="s">
        <v>771</v>
      </c>
      <c r="M734" s="105" t="s">
        <v>360</v>
      </c>
      <c r="N734" s="105" t="s">
        <v>228</v>
      </c>
      <c r="O734" s="105" t="s">
        <v>228</v>
      </c>
      <c r="P734" s="105" t="s">
        <v>356</v>
      </c>
      <c r="Q734" s="494">
        <v>0</v>
      </c>
      <c r="R734" s="494">
        <v>0</v>
      </c>
      <c r="S734" s="494">
        <v>0</v>
      </c>
      <c r="T734" s="494">
        <v>0</v>
      </c>
      <c r="U734" s="494">
        <v>0</v>
      </c>
      <c r="V734" s="493">
        <v>2024</v>
      </c>
      <c r="W734" s="495"/>
      <c r="X734" s="496" t="str">
        <f t="shared" si="47"/>
        <v/>
      </c>
      <c r="Y734" s="497" t="str">
        <f t="shared" si="48"/>
        <v/>
      </c>
      <c r="Z734" s="497" t="str">
        <f t="shared" si="48"/>
        <v/>
      </c>
    </row>
    <row r="735" spans="1:26" s="82" customFormat="1" x14ac:dyDescent="0.4">
      <c r="A735" s="493">
        <v>50648</v>
      </c>
      <c r="B735" s="105" t="s">
        <v>329</v>
      </c>
      <c r="C735" s="493" t="s">
        <v>330</v>
      </c>
      <c r="D735" s="105" t="s">
        <v>941</v>
      </c>
      <c r="E735" s="105" t="s">
        <v>942</v>
      </c>
      <c r="F735" s="493">
        <v>4474</v>
      </c>
      <c r="G735" s="105" t="s">
        <v>37</v>
      </c>
      <c r="H735" s="105" t="s">
        <v>342</v>
      </c>
      <c r="I735" s="105" t="s">
        <v>334</v>
      </c>
      <c r="J735" s="493">
        <v>22</v>
      </c>
      <c r="K735" s="493">
        <v>2</v>
      </c>
      <c r="L735" s="105" t="s">
        <v>343</v>
      </c>
      <c r="M735" s="105" t="s">
        <v>360</v>
      </c>
      <c r="N735" s="105" t="s">
        <v>254</v>
      </c>
      <c r="O735" s="105" t="s">
        <v>688</v>
      </c>
      <c r="P735" s="105" t="s">
        <v>388</v>
      </c>
      <c r="Q735" s="494">
        <v>146306</v>
      </c>
      <c r="R735" s="494">
        <v>146306</v>
      </c>
      <c r="S735" s="494">
        <v>971389</v>
      </c>
      <c r="T735" s="494">
        <v>971389</v>
      </c>
      <c r="U735" s="494">
        <v>49073.945</v>
      </c>
      <c r="V735" s="493">
        <v>2024</v>
      </c>
      <c r="W735" s="495"/>
      <c r="X735" s="496">
        <f t="shared" si="47"/>
        <v>19.794393949783331</v>
      </c>
      <c r="Y735" s="497" t="str">
        <f t="shared" si="48"/>
        <v/>
      </c>
      <c r="Z735" s="497" t="str">
        <f t="shared" si="48"/>
        <v/>
      </c>
    </row>
    <row r="736" spans="1:26" s="82" customFormat="1" x14ac:dyDescent="0.4">
      <c r="A736" s="493">
        <v>50648</v>
      </c>
      <c r="B736" s="105" t="s">
        <v>329</v>
      </c>
      <c r="C736" s="493" t="s">
        <v>330</v>
      </c>
      <c r="D736" s="105" t="s">
        <v>941</v>
      </c>
      <c r="E736" s="105" t="s">
        <v>942</v>
      </c>
      <c r="F736" s="493">
        <v>4474</v>
      </c>
      <c r="G736" s="105" t="s">
        <v>37</v>
      </c>
      <c r="H736" s="105" t="s">
        <v>342</v>
      </c>
      <c r="I736" s="105" t="s">
        <v>334</v>
      </c>
      <c r="J736" s="493">
        <v>22</v>
      </c>
      <c r="K736" s="493">
        <v>2</v>
      </c>
      <c r="L736" s="105" t="s">
        <v>343</v>
      </c>
      <c r="M736" s="105" t="s">
        <v>360</v>
      </c>
      <c r="N736" s="105" t="s">
        <v>230</v>
      </c>
      <c r="O736" s="105" t="s">
        <v>232</v>
      </c>
      <c r="P736" s="105" t="s">
        <v>388</v>
      </c>
      <c r="Q736" s="494">
        <v>93538</v>
      </c>
      <c r="R736" s="494">
        <v>93538</v>
      </c>
      <c r="S736" s="494">
        <v>1187231</v>
      </c>
      <c r="T736" s="494">
        <v>1187231</v>
      </c>
      <c r="U736" s="494">
        <v>59978.055</v>
      </c>
      <c r="V736" s="493">
        <v>2024</v>
      </c>
      <c r="W736" s="495"/>
      <c r="X736" s="496">
        <f t="shared" si="47"/>
        <v>19.794423143598106</v>
      </c>
      <c r="Y736" s="497" t="str">
        <f t="shared" si="48"/>
        <v/>
      </c>
      <c r="Z736" s="497" t="str">
        <f t="shared" si="48"/>
        <v/>
      </c>
    </row>
    <row r="737" spans="1:26" s="82" customFormat="1" x14ac:dyDescent="0.4">
      <c r="A737" s="493">
        <v>50648</v>
      </c>
      <c r="B737" s="105" t="s">
        <v>329</v>
      </c>
      <c r="C737" s="493" t="s">
        <v>330</v>
      </c>
      <c r="D737" s="105" t="s">
        <v>941</v>
      </c>
      <c r="E737" s="105" t="s">
        <v>942</v>
      </c>
      <c r="F737" s="493">
        <v>4474</v>
      </c>
      <c r="G737" s="105" t="s">
        <v>37</v>
      </c>
      <c r="H737" s="105" t="s">
        <v>342</v>
      </c>
      <c r="I737" s="105" t="s">
        <v>334</v>
      </c>
      <c r="J737" s="493">
        <v>22</v>
      </c>
      <c r="K737" s="493">
        <v>2</v>
      </c>
      <c r="L737" s="105" t="s">
        <v>343</v>
      </c>
      <c r="M737" s="105" t="s">
        <v>360</v>
      </c>
      <c r="N737" s="105" t="s">
        <v>228</v>
      </c>
      <c r="O737" s="105" t="s">
        <v>228</v>
      </c>
      <c r="P737" s="105" t="s">
        <v>356</v>
      </c>
      <c r="Q737" s="494">
        <v>0</v>
      </c>
      <c r="R737" s="494">
        <v>0</v>
      </c>
      <c r="S737" s="494">
        <v>0</v>
      </c>
      <c r="T737" s="494">
        <v>0</v>
      </c>
      <c r="U737" s="494">
        <v>0</v>
      </c>
      <c r="V737" s="493">
        <v>2024</v>
      </c>
      <c r="W737" s="495"/>
      <c r="X737" s="496" t="str">
        <f t="shared" si="47"/>
        <v/>
      </c>
      <c r="Y737" s="497" t="str">
        <f t="shared" si="48"/>
        <v/>
      </c>
      <c r="Z737" s="497" t="str">
        <f t="shared" si="48"/>
        <v/>
      </c>
    </row>
    <row r="738" spans="1:26" s="82" customFormat="1" ht="32" x14ac:dyDescent="0.4">
      <c r="A738" s="493">
        <v>50649</v>
      </c>
      <c r="B738" s="105" t="s">
        <v>329</v>
      </c>
      <c r="C738" s="493" t="s">
        <v>330</v>
      </c>
      <c r="D738" s="105" t="s">
        <v>943</v>
      </c>
      <c r="E738" s="105" t="s">
        <v>943</v>
      </c>
      <c r="F738" s="493">
        <v>4484</v>
      </c>
      <c r="G738" s="105" t="s">
        <v>52</v>
      </c>
      <c r="H738" s="105" t="s">
        <v>333</v>
      </c>
      <c r="I738" s="105" t="s">
        <v>334</v>
      </c>
      <c r="J738" s="493">
        <v>562213</v>
      </c>
      <c r="K738" s="493">
        <v>4</v>
      </c>
      <c r="L738" s="105" t="s">
        <v>766</v>
      </c>
      <c r="M738" s="105" t="s">
        <v>360</v>
      </c>
      <c r="N738" s="105" t="s">
        <v>226</v>
      </c>
      <c r="O738" s="105" t="s">
        <v>226</v>
      </c>
      <c r="P738" s="105" t="s">
        <v>350</v>
      </c>
      <c r="Q738" s="494">
        <v>2038</v>
      </c>
      <c r="R738" s="494">
        <v>2038</v>
      </c>
      <c r="S738" s="494">
        <v>12025</v>
      </c>
      <c r="T738" s="494">
        <v>12025</v>
      </c>
      <c r="U738" s="494">
        <v>585.51800000000003</v>
      </c>
      <c r="V738" s="493">
        <v>2024</v>
      </c>
      <c r="W738" s="495"/>
      <c r="X738" s="496" t="str">
        <f t="shared" si="47"/>
        <v/>
      </c>
      <c r="Y738" s="497" t="str">
        <f t="shared" si="48"/>
        <v/>
      </c>
      <c r="Z738" s="497" t="str">
        <f t="shared" si="48"/>
        <v/>
      </c>
    </row>
    <row r="739" spans="1:26" s="82" customFormat="1" ht="32" x14ac:dyDescent="0.4">
      <c r="A739" s="493">
        <v>50649</v>
      </c>
      <c r="B739" s="105" t="s">
        <v>329</v>
      </c>
      <c r="C739" s="493" t="s">
        <v>330</v>
      </c>
      <c r="D739" s="105" t="s">
        <v>943</v>
      </c>
      <c r="E739" s="105" t="s">
        <v>943</v>
      </c>
      <c r="F739" s="493">
        <v>4484</v>
      </c>
      <c r="G739" s="105" t="s">
        <v>52</v>
      </c>
      <c r="H739" s="105" t="s">
        <v>333</v>
      </c>
      <c r="I739" s="105" t="s">
        <v>334</v>
      </c>
      <c r="J739" s="493">
        <v>562213</v>
      </c>
      <c r="K739" s="493">
        <v>4</v>
      </c>
      <c r="L739" s="105" t="s">
        <v>766</v>
      </c>
      <c r="M739" s="105" t="s">
        <v>360</v>
      </c>
      <c r="N739" s="105" t="s">
        <v>254</v>
      </c>
      <c r="O739" s="105" t="s">
        <v>688</v>
      </c>
      <c r="P739" s="105" t="s">
        <v>388</v>
      </c>
      <c r="Q739" s="494">
        <v>153493</v>
      </c>
      <c r="R739" s="494">
        <v>153493</v>
      </c>
      <c r="S739" s="494">
        <v>1112365</v>
      </c>
      <c r="T739" s="494">
        <v>1112365</v>
      </c>
      <c r="U739" s="494">
        <v>55506.400000000001</v>
      </c>
      <c r="V739" s="493">
        <v>2024</v>
      </c>
      <c r="W739" s="495"/>
      <c r="X739" s="496" t="str">
        <f t="shared" si="47"/>
        <v/>
      </c>
      <c r="Y739" s="497" t="str">
        <f t="shared" si="48"/>
        <v/>
      </c>
      <c r="Z739" s="497" t="str">
        <f t="shared" si="48"/>
        <v/>
      </c>
    </row>
    <row r="740" spans="1:26" s="82" customFormat="1" ht="32" x14ac:dyDescent="0.4">
      <c r="A740" s="493">
        <v>50649</v>
      </c>
      <c r="B740" s="105" t="s">
        <v>329</v>
      </c>
      <c r="C740" s="493" t="s">
        <v>330</v>
      </c>
      <c r="D740" s="105" t="s">
        <v>943</v>
      </c>
      <c r="E740" s="105" t="s">
        <v>943</v>
      </c>
      <c r="F740" s="493">
        <v>4484</v>
      </c>
      <c r="G740" s="105" t="s">
        <v>52</v>
      </c>
      <c r="H740" s="105" t="s">
        <v>333</v>
      </c>
      <c r="I740" s="105" t="s">
        <v>334</v>
      </c>
      <c r="J740" s="493">
        <v>562213</v>
      </c>
      <c r="K740" s="493">
        <v>4</v>
      </c>
      <c r="L740" s="105" t="s">
        <v>766</v>
      </c>
      <c r="M740" s="105" t="s">
        <v>360</v>
      </c>
      <c r="N740" s="105" t="s">
        <v>230</v>
      </c>
      <c r="O740" s="105" t="s">
        <v>232</v>
      </c>
      <c r="P740" s="105" t="s">
        <v>388</v>
      </c>
      <c r="Q740" s="494">
        <v>98137</v>
      </c>
      <c r="R740" s="494">
        <v>98137</v>
      </c>
      <c r="S740" s="494">
        <v>1359535</v>
      </c>
      <c r="T740" s="494">
        <v>1359535</v>
      </c>
      <c r="U740" s="494">
        <v>67840.081999999995</v>
      </c>
      <c r="V740" s="493">
        <v>2024</v>
      </c>
      <c r="W740" s="495"/>
      <c r="X740" s="496" t="str">
        <f t="shared" si="47"/>
        <v/>
      </c>
      <c r="Y740" s="497" t="str">
        <f t="shared" si="48"/>
        <v/>
      </c>
      <c r="Z740" s="497" t="str">
        <f t="shared" si="48"/>
        <v/>
      </c>
    </row>
    <row r="741" spans="1:26" s="82" customFormat="1" x14ac:dyDescent="0.4">
      <c r="A741" s="493">
        <v>50650</v>
      </c>
      <c r="B741" s="105" t="s">
        <v>329</v>
      </c>
      <c r="C741" s="493" t="s">
        <v>330</v>
      </c>
      <c r="D741" s="105" t="s">
        <v>944</v>
      </c>
      <c r="E741" s="105" t="s">
        <v>944</v>
      </c>
      <c r="F741" s="493">
        <v>1950</v>
      </c>
      <c r="G741" s="105" t="s">
        <v>34</v>
      </c>
      <c r="H741" s="105" t="s">
        <v>342</v>
      </c>
      <c r="I741" s="105" t="s">
        <v>334</v>
      </c>
      <c r="J741" s="493">
        <v>22</v>
      </c>
      <c r="K741" s="493">
        <v>2</v>
      </c>
      <c r="L741" s="105" t="s">
        <v>343</v>
      </c>
      <c r="M741" s="105" t="s">
        <v>360</v>
      </c>
      <c r="N741" s="105" t="s">
        <v>226</v>
      </c>
      <c r="O741" s="105" t="s">
        <v>226</v>
      </c>
      <c r="P741" s="105" t="s">
        <v>350</v>
      </c>
      <c r="Q741" s="494">
        <v>0</v>
      </c>
      <c r="R741" s="494">
        <v>0</v>
      </c>
      <c r="S741" s="494">
        <v>0</v>
      </c>
      <c r="T741" s="494">
        <v>0</v>
      </c>
      <c r="U741" s="494">
        <v>0</v>
      </c>
      <c r="V741" s="493">
        <v>2024</v>
      </c>
      <c r="W741" s="495"/>
      <c r="X741" s="496" t="str">
        <f t="shared" si="47"/>
        <v/>
      </c>
      <c r="Y741" s="497" t="str">
        <f t="shared" si="48"/>
        <v/>
      </c>
      <c r="Z741" s="497" t="str">
        <f t="shared" si="48"/>
        <v/>
      </c>
    </row>
    <row r="742" spans="1:26" s="82" customFormat="1" x14ac:dyDescent="0.4">
      <c r="A742" s="493">
        <v>50650</v>
      </c>
      <c r="B742" s="105" t="s">
        <v>329</v>
      </c>
      <c r="C742" s="493" t="s">
        <v>330</v>
      </c>
      <c r="D742" s="105" t="s">
        <v>944</v>
      </c>
      <c r="E742" s="105" t="s">
        <v>944</v>
      </c>
      <c r="F742" s="493">
        <v>1950</v>
      </c>
      <c r="G742" s="105" t="s">
        <v>34</v>
      </c>
      <c r="H742" s="105" t="s">
        <v>342</v>
      </c>
      <c r="I742" s="105" t="s">
        <v>334</v>
      </c>
      <c r="J742" s="493">
        <v>22</v>
      </c>
      <c r="K742" s="493">
        <v>2</v>
      </c>
      <c r="L742" s="105" t="s">
        <v>343</v>
      </c>
      <c r="M742" s="105" t="s">
        <v>360</v>
      </c>
      <c r="N742" s="105" t="s">
        <v>258</v>
      </c>
      <c r="O742" s="105" t="s">
        <v>387</v>
      </c>
      <c r="P742" s="105" t="s">
        <v>388</v>
      </c>
      <c r="Q742" s="494">
        <v>366470</v>
      </c>
      <c r="R742" s="494">
        <v>366470</v>
      </c>
      <c r="S742" s="494">
        <v>2931760</v>
      </c>
      <c r="T742" s="494">
        <v>2931760</v>
      </c>
      <c r="U742" s="494">
        <v>203075</v>
      </c>
      <c r="V742" s="493">
        <v>2024</v>
      </c>
      <c r="W742" s="495"/>
      <c r="X742" s="496">
        <f t="shared" si="47"/>
        <v>14.436833682137141</v>
      </c>
      <c r="Y742" s="497" t="str">
        <f t="shared" si="48"/>
        <v/>
      </c>
      <c r="Z742" s="497" t="str">
        <f t="shared" si="48"/>
        <v/>
      </c>
    </row>
    <row r="743" spans="1:26" s="82" customFormat="1" ht="32" x14ac:dyDescent="0.4">
      <c r="A743" s="493">
        <v>50652</v>
      </c>
      <c r="B743" s="105" t="s">
        <v>329</v>
      </c>
      <c r="C743" s="493" t="s">
        <v>330</v>
      </c>
      <c r="D743" s="105" t="s">
        <v>945</v>
      </c>
      <c r="E743" s="105" t="s">
        <v>592</v>
      </c>
      <c r="F743" s="493">
        <v>57280</v>
      </c>
      <c r="G743" s="105" t="s">
        <v>52</v>
      </c>
      <c r="H743" s="105" t="s">
        <v>333</v>
      </c>
      <c r="I743" s="105" t="s">
        <v>334</v>
      </c>
      <c r="J743" s="493">
        <v>22</v>
      </c>
      <c r="K743" s="493">
        <v>2</v>
      </c>
      <c r="L743" s="105" t="s">
        <v>343</v>
      </c>
      <c r="M743" s="105" t="s">
        <v>336</v>
      </c>
      <c r="N743" s="105" t="s">
        <v>337</v>
      </c>
      <c r="O743" s="105" t="s">
        <v>338</v>
      </c>
      <c r="P743" s="105" t="s">
        <v>339</v>
      </c>
      <c r="Q743" s="494">
        <v>0</v>
      </c>
      <c r="R743" s="494">
        <v>0</v>
      </c>
      <c r="S743" s="494">
        <v>37463</v>
      </c>
      <c r="T743" s="494">
        <v>37463</v>
      </c>
      <c r="U743" s="494">
        <v>10979</v>
      </c>
      <c r="V743" s="493">
        <v>2024</v>
      </c>
      <c r="W743" s="495"/>
      <c r="X743" s="496">
        <f t="shared" si="47"/>
        <v>3.4122415520539211</v>
      </c>
      <c r="Y743" s="497" t="str">
        <f t="shared" si="48"/>
        <v/>
      </c>
      <c r="Z743" s="497" t="str">
        <f t="shared" si="48"/>
        <v/>
      </c>
    </row>
    <row r="744" spans="1:26" s="82" customFormat="1" ht="32" x14ac:dyDescent="0.4">
      <c r="A744" s="493">
        <v>50656</v>
      </c>
      <c r="B744" s="105" t="s">
        <v>329</v>
      </c>
      <c r="C744" s="493" t="s">
        <v>330</v>
      </c>
      <c r="D744" s="105" t="s">
        <v>946</v>
      </c>
      <c r="E744" s="105" t="s">
        <v>947</v>
      </c>
      <c r="F744" s="493">
        <v>9097</v>
      </c>
      <c r="G744" s="105" t="s">
        <v>52</v>
      </c>
      <c r="H744" s="105" t="s">
        <v>333</v>
      </c>
      <c r="I744" s="105" t="s">
        <v>334</v>
      </c>
      <c r="J744" s="493">
        <v>562213</v>
      </c>
      <c r="K744" s="493">
        <v>4</v>
      </c>
      <c r="L744" s="105" t="s">
        <v>766</v>
      </c>
      <c r="M744" s="105" t="s">
        <v>360</v>
      </c>
      <c r="N744" s="105" t="s">
        <v>254</v>
      </c>
      <c r="O744" s="105" t="s">
        <v>688</v>
      </c>
      <c r="P744" s="105" t="s">
        <v>388</v>
      </c>
      <c r="Q744" s="494">
        <v>208103</v>
      </c>
      <c r="R744" s="494">
        <v>208103</v>
      </c>
      <c r="S744" s="494">
        <v>1535192</v>
      </c>
      <c r="T744" s="494">
        <v>1535192</v>
      </c>
      <c r="U744" s="494">
        <v>87904.209000000003</v>
      </c>
      <c r="V744" s="493">
        <v>2024</v>
      </c>
      <c r="W744" s="495"/>
      <c r="X744" s="496" t="str">
        <f t="shared" si="47"/>
        <v/>
      </c>
      <c r="Y744" s="497" t="str">
        <f t="shared" si="48"/>
        <v/>
      </c>
      <c r="Z744" s="497" t="str">
        <f t="shared" si="48"/>
        <v/>
      </c>
    </row>
    <row r="745" spans="1:26" s="82" customFormat="1" ht="32" x14ac:dyDescent="0.4">
      <c r="A745" s="493">
        <v>50656</v>
      </c>
      <c r="B745" s="105" t="s">
        <v>329</v>
      </c>
      <c r="C745" s="493" t="s">
        <v>330</v>
      </c>
      <c r="D745" s="105" t="s">
        <v>946</v>
      </c>
      <c r="E745" s="105" t="s">
        <v>947</v>
      </c>
      <c r="F745" s="493">
        <v>9097</v>
      </c>
      <c r="G745" s="105" t="s">
        <v>52</v>
      </c>
      <c r="H745" s="105" t="s">
        <v>333</v>
      </c>
      <c r="I745" s="105" t="s">
        <v>334</v>
      </c>
      <c r="J745" s="493">
        <v>562213</v>
      </c>
      <c r="K745" s="493">
        <v>4</v>
      </c>
      <c r="L745" s="105" t="s">
        <v>766</v>
      </c>
      <c r="M745" s="105" t="s">
        <v>360</v>
      </c>
      <c r="N745" s="105" t="s">
        <v>230</v>
      </c>
      <c r="O745" s="105" t="s">
        <v>232</v>
      </c>
      <c r="P745" s="105" t="s">
        <v>388</v>
      </c>
      <c r="Q745" s="494">
        <v>133051</v>
      </c>
      <c r="R745" s="494">
        <v>133051</v>
      </c>
      <c r="S745" s="494">
        <v>1876343</v>
      </c>
      <c r="T745" s="494">
        <v>1876343</v>
      </c>
      <c r="U745" s="494">
        <v>107438.02</v>
      </c>
      <c r="V745" s="493">
        <v>2024</v>
      </c>
      <c r="W745" s="495"/>
      <c r="X745" s="496" t="str">
        <f t="shared" si="47"/>
        <v/>
      </c>
      <c r="Y745" s="497" t="str">
        <f t="shared" si="48"/>
        <v/>
      </c>
      <c r="Z745" s="497" t="str">
        <f t="shared" si="48"/>
        <v/>
      </c>
    </row>
    <row r="746" spans="1:26" s="82" customFormat="1" ht="32" x14ac:dyDescent="0.4">
      <c r="A746" s="493">
        <v>50656</v>
      </c>
      <c r="B746" s="105" t="s">
        <v>329</v>
      </c>
      <c r="C746" s="493" t="s">
        <v>330</v>
      </c>
      <c r="D746" s="105" t="s">
        <v>946</v>
      </c>
      <c r="E746" s="105" t="s">
        <v>947</v>
      </c>
      <c r="F746" s="493">
        <v>9097</v>
      </c>
      <c r="G746" s="105" t="s">
        <v>52</v>
      </c>
      <c r="H746" s="105" t="s">
        <v>333</v>
      </c>
      <c r="I746" s="105" t="s">
        <v>334</v>
      </c>
      <c r="J746" s="493">
        <v>562213</v>
      </c>
      <c r="K746" s="493">
        <v>4</v>
      </c>
      <c r="L746" s="105" t="s">
        <v>766</v>
      </c>
      <c r="M746" s="105" t="s">
        <v>360</v>
      </c>
      <c r="N746" s="105" t="s">
        <v>246</v>
      </c>
      <c r="O746" s="105" t="s">
        <v>349</v>
      </c>
      <c r="P746" s="105" t="s">
        <v>356</v>
      </c>
      <c r="Q746" s="494">
        <v>3438</v>
      </c>
      <c r="R746" s="494">
        <v>3438</v>
      </c>
      <c r="S746" s="494">
        <v>8597</v>
      </c>
      <c r="T746" s="494">
        <v>8597</v>
      </c>
      <c r="U746" s="494">
        <v>488.77100000000002</v>
      </c>
      <c r="V746" s="493">
        <v>2024</v>
      </c>
      <c r="W746" s="495"/>
      <c r="X746" s="496" t="str">
        <f t="shared" si="47"/>
        <v/>
      </c>
      <c r="Y746" s="497" t="str">
        <f t="shared" si="48"/>
        <v/>
      </c>
      <c r="Z746" s="497" t="str">
        <f t="shared" si="48"/>
        <v/>
      </c>
    </row>
    <row r="747" spans="1:26" s="82" customFormat="1" ht="32" x14ac:dyDescent="0.4">
      <c r="A747" s="493">
        <v>50661</v>
      </c>
      <c r="B747" s="105" t="s">
        <v>329</v>
      </c>
      <c r="C747" s="493" t="s">
        <v>330</v>
      </c>
      <c r="D747" s="105" t="s">
        <v>948</v>
      </c>
      <c r="E747" s="105" t="s">
        <v>949</v>
      </c>
      <c r="F747" s="493">
        <v>13982</v>
      </c>
      <c r="G747" s="105" t="s">
        <v>33</v>
      </c>
      <c r="H747" s="105" t="s">
        <v>342</v>
      </c>
      <c r="I747" s="105" t="s">
        <v>334</v>
      </c>
      <c r="J747" s="493">
        <v>562213</v>
      </c>
      <c r="K747" s="493">
        <v>4</v>
      </c>
      <c r="L747" s="105" t="s">
        <v>766</v>
      </c>
      <c r="M747" s="105" t="s">
        <v>360</v>
      </c>
      <c r="N747" s="105" t="s">
        <v>226</v>
      </c>
      <c r="O747" s="105" t="s">
        <v>226</v>
      </c>
      <c r="P747" s="105" t="s">
        <v>350</v>
      </c>
      <c r="Q747" s="494">
        <v>2666</v>
      </c>
      <c r="R747" s="494">
        <v>2666</v>
      </c>
      <c r="S747" s="494">
        <v>15187</v>
      </c>
      <c r="T747" s="494">
        <v>15187</v>
      </c>
      <c r="U747" s="494">
        <v>907.08900000000006</v>
      </c>
      <c r="V747" s="493">
        <v>2024</v>
      </c>
      <c r="W747" s="495"/>
      <c r="X747" s="496" t="str">
        <f t="shared" si="47"/>
        <v/>
      </c>
      <c r="Y747" s="497" t="str">
        <f t="shared" si="48"/>
        <v/>
      </c>
      <c r="Z747" s="497" t="str">
        <f t="shared" si="48"/>
        <v/>
      </c>
    </row>
    <row r="748" spans="1:26" s="82" customFormat="1" ht="32" x14ac:dyDescent="0.4">
      <c r="A748" s="493">
        <v>50661</v>
      </c>
      <c r="B748" s="105" t="s">
        <v>329</v>
      </c>
      <c r="C748" s="493" t="s">
        <v>330</v>
      </c>
      <c r="D748" s="105" t="s">
        <v>948</v>
      </c>
      <c r="E748" s="105" t="s">
        <v>949</v>
      </c>
      <c r="F748" s="493">
        <v>13982</v>
      </c>
      <c r="G748" s="105" t="s">
        <v>33</v>
      </c>
      <c r="H748" s="105" t="s">
        <v>342</v>
      </c>
      <c r="I748" s="105" t="s">
        <v>334</v>
      </c>
      <c r="J748" s="493">
        <v>562213</v>
      </c>
      <c r="K748" s="493">
        <v>4</v>
      </c>
      <c r="L748" s="105" t="s">
        <v>766</v>
      </c>
      <c r="M748" s="105" t="s">
        <v>360</v>
      </c>
      <c r="N748" s="105" t="s">
        <v>254</v>
      </c>
      <c r="O748" s="105" t="s">
        <v>688</v>
      </c>
      <c r="P748" s="105" t="s">
        <v>388</v>
      </c>
      <c r="Q748" s="494">
        <v>381779</v>
      </c>
      <c r="R748" s="494">
        <v>381779</v>
      </c>
      <c r="S748" s="494">
        <v>2534651</v>
      </c>
      <c r="T748" s="494">
        <v>2534651</v>
      </c>
      <c r="U748" s="494">
        <v>153249.75</v>
      </c>
      <c r="V748" s="493">
        <v>2024</v>
      </c>
      <c r="W748" s="495"/>
      <c r="X748" s="496" t="str">
        <f t="shared" si="47"/>
        <v/>
      </c>
      <c r="Y748" s="497" t="str">
        <f t="shared" ref="Y748:Z767" si="49">IF(AND($M748=$Y$2,$N748=$Y$3,NOT($Q748=$R748),NOT($U748=0)),IF($K748=5,$S748/($U748+(8/5)*$U748),IF($K748=7,$S748/($U748+(29/25)*$U748),"")),"")</f>
        <v/>
      </c>
      <c r="Z748" s="497" t="str">
        <f t="shared" si="49"/>
        <v/>
      </c>
    </row>
    <row r="749" spans="1:26" s="82" customFormat="1" ht="32" x14ac:dyDescent="0.4">
      <c r="A749" s="493">
        <v>50661</v>
      </c>
      <c r="B749" s="105" t="s">
        <v>329</v>
      </c>
      <c r="C749" s="493" t="s">
        <v>330</v>
      </c>
      <c r="D749" s="105" t="s">
        <v>948</v>
      </c>
      <c r="E749" s="105" t="s">
        <v>949</v>
      </c>
      <c r="F749" s="493">
        <v>13982</v>
      </c>
      <c r="G749" s="105" t="s">
        <v>33</v>
      </c>
      <c r="H749" s="105" t="s">
        <v>342</v>
      </c>
      <c r="I749" s="105" t="s">
        <v>334</v>
      </c>
      <c r="J749" s="493">
        <v>562213</v>
      </c>
      <c r="K749" s="493">
        <v>4</v>
      </c>
      <c r="L749" s="105" t="s">
        <v>766</v>
      </c>
      <c r="M749" s="105" t="s">
        <v>360</v>
      </c>
      <c r="N749" s="105" t="s">
        <v>230</v>
      </c>
      <c r="O749" s="105" t="s">
        <v>232</v>
      </c>
      <c r="P749" s="105" t="s">
        <v>388</v>
      </c>
      <c r="Q749" s="494">
        <v>244089</v>
      </c>
      <c r="R749" s="494">
        <v>244089</v>
      </c>
      <c r="S749" s="494">
        <v>3098086</v>
      </c>
      <c r="T749" s="494">
        <v>3098086</v>
      </c>
      <c r="U749" s="494">
        <v>187316.16</v>
      </c>
      <c r="V749" s="493">
        <v>2024</v>
      </c>
      <c r="W749" s="495"/>
      <c r="X749" s="496" t="str">
        <f t="shared" si="47"/>
        <v/>
      </c>
      <c r="Y749" s="497" t="str">
        <f t="shared" si="49"/>
        <v/>
      </c>
      <c r="Z749" s="497" t="str">
        <f t="shared" si="49"/>
        <v/>
      </c>
    </row>
    <row r="750" spans="1:26" s="82" customFormat="1" ht="32" x14ac:dyDescent="0.4">
      <c r="A750" s="493">
        <v>50662</v>
      </c>
      <c r="B750" s="105" t="s">
        <v>329</v>
      </c>
      <c r="C750" s="493" t="s">
        <v>330</v>
      </c>
      <c r="D750" s="105" t="s">
        <v>950</v>
      </c>
      <c r="E750" s="105" t="s">
        <v>951</v>
      </c>
      <c r="F750" s="493">
        <v>4487</v>
      </c>
      <c r="G750" s="105" t="s">
        <v>52</v>
      </c>
      <c r="H750" s="105" t="s">
        <v>333</v>
      </c>
      <c r="I750" s="105" t="s">
        <v>334</v>
      </c>
      <c r="J750" s="493">
        <v>562213</v>
      </c>
      <c r="K750" s="493">
        <v>4</v>
      </c>
      <c r="L750" s="105" t="s">
        <v>766</v>
      </c>
      <c r="M750" s="105" t="s">
        <v>360</v>
      </c>
      <c r="N750" s="105" t="s">
        <v>254</v>
      </c>
      <c r="O750" s="105" t="s">
        <v>688</v>
      </c>
      <c r="P750" s="105" t="s">
        <v>388</v>
      </c>
      <c r="Q750" s="494">
        <v>208403</v>
      </c>
      <c r="R750" s="494">
        <v>208403</v>
      </c>
      <c r="S750" s="494">
        <v>1710655</v>
      </c>
      <c r="T750" s="494">
        <v>1710655</v>
      </c>
      <c r="U750" s="494">
        <v>92758.827999999994</v>
      </c>
      <c r="V750" s="493">
        <v>2024</v>
      </c>
      <c r="W750" s="495"/>
      <c r="X750" s="496" t="str">
        <f t="shared" si="47"/>
        <v/>
      </c>
      <c r="Y750" s="497" t="str">
        <f t="shared" si="49"/>
        <v/>
      </c>
      <c r="Z750" s="497" t="str">
        <f t="shared" si="49"/>
        <v/>
      </c>
    </row>
    <row r="751" spans="1:26" s="82" customFormat="1" ht="32" x14ac:dyDescent="0.4">
      <c r="A751" s="493">
        <v>50662</v>
      </c>
      <c r="B751" s="105" t="s">
        <v>329</v>
      </c>
      <c r="C751" s="493" t="s">
        <v>330</v>
      </c>
      <c r="D751" s="105" t="s">
        <v>950</v>
      </c>
      <c r="E751" s="105" t="s">
        <v>951</v>
      </c>
      <c r="F751" s="493">
        <v>4487</v>
      </c>
      <c r="G751" s="105" t="s">
        <v>52</v>
      </c>
      <c r="H751" s="105" t="s">
        <v>333</v>
      </c>
      <c r="I751" s="105" t="s">
        <v>334</v>
      </c>
      <c r="J751" s="493">
        <v>562213</v>
      </c>
      <c r="K751" s="493">
        <v>4</v>
      </c>
      <c r="L751" s="105" t="s">
        <v>766</v>
      </c>
      <c r="M751" s="105" t="s">
        <v>360</v>
      </c>
      <c r="N751" s="105" t="s">
        <v>230</v>
      </c>
      <c r="O751" s="105" t="s">
        <v>232</v>
      </c>
      <c r="P751" s="105" t="s">
        <v>388</v>
      </c>
      <c r="Q751" s="494">
        <v>133246</v>
      </c>
      <c r="R751" s="494">
        <v>133246</v>
      </c>
      <c r="S751" s="494">
        <v>2090784</v>
      </c>
      <c r="T751" s="494">
        <v>2090784</v>
      </c>
      <c r="U751" s="494">
        <v>113371.03</v>
      </c>
      <c r="V751" s="493">
        <v>2024</v>
      </c>
      <c r="W751" s="495"/>
      <c r="X751" s="496" t="str">
        <f t="shared" si="47"/>
        <v/>
      </c>
      <c r="Y751" s="497" t="str">
        <f t="shared" si="49"/>
        <v/>
      </c>
      <c r="Z751" s="497" t="str">
        <f t="shared" si="49"/>
        <v/>
      </c>
    </row>
    <row r="752" spans="1:26" s="82" customFormat="1" ht="32" x14ac:dyDescent="0.4">
      <c r="A752" s="493">
        <v>50662</v>
      </c>
      <c r="B752" s="105" t="s">
        <v>329</v>
      </c>
      <c r="C752" s="493" t="s">
        <v>330</v>
      </c>
      <c r="D752" s="105" t="s">
        <v>950</v>
      </c>
      <c r="E752" s="105" t="s">
        <v>951</v>
      </c>
      <c r="F752" s="493">
        <v>4487</v>
      </c>
      <c r="G752" s="105" t="s">
        <v>52</v>
      </c>
      <c r="H752" s="105" t="s">
        <v>333</v>
      </c>
      <c r="I752" s="105" t="s">
        <v>334</v>
      </c>
      <c r="J752" s="493">
        <v>562213</v>
      </c>
      <c r="K752" s="493">
        <v>4</v>
      </c>
      <c r="L752" s="105" t="s">
        <v>766</v>
      </c>
      <c r="M752" s="105" t="s">
        <v>360</v>
      </c>
      <c r="N752" s="105" t="s">
        <v>228</v>
      </c>
      <c r="O752" s="105" t="s">
        <v>228</v>
      </c>
      <c r="P752" s="105" t="s">
        <v>356</v>
      </c>
      <c r="Q752" s="494">
        <v>19018</v>
      </c>
      <c r="R752" s="494">
        <v>19018</v>
      </c>
      <c r="S752" s="494">
        <v>19588</v>
      </c>
      <c r="T752" s="494">
        <v>19588</v>
      </c>
      <c r="U752" s="494">
        <v>1057.1400000000001</v>
      </c>
      <c r="V752" s="493">
        <v>2024</v>
      </c>
      <c r="W752" s="495"/>
      <c r="X752" s="496" t="str">
        <f t="shared" si="47"/>
        <v/>
      </c>
      <c r="Y752" s="497" t="str">
        <f t="shared" si="49"/>
        <v/>
      </c>
      <c r="Z752" s="497" t="str">
        <f t="shared" si="49"/>
        <v/>
      </c>
    </row>
    <row r="753" spans="1:26" s="82" customFormat="1" ht="32" x14ac:dyDescent="0.4">
      <c r="A753" s="493">
        <v>50688</v>
      </c>
      <c r="B753" s="105" t="s">
        <v>329</v>
      </c>
      <c r="C753" s="493" t="s">
        <v>330</v>
      </c>
      <c r="D753" s="105" t="s">
        <v>952</v>
      </c>
      <c r="E753" s="105" t="s">
        <v>836</v>
      </c>
      <c r="F753" s="493">
        <v>56838</v>
      </c>
      <c r="G753" s="105" t="s">
        <v>34</v>
      </c>
      <c r="H753" s="105" t="s">
        <v>342</v>
      </c>
      <c r="I753" s="105" t="s">
        <v>334</v>
      </c>
      <c r="J753" s="493">
        <v>22</v>
      </c>
      <c r="K753" s="493">
        <v>2</v>
      </c>
      <c r="L753" s="105" t="s">
        <v>343</v>
      </c>
      <c r="M753" s="105" t="s">
        <v>336</v>
      </c>
      <c r="N753" s="105" t="s">
        <v>337</v>
      </c>
      <c r="O753" s="105" t="s">
        <v>338</v>
      </c>
      <c r="P753" s="105" t="s">
        <v>339</v>
      </c>
      <c r="Q753" s="494">
        <v>0</v>
      </c>
      <c r="R753" s="494">
        <v>0</v>
      </c>
      <c r="S753" s="494">
        <v>14674</v>
      </c>
      <c r="T753" s="494">
        <v>14674</v>
      </c>
      <c r="U753" s="494">
        <v>4300</v>
      </c>
      <c r="V753" s="493">
        <v>2024</v>
      </c>
      <c r="W753" s="495"/>
      <c r="X753" s="496">
        <f t="shared" si="47"/>
        <v>3.4125581395348838</v>
      </c>
      <c r="Y753" s="497" t="str">
        <f t="shared" si="49"/>
        <v/>
      </c>
      <c r="Z753" s="497" t="str">
        <f t="shared" si="49"/>
        <v/>
      </c>
    </row>
    <row r="754" spans="1:26" s="82" customFormat="1" ht="32" x14ac:dyDescent="0.4">
      <c r="A754" s="493">
        <v>50699</v>
      </c>
      <c r="B754" s="105" t="s">
        <v>329</v>
      </c>
      <c r="C754" s="493" t="s">
        <v>330</v>
      </c>
      <c r="D754" s="105" t="s">
        <v>953</v>
      </c>
      <c r="E754" s="105" t="s">
        <v>954</v>
      </c>
      <c r="F754" s="493">
        <v>56837</v>
      </c>
      <c r="G754" s="105" t="s">
        <v>34</v>
      </c>
      <c r="H754" s="105" t="s">
        <v>342</v>
      </c>
      <c r="I754" s="105" t="s">
        <v>334</v>
      </c>
      <c r="J754" s="493">
        <v>22</v>
      </c>
      <c r="K754" s="493">
        <v>2</v>
      </c>
      <c r="L754" s="105" t="s">
        <v>343</v>
      </c>
      <c r="M754" s="105" t="s">
        <v>336</v>
      </c>
      <c r="N754" s="105" t="s">
        <v>337</v>
      </c>
      <c r="O754" s="105" t="s">
        <v>338</v>
      </c>
      <c r="P754" s="105" t="s">
        <v>339</v>
      </c>
      <c r="Q754" s="494">
        <v>0</v>
      </c>
      <c r="R754" s="494">
        <v>0</v>
      </c>
      <c r="S754" s="494">
        <v>11006</v>
      </c>
      <c r="T754" s="494">
        <v>11006</v>
      </c>
      <c r="U754" s="494">
        <v>3226</v>
      </c>
      <c r="V754" s="493">
        <v>2024</v>
      </c>
      <c r="W754" s="495"/>
      <c r="X754" s="496">
        <f t="shared" si="47"/>
        <v>3.411655300681959</v>
      </c>
      <c r="Y754" s="497" t="str">
        <f t="shared" si="49"/>
        <v/>
      </c>
      <c r="Z754" s="497" t="str">
        <f t="shared" si="49"/>
        <v/>
      </c>
    </row>
    <row r="755" spans="1:26" s="82" customFormat="1" ht="32" x14ac:dyDescent="0.4">
      <c r="A755" s="493">
        <v>50702</v>
      </c>
      <c r="B755" s="105" t="s">
        <v>329</v>
      </c>
      <c r="C755" s="493" t="s">
        <v>330</v>
      </c>
      <c r="D755" s="105" t="s">
        <v>955</v>
      </c>
      <c r="E755" s="105" t="s">
        <v>394</v>
      </c>
      <c r="F755" s="493">
        <v>7601</v>
      </c>
      <c r="G755" s="105" t="s">
        <v>34</v>
      </c>
      <c r="H755" s="105" t="s">
        <v>342</v>
      </c>
      <c r="I755" s="105" t="s">
        <v>334</v>
      </c>
      <c r="J755" s="493">
        <v>22</v>
      </c>
      <c r="K755" s="493">
        <v>1</v>
      </c>
      <c r="L755" s="105" t="s">
        <v>335</v>
      </c>
      <c r="M755" s="105" t="s">
        <v>336</v>
      </c>
      <c r="N755" s="105" t="s">
        <v>337</v>
      </c>
      <c r="O755" s="105" t="s">
        <v>338</v>
      </c>
      <c r="P755" s="105" t="s">
        <v>339</v>
      </c>
      <c r="Q755" s="494">
        <v>0</v>
      </c>
      <c r="R755" s="494">
        <v>0</v>
      </c>
      <c r="S755" s="494">
        <v>8728</v>
      </c>
      <c r="T755" s="494">
        <v>8728</v>
      </c>
      <c r="U755" s="494">
        <v>2558</v>
      </c>
      <c r="V755" s="493">
        <v>2024</v>
      </c>
      <c r="W755" s="495"/>
      <c r="X755" s="496">
        <f t="shared" si="47"/>
        <v>3.4120406567630961</v>
      </c>
      <c r="Y755" s="497" t="str">
        <f t="shared" si="49"/>
        <v/>
      </c>
      <c r="Z755" s="497" t="str">
        <f t="shared" si="49"/>
        <v/>
      </c>
    </row>
    <row r="756" spans="1:26" s="82" customFormat="1" ht="32" x14ac:dyDescent="0.4">
      <c r="A756" s="493">
        <v>50704</v>
      </c>
      <c r="B756" s="105" t="s">
        <v>329</v>
      </c>
      <c r="C756" s="493" t="s">
        <v>330</v>
      </c>
      <c r="D756" s="105" t="s">
        <v>956</v>
      </c>
      <c r="E756" s="105" t="s">
        <v>394</v>
      </c>
      <c r="F756" s="493">
        <v>7601</v>
      </c>
      <c r="G756" s="105" t="s">
        <v>35</v>
      </c>
      <c r="H756" s="105" t="s">
        <v>342</v>
      </c>
      <c r="I756" s="105" t="s">
        <v>334</v>
      </c>
      <c r="J756" s="493">
        <v>22</v>
      </c>
      <c r="K756" s="493">
        <v>1</v>
      </c>
      <c r="L756" s="105" t="s">
        <v>335</v>
      </c>
      <c r="M756" s="105" t="s">
        <v>336</v>
      </c>
      <c r="N756" s="105" t="s">
        <v>337</v>
      </c>
      <c r="O756" s="105" t="s">
        <v>338</v>
      </c>
      <c r="P756" s="105" t="s">
        <v>339</v>
      </c>
      <c r="Q756" s="494">
        <v>0</v>
      </c>
      <c r="R756" s="494">
        <v>0</v>
      </c>
      <c r="S756" s="494">
        <v>4543</v>
      </c>
      <c r="T756" s="494">
        <v>4543</v>
      </c>
      <c r="U756" s="494">
        <v>1331</v>
      </c>
      <c r="V756" s="493">
        <v>2024</v>
      </c>
      <c r="W756" s="495"/>
      <c r="X756" s="496">
        <f t="shared" si="47"/>
        <v>3.4132231404958677</v>
      </c>
      <c r="Y756" s="497" t="str">
        <f t="shared" si="49"/>
        <v/>
      </c>
      <c r="Z756" s="497" t="str">
        <f t="shared" si="49"/>
        <v/>
      </c>
    </row>
    <row r="757" spans="1:26" s="82" customFormat="1" ht="32" x14ac:dyDescent="0.4">
      <c r="A757" s="493">
        <v>50713</v>
      </c>
      <c r="B757" s="105" t="s">
        <v>329</v>
      </c>
      <c r="C757" s="493" t="s">
        <v>330</v>
      </c>
      <c r="D757" s="105" t="s">
        <v>957</v>
      </c>
      <c r="E757" s="105" t="s">
        <v>394</v>
      </c>
      <c r="F757" s="493">
        <v>7601</v>
      </c>
      <c r="G757" s="105" t="s">
        <v>36</v>
      </c>
      <c r="H757" s="105" t="s">
        <v>342</v>
      </c>
      <c r="I757" s="105" t="s">
        <v>334</v>
      </c>
      <c r="J757" s="493">
        <v>22</v>
      </c>
      <c r="K757" s="493">
        <v>1</v>
      </c>
      <c r="L757" s="105" t="s">
        <v>335</v>
      </c>
      <c r="M757" s="105" t="s">
        <v>336</v>
      </c>
      <c r="N757" s="105" t="s">
        <v>337</v>
      </c>
      <c r="O757" s="105" t="s">
        <v>338</v>
      </c>
      <c r="P757" s="105" t="s">
        <v>339</v>
      </c>
      <c r="Q757" s="494">
        <v>0</v>
      </c>
      <c r="R757" s="494">
        <v>0</v>
      </c>
      <c r="S757" s="494">
        <v>78150</v>
      </c>
      <c r="T757" s="494">
        <v>78150</v>
      </c>
      <c r="U757" s="494">
        <v>22904</v>
      </c>
      <c r="V757" s="493">
        <v>2024</v>
      </c>
      <c r="W757" s="495"/>
      <c r="X757" s="496">
        <f t="shared" si="47"/>
        <v>3.4120677610897658</v>
      </c>
      <c r="Y757" s="497" t="str">
        <f t="shared" si="49"/>
        <v/>
      </c>
      <c r="Z757" s="497" t="str">
        <f t="shared" si="49"/>
        <v/>
      </c>
    </row>
    <row r="758" spans="1:26" s="82" customFormat="1" ht="32" x14ac:dyDescent="0.4">
      <c r="A758" s="493">
        <v>50739</v>
      </c>
      <c r="B758" s="105" t="s">
        <v>329</v>
      </c>
      <c r="C758" s="493" t="s">
        <v>330</v>
      </c>
      <c r="D758" s="105" t="s">
        <v>958</v>
      </c>
      <c r="E758" s="105" t="s">
        <v>958</v>
      </c>
      <c r="F758" s="493">
        <v>65547</v>
      </c>
      <c r="G758" s="105" t="s">
        <v>35</v>
      </c>
      <c r="H758" s="105" t="s">
        <v>342</v>
      </c>
      <c r="I758" s="105" t="s">
        <v>334</v>
      </c>
      <c r="J758" s="493">
        <v>22</v>
      </c>
      <c r="K758" s="493">
        <v>2</v>
      </c>
      <c r="L758" s="105" t="s">
        <v>343</v>
      </c>
      <c r="M758" s="105" t="s">
        <v>360</v>
      </c>
      <c r="N758" s="105" t="s">
        <v>258</v>
      </c>
      <c r="O758" s="105" t="s">
        <v>387</v>
      </c>
      <c r="P758" s="105" t="s">
        <v>388</v>
      </c>
      <c r="Q758" s="494">
        <v>0</v>
      </c>
      <c r="R758" s="494">
        <v>0</v>
      </c>
      <c r="S758" s="494">
        <v>0</v>
      </c>
      <c r="T758" s="494">
        <v>0</v>
      </c>
      <c r="U758" s="494">
        <v>0</v>
      </c>
      <c r="V758" s="493">
        <v>2024</v>
      </c>
      <c r="W758" s="495"/>
      <c r="X758" s="496" t="str">
        <f t="shared" si="47"/>
        <v/>
      </c>
      <c r="Y758" s="497" t="str">
        <f t="shared" si="49"/>
        <v/>
      </c>
      <c r="Z758" s="497" t="str">
        <f t="shared" si="49"/>
        <v/>
      </c>
    </row>
    <row r="759" spans="1:26" s="82" customFormat="1" x14ac:dyDescent="0.4">
      <c r="A759" s="493">
        <v>50741</v>
      </c>
      <c r="B759" s="105" t="s">
        <v>329</v>
      </c>
      <c r="C759" s="493" t="s">
        <v>330</v>
      </c>
      <c r="D759" s="105" t="s">
        <v>959</v>
      </c>
      <c r="E759" s="105" t="s">
        <v>960</v>
      </c>
      <c r="F759" s="493">
        <v>15213</v>
      </c>
      <c r="G759" s="105" t="s">
        <v>35</v>
      </c>
      <c r="H759" s="105" t="s">
        <v>342</v>
      </c>
      <c r="I759" s="105" t="s">
        <v>334</v>
      </c>
      <c r="J759" s="493">
        <v>22</v>
      </c>
      <c r="K759" s="493">
        <v>2</v>
      </c>
      <c r="L759" s="105" t="s">
        <v>343</v>
      </c>
      <c r="M759" s="105" t="s">
        <v>336</v>
      </c>
      <c r="N759" s="105" t="s">
        <v>337</v>
      </c>
      <c r="O759" s="105" t="s">
        <v>338</v>
      </c>
      <c r="P759" s="105" t="s">
        <v>339</v>
      </c>
      <c r="Q759" s="494">
        <v>0</v>
      </c>
      <c r="R759" s="494">
        <v>0</v>
      </c>
      <c r="S759" s="494">
        <v>211305</v>
      </c>
      <c r="T759" s="494">
        <v>211305</v>
      </c>
      <c r="U759" s="494">
        <v>61930</v>
      </c>
      <c r="V759" s="493">
        <v>2024</v>
      </c>
      <c r="W759" s="495"/>
      <c r="X759" s="496">
        <f t="shared" si="47"/>
        <v>3.4119974164379139</v>
      </c>
      <c r="Y759" s="497" t="str">
        <f t="shared" si="49"/>
        <v/>
      </c>
      <c r="Z759" s="497" t="str">
        <f t="shared" si="49"/>
        <v/>
      </c>
    </row>
    <row r="760" spans="1:26" s="82" customFormat="1" ht="32" x14ac:dyDescent="0.4">
      <c r="A760" s="493">
        <v>50744</v>
      </c>
      <c r="B760" s="105" t="s">
        <v>329</v>
      </c>
      <c r="C760" s="493" t="s">
        <v>330</v>
      </c>
      <c r="D760" s="105" t="s">
        <v>961</v>
      </c>
      <c r="E760" s="105" t="s">
        <v>962</v>
      </c>
      <c r="F760" s="493">
        <v>14182</v>
      </c>
      <c r="G760" s="105" t="s">
        <v>52</v>
      </c>
      <c r="H760" s="105" t="s">
        <v>333</v>
      </c>
      <c r="I760" s="105" t="s">
        <v>334</v>
      </c>
      <c r="J760" s="493">
        <v>22</v>
      </c>
      <c r="K760" s="493">
        <v>2</v>
      </c>
      <c r="L760" s="105" t="s">
        <v>343</v>
      </c>
      <c r="M760" s="105" t="s">
        <v>380</v>
      </c>
      <c r="N760" s="105" t="s">
        <v>228</v>
      </c>
      <c r="O760" s="105" t="s">
        <v>228</v>
      </c>
      <c r="P760" s="105" t="s">
        <v>356</v>
      </c>
      <c r="Q760" s="494">
        <v>0</v>
      </c>
      <c r="R760" s="494">
        <v>0</v>
      </c>
      <c r="S760" s="494">
        <v>0</v>
      </c>
      <c r="T760" s="494">
        <v>0</v>
      </c>
      <c r="U760" s="494">
        <v>1087</v>
      </c>
      <c r="V760" s="493">
        <v>2024</v>
      </c>
      <c r="W760" s="495" t="s">
        <v>355</v>
      </c>
      <c r="X760" s="496" t="str">
        <f t="shared" si="47"/>
        <v/>
      </c>
      <c r="Y760" s="497" t="str">
        <f t="shared" si="49"/>
        <v/>
      </c>
      <c r="Z760" s="497" t="str">
        <f t="shared" si="49"/>
        <v/>
      </c>
    </row>
    <row r="761" spans="1:26" s="82" customFormat="1" ht="32" x14ac:dyDescent="0.4">
      <c r="A761" s="493">
        <v>50744</v>
      </c>
      <c r="B761" s="105" t="s">
        <v>329</v>
      </c>
      <c r="C761" s="493" t="s">
        <v>330</v>
      </c>
      <c r="D761" s="105" t="s">
        <v>961</v>
      </c>
      <c r="E761" s="105" t="s">
        <v>962</v>
      </c>
      <c r="F761" s="493">
        <v>14182</v>
      </c>
      <c r="G761" s="105" t="s">
        <v>52</v>
      </c>
      <c r="H761" s="105" t="s">
        <v>333</v>
      </c>
      <c r="I761" s="105" t="s">
        <v>334</v>
      </c>
      <c r="J761" s="493">
        <v>22</v>
      </c>
      <c r="K761" s="493">
        <v>2</v>
      </c>
      <c r="L761" s="105" t="s">
        <v>343</v>
      </c>
      <c r="M761" s="105" t="s">
        <v>37</v>
      </c>
      <c r="N761" s="105" t="s">
        <v>228</v>
      </c>
      <c r="O761" s="105" t="s">
        <v>228</v>
      </c>
      <c r="P761" s="105" t="s">
        <v>356</v>
      </c>
      <c r="Q761" s="494">
        <v>30223</v>
      </c>
      <c r="R761" s="494">
        <v>30223</v>
      </c>
      <c r="S761" s="494">
        <v>31129</v>
      </c>
      <c r="T761" s="494">
        <v>31129</v>
      </c>
      <c r="U761" s="494">
        <v>2625</v>
      </c>
      <c r="V761" s="493">
        <v>2024</v>
      </c>
      <c r="W761" s="495" t="s">
        <v>355</v>
      </c>
      <c r="X761" s="496">
        <f t="shared" si="47"/>
        <v>11.858666666666666</v>
      </c>
      <c r="Y761" s="497" t="str">
        <f t="shared" si="49"/>
        <v/>
      </c>
      <c r="Z761" s="497" t="str">
        <f t="shared" si="49"/>
        <v/>
      </c>
    </row>
    <row r="762" spans="1:26" s="82" customFormat="1" ht="32" x14ac:dyDescent="0.4">
      <c r="A762" s="493">
        <v>50744</v>
      </c>
      <c r="B762" s="105" t="s">
        <v>329</v>
      </c>
      <c r="C762" s="493" t="s">
        <v>330</v>
      </c>
      <c r="D762" s="105" t="s">
        <v>961</v>
      </c>
      <c r="E762" s="105" t="s">
        <v>962</v>
      </c>
      <c r="F762" s="493">
        <v>14182</v>
      </c>
      <c r="G762" s="105" t="s">
        <v>52</v>
      </c>
      <c r="H762" s="105" t="s">
        <v>333</v>
      </c>
      <c r="I762" s="105" t="s">
        <v>334</v>
      </c>
      <c r="J762" s="493">
        <v>22</v>
      </c>
      <c r="K762" s="493">
        <v>2</v>
      </c>
      <c r="L762" s="105" t="s">
        <v>343</v>
      </c>
      <c r="M762" s="105" t="s">
        <v>359</v>
      </c>
      <c r="N762" s="105" t="s">
        <v>226</v>
      </c>
      <c r="O762" s="105" t="s">
        <v>226</v>
      </c>
      <c r="P762" s="105" t="s">
        <v>350</v>
      </c>
      <c r="Q762" s="494">
        <v>31</v>
      </c>
      <c r="R762" s="494">
        <v>31</v>
      </c>
      <c r="S762" s="494">
        <v>178</v>
      </c>
      <c r="T762" s="494">
        <v>178</v>
      </c>
      <c r="U762" s="494">
        <v>10</v>
      </c>
      <c r="V762" s="493">
        <v>2024</v>
      </c>
      <c r="W762" s="495"/>
      <c r="X762" s="496">
        <f t="shared" si="47"/>
        <v>17.8</v>
      </c>
      <c r="Y762" s="497" t="str">
        <f t="shared" si="49"/>
        <v/>
      </c>
      <c r="Z762" s="497" t="str">
        <f t="shared" si="49"/>
        <v/>
      </c>
    </row>
    <row r="763" spans="1:26" s="82" customFormat="1" ht="32" x14ac:dyDescent="0.4">
      <c r="A763" s="493">
        <v>50758</v>
      </c>
      <c r="B763" s="105" t="s">
        <v>329</v>
      </c>
      <c r="C763" s="493" t="s">
        <v>330</v>
      </c>
      <c r="D763" s="105" t="s">
        <v>963</v>
      </c>
      <c r="E763" s="105" t="s">
        <v>964</v>
      </c>
      <c r="F763" s="493">
        <v>19013</v>
      </c>
      <c r="G763" s="105" t="s">
        <v>34</v>
      </c>
      <c r="H763" s="105" t="s">
        <v>342</v>
      </c>
      <c r="I763" s="105" t="s">
        <v>334</v>
      </c>
      <c r="J763" s="493">
        <v>22</v>
      </c>
      <c r="K763" s="493">
        <v>2</v>
      </c>
      <c r="L763" s="105" t="s">
        <v>343</v>
      </c>
      <c r="M763" s="105" t="s">
        <v>336</v>
      </c>
      <c r="N763" s="105" t="s">
        <v>337</v>
      </c>
      <c r="O763" s="105" t="s">
        <v>338</v>
      </c>
      <c r="P763" s="105" t="s">
        <v>339</v>
      </c>
      <c r="Q763" s="494">
        <v>0</v>
      </c>
      <c r="R763" s="494">
        <v>0</v>
      </c>
      <c r="S763" s="494">
        <v>165667</v>
      </c>
      <c r="T763" s="494">
        <v>165667</v>
      </c>
      <c r="U763" s="494">
        <v>48554</v>
      </c>
      <c r="V763" s="493">
        <v>2024</v>
      </c>
      <c r="W763" s="495"/>
      <c r="X763" s="496">
        <f t="shared" si="47"/>
        <v>3.4120154879103679</v>
      </c>
      <c r="Y763" s="497" t="str">
        <f t="shared" si="49"/>
        <v/>
      </c>
      <c r="Z763" s="497" t="str">
        <f t="shared" si="49"/>
        <v/>
      </c>
    </row>
    <row r="764" spans="1:26" s="82" customFormat="1" x14ac:dyDescent="0.4">
      <c r="A764" s="493">
        <v>50832</v>
      </c>
      <c r="B764" s="105" t="s">
        <v>329</v>
      </c>
      <c r="C764" s="493" t="s">
        <v>330</v>
      </c>
      <c r="D764" s="105" t="s">
        <v>965</v>
      </c>
      <c r="E764" s="105" t="s">
        <v>698</v>
      </c>
      <c r="F764" s="493">
        <v>3477</v>
      </c>
      <c r="G764" s="105" t="s">
        <v>33</v>
      </c>
      <c r="H764" s="105" t="s">
        <v>342</v>
      </c>
      <c r="I764" s="105" t="s">
        <v>334</v>
      </c>
      <c r="J764" s="493">
        <v>22</v>
      </c>
      <c r="K764" s="493">
        <v>1</v>
      </c>
      <c r="L764" s="105" t="s">
        <v>335</v>
      </c>
      <c r="M764" s="105" t="s">
        <v>336</v>
      </c>
      <c r="N764" s="105" t="s">
        <v>337</v>
      </c>
      <c r="O764" s="105" t="s">
        <v>338</v>
      </c>
      <c r="P764" s="105" t="s">
        <v>339</v>
      </c>
      <c r="Q764" s="494">
        <v>0</v>
      </c>
      <c r="R764" s="494">
        <v>0</v>
      </c>
      <c r="S764" s="494">
        <v>0</v>
      </c>
      <c r="T764" s="494">
        <v>0</v>
      </c>
      <c r="U764" s="494">
        <v>0</v>
      </c>
      <c r="V764" s="493">
        <v>2024</v>
      </c>
      <c r="W764" s="495"/>
      <c r="X764" s="496" t="str">
        <f t="shared" si="47"/>
        <v/>
      </c>
      <c r="Y764" s="497" t="str">
        <f t="shared" si="49"/>
        <v/>
      </c>
      <c r="Z764" s="497" t="str">
        <f t="shared" si="49"/>
        <v/>
      </c>
    </row>
    <row r="765" spans="1:26" s="82" customFormat="1" ht="32" x14ac:dyDescent="0.4">
      <c r="A765" s="493">
        <v>50873</v>
      </c>
      <c r="B765" s="105" t="s">
        <v>329</v>
      </c>
      <c r="C765" s="493" t="s">
        <v>330</v>
      </c>
      <c r="D765" s="105" t="s">
        <v>966</v>
      </c>
      <c r="E765" s="105" t="s">
        <v>789</v>
      </c>
      <c r="F765" s="493">
        <v>20541</v>
      </c>
      <c r="G765" s="105" t="s">
        <v>35</v>
      </c>
      <c r="H765" s="105" t="s">
        <v>342</v>
      </c>
      <c r="I765" s="105" t="s">
        <v>334</v>
      </c>
      <c r="J765" s="493">
        <v>22</v>
      </c>
      <c r="K765" s="493">
        <v>2</v>
      </c>
      <c r="L765" s="105" t="s">
        <v>343</v>
      </c>
      <c r="M765" s="105" t="s">
        <v>360</v>
      </c>
      <c r="N765" s="105" t="s">
        <v>254</v>
      </c>
      <c r="O765" s="105" t="s">
        <v>688</v>
      </c>
      <c r="P765" s="105" t="s">
        <v>388</v>
      </c>
      <c r="Q765" s="494">
        <v>108985</v>
      </c>
      <c r="R765" s="494">
        <v>108985</v>
      </c>
      <c r="S765" s="494">
        <v>836150</v>
      </c>
      <c r="T765" s="494">
        <v>836150</v>
      </c>
      <c r="U765" s="494">
        <v>41926.103000000003</v>
      </c>
      <c r="V765" s="493">
        <v>2024</v>
      </c>
      <c r="W765" s="495"/>
      <c r="X765" s="496">
        <f t="shared" si="47"/>
        <v>19.943422836126697</v>
      </c>
      <c r="Y765" s="497" t="str">
        <f t="shared" si="49"/>
        <v/>
      </c>
      <c r="Z765" s="497" t="str">
        <f t="shared" si="49"/>
        <v/>
      </c>
    </row>
    <row r="766" spans="1:26" s="82" customFormat="1" ht="32" x14ac:dyDescent="0.4">
      <c r="A766" s="493">
        <v>50873</v>
      </c>
      <c r="B766" s="105" t="s">
        <v>329</v>
      </c>
      <c r="C766" s="493" t="s">
        <v>330</v>
      </c>
      <c r="D766" s="105" t="s">
        <v>966</v>
      </c>
      <c r="E766" s="105" t="s">
        <v>789</v>
      </c>
      <c r="F766" s="493">
        <v>20541</v>
      </c>
      <c r="G766" s="105" t="s">
        <v>35</v>
      </c>
      <c r="H766" s="105" t="s">
        <v>342</v>
      </c>
      <c r="I766" s="105" t="s">
        <v>334</v>
      </c>
      <c r="J766" s="493">
        <v>22</v>
      </c>
      <c r="K766" s="493">
        <v>2</v>
      </c>
      <c r="L766" s="105" t="s">
        <v>343</v>
      </c>
      <c r="M766" s="105" t="s">
        <v>360</v>
      </c>
      <c r="N766" s="105" t="s">
        <v>230</v>
      </c>
      <c r="O766" s="105" t="s">
        <v>232</v>
      </c>
      <c r="P766" s="105" t="s">
        <v>388</v>
      </c>
      <c r="Q766" s="494">
        <v>69679</v>
      </c>
      <c r="R766" s="494">
        <v>69679</v>
      </c>
      <c r="S766" s="494">
        <v>1021978</v>
      </c>
      <c r="T766" s="494">
        <v>1021978</v>
      </c>
      <c r="U766" s="494">
        <v>51243.896999999997</v>
      </c>
      <c r="V766" s="493">
        <v>2024</v>
      </c>
      <c r="W766" s="495"/>
      <c r="X766" s="496">
        <f t="shared" si="47"/>
        <v>19.943409065863982</v>
      </c>
      <c r="Y766" s="497" t="str">
        <f t="shared" si="49"/>
        <v/>
      </c>
      <c r="Z766" s="497" t="str">
        <f t="shared" si="49"/>
        <v/>
      </c>
    </row>
    <row r="767" spans="1:26" s="82" customFormat="1" ht="32" x14ac:dyDescent="0.4">
      <c r="A767" s="493">
        <v>50877</v>
      </c>
      <c r="B767" s="105" t="s">
        <v>329</v>
      </c>
      <c r="C767" s="493" t="s">
        <v>330</v>
      </c>
      <c r="D767" s="105" t="s">
        <v>967</v>
      </c>
      <c r="E767" s="105" t="s">
        <v>789</v>
      </c>
      <c r="F767" s="493">
        <v>20541</v>
      </c>
      <c r="G767" s="105" t="s">
        <v>33</v>
      </c>
      <c r="H767" s="105" t="s">
        <v>342</v>
      </c>
      <c r="I767" s="105" t="s">
        <v>334</v>
      </c>
      <c r="J767" s="493">
        <v>22</v>
      </c>
      <c r="K767" s="493">
        <v>2</v>
      </c>
      <c r="L767" s="105" t="s">
        <v>343</v>
      </c>
      <c r="M767" s="105" t="s">
        <v>360</v>
      </c>
      <c r="N767" s="105" t="s">
        <v>254</v>
      </c>
      <c r="O767" s="105" t="s">
        <v>688</v>
      </c>
      <c r="P767" s="105" t="s">
        <v>388</v>
      </c>
      <c r="Q767" s="494">
        <v>269142</v>
      </c>
      <c r="R767" s="494">
        <v>269142</v>
      </c>
      <c r="S767" s="494">
        <v>2064857</v>
      </c>
      <c r="T767" s="494">
        <v>2064857</v>
      </c>
      <c r="U767" s="494">
        <v>107936.03</v>
      </c>
      <c r="V767" s="493">
        <v>2024</v>
      </c>
      <c r="W767" s="495"/>
      <c r="X767" s="496">
        <f t="shared" si="47"/>
        <v>19.130377502303912</v>
      </c>
      <c r="Y767" s="497" t="str">
        <f t="shared" si="49"/>
        <v/>
      </c>
      <c r="Z767" s="497" t="str">
        <f t="shared" si="49"/>
        <v/>
      </c>
    </row>
    <row r="768" spans="1:26" s="82" customFormat="1" ht="32" x14ac:dyDescent="0.4">
      <c r="A768" s="493">
        <v>50877</v>
      </c>
      <c r="B768" s="105" t="s">
        <v>329</v>
      </c>
      <c r="C768" s="493" t="s">
        <v>330</v>
      </c>
      <c r="D768" s="105" t="s">
        <v>967</v>
      </c>
      <c r="E768" s="105" t="s">
        <v>789</v>
      </c>
      <c r="F768" s="493">
        <v>20541</v>
      </c>
      <c r="G768" s="105" t="s">
        <v>33</v>
      </c>
      <c r="H768" s="105" t="s">
        <v>342</v>
      </c>
      <c r="I768" s="105" t="s">
        <v>334</v>
      </c>
      <c r="J768" s="493">
        <v>22</v>
      </c>
      <c r="K768" s="493">
        <v>2</v>
      </c>
      <c r="L768" s="105" t="s">
        <v>343</v>
      </c>
      <c r="M768" s="105" t="s">
        <v>360</v>
      </c>
      <c r="N768" s="105" t="s">
        <v>230</v>
      </c>
      <c r="O768" s="105" t="s">
        <v>232</v>
      </c>
      <c r="P768" s="105" t="s">
        <v>388</v>
      </c>
      <c r="Q768" s="494">
        <v>172072</v>
      </c>
      <c r="R768" s="494">
        <v>172072</v>
      </c>
      <c r="S768" s="494">
        <v>2523736</v>
      </c>
      <c r="T768" s="494">
        <v>2523736</v>
      </c>
      <c r="U768" s="494">
        <v>131922.97</v>
      </c>
      <c r="V768" s="493">
        <v>2024</v>
      </c>
      <c r="W768" s="495"/>
      <c r="X768" s="496">
        <f t="shared" si="47"/>
        <v>19.130375854940198</v>
      </c>
      <c r="Y768" s="497" t="str">
        <f t="shared" ref="Y768:Z787" si="50">IF(AND($M768=$Y$2,$N768=$Y$3,NOT($Q768=$R768),NOT($U768=0)),IF($K768=5,$S768/($U768+(8/5)*$U768),IF($K768=7,$S768/($U768+(29/25)*$U768),"")),"")</f>
        <v/>
      </c>
      <c r="Z768" s="497" t="str">
        <f t="shared" si="50"/>
        <v/>
      </c>
    </row>
    <row r="769" spans="1:26" s="82" customFormat="1" ht="32" x14ac:dyDescent="0.4">
      <c r="A769" s="493">
        <v>50877</v>
      </c>
      <c r="B769" s="105" t="s">
        <v>329</v>
      </c>
      <c r="C769" s="493" t="s">
        <v>330</v>
      </c>
      <c r="D769" s="105" t="s">
        <v>967</v>
      </c>
      <c r="E769" s="105" t="s">
        <v>789</v>
      </c>
      <c r="F769" s="493">
        <v>20541</v>
      </c>
      <c r="G769" s="105" t="s">
        <v>33</v>
      </c>
      <c r="H769" s="105" t="s">
        <v>342</v>
      </c>
      <c r="I769" s="105" t="s">
        <v>334</v>
      </c>
      <c r="J769" s="493">
        <v>22</v>
      </c>
      <c r="K769" s="493">
        <v>2</v>
      </c>
      <c r="L769" s="105" t="s">
        <v>343</v>
      </c>
      <c r="M769" s="105" t="s">
        <v>360</v>
      </c>
      <c r="N769" s="105" t="s">
        <v>228</v>
      </c>
      <c r="O769" s="105" t="s">
        <v>228</v>
      </c>
      <c r="P769" s="105" t="s">
        <v>356</v>
      </c>
      <c r="Q769" s="494">
        <v>0</v>
      </c>
      <c r="R769" s="494">
        <v>0</v>
      </c>
      <c r="S769" s="494">
        <v>0</v>
      </c>
      <c r="T769" s="494">
        <v>0</v>
      </c>
      <c r="U769" s="494">
        <v>0</v>
      </c>
      <c r="V769" s="493">
        <v>2024</v>
      </c>
      <c r="W769" s="495"/>
      <c r="X769" s="496" t="str">
        <f t="shared" si="47"/>
        <v/>
      </c>
      <c r="Y769" s="497" t="str">
        <f t="shared" si="50"/>
        <v/>
      </c>
      <c r="Z769" s="497" t="str">
        <f t="shared" si="50"/>
        <v/>
      </c>
    </row>
    <row r="770" spans="1:26" s="82" customFormat="1" ht="32" x14ac:dyDescent="0.4">
      <c r="A770" s="493">
        <v>50878</v>
      </c>
      <c r="B770" s="105" t="s">
        <v>329</v>
      </c>
      <c r="C770" s="493" t="s">
        <v>330</v>
      </c>
      <c r="D770" s="105" t="s">
        <v>968</v>
      </c>
      <c r="E770" s="105" t="s">
        <v>789</v>
      </c>
      <c r="F770" s="493">
        <v>20541</v>
      </c>
      <c r="G770" s="105" t="s">
        <v>33</v>
      </c>
      <c r="H770" s="105" t="s">
        <v>342</v>
      </c>
      <c r="I770" s="105" t="s">
        <v>334</v>
      </c>
      <c r="J770" s="493">
        <v>22</v>
      </c>
      <c r="K770" s="493">
        <v>2</v>
      </c>
      <c r="L770" s="105" t="s">
        <v>343</v>
      </c>
      <c r="M770" s="105" t="s">
        <v>360</v>
      </c>
      <c r="N770" s="105" t="s">
        <v>254</v>
      </c>
      <c r="O770" s="105" t="s">
        <v>688</v>
      </c>
      <c r="P770" s="105" t="s">
        <v>388</v>
      </c>
      <c r="Q770" s="494">
        <v>300653</v>
      </c>
      <c r="R770" s="494">
        <v>300653</v>
      </c>
      <c r="S770" s="494">
        <v>2308642</v>
      </c>
      <c r="T770" s="494">
        <v>2308642</v>
      </c>
      <c r="U770" s="494">
        <v>143112.31</v>
      </c>
      <c r="V770" s="493">
        <v>2024</v>
      </c>
      <c r="W770" s="495"/>
      <c r="X770" s="496">
        <f t="shared" si="47"/>
        <v>16.131680076996872</v>
      </c>
      <c r="Y770" s="497" t="str">
        <f t="shared" si="50"/>
        <v/>
      </c>
      <c r="Z770" s="497" t="str">
        <f t="shared" si="50"/>
        <v/>
      </c>
    </row>
    <row r="771" spans="1:26" s="82" customFormat="1" ht="32" x14ac:dyDescent="0.4">
      <c r="A771" s="493">
        <v>50878</v>
      </c>
      <c r="B771" s="105" t="s">
        <v>329</v>
      </c>
      <c r="C771" s="493" t="s">
        <v>330</v>
      </c>
      <c r="D771" s="105" t="s">
        <v>968</v>
      </c>
      <c r="E771" s="105" t="s">
        <v>789</v>
      </c>
      <c r="F771" s="493">
        <v>20541</v>
      </c>
      <c r="G771" s="105" t="s">
        <v>33</v>
      </c>
      <c r="H771" s="105" t="s">
        <v>342</v>
      </c>
      <c r="I771" s="105" t="s">
        <v>334</v>
      </c>
      <c r="J771" s="493">
        <v>22</v>
      </c>
      <c r="K771" s="493">
        <v>2</v>
      </c>
      <c r="L771" s="105" t="s">
        <v>343</v>
      </c>
      <c r="M771" s="105" t="s">
        <v>360</v>
      </c>
      <c r="N771" s="105" t="s">
        <v>230</v>
      </c>
      <c r="O771" s="105" t="s">
        <v>232</v>
      </c>
      <c r="P771" s="105" t="s">
        <v>388</v>
      </c>
      <c r="Q771" s="494">
        <v>192220</v>
      </c>
      <c r="R771" s="494">
        <v>192220</v>
      </c>
      <c r="S771" s="494">
        <v>2821699</v>
      </c>
      <c r="T771" s="494">
        <v>2821699</v>
      </c>
      <c r="U771" s="494">
        <v>174916.69</v>
      </c>
      <c r="V771" s="493">
        <v>2024</v>
      </c>
      <c r="W771" s="495"/>
      <c r="X771" s="496">
        <f t="shared" si="47"/>
        <v>16.131673884293146</v>
      </c>
      <c r="Y771" s="497" t="str">
        <f t="shared" si="50"/>
        <v/>
      </c>
      <c r="Z771" s="497" t="str">
        <f t="shared" si="50"/>
        <v/>
      </c>
    </row>
    <row r="772" spans="1:26" s="82" customFormat="1" ht="32" x14ac:dyDescent="0.4">
      <c r="A772" s="493">
        <v>50880</v>
      </c>
      <c r="B772" s="105" t="s">
        <v>329</v>
      </c>
      <c r="C772" s="493" t="s">
        <v>330</v>
      </c>
      <c r="D772" s="105" t="s">
        <v>969</v>
      </c>
      <c r="E772" s="105" t="s">
        <v>789</v>
      </c>
      <c r="F772" s="493">
        <v>20541</v>
      </c>
      <c r="G772" s="105" t="s">
        <v>33</v>
      </c>
      <c r="H772" s="105" t="s">
        <v>342</v>
      </c>
      <c r="I772" s="105" t="s">
        <v>334</v>
      </c>
      <c r="J772" s="493">
        <v>22</v>
      </c>
      <c r="K772" s="493">
        <v>2</v>
      </c>
      <c r="L772" s="105" t="s">
        <v>343</v>
      </c>
      <c r="M772" s="105" t="s">
        <v>360</v>
      </c>
      <c r="N772" s="105" t="s">
        <v>254</v>
      </c>
      <c r="O772" s="105" t="s">
        <v>688</v>
      </c>
      <c r="P772" s="105" t="s">
        <v>388</v>
      </c>
      <c r="Q772" s="494">
        <v>257891</v>
      </c>
      <c r="R772" s="494">
        <v>257891</v>
      </c>
      <c r="S772" s="494">
        <v>1978540</v>
      </c>
      <c r="T772" s="494">
        <v>1978540</v>
      </c>
      <c r="U772" s="494">
        <v>102439.29</v>
      </c>
      <c r="V772" s="493">
        <v>2024</v>
      </c>
      <c r="W772" s="495"/>
      <c r="X772" s="496">
        <f t="shared" si="47"/>
        <v>19.314268968478796</v>
      </c>
      <c r="Y772" s="497" t="str">
        <f t="shared" si="50"/>
        <v/>
      </c>
      <c r="Z772" s="497" t="str">
        <f t="shared" si="50"/>
        <v/>
      </c>
    </row>
    <row r="773" spans="1:26" s="82" customFormat="1" ht="32" x14ac:dyDescent="0.4">
      <c r="A773" s="493">
        <v>50880</v>
      </c>
      <c r="B773" s="105" t="s">
        <v>329</v>
      </c>
      <c r="C773" s="493" t="s">
        <v>330</v>
      </c>
      <c r="D773" s="105" t="s">
        <v>969</v>
      </c>
      <c r="E773" s="105" t="s">
        <v>789</v>
      </c>
      <c r="F773" s="493">
        <v>20541</v>
      </c>
      <c r="G773" s="105" t="s">
        <v>33</v>
      </c>
      <c r="H773" s="105" t="s">
        <v>342</v>
      </c>
      <c r="I773" s="105" t="s">
        <v>334</v>
      </c>
      <c r="J773" s="493">
        <v>22</v>
      </c>
      <c r="K773" s="493">
        <v>2</v>
      </c>
      <c r="L773" s="105" t="s">
        <v>343</v>
      </c>
      <c r="M773" s="105" t="s">
        <v>360</v>
      </c>
      <c r="N773" s="105" t="s">
        <v>230</v>
      </c>
      <c r="O773" s="105" t="s">
        <v>232</v>
      </c>
      <c r="P773" s="105" t="s">
        <v>388</v>
      </c>
      <c r="Q773" s="494">
        <v>164882</v>
      </c>
      <c r="R773" s="494">
        <v>164882</v>
      </c>
      <c r="S773" s="494">
        <v>2418294</v>
      </c>
      <c r="T773" s="494">
        <v>2418294</v>
      </c>
      <c r="U773" s="494">
        <v>125207.71</v>
      </c>
      <c r="V773" s="493">
        <v>2024</v>
      </c>
      <c r="W773" s="495"/>
      <c r="X773" s="496">
        <f t="shared" si="47"/>
        <v>19.314257883959382</v>
      </c>
      <c r="Y773" s="497" t="str">
        <f t="shared" si="50"/>
        <v/>
      </c>
      <c r="Z773" s="497" t="str">
        <f t="shared" si="50"/>
        <v/>
      </c>
    </row>
    <row r="774" spans="1:26" s="82" customFormat="1" ht="32" x14ac:dyDescent="0.4">
      <c r="A774" s="493">
        <v>50882</v>
      </c>
      <c r="B774" s="105" t="s">
        <v>433</v>
      </c>
      <c r="C774" s="493" t="s">
        <v>330</v>
      </c>
      <c r="D774" s="105" t="s">
        <v>970</v>
      </c>
      <c r="E774" s="105" t="s">
        <v>789</v>
      </c>
      <c r="F774" s="493">
        <v>20541</v>
      </c>
      <c r="G774" s="105" t="s">
        <v>52</v>
      </c>
      <c r="H774" s="105" t="s">
        <v>333</v>
      </c>
      <c r="I774" s="105" t="s">
        <v>334</v>
      </c>
      <c r="J774" s="493">
        <v>22</v>
      </c>
      <c r="K774" s="493">
        <v>3</v>
      </c>
      <c r="L774" s="105" t="s">
        <v>436</v>
      </c>
      <c r="M774" s="105" t="s">
        <v>360</v>
      </c>
      <c r="N774" s="105" t="s">
        <v>254</v>
      </c>
      <c r="O774" s="105" t="s">
        <v>688</v>
      </c>
      <c r="P774" s="105" t="s">
        <v>388</v>
      </c>
      <c r="Q774" s="494">
        <v>428961</v>
      </c>
      <c r="R774" s="494">
        <v>303760</v>
      </c>
      <c r="S774" s="494">
        <v>3290988</v>
      </c>
      <c r="T774" s="494">
        <v>2330453</v>
      </c>
      <c r="U774" s="494">
        <v>178980.61</v>
      </c>
      <c r="V774" s="493">
        <v>2024</v>
      </c>
      <c r="W774" s="495"/>
      <c r="X774" s="496">
        <f t="shared" si="47"/>
        <v>13.020700957494782</v>
      </c>
      <c r="Y774" s="497" t="str">
        <f t="shared" si="50"/>
        <v/>
      </c>
      <c r="Z774" s="497" t="str">
        <f t="shared" si="50"/>
        <v/>
      </c>
    </row>
    <row r="775" spans="1:26" s="82" customFormat="1" ht="32" x14ac:dyDescent="0.4">
      <c r="A775" s="493">
        <v>50882</v>
      </c>
      <c r="B775" s="105" t="s">
        <v>433</v>
      </c>
      <c r="C775" s="493" t="s">
        <v>330</v>
      </c>
      <c r="D775" s="105" t="s">
        <v>970</v>
      </c>
      <c r="E775" s="105" t="s">
        <v>789</v>
      </c>
      <c r="F775" s="493">
        <v>20541</v>
      </c>
      <c r="G775" s="105" t="s">
        <v>52</v>
      </c>
      <c r="H775" s="105" t="s">
        <v>333</v>
      </c>
      <c r="I775" s="105" t="s">
        <v>334</v>
      </c>
      <c r="J775" s="493">
        <v>22</v>
      </c>
      <c r="K775" s="493">
        <v>3</v>
      </c>
      <c r="L775" s="105" t="s">
        <v>436</v>
      </c>
      <c r="M775" s="105" t="s">
        <v>360</v>
      </c>
      <c r="N775" s="105" t="s">
        <v>230</v>
      </c>
      <c r="O775" s="105" t="s">
        <v>232</v>
      </c>
      <c r="P775" s="105" t="s">
        <v>388</v>
      </c>
      <c r="Q775" s="494">
        <v>274253</v>
      </c>
      <c r="R775" s="494">
        <v>194206</v>
      </c>
      <c r="S775" s="494">
        <v>4022381</v>
      </c>
      <c r="T775" s="494">
        <v>2848374</v>
      </c>
      <c r="U775" s="494">
        <v>218757.39</v>
      </c>
      <c r="V775" s="493">
        <v>2024</v>
      </c>
      <c r="W775" s="495"/>
      <c r="X775" s="496">
        <f t="shared" si="47"/>
        <v>13.020698409320023</v>
      </c>
      <c r="Y775" s="497" t="str">
        <f t="shared" si="50"/>
        <v/>
      </c>
      <c r="Z775" s="497" t="str">
        <f t="shared" si="50"/>
        <v/>
      </c>
    </row>
    <row r="776" spans="1:26" s="82" customFormat="1" ht="32" x14ac:dyDescent="0.4">
      <c r="A776" s="493">
        <v>50882</v>
      </c>
      <c r="B776" s="105" t="s">
        <v>433</v>
      </c>
      <c r="C776" s="493" t="s">
        <v>330</v>
      </c>
      <c r="D776" s="105" t="s">
        <v>970</v>
      </c>
      <c r="E776" s="105" t="s">
        <v>789</v>
      </c>
      <c r="F776" s="493">
        <v>20541</v>
      </c>
      <c r="G776" s="105" t="s">
        <v>52</v>
      </c>
      <c r="H776" s="105" t="s">
        <v>333</v>
      </c>
      <c r="I776" s="105" t="s">
        <v>334</v>
      </c>
      <c r="J776" s="493">
        <v>22</v>
      </c>
      <c r="K776" s="493">
        <v>3</v>
      </c>
      <c r="L776" s="105" t="s">
        <v>436</v>
      </c>
      <c r="M776" s="105" t="s">
        <v>360</v>
      </c>
      <c r="N776" s="105" t="s">
        <v>228</v>
      </c>
      <c r="O776" s="105" t="s">
        <v>228</v>
      </c>
      <c r="P776" s="105" t="s">
        <v>356</v>
      </c>
      <c r="Q776" s="494">
        <v>0</v>
      </c>
      <c r="R776" s="494">
        <v>0</v>
      </c>
      <c r="S776" s="494">
        <v>0</v>
      </c>
      <c r="T776" s="494">
        <v>0</v>
      </c>
      <c r="U776" s="494">
        <v>0</v>
      </c>
      <c r="V776" s="493">
        <v>2024</v>
      </c>
      <c r="W776" s="495"/>
      <c r="X776" s="496" t="str">
        <f t="shared" si="47"/>
        <v/>
      </c>
      <c r="Y776" s="497" t="str">
        <f t="shared" si="50"/>
        <v/>
      </c>
      <c r="Z776" s="497" t="str">
        <f t="shared" si="50"/>
        <v/>
      </c>
    </row>
    <row r="777" spans="1:26" s="82" customFormat="1" ht="32" x14ac:dyDescent="0.4">
      <c r="A777" s="493">
        <v>50883</v>
      </c>
      <c r="B777" s="105" t="s">
        <v>329</v>
      </c>
      <c r="C777" s="493" t="s">
        <v>330</v>
      </c>
      <c r="D777" s="105" t="s">
        <v>971</v>
      </c>
      <c r="E777" s="105" t="s">
        <v>789</v>
      </c>
      <c r="F777" s="493">
        <v>20541</v>
      </c>
      <c r="G777" s="105" t="s">
        <v>37</v>
      </c>
      <c r="H777" s="105" t="s">
        <v>342</v>
      </c>
      <c r="I777" s="105" t="s">
        <v>334</v>
      </c>
      <c r="J777" s="493">
        <v>22</v>
      </c>
      <c r="K777" s="493">
        <v>2</v>
      </c>
      <c r="L777" s="105" t="s">
        <v>343</v>
      </c>
      <c r="M777" s="105" t="s">
        <v>360</v>
      </c>
      <c r="N777" s="105" t="s">
        <v>254</v>
      </c>
      <c r="O777" s="105" t="s">
        <v>688</v>
      </c>
      <c r="P777" s="105" t="s">
        <v>388</v>
      </c>
      <c r="Q777" s="494">
        <v>450733</v>
      </c>
      <c r="R777" s="494">
        <v>450733</v>
      </c>
      <c r="S777" s="494">
        <v>3458026</v>
      </c>
      <c r="T777" s="494">
        <v>3458026</v>
      </c>
      <c r="U777" s="494">
        <v>203590.68</v>
      </c>
      <c r="V777" s="493">
        <v>2024</v>
      </c>
      <c r="W777" s="495"/>
      <c r="X777" s="496">
        <f t="shared" ref="X777:X840" si="51">IF(OR(K777&gt;3,T777=0,NOT(U777&gt;0)),"",T777/U777)</f>
        <v>16.985188123542788</v>
      </c>
      <c r="Y777" s="497" t="str">
        <f t="shared" si="50"/>
        <v/>
      </c>
      <c r="Z777" s="497" t="str">
        <f t="shared" si="50"/>
        <v/>
      </c>
    </row>
    <row r="778" spans="1:26" s="82" customFormat="1" ht="32" x14ac:dyDescent="0.4">
      <c r="A778" s="493">
        <v>50883</v>
      </c>
      <c r="B778" s="105" t="s">
        <v>329</v>
      </c>
      <c r="C778" s="493" t="s">
        <v>330</v>
      </c>
      <c r="D778" s="105" t="s">
        <v>971</v>
      </c>
      <c r="E778" s="105" t="s">
        <v>789</v>
      </c>
      <c r="F778" s="493">
        <v>20541</v>
      </c>
      <c r="G778" s="105" t="s">
        <v>37</v>
      </c>
      <c r="H778" s="105" t="s">
        <v>342</v>
      </c>
      <c r="I778" s="105" t="s">
        <v>334</v>
      </c>
      <c r="J778" s="493">
        <v>22</v>
      </c>
      <c r="K778" s="493">
        <v>2</v>
      </c>
      <c r="L778" s="105" t="s">
        <v>343</v>
      </c>
      <c r="M778" s="105" t="s">
        <v>360</v>
      </c>
      <c r="N778" s="105" t="s">
        <v>230</v>
      </c>
      <c r="O778" s="105" t="s">
        <v>232</v>
      </c>
      <c r="P778" s="105" t="s">
        <v>388</v>
      </c>
      <c r="Q778" s="494">
        <v>288173</v>
      </c>
      <c r="R778" s="494">
        <v>288173</v>
      </c>
      <c r="S778" s="494">
        <v>4226510</v>
      </c>
      <c r="T778" s="494">
        <v>4226510</v>
      </c>
      <c r="U778" s="494">
        <v>248835.33</v>
      </c>
      <c r="V778" s="493">
        <v>2024</v>
      </c>
      <c r="W778" s="495"/>
      <c r="X778" s="496">
        <f t="shared" si="51"/>
        <v>16.98516846462277</v>
      </c>
      <c r="Y778" s="497" t="str">
        <f t="shared" si="50"/>
        <v/>
      </c>
      <c r="Z778" s="497" t="str">
        <f t="shared" si="50"/>
        <v/>
      </c>
    </row>
    <row r="779" spans="1:26" s="82" customFormat="1" ht="32" x14ac:dyDescent="0.4">
      <c r="A779" s="493">
        <v>50907</v>
      </c>
      <c r="B779" s="105" t="s">
        <v>433</v>
      </c>
      <c r="C779" s="493" t="s">
        <v>330</v>
      </c>
      <c r="D779" s="105" t="s">
        <v>972</v>
      </c>
      <c r="E779" s="105" t="s">
        <v>973</v>
      </c>
      <c r="F779" s="493">
        <v>14222</v>
      </c>
      <c r="G779" s="105" t="s">
        <v>52</v>
      </c>
      <c r="H779" s="105" t="s">
        <v>333</v>
      </c>
      <c r="I779" s="105" t="s">
        <v>334</v>
      </c>
      <c r="J779" s="493">
        <v>562212</v>
      </c>
      <c r="K779" s="493">
        <v>5</v>
      </c>
      <c r="L779" s="105" t="s">
        <v>771</v>
      </c>
      <c r="M779" s="105" t="s">
        <v>360</v>
      </c>
      <c r="N779" s="105" t="s">
        <v>254</v>
      </c>
      <c r="O779" s="105" t="s">
        <v>688</v>
      </c>
      <c r="P779" s="105" t="s">
        <v>388</v>
      </c>
      <c r="Q779" s="494">
        <v>33900</v>
      </c>
      <c r="R779" s="494">
        <v>2510</v>
      </c>
      <c r="S779" s="494">
        <v>300082</v>
      </c>
      <c r="T779" s="494">
        <v>22228</v>
      </c>
      <c r="U779" s="494">
        <v>3664.83</v>
      </c>
      <c r="V779" s="493">
        <v>2024</v>
      </c>
      <c r="W779" s="495"/>
      <c r="X779" s="496" t="str">
        <f t="shared" si="51"/>
        <v/>
      </c>
      <c r="Y779" s="497" t="str">
        <f t="shared" si="50"/>
        <v/>
      </c>
      <c r="Z779" s="497" t="str">
        <f t="shared" si="50"/>
        <v/>
      </c>
    </row>
    <row r="780" spans="1:26" s="82" customFormat="1" ht="32" x14ac:dyDescent="0.4">
      <c r="A780" s="493">
        <v>50907</v>
      </c>
      <c r="B780" s="105" t="s">
        <v>433</v>
      </c>
      <c r="C780" s="493" t="s">
        <v>330</v>
      </c>
      <c r="D780" s="105" t="s">
        <v>972</v>
      </c>
      <c r="E780" s="105" t="s">
        <v>973</v>
      </c>
      <c r="F780" s="493">
        <v>14222</v>
      </c>
      <c r="G780" s="105" t="s">
        <v>52</v>
      </c>
      <c r="H780" s="105" t="s">
        <v>333</v>
      </c>
      <c r="I780" s="105" t="s">
        <v>334</v>
      </c>
      <c r="J780" s="493">
        <v>562212</v>
      </c>
      <c r="K780" s="493">
        <v>5</v>
      </c>
      <c r="L780" s="105" t="s">
        <v>771</v>
      </c>
      <c r="M780" s="105" t="s">
        <v>360</v>
      </c>
      <c r="N780" s="105" t="s">
        <v>230</v>
      </c>
      <c r="O780" s="105" t="s">
        <v>232</v>
      </c>
      <c r="P780" s="105" t="s">
        <v>388</v>
      </c>
      <c r="Q780" s="494">
        <v>21673</v>
      </c>
      <c r="R780" s="494">
        <v>1605</v>
      </c>
      <c r="S780" s="494">
        <v>366770</v>
      </c>
      <c r="T780" s="494">
        <v>27167</v>
      </c>
      <c r="U780" s="494">
        <v>4479.29</v>
      </c>
      <c r="V780" s="493">
        <v>2024</v>
      </c>
      <c r="W780" s="495"/>
      <c r="X780" s="496" t="str">
        <f t="shared" si="51"/>
        <v/>
      </c>
      <c r="Y780" s="497" t="str">
        <f t="shared" si="50"/>
        <v/>
      </c>
      <c r="Z780" s="497" t="str">
        <f t="shared" si="50"/>
        <v/>
      </c>
    </row>
    <row r="781" spans="1:26" s="82" customFormat="1" ht="32" x14ac:dyDescent="0.4">
      <c r="A781" s="493">
        <v>50907</v>
      </c>
      <c r="B781" s="105" t="s">
        <v>433</v>
      </c>
      <c r="C781" s="493" t="s">
        <v>330</v>
      </c>
      <c r="D781" s="105" t="s">
        <v>972</v>
      </c>
      <c r="E781" s="105" t="s">
        <v>973</v>
      </c>
      <c r="F781" s="493">
        <v>14222</v>
      </c>
      <c r="G781" s="105" t="s">
        <v>52</v>
      </c>
      <c r="H781" s="105" t="s">
        <v>333</v>
      </c>
      <c r="I781" s="105" t="s">
        <v>334</v>
      </c>
      <c r="J781" s="493">
        <v>562212</v>
      </c>
      <c r="K781" s="493">
        <v>5</v>
      </c>
      <c r="L781" s="105" t="s">
        <v>771</v>
      </c>
      <c r="M781" s="105" t="s">
        <v>360</v>
      </c>
      <c r="N781" s="105" t="s">
        <v>228</v>
      </c>
      <c r="O781" s="105" t="s">
        <v>228</v>
      </c>
      <c r="P781" s="105" t="s">
        <v>356</v>
      </c>
      <c r="Q781" s="494">
        <v>0</v>
      </c>
      <c r="R781" s="494">
        <v>0</v>
      </c>
      <c r="S781" s="494">
        <v>0</v>
      </c>
      <c r="T781" s="494">
        <v>0</v>
      </c>
      <c r="U781" s="494">
        <v>0</v>
      </c>
      <c r="V781" s="493">
        <v>2024</v>
      </c>
      <c r="W781" s="495"/>
      <c r="X781" s="496" t="str">
        <f t="shared" si="51"/>
        <v/>
      </c>
      <c r="Y781" s="497" t="str">
        <f t="shared" si="50"/>
        <v/>
      </c>
      <c r="Z781" s="497" t="str">
        <f t="shared" si="50"/>
        <v/>
      </c>
    </row>
    <row r="782" spans="1:26" s="82" customFormat="1" ht="32" x14ac:dyDescent="0.4">
      <c r="A782" s="493">
        <v>50955</v>
      </c>
      <c r="B782" s="105" t="s">
        <v>433</v>
      </c>
      <c r="C782" s="493" t="s">
        <v>330</v>
      </c>
      <c r="D782" s="105" t="s">
        <v>974</v>
      </c>
      <c r="E782" s="105" t="s">
        <v>974</v>
      </c>
      <c r="F782" s="493">
        <v>5623</v>
      </c>
      <c r="G782" s="105" t="s">
        <v>33</v>
      </c>
      <c r="H782" s="105" t="s">
        <v>342</v>
      </c>
      <c r="I782" s="105" t="s">
        <v>334</v>
      </c>
      <c r="J782" s="493">
        <v>325</v>
      </c>
      <c r="K782" s="493">
        <v>7</v>
      </c>
      <c r="L782" s="105" t="s">
        <v>727</v>
      </c>
      <c r="M782" s="105" t="s">
        <v>360</v>
      </c>
      <c r="N782" s="105" t="s">
        <v>228</v>
      </c>
      <c r="O782" s="105" t="s">
        <v>228</v>
      </c>
      <c r="P782" s="105" t="s">
        <v>356</v>
      </c>
      <c r="Q782" s="494">
        <v>1420</v>
      </c>
      <c r="R782" s="494">
        <v>0</v>
      </c>
      <c r="S782" s="494">
        <v>1463</v>
      </c>
      <c r="T782" s="494">
        <v>0</v>
      </c>
      <c r="U782" s="494">
        <v>0</v>
      </c>
      <c r="V782" s="493">
        <v>2024</v>
      </c>
      <c r="W782" s="495"/>
      <c r="X782" s="496" t="str">
        <f t="shared" si="51"/>
        <v/>
      </c>
      <c r="Y782" s="497" t="str">
        <f t="shared" si="50"/>
        <v/>
      </c>
      <c r="Z782" s="497" t="str">
        <f t="shared" si="50"/>
        <v/>
      </c>
    </row>
    <row r="783" spans="1:26" s="82" customFormat="1" ht="32" x14ac:dyDescent="0.4">
      <c r="A783" s="493">
        <v>50955</v>
      </c>
      <c r="B783" s="105" t="s">
        <v>433</v>
      </c>
      <c r="C783" s="493" t="s">
        <v>330</v>
      </c>
      <c r="D783" s="105" t="s">
        <v>974</v>
      </c>
      <c r="E783" s="105" t="s">
        <v>974</v>
      </c>
      <c r="F783" s="493">
        <v>5623</v>
      </c>
      <c r="G783" s="105" t="s">
        <v>33</v>
      </c>
      <c r="H783" s="105" t="s">
        <v>342</v>
      </c>
      <c r="I783" s="105" t="s">
        <v>334</v>
      </c>
      <c r="J783" s="493">
        <v>325</v>
      </c>
      <c r="K783" s="493">
        <v>7</v>
      </c>
      <c r="L783" s="105" t="s">
        <v>727</v>
      </c>
      <c r="M783" s="105" t="s">
        <v>360</v>
      </c>
      <c r="N783" s="105" t="s">
        <v>246</v>
      </c>
      <c r="O783" s="105" t="s">
        <v>349</v>
      </c>
      <c r="P783" s="105" t="s">
        <v>356</v>
      </c>
      <c r="Q783" s="494">
        <v>1</v>
      </c>
      <c r="R783" s="494">
        <v>0</v>
      </c>
      <c r="S783" s="494">
        <v>3</v>
      </c>
      <c r="T783" s="494">
        <v>0</v>
      </c>
      <c r="U783" s="494">
        <v>0</v>
      </c>
      <c r="V783" s="493">
        <v>2024</v>
      </c>
      <c r="W783" s="495"/>
      <c r="X783" s="496" t="str">
        <f t="shared" si="51"/>
        <v/>
      </c>
      <c r="Y783" s="497" t="str">
        <f t="shared" si="50"/>
        <v/>
      </c>
      <c r="Z783" s="497" t="str">
        <f t="shared" si="50"/>
        <v/>
      </c>
    </row>
    <row r="784" spans="1:26" s="82" customFormat="1" ht="32" x14ac:dyDescent="0.4">
      <c r="A784" s="493">
        <v>50955</v>
      </c>
      <c r="B784" s="105" t="s">
        <v>433</v>
      </c>
      <c r="C784" s="493" t="s">
        <v>330</v>
      </c>
      <c r="D784" s="105" t="s">
        <v>974</v>
      </c>
      <c r="E784" s="105" t="s">
        <v>974</v>
      </c>
      <c r="F784" s="493">
        <v>5623</v>
      </c>
      <c r="G784" s="105" t="s">
        <v>33</v>
      </c>
      <c r="H784" s="105" t="s">
        <v>342</v>
      </c>
      <c r="I784" s="105" t="s">
        <v>334</v>
      </c>
      <c r="J784" s="493">
        <v>325</v>
      </c>
      <c r="K784" s="493">
        <v>7</v>
      </c>
      <c r="L784" s="105" t="s">
        <v>727</v>
      </c>
      <c r="M784" s="105" t="s">
        <v>360</v>
      </c>
      <c r="N784" s="105" t="s">
        <v>238</v>
      </c>
      <c r="O784" s="105" t="s">
        <v>238</v>
      </c>
      <c r="P784" s="105" t="s">
        <v>350</v>
      </c>
      <c r="Q784" s="494">
        <v>0</v>
      </c>
      <c r="R784" s="494">
        <v>0</v>
      </c>
      <c r="S784" s="494">
        <v>0</v>
      </c>
      <c r="T784" s="494">
        <v>0</v>
      </c>
      <c r="U784" s="494">
        <v>0</v>
      </c>
      <c r="V784" s="493">
        <v>2024</v>
      </c>
      <c r="W784" s="495"/>
      <c r="X784" s="496" t="str">
        <f t="shared" si="51"/>
        <v/>
      </c>
      <c r="Y784" s="497" t="str">
        <f t="shared" si="50"/>
        <v/>
      </c>
      <c r="Z784" s="497" t="str">
        <f t="shared" si="50"/>
        <v/>
      </c>
    </row>
    <row r="785" spans="1:26" s="82" customFormat="1" ht="32" x14ac:dyDescent="0.4">
      <c r="A785" s="493">
        <v>50978</v>
      </c>
      <c r="B785" s="105" t="s">
        <v>329</v>
      </c>
      <c r="C785" s="493" t="s">
        <v>330</v>
      </c>
      <c r="D785" s="105" t="s">
        <v>975</v>
      </c>
      <c r="E785" s="105" t="s">
        <v>976</v>
      </c>
      <c r="F785" s="493">
        <v>24202</v>
      </c>
      <c r="G785" s="105" t="s">
        <v>52</v>
      </c>
      <c r="H785" s="105" t="s">
        <v>333</v>
      </c>
      <c r="I785" s="105" t="s">
        <v>334</v>
      </c>
      <c r="J785" s="493">
        <v>22</v>
      </c>
      <c r="K785" s="493">
        <v>2</v>
      </c>
      <c r="L785" s="105" t="s">
        <v>343</v>
      </c>
      <c r="M785" s="105" t="s">
        <v>380</v>
      </c>
      <c r="N785" s="105" t="s">
        <v>226</v>
      </c>
      <c r="O785" s="105" t="s">
        <v>226</v>
      </c>
      <c r="P785" s="105" t="s">
        <v>350</v>
      </c>
      <c r="Q785" s="494">
        <v>0</v>
      </c>
      <c r="R785" s="494">
        <v>0</v>
      </c>
      <c r="S785" s="494">
        <v>0</v>
      </c>
      <c r="T785" s="494">
        <v>0</v>
      </c>
      <c r="U785" s="494">
        <v>0</v>
      </c>
      <c r="V785" s="493">
        <v>2024</v>
      </c>
      <c r="W785" s="495" t="s">
        <v>355</v>
      </c>
      <c r="X785" s="496" t="str">
        <f t="shared" si="51"/>
        <v/>
      </c>
      <c r="Y785" s="497" t="str">
        <f t="shared" si="50"/>
        <v/>
      </c>
      <c r="Z785" s="497" t="str">
        <f t="shared" si="50"/>
        <v/>
      </c>
    </row>
    <row r="786" spans="1:26" s="82" customFormat="1" ht="32" x14ac:dyDescent="0.4">
      <c r="A786" s="493">
        <v>50978</v>
      </c>
      <c r="B786" s="105" t="s">
        <v>329</v>
      </c>
      <c r="C786" s="493" t="s">
        <v>330</v>
      </c>
      <c r="D786" s="105" t="s">
        <v>975</v>
      </c>
      <c r="E786" s="105" t="s">
        <v>976</v>
      </c>
      <c r="F786" s="493">
        <v>24202</v>
      </c>
      <c r="G786" s="105" t="s">
        <v>52</v>
      </c>
      <c r="H786" s="105" t="s">
        <v>333</v>
      </c>
      <c r="I786" s="105" t="s">
        <v>334</v>
      </c>
      <c r="J786" s="493">
        <v>22</v>
      </c>
      <c r="K786" s="493">
        <v>2</v>
      </c>
      <c r="L786" s="105" t="s">
        <v>343</v>
      </c>
      <c r="M786" s="105" t="s">
        <v>380</v>
      </c>
      <c r="N786" s="105" t="s">
        <v>228</v>
      </c>
      <c r="O786" s="105" t="s">
        <v>228</v>
      </c>
      <c r="P786" s="105" t="s">
        <v>356</v>
      </c>
      <c r="Q786" s="494">
        <v>0</v>
      </c>
      <c r="R786" s="494">
        <v>0</v>
      </c>
      <c r="S786" s="494">
        <v>0</v>
      </c>
      <c r="T786" s="494">
        <v>0</v>
      </c>
      <c r="U786" s="494">
        <v>38938</v>
      </c>
      <c r="V786" s="493">
        <v>2024</v>
      </c>
      <c r="W786" s="495" t="s">
        <v>355</v>
      </c>
      <c r="X786" s="496" t="str">
        <f t="shared" si="51"/>
        <v/>
      </c>
      <c r="Y786" s="497" t="str">
        <f t="shared" si="50"/>
        <v/>
      </c>
      <c r="Z786" s="497" t="str">
        <f t="shared" si="50"/>
        <v/>
      </c>
    </row>
    <row r="787" spans="1:26" s="82" customFormat="1" ht="32" x14ac:dyDescent="0.4">
      <c r="A787" s="493">
        <v>50978</v>
      </c>
      <c r="B787" s="105" t="s">
        <v>329</v>
      </c>
      <c r="C787" s="493" t="s">
        <v>330</v>
      </c>
      <c r="D787" s="105" t="s">
        <v>975</v>
      </c>
      <c r="E787" s="105" t="s">
        <v>976</v>
      </c>
      <c r="F787" s="493">
        <v>24202</v>
      </c>
      <c r="G787" s="105" t="s">
        <v>52</v>
      </c>
      <c r="H787" s="105" t="s">
        <v>333</v>
      </c>
      <c r="I787" s="105" t="s">
        <v>334</v>
      </c>
      <c r="J787" s="493">
        <v>22</v>
      </c>
      <c r="K787" s="493">
        <v>2</v>
      </c>
      <c r="L787" s="105" t="s">
        <v>343</v>
      </c>
      <c r="M787" s="105" t="s">
        <v>37</v>
      </c>
      <c r="N787" s="105" t="s">
        <v>226</v>
      </c>
      <c r="O787" s="105" t="s">
        <v>226</v>
      </c>
      <c r="P787" s="105" t="s">
        <v>350</v>
      </c>
      <c r="Q787" s="494">
        <v>0</v>
      </c>
      <c r="R787" s="494">
        <v>0</v>
      </c>
      <c r="S787" s="494">
        <v>0</v>
      </c>
      <c r="T787" s="494">
        <v>0</v>
      </c>
      <c r="U787" s="494">
        <v>0</v>
      </c>
      <c r="V787" s="493">
        <v>2024</v>
      </c>
      <c r="W787" s="495" t="s">
        <v>355</v>
      </c>
      <c r="X787" s="496" t="str">
        <f t="shared" si="51"/>
        <v/>
      </c>
      <c r="Y787" s="497" t="str">
        <f t="shared" si="50"/>
        <v/>
      </c>
      <c r="Z787" s="497" t="str">
        <f t="shared" si="50"/>
        <v/>
      </c>
    </row>
    <row r="788" spans="1:26" s="82" customFormat="1" ht="32" x14ac:dyDescent="0.4">
      <c r="A788" s="493">
        <v>50978</v>
      </c>
      <c r="B788" s="105" t="s">
        <v>329</v>
      </c>
      <c r="C788" s="493" t="s">
        <v>330</v>
      </c>
      <c r="D788" s="105" t="s">
        <v>975</v>
      </c>
      <c r="E788" s="105" t="s">
        <v>976</v>
      </c>
      <c r="F788" s="493">
        <v>24202</v>
      </c>
      <c r="G788" s="105" t="s">
        <v>52</v>
      </c>
      <c r="H788" s="105" t="s">
        <v>333</v>
      </c>
      <c r="I788" s="105" t="s">
        <v>334</v>
      </c>
      <c r="J788" s="493">
        <v>22</v>
      </c>
      <c r="K788" s="493">
        <v>2</v>
      </c>
      <c r="L788" s="105" t="s">
        <v>343</v>
      </c>
      <c r="M788" s="105" t="s">
        <v>37</v>
      </c>
      <c r="N788" s="105" t="s">
        <v>228</v>
      </c>
      <c r="O788" s="105" t="s">
        <v>228</v>
      </c>
      <c r="P788" s="105" t="s">
        <v>356</v>
      </c>
      <c r="Q788" s="494">
        <v>1381879</v>
      </c>
      <c r="R788" s="494">
        <v>1381879</v>
      </c>
      <c r="S788" s="494">
        <v>1409517</v>
      </c>
      <c r="T788" s="494">
        <v>1409517</v>
      </c>
      <c r="U788" s="494">
        <v>129729</v>
      </c>
      <c r="V788" s="493">
        <v>2024</v>
      </c>
      <c r="W788" s="495" t="s">
        <v>355</v>
      </c>
      <c r="X788" s="496">
        <f t="shared" si="51"/>
        <v>10.86508799111995</v>
      </c>
      <c r="Y788" s="497" t="str">
        <f t="shared" ref="Y788:Z807" si="52">IF(AND($M788=$Y$2,$N788=$Y$3,NOT($Q788=$R788),NOT($U788=0)),IF($K788=5,$S788/($U788+(8/5)*$U788),IF($K788=7,$S788/($U788+(29/25)*$U788),"")),"")</f>
        <v/>
      </c>
      <c r="Z788" s="497" t="str">
        <f t="shared" si="52"/>
        <v/>
      </c>
    </row>
    <row r="789" spans="1:26" s="82" customFormat="1" ht="32" x14ac:dyDescent="0.4">
      <c r="A789" s="493">
        <v>50999</v>
      </c>
      <c r="B789" s="105" t="s">
        <v>329</v>
      </c>
      <c r="C789" s="493" t="s">
        <v>330</v>
      </c>
      <c r="D789" s="105" t="s">
        <v>977</v>
      </c>
      <c r="E789" s="105" t="s">
        <v>396</v>
      </c>
      <c r="F789" s="493">
        <v>39006</v>
      </c>
      <c r="G789" s="105" t="s">
        <v>34</v>
      </c>
      <c r="H789" s="105" t="s">
        <v>342</v>
      </c>
      <c r="I789" s="105" t="s">
        <v>334</v>
      </c>
      <c r="J789" s="493">
        <v>22</v>
      </c>
      <c r="K789" s="493">
        <v>2</v>
      </c>
      <c r="L789" s="105" t="s">
        <v>343</v>
      </c>
      <c r="M789" s="105" t="s">
        <v>336</v>
      </c>
      <c r="N789" s="105" t="s">
        <v>337</v>
      </c>
      <c r="O789" s="105" t="s">
        <v>338</v>
      </c>
      <c r="P789" s="105" t="s">
        <v>339</v>
      </c>
      <c r="Q789" s="494">
        <v>0</v>
      </c>
      <c r="R789" s="494">
        <v>0</v>
      </c>
      <c r="S789" s="494">
        <v>123749</v>
      </c>
      <c r="T789" s="494">
        <v>123749</v>
      </c>
      <c r="U789" s="494">
        <v>36269</v>
      </c>
      <c r="V789" s="493">
        <v>2024</v>
      </c>
      <c r="W789" s="495"/>
      <c r="X789" s="496">
        <f t="shared" si="51"/>
        <v>3.4119771705864514</v>
      </c>
      <c r="Y789" s="497" t="str">
        <f t="shared" si="52"/>
        <v/>
      </c>
      <c r="Z789" s="497" t="str">
        <f t="shared" si="52"/>
        <v/>
      </c>
    </row>
    <row r="790" spans="1:26" s="82" customFormat="1" ht="32" x14ac:dyDescent="0.4">
      <c r="A790" s="493">
        <v>51026</v>
      </c>
      <c r="B790" s="105" t="s">
        <v>329</v>
      </c>
      <c r="C790" s="493" t="s">
        <v>330</v>
      </c>
      <c r="D790" s="105" t="s">
        <v>978</v>
      </c>
      <c r="E790" s="105" t="s">
        <v>978</v>
      </c>
      <c r="F790" s="493">
        <v>54824</v>
      </c>
      <c r="G790" s="105" t="s">
        <v>36</v>
      </c>
      <c r="H790" s="105" t="s">
        <v>342</v>
      </c>
      <c r="I790" s="105" t="s">
        <v>334</v>
      </c>
      <c r="J790" s="493">
        <v>22</v>
      </c>
      <c r="K790" s="493">
        <v>2</v>
      </c>
      <c r="L790" s="105" t="s">
        <v>343</v>
      </c>
      <c r="M790" s="105" t="s">
        <v>360</v>
      </c>
      <c r="N790" s="105" t="s">
        <v>258</v>
      </c>
      <c r="O790" s="105" t="s">
        <v>387</v>
      </c>
      <c r="P790" s="105" t="s">
        <v>388</v>
      </c>
      <c r="Q790" s="494">
        <v>251502</v>
      </c>
      <c r="R790" s="494">
        <v>251502</v>
      </c>
      <c r="S790" s="494">
        <v>2393806</v>
      </c>
      <c r="T790" s="494">
        <v>2393806</v>
      </c>
      <c r="U790" s="494">
        <v>149918</v>
      </c>
      <c r="V790" s="493">
        <v>2024</v>
      </c>
      <c r="W790" s="495"/>
      <c r="X790" s="496">
        <f t="shared" si="51"/>
        <v>15.967435531423845</v>
      </c>
      <c r="Y790" s="497" t="str">
        <f t="shared" si="52"/>
        <v/>
      </c>
      <c r="Z790" s="497" t="str">
        <f t="shared" si="52"/>
        <v/>
      </c>
    </row>
    <row r="791" spans="1:26" s="82" customFormat="1" x14ac:dyDescent="0.4">
      <c r="A791" s="493">
        <v>51030</v>
      </c>
      <c r="B791" s="105" t="s">
        <v>329</v>
      </c>
      <c r="C791" s="493" t="s">
        <v>330</v>
      </c>
      <c r="D791" s="105" t="s">
        <v>979</v>
      </c>
      <c r="E791" s="105" t="s">
        <v>980</v>
      </c>
      <c r="F791" s="493">
        <v>27769</v>
      </c>
      <c r="G791" s="105" t="s">
        <v>38</v>
      </c>
      <c r="H791" s="105" t="s">
        <v>342</v>
      </c>
      <c r="I791" s="105" t="s">
        <v>334</v>
      </c>
      <c r="J791" s="493">
        <v>22</v>
      </c>
      <c r="K791" s="493">
        <v>2</v>
      </c>
      <c r="L791" s="105" t="s">
        <v>343</v>
      </c>
      <c r="M791" s="105" t="s">
        <v>380</v>
      </c>
      <c r="N791" s="105" t="s">
        <v>226</v>
      </c>
      <c r="O791" s="105" t="s">
        <v>226</v>
      </c>
      <c r="P791" s="105" t="s">
        <v>350</v>
      </c>
      <c r="Q791" s="494">
        <v>0</v>
      </c>
      <c r="R791" s="494">
        <v>0</v>
      </c>
      <c r="S791" s="494">
        <v>0</v>
      </c>
      <c r="T791" s="494">
        <v>0</v>
      </c>
      <c r="U791" s="494">
        <v>252.05099999999999</v>
      </c>
      <c r="V791" s="493">
        <v>2024</v>
      </c>
      <c r="W791" s="495" t="s">
        <v>355</v>
      </c>
      <c r="X791" s="496" t="str">
        <f t="shared" si="51"/>
        <v/>
      </c>
      <c r="Y791" s="497" t="str">
        <f t="shared" si="52"/>
        <v/>
      </c>
      <c r="Z791" s="497" t="str">
        <f t="shared" si="52"/>
        <v/>
      </c>
    </row>
    <row r="792" spans="1:26" s="82" customFormat="1" x14ac:dyDescent="0.4">
      <c r="A792" s="493">
        <v>51030</v>
      </c>
      <c r="B792" s="105" t="s">
        <v>329</v>
      </c>
      <c r="C792" s="493" t="s">
        <v>330</v>
      </c>
      <c r="D792" s="105" t="s">
        <v>979</v>
      </c>
      <c r="E792" s="105" t="s">
        <v>980</v>
      </c>
      <c r="F792" s="493">
        <v>27769</v>
      </c>
      <c r="G792" s="105" t="s">
        <v>38</v>
      </c>
      <c r="H792" s="105" t="s">
        <v>342</v>
      </c>
      <c r="I792" s="105" t="s">
        <v>334</v>
      </c>
      <c r="J792" s="493">
        <v>22</v>
      </c>
      <c r="K792" s="493">
        <v>2</v>
      </c>
      <c r="L792" s="105" t="s">
        <v>343</v>
      </c>
      <c r="M792" s="105" t="s">
        <v>380</v>
      </c>
      <c r="N792" s="105" t="s">
        <v>228</v>
      </c>
      <c r="O792" s="105" t="s">
        <v>228</v>
      </c>
      <c r="P792" s="105" t="s">
        <v>356</v>
      </c>
      <c r="Q792" s="494">
        <v>8717</v>
      </c>
      <c r="R792" s="494">
        <v>8717</v>
      </c>
      <c r="S792" s="494">
        <v>8954</v>
      </c>
      <c r="T792" s="494">
        <v>8954</v>
      </c>
      <c r="U792" s="494">
        <v>431702.95</v>
      </c>
      <c r="V792" s="493">
        <v>2024</v>
      </c>
      <c r="W792" s="495" t="s">
        <v>355</v>
      </c>
      <c r="X792" s="496">
        <f t="shared" si="51"/>
        <v>2.0741113768159333E-2</v>
      </c>
      <c r="Y792" s="497" t="str">
        <f t="shared" si="52"/>
        <v/>
      </c>
      <c r="Z792" s="497" t="str">
        <f t="shared" si="52"/>
        <v/>
      </c>
    </row>
    <row r="793" spans="1:26" s="82" customFormat="1" x14ac:dyDescent="0.4">
      <c r="A793" s="493">
        <v>51030</v>
      </c>
      <c r="B793" s="105" t="s">
        <v>329</v>
      </c>
      <c r="C793" s="493" t="s">
        <v>330</v>
      </c>
      <c r="D793" s="105" t="s">
        <v>979</v>
      </c>
      <c r="E793" s="105" t="s">
        <v>980</v>
      </c>
      <c r="F793" s="493">
        <v>27769</v>
      </c>
      <c r="G793" s="105" t="s">
        <v>38</v>
      </c>
      <c r="H793" s="105" t="s">
        <v>342</v>
      </c>
      <c r="I793" s="105" t="s">
        <v>334</v>
      </c>
      <c r="J793" s="493">
        <v>22</v>
      </c>
      <c r="K793" s="493">
        <v>2</v>
      </c>
      <c r="L793" s="105" t="s">
        <v>343</v>
      </c>
      <c r="M793" s="105" t="s">
        <v>37</v>
      </c>
      <c r="N793" s="105" t="s">
        <v>226</v>
      </c>
      <c r="O793" s="105" t="s">
        <v>226</v>
      </c>
      <c r="P793" s="105" t="s">
        <v>350</v>
      </c>
      <c r="Q793" s="494">
        <v>1140</v>
      </c>
      <c r="R793" s="494">
        <v>1140</v>
      </c>
      <c r="S793" s="494">
        <v>6601</v>
      </c>
      <c r="T793" s="494">
        <v>6601</v>
      </c>
      <c r="U793" s="494">
        <v>469.74400000000003</v>
      </c>
      <c r="V793" s="493">
        <v>2024</v>
      </c>
      <c r="W793" s="495" t="s">
        <v>355</v>
      </c>
      <c r="X793" s="496">
        <f t="shared" si="51"/>
        <v>14.052334888790488</v>
      </c>
      <c r="Y793" s="497" t="str">
        <f t="shared" si="52"/>
        <v/>
      </c>
      <c r="Z793" s="497" t="str">
        <f t="shared" si="52"/>
        <v/>
      </c>
    </row>
    <row r="794" spans="1:26" s="82" customFormat="1" x14ac:dyDescent="0.4">
      <c r="A794" s="493">
        <v>51030</v>
      </c>
      <c r="B794" s="105" t="s">
        <v>329</v>
      </c>
      <c r="C794" s="493" t="s">
        <v>330</v>
      </c>
      <c r="D794" s="105" t="s">
        <v>979</v>
      </c>
      <c r="E794" s="105" t="s">
        <v>980</v>
      </c>
      <c r="F794" s="493">
        <v>27769</v>
      </c>
      <c r="G794" s="105" t="s">
        <v>38</v>
      </c>
      <c r="H794" s="105" t="s">
        <v>342</v>
      </c>
      <c r="I794" s="105" t="s">
        <v>334</v>
      </c>
      <c r="J794" s="493">
        <v>22</v>
      </c>
      <c r="K794" s="493">
        <v>2</v>
      </c>
      <c r="L794" s="105" t="s">
        <v>343</v>
      </c>
      <c r="M794" s="105" t="s">
        <v>37</v>
      </c>
      <c r="N794" s="105" t="s">
        <v>228</v>
      </c>
      <c r="O794" s="105" t="s">
        <v>228</v>
      </c>
      <c r="P794" s="105" t="s">
        <v>356</v>
      </c>
      <c r="Q794" s="494">
        <v>10183495</v>
      </c>
      <c r="R794" s="494">
        <v>10183495</v>
      </c>
      <c r="S794" s="494">
        <v>10458449</v>
      </c>
      <c r="T794" s="494">
        <v>10458449</v>
      </c>
      <c r="U794" s="494">
        <v>750302.26</v>
      </c>
      <c r="V794" s="493">
        <v>2024</v>
      </c>
      <c r="W794" s="495" t="s">
        <v>355</v>
      </c>
      <c r="X794" s="496">
        <f t="shared" si="51"/>
        <v>13.938981071441795</v>
      </c>
      <c r="Y794" s="497" t="str">
        <f t="shared" si="52"/>
        <v/>
      </c>
      <c r="Z794" s="497" t="str">
        <f t="shared" si="52"/>
        <v/>
      </c>
    </row>
    <row r="795" spans="1:26" s="82" customFormat="1" ht="32" x14ac:dyDescent="0.4">
      <c r="A795" s="493">
        <v>51033</v>
      </c>
      <c r="B795" s="105" t="s">
        <v>329</v>
      </c>
      <c r="C795" s="493" t="s">
        <v>330</v>
      </c>
      <c r="D795" s="105" t="s">
        <v>981</v>
      </c>
      <c r="E795" s="105" t="s">
        <v>520</v>
      </c>
      <c r="F795" s="493">
        <v>5914</v>
      </c>
      <c r="G795" s="105" t="s">
        <v>52</v>
      </c>
      <c r="H795" s="105" t="s">
        <v>333</v>
      </c>
      <c r="I795" s="105" t="s">
        <v>334</v>
      </c>
      <c r="J795" s="493">
        <v>22</v>
      </c>
      <c r="K795" s="493">
        <v>2</v>
      </c>
      <c r="L795" s="105" t="s">
        <v>343</v>
      </c>
      <c r="M795" s="105" t="s">
        <v>336</v>
      </c>
      <c r="N795" s="105" t="s">
        <v>337</v>
      </c>
      <c r="O795" s="105" t="s">
        <v>338</v>
      </c>
      <c r="P795" s="105" t="s">
        <v>339</v>
      </c>
      <c r="Q795" s="494">
        <v>0</v>
      </c>
      <c r="R795" s="494">
        <v>0</v>
      </c>
      <c r="S795" s="494">
        <v>63422</v>
      </c>
      <c r="T795" s="494">
        <v>63422</v>
      </c>
      <c r="U795" s="494">
        <v>18588</v>
      </c>
      <c r="V795" s="493">
        <v>2024</v>
      </c>
      <c r="W795" s="495"/>
      <c r="X795" s="496">
        <f t="shared" si="51"/>
        <v>3.411986227673768</v>
      </c>
      <c r="Y795" s="497" t="str">
        <f t="shared" si="52"/>
        <v/>
      </c>
      <c r="Z795" s="497" t="str">
        <f t="shared" si="52"/>
        <v/>
      </c>
    </row>
    <row r="796" spans="1:26" s="82" customFormat="1" ht="32" x14ac:dyDescent="0.4">
      <c r="A796" s="493">
        <v>51034</v>
      </c>
      <c r="B796" s="105" t="s">
        <v>329</v>
      </c>
      <c r="C796" s="493" t="s">
        <v>330</v>
      </c>
      <c r="D796" s="105" t="s">
        <v>982</v>
      </c>
      <c r="E796" s="105" t="s">
        <v>592</v>
      </c>
      <c r="F796" s="493">
        <v>57280</v>
      </c>
      <c r="G796" s="105" t="s">
        <v>52</v>
      </c>
      <c r="H796" s="105" t="s">
        <v>333</v>
      </c>
      <c r="I796" s="105" t="s">
        <v>334</v>
      </c>
      <c r="J796" s="493">
        <v>22</v>
      </c>
      <c r="K796" s="493">
        <v>2</v>
      </c>
      <c r="L796" s="105" t="s">
        <v>343</v>
      </c>
      <c r="M796" s="105" t="s">
        <v>336</v>
      </c>
      <c r="N796" s="105" t="s">
        <v>337</v>
      </c>
      <c r="O796" s="105" t="s">
        <v>338</v>
      </c>
      <c r="P796" s="105" t="s">
        <v>339</v>
      </c>
      <c r="Q796" s="494">
        <v>0</v>
      </c>
      <c r="R796" s="494">
        <v>0</v>
      </c>
      <c r="S796" s="494">
        <v>174148</v>
      </c>
      <c r="T796" s="494">
        <v>174148</v>
      </c>
      <c r="U796" s="494">
        <v>51040</v>
      </c>
      <c r="V796" s="493">
        <v>2024</v>
      </c>
      <c r="W796" s="495"/>
      <c r="X796" s="496">
        <f t="shared" si="51"/>
        <v>3.4119905956112855</v>
      </c>
      <c r="Y796" s="497" t="str">
        <f t="shared" si="52"/>
        <v/>
      </c>
      <c r="Z796" s="497" t="str">
        <f t="shared" si="52"/>
        <v/>
      </c>
    </row>
    <row r="797" spans="1:26" s="82" customFormat="1" ht="32" x14ac:dyDescent="0.4">
      <c r="A797" s="493">
        <v>51038</v>
      </c>
      <c r="B797" s="105" t="s">
        <v>329</v>
      </c>
      <c r="C797" s="493" t="s">
        <v>330</v>
      </c>
      <c r="D797" s="105" t="s">
        <v>983</v>
      </c>
      <c r="E797" s="105" t="s">
        <v>984</v>
      </c>
      <c r="F797" s="493">
        <v>56601</v>
      </c>
      <c r="G797" s="105" t="s">
        <v>52</v>
      </c>
      <c r="H797" s="105" t="s">
        <v>333</v>
      </c>
      <c r="I797" s="105" t="s">
        <v>334</v>
      </c>
      <c r="J797" s="493">
        <v>562213</v>
      </c>
      <c r="K797" s="493">
        <v>4</v>
      </c>
      <c r="L797" s="105" t="s">
        <v>766</v>
      </c>
      <c r="M797" s="105" t="s">
        <v>360</v>
      </c>
      <c r="N797" s="105" t="s">
        <v>226</v>
      </c>
      <c r="O797" s="105" t="s">
        <v>226</v>
      </c>
      <c r="P797" s="105" t="s">
        <v>350</v>
      </c>
      <c r="Q797" s="494">
        <v>0</v>
      </c>
      <c r="R797" s="494">
        <v>0</v>
      </c>
      <c r="S797" s="494">
        <v>0</v>
      </c>
      <c r="T797" s="494">
        <v>0</v>
      </c>
      <c r="U797" s="494">
        <v>0</v>
      </c>
      <c r="V797" s="493">
        <v>2024</v>
      </c>
      <c r="W797" s="495"/>
      <c r="X797" s="496" t="str">
        <f t="shared" si="51"/>
        <v/>
      </c>
      <c r="Y797" s="497" t="str">
        <f t="shared" si="52"/>
        <v/>
      </c>
      <c r="Z797" s="497" t="str">
        <f t="shared" si="52"/>
        <v/>
      </c>
    </row>
    <row r="798" spans="1:26" s="82" customFormat="1" ht="32" x14ac:dyDescent="0.4">
      <c r="A798" s="493">
        <v>51038</v>
      </c>
      <c r="B798" s="105" t="s">
        <v>329</v>
      </c>
      <c r="C798" s="493" t="s">
        <v>330</v>
      </c>
      <c r="D798" s="105" t="s">
        <v>983</v>
      </c>
      <c r="E798" s="105" t="s">
        <v>984</v>
      </c>
      <c r="F798" s="493">
        <v>56601</v>
      </c>
      <c r="G798" s="105" t="s">
        <v>52</v>
      </c>
      <c r="H798" s="105" t="s">
        <v>333</v>
      </c>
      <c r="I798" s="105" t="s">
        <v>334</v>
      </c>
      <c r="J798" s="493">
        <v>562213</v>
      </c>
      <c r="K798" s="493">
        <v>4</v>
      </c>
      <c r="L798" s="105" t="s">
        <v>766</v>
      </c>
      <c r="M798" s="105" t="s">
        <v>360</v>
      </c>
      <c r="N798" s="105" t="s">
        <v>254</v>
      </c>
      <c r="O798" s="105" t="s">
        <v>688</v>
      </c>
      <c r="P798" s="105" t="s">
        <v>388</v>
      </c>
      <c r="Q798" s="494">
        <v>107846</v>
      </c>
      <c r="R798" s="494">
        <v>107846</v>
      </c>
      <c r="S798" s="494">
        <v>795581</v>
      </c>
      <c r="T798" s="494">
        <v>795581</v>
      </c>
      <c r="U798" s="494">
        <v>23855.516</v>
      </c>
      <c r="V798" s="493">
        <v>2024</v>
      </c>
      <c r="W798" s="495"/>
      <c r="X798" s="496" t="str">
        <f t="shared" si="51"/>
        <v/>
      </c>
      <c r="Y798" s="497" t="str">
        <f t="shared" si="52"/>
        <v/>
      </c>
      <c r="Z798" s="497" t="str">
        <f t="shared" si="52"/>
        <v/>
      </c>
    </row>
    <row r="799" spans="1:26" s="82" customFormat="1" ht="32" x14ac:dyDescent="0.4">
      <c r="A799" s="493">
        <v>51038</v>
      </c>
      <c r="B799" s="105" t="s">
        <v>329</v>
      </c>
      <c r="C799" s="493" t="s">
        <v>330</v>
      </c>
      <c r="D799" s="105" t="s">
        <v>983</v>
      </c>
      <c r="E799" s="105" t="s">
        <v>984</v>
      </c>
      <c r="F799" s="493">
        <v>56601</v>
      </c>
      <c r="G799" s="105" t="s">
        <v>52</v>
      </c>
      <c r="H799" s="105" t="s">
        <v>333</v>
      </c>
      <c r="I799" s="105" t="s">
        <v>334</v>
      </c>
      <c r="J799" s="493">
        <v>562213</v>
      </c>
      <c r="K799" s="493">
        <v>4</v>
      </c>
      <c r="L799" s="105" t="s">
        <v>766</v>
      </c>
      <c r="M799" s="105" t="s">
        <v>360</v>
      </c>
      <c r="N799" s="105" t="s">
        <v>230</v>
      </c>
      <c r="O799" s="105" t="s">
        <v>232</v>
      </c>
      <c r="P799" s="105" t="s">
        <v>388</v>
      </c>
      <c r="Q799" s="494">
        <v>68951</v>
      </c>
      <c r="R799" s="494">
        <v>68951</v>
      </c>
      <c r="S799" s="494">
        <v>972374</v>
      </c>
      <c r="T799" s="494">
        <v>972374</v>
      </c>
      <c r="U799" s="494">
        <v>29156.657999999999</v>
      </c>
      <c r="V799" s="493">
        <v>2024</v>
      </c>
      <c r="W799" s="495"/>
      <c r="X799" s="496" t="str">
        <f t="shared" si="51"/>
        <v/>
      </c>
      <c r="Y799" s="497" t="str">
        <f t="shared" si="52"/>
        <v/>
      </c>
      <c r="Z799" s="497" t="str">
        <f t="shared" si="52"/>
        <v/>
      </c>
    </row>
    <row r="800" spans="1:26" s="82" customFormat="1" ht="32" x14ac:dyDescent="0.4">
      <c r="A800" s="493">
        <v>51038</v>
      </c>
      <c r="B800" s="105" t="s">
        <v>329</v>
      </c>
      <c r="C800" s="493" t="s">
        <v>330</v>
      </c>
      <c r="D800" s="105" t="s">
        <v>983</v>
      </c>
      <c r="E800" s="105" t="s">
        <v>984</v>
      </c>
      <c r="F800" s="493">
        <v>56601</v>
      </c>
      <c r="G800" s="105" t="s">
        <v>52</v>
      </c>
      <c r="H800" s="105" t="s">
        <v>333</v>
      </c>
      <c r="I800" s="105" t="s">
        <v>334</v>
      </c>
      <c r="J800" s="493">
        <v>562213</v>
      </c>
      <c r="K800" s="493">
        <v>4</v>
      </c>
      <c r="L800" s="105" t="s">
        <v>766</v>
      </c>
      <c r="M800" s="105" t="s">
        <v>360</v>
      </c>
      <c r="N800" s="105" t="s">
        <v>228</v>
      </c>
      <c r="O800" s="105" t="s">
        <v>228</v>
      </c>
      <c r="P800" s="105" t="s">
        <v>356</v>
      </c>
      <c r="Q800" s="494">
        <v>18019</v>
      </c>
      <c r="R800" s="494">
        <v>18019</v>
      </c>
      <c r="S800" s="494">
        <v>18019</v>
      </c>
      <c r="T800" s="494">
        <v>18019</v>
      </c>
      <c r="U800" s="494">
        <v>522.82600000000002</v>
      </c>
      <c r="V800" s="493">
        <v>2024</v>
      </c>
      <c r="W800" s="495"/>
      <c r="X800" s="496" t="str">
        <f t="shared" si="51"/>
        <v/>
      </c>
      <c r="Y800" s="497" t="str">
        <f t="shared" si="52"/>
        <v/>
      </c>
      <c r="Z800" s="497" t="str">
        <f t="shared" si="52"/>
        <v/>
      </c>
    </row>
    <row r="801" spans="1:26" s="82" customFormat="1" ht="32" x14ac:dyDescent="0.4">
      <c r="A801" s="493">
        <v>52024</v>
      </c>
      <c r="B801" s="105" t="s">
        <v>433</v>
      </c>
      <c r="C801" s="493" t="s">
        <v>330</v>
      </c>
      <c r="D801" s="105" t="s">
        <v>985</v>
      </c>
      <c r="E801" s="105" t="s">
        <v>985</v>
      </c>
      <c r="F801" s="493">
        <v>16001</v>
      </c>
      <c r="G801" s="105" t="s">
        <v>38</v>
      </c>
      <c r="H801" s="105" t="s">
        <v>342</v>
      </c>
      <c r="I801" s="105" t="s">
        <v>334</v>
      </c>
      <c r="J801" s="493">
        <v>622</v>
      </c>
      <c r="K801" s="493">
        <v>5</v>
      </c>
      <c r="L801" s="105" t="s">
        <v>771</v>
      </c>
      <c r="M801" s="105" t="s">
        <v>360</v>
      </c>
      <c r="N801" s="105" t="s">
        <v>228</v>
      </c>
      <c r="O801" s="105" t="s">
        <v>228</v>
      </c>
      <c r="P801" s="105" t="s">
        <v>356</v>
      </c>
      <c r="Q801" s="494">
        <v>479228</v>
      </c>
      <c r="R801" s="494">
        <v>45155</v>
      </c>
      <c r="S801" s="494">
        <v>511111</v>
      </c>
      <c r="T801" s="494">
        <v>48391</v>
      </c>
      <c r="U801" s="494">
        <v>8777.5499999999993</v>
      </c>
      <c r="V801" s="493">
        <v>2024</v>
      </c>
      <c r="W801" s="495"/>
      <c r="X801" s="496" t="str">
        <f t="shared" si="51"/>
        <v/>
      </c>
      <c r="Y801" s="497" t="str">
        <f t="shared" si="52"/>
        <v/>
      </c>
      <c r="Z801" s="497" t="str">
        <f t="shared" si="52"/>
        <v/>
      </c>
    </row>
    <row r="802" spans="1:26" s="82" customFormat="1" ht="32" x14ac:dyDescent="0.4">
      <c r="A802" s="493">
        <v>52024</v>
      </c>
      <c r="B802" s="105" t="s">
        <v>433</v>
      </c>
      <c r="C802" s="493" t="s">
        <v>330</v>
      </c>
      <c r="D802" s="105" t="s">
        <v>985</v>
      </c>
      <c r="E802" s="105" t="s">
        <v>985</v>
      </c>
      <c r="F802" s="493">
        <v>16001</v>
      </c>
      <c r="G802" s="105" t="s">
        <v>38</v>
      </c>
      <c r="H802" s="105" t="s">
        <v>342</v>
      </c>
      <c r="I802" s="105" t="s">
        <v>334</v>
      </c>
      <c r="J802" s="493">
        <v>622</v>
      </c>
      <c r="K802" s="493">
        <v>5</v>
      </c>
      <c r="L802" s="105" t="s">
        <v>771</v>
      </c>
      <c r="M802" s="105" t="s">
        <v>360</v>
      </c>
      <c r="N802" s="105" t="s">
        <v>238</v>
      </c>
      <c r="O802" s="105" t="s">
        <v>238</v>
      </c>
      <c r="P802" s="105" t="s">
        <v>350</v>
      </c>
      <c r="Q802" s="494">
        <v>8942</v>
      </c>
      <c r="R802" s="494">
        <v>934</v>
      </c>
      <c r="S802" s="494">
        <v>56956</v>
      </c>
      <c r="T802" s="494">
        <v>5953</v>
      </c>
      <c r="U802" s="494">
        <v>1103.17</v>
      </c>
      <c r="V802" s="493">
        <v>2024</v>
      </c>
      <c r="W802" s="495"/>
      <c r="X802" s="496" t="str">
        <f t="shared" si="51"/>
        <v/>
      </c>
      <c r="Y802" s="497" t="str">
        <f t="shared" si="52"/>
        <v/>
      </c>
      <c r="Z802" s="497" t="str">
        <f t="shared" si="52"/>
        <v/>
      </c>
    </row>
    <row r="803" spans="1:26" s="82" customFormat="1" ht="48" x14ac:dyDescent="0.4">
      <c r="A803" s="493">
        <v>52026</v>
      </c>
      <c r="B803" s="105" t="s">
        <v>329</v>
      </c>
      <c r="C803" s="493" t="s">
        <v>330</v>
      </c>
      <c r="D803" s="105" t="s">
        <v>986</v>
      </c>
      <c r="E803" s="105" t="s">
        <v>987</v>
      </c>
      <c r="F803" s="493">
        <v>56516</v>
      </c>
      <c r="G803" s="105" t="s">
        <v>33</v>
      </c>
      <c r="H803" s="105" t="s">
        <v>342</v>
      </c>
      <c r="I803" s="105" t="s">
        <v>334</v>
      </c>
      <c r="J803" s="493">
        <v>22</v>
      </c>
      <c r="K803" s="493">
        <v>2</v>
      </c>
      <c r="L803" s="105" t="s">
        <v>343</v>
      </c>
      <c r="M803" s="105" t="s">
        <v>380</v>
      </c>
      <c r="N803" s="105" t="s">
        <v>226</v>
      </c>
      <c r="O803" s="105" t="s">
        <v>226</v>
      </c>
      <c r="P803" s="105" t="s">
        <v>350</v>
      </c>
      <c r="Q803" s="494">
        <v>0</v>
      </c>
      <c r="R803" s="494">
        <v>0</v>
      </c>
      <c r="S803" s="494">
        <v>0</v>
      </c>
      <c r="T803" s="494">
        <v>0</v>
      </c>
      <c r="U803" s="494">
        <v>0</v>
      </c>
      <c r="V803" s="493">
        <v>2024</v>
      </c>
      <c r="W803" s="495" t="s">
        <v>355</v>
      </c>
      <c r="X803" s="496" t="str">
        <f t="shared" si="51"/>
        <v/>
      </c>
      <c r="Y803" s="497" t="str">
        <f t="shared" si="52"/>
        <v/>
      </c>
      <c r="Z803" s="497" t="str">
        <f t="shared" si="52"/>
        <v/>
      </c>
    </row>
    <row r="804" spans="1:26" s="82" customFormat="1" ht="48" x14ac:dyDescent="0.4">
      <c r="A804" s="493">
        <v>52026</v>
      </c>
      <c r="B804" s="105" t="s">
        <v>329</v>
      </c>
      <c r="C804" s="493" t="s">
        <v>330</v>
      </c>
      <c r="D804" s="105" t="s">
        <v>986</v>
      </c>
      <c r="E804" s="105" t="s">
        <v>987</v>
      </c>
      <c r="F804" s="493">
        <v>56516</v>
      </c>
      <c r="G804" s="105" t="s">
        <v>33</v>
      </c>
      <c r="H804" s="105" t="s">
        <v>342</v>
      </c>
      <c r="I804" s="105" t="s">
        <v>334</v>
      </c>
      <c r="J804" s="493">
        <v>22</v>
      </c>
      <c r="K804" s="493">
        <v>2</v>
      </c>
      <c r="L804" s="105" t="s">
        <v>343</v>
      </c>
      <c r="M804" s="105" t="s">
        <v>380</v>
      </c>
      <c r="N804" s="105" t="s">
        <v>228</v>
      </c>
      <c r="O804" s="105" t="s">
        <v>228</v>
      </c>
      <c r="P804" s="105" t="s">
        <v>356</v>
      </c>
      <c r="Q804" s="494">
        <v>2653</v>
      </c>
      <c r="R804" s="494">
        <v>2653</v>
      </c>
      <c r="S804" s="494">
        <v>2728</v>
      </c>
      <c r="T804" s="494">
        <v>2728</v>
      </c>
      <c r="U804" s="494">
        <v>0</v>
      </c>
      <c r="V804" s="493">
        <v>2024</v>
      </c>
      <c r="W804" s="495" t="s">
        <v>355</v>
      </c>
      <c r="X804" s="496" t="str">
        <f t="shared" si="51"/>
        <v/>
      </c>
      <c r="Y804" s="497" t="str">
        <f t="shared" si="52"/>
        <v/>
      </c>
      <c r="Z804" s="497" t="str">
        <f t="shared" si="52"/>
        <v/>
      </c>
    </row>
    <row r="805" spans="1:26" s="82" customFormat="1" ht="48" x14ac:dyDescent="0.4">
      <c r="A805" s="493">
        <v>52026</v>
      </c>
      <c r="B805" s="105" t="s">
        <v>329</v>
      </c>
      <c r="C805" s="493" t="s">
        <v>330</v>
      </c>
      <c r="D805" s="105" t="s">
        <v>986</v>
      </c>
      <c r="E805" s="105" t="s">
        <v>987</v>
      </c>
      <c r="F805" s="493">
        <v>56516</v>
      </c>
      <c r="G805" s="105" t="s">
        <v>33</v>
      </c>
      <c r="H805" s="105" t="s">
        <v>342</v>
      </c>
      <c r="I805" s="105" t="s">
        <v>334</v>
      </c>
      <c r="J805" s="493">
        <v>22</v>
      </c>
      <c r="K805" s="493">
        <v>2</v>
      </c>
      <c r="L805" s="105" t="s">
        <v>343</v>
      </c>
      <c r="M805" s="105" t="s">
        <v>37</v>
      </c>
      <c r="N805" s="105" t="s">
        <v>226</v>
      </c>
      <c r="O805" s="105" t="s">
        <v>226</v>
      </c>
      <c r="P805" s="105" t="s">
        <v>350</v>
      </c>
      <c r="Q805" s="494">
        <v>209</v>
      </c>
      <c r="R805" s="494">
        <v>209</v>
      </c>
      <c r="S805" s="494">
        <v>1212</v>
      </c>
      <c r="T805" s="494">
        <v>1212</v>
      </c>
      <c r="U805" s="494">
        <v>154.43</v>
      </c>
      <c r="V805" s="493">
        <v>2024</v>
      </c>
      <c r="W805" s="495" t="s">
        <v>355</v>
      </c>
      <c r="X805" s="496">
        <f t="shared" si="51"/>
        <v>7.8482160202033278</v>
      </c>
      <c r="Y805" s="497" t="str">
        <f t="shared" si="52"/>
        <v/>
      </c>
      <c r="Z805" s="497" t="str">
        <f t="shared" si="52"/>
        <v/>
      </c>
    </row>
    <row r="806" spans="1:26" s="82" customFormat="1" ht="48" x14ac:dyDescent="0.4">
      <c r="A806" s="493">
        <v>52026</v>
      </c>
      <c r="B806" s="105" t="s">
        <v>329</v>
      </c>
      <c r="C806" s="493" t="s">
        <v>330</v>
      </c>
      <c r="D806" s="105" t="s">
        <v>986</v>
      </c>
      <c r="E806" s="105" t="s">
        <v>987</v>
      </c>
      <c r="F806" s="493">
        <v>56516</v>
      </c>
      <c r="G806" s="105" t="s">
        <v>33</v>
      </c>
      <c r="H806" s="105" t="s">
        <v>342</v>
      </c>
      <c r="I806" s="105" t="s">
        <v>334</v>
      </c>
      <c r="J806" s="493">
        <v>22</v>
      </c>
      <c r="K806" s="493">
        <v>2</v>
      </c>
      <c r="L806" s="105" t="s">
        <v>343</v>
      </c>
      <c r="M806" s="105" t="s">
        <v>37</v>
      </c>
      <c r="N806" s="105" t="s">
        <v>228</v>
      </c>
      <c r="O806" s="105" t="s">
        <v>228</v>
      </c>
      <c r="P806" s="105" t="s">
        <v>356</v>
      </c>
      <c r="Q806" s="494">
        <v>427317</v>
      </c>
      <c r="R806" s="494">
        <v>427317</v>
      </c>
      <c r="S806" s="494">
        <v>439262</v>
      </c>
      <c r="T806" s="494">
        <v>439262</v>
      </c>
      <c r="U806" s="494">
        <v>51352.57</v>
      </c>
      <c r="V806" s="493">
        <v>2024</v>
      </c>
      <c r="W806" s="495" t="s">
        <v>355</v>
      </c>
      <c r="X806" s="496">
        <f t="shared" si="51"/>
        <v>8.5538464774012279</v>
      </c>
      <c r="Y806" s="497" t="str">
        <f t="shared" si="52"/>
        <v/>
      </c>
      <c r="Z806" s="497" t="str">
        <f t="shared" si="52"/>
        <v/>
      </c>
    </row>
    <row r="807" spans="1:26" s="82" customFormat="1" ht="48" x14ac:dyDescent="0.4">
      <c r="A807" s="493">
        <v>52026</v>
      </c>
      <c r="B807" s="105" t="s">
        <v>329</v>
      </c>
      <c r="C807" s="493" t="s">
        <v>330</v>
      </c>
      <c r="D807" s="105" t="s">
        <v>986</v>
      </c>
      <c r="E807" s="105" t="s">
        <v>987</v>
      </c>
      <c r="F807" s="493">
        <v>56516</v>
      </c>
      <c r="G807" s="105" t="s">
        <v>33</v>
      </c>
      <c r="H807" s="105" t="s">
        <v>342</v>
      </c>
      <c r="I807" s="105" t="s">
        <v>334</v>
      </c>
      <c r="J807" s="493">
        <v>22</v>
      </c>
      <c r="K807" s="493">
        <v>2</v>
      </c>
      <c r="L807" s="105" t="s">
        <v>343</v>
      </c>
      <c r="M807" s="105" t="s">
        <v>295</v>
      </c>
      <c r="N807" s="105" t="s">
        <v>226</v>
      </c>
      <c r="O807" s="105" t="s">
        <v>226</v>
      </c>
      <c r="P807" s="105" t="s">
        <v>350</v>
      </c>
      <c r="Q807" s="494">
        <v>48</v>
      </c>
      <c r="R807" s="494">
        <v>48</v>
      </c>
      <c r="S807" s="494">
        <v>279</v>
      </c>
      <c r="T807" s="494">
        <v>279</v>
      </c>
      <c r="U807" s="494">
        <v>22.914000000000001</v>
      </c>
      <c r="V807" s="493">
        <v>2024</v>
      </c>
      <c r="W807" s="495"/>
      <c r="X807" s="496">
        <f t="shared" si="51"/>
        <v>12.175962293794186</v>
      </c>
      <c r="Y807" s="497" t="str">
        <f t="shared" si="52"/>
        <v/>
      </c>
      <c r="Z807" s="497" t="str">
        <f t="shared" si="52"/>
        <v/>
      </c>
    </row>
    <row r="808" spans="1:26" s="82" customFormat="1" ht="48" x14ac:dyDescent="0.4">
      <c r="A808" s="493">
        <v>52026</v>
      </c>
      <c r="B808" s="105" t="s">
        <v>329</v>
      </c>
      <c r="C808" s="493" t="s">
        <v>330</v>
      </c>
      <c r="D808" s="105" t="s">
        <v>986</v>
      </c>
      <c r="E808" s="105" t="s">
        <v>987</v>
      </c>
      <c r="F808" s="493">
        <v>56516</v>
      </c>
      <c r="G808" s="105" t="s">
        <v>33</v>
      </c>
      <c r="H808" s="105" t="s">
        <v>342</v>
      </c>
      <c r="I808" s="105" t="s">
        <v>334</v>
      </c>
      <c r="J808" s="493">
        <v>22</v>
      </c>
      <c r="K808" s="493">
        <v>2</v>
      </c>
      <c r="L808" s="105" t="s">
        <v>343</v>
      </c>
      <c r="M808" s="105" t="s">
        <v>295</v>
      </c>
      <c r="N808" s="105" t="s">
        <v>228</v>
      </c>
      <c r="O808" s="105" t="s">
        <v>228</v>
      </c>
      <c r="P808" s="105" t="s">
        <v>356</v>
      </c>
      <c r="Q808" s="494">
        <v>135006</v>
      </c>
      <c r="R808" s="494">
        <v>135006</v>
      </c>
      <c r="S808" s="494">
        <v>138786</v>
      </c>
      <c r="T808" s="494">
        <v>138786</v>
      </c>
      <c r="U808" s="494">
        <v>11423.085999999999</v>
      </c>
      <c r="V808" s="493">
        <v>2024</v>
      </c>
      <c r="W808" s="495"/>
      <c r="X808" s="496">
        <f t="shared" si="51"/>
        <v>12.149606507383382</v>
      </c>
      <c r="Y808" s="497" t="str">
        <f t="shared" ref="Y808:Z827" si="53">IF(AND($M808=$Y$2,$N808=$Y$3,NOT($Q808=$R808),NOT($U808=0)),IF($K808=5,$S808/($U808+(8/5)*$U808),IF($K808=7,$S808/($U808+(29/25)*$U808),"")),"")</f>
        <v/>
      </c>
      <c r="Z808" s="497" t="str">
        <f t="shared" si="53"/>
        <v/>
      </c>
    </row>
    <row r="809" spans="1:26" s="82" customFormat="1" ht="32" x14ac:dyDescent="0.4">
      <c r="A809" s="493">
        <v>52061</v>
      </c>
      <c r="B809" s="105" t="s">
        <v>433</v>
      </c>
      <c r="C809" s="493" t="s">
        <v>330</v>
      </c>
      <c r="D809" s="105" t="s">
        <v>988</v>
      </c>
      <c r="E809" s="105" t="s">
        <v>989</v>
      </c>
      <c r="F809" s="493">
        <v>65384</v>
      </c>
      <c r="G809" s="105" t="s">
        <v>37</v>
      </c>
      <c r="H809" s="105" t="s">
        <v>342</v>
      </c>
      <c r="I809" s="105" t="s">
        <v>334</v>
      </c>
      <c r="J809" s="493">
        <v>622</v>
      </c>
      <c r="K809" s="493">
        <v>5</v>
      </c>
      <c r="L809" s="105" t="s">
        <v>771</v>
      </c>
      <c r="M809" s="105" t="s">
        <v>380</v>
      </c>
      <c r="N809" s="105" t="s">
        <v>226</v>
      </c>
      <c r="O809" s="105" t="s">
        <v>226</v>
      </c>
      <c r="P809" s="105" t="s">
        <v>350</v>
      </c>
      <c r="Q809" s="494">
        <v>0</v>
      </c>
      <c r="R809" s="494">
        <v>0</v>
      </c>
      <c r="S809" s="494">
        <v>0</v>
      </c>
      <c r="T809" s="494">
        <v>0</v>
      </c>
      <c r="U809" s="494">
        <v>0</v>
      </c>
      <c r="V809" s="493">
        <v>2024</v>
      </c>
      <c r="W809" s="495"/>
      <c r="X809" s="496" t="str">
        <f t="shared" si="51"/>
        <v/>
      </c>
      <c r="Y809" s="497" t="str">
        <f t="shared" si="53"/>
        <v/>
      </c>
      <c r="Z809" s="497" t="str">
        <f t="shared" si="53"/>
        <v/>
      </c>
    </row>
    <row r="810" spans="1:26" s="82" customFormat="1" ht="32" x14ac:dyDescent="0.4">
      <c r="A810" s="493">
        <v>52061</v>
      </c>
      <c r="B810" s="105" t="s">
        <v>433</v>
      </c>
      <c r="C810" s="493" t="s">
        <v>330</v>
      </c>
      <c r="D810" s="105" t="s">
        <v>988</v>
      </c>
      <c r="E810" s="105" t="s">
        <v>989</v>
      </c>
      <c r="F810" s="493">
        <v>65384</v>
      </c>
      <c r="G810" s="105" t="s">
        <v>37</v>
      </c>
      <c r="H810" s="105" t="s">
        <v>342</v>
      </c>
      <c r="I810" s="105" t="s">
        <v>334</v>
      </c>
      <c r="J810" s="493">
        <v>622</v>
      </c>
      <c r="K810" s="493">
        <v>5</v>
      </c>
      <c r="L810" s="105" t="s">
        <v>771</v>
      </c>
      <c r="M810" s="105" t="s">
        <v>380</v>
      </c>
      <c r="N810" s="105" t="s">
        <v>228</v>
      </c>
      <c r="O810" s="105" t="s">
        <v>228</v>
      </c>
      <c r="P810" s="105" t="s">
        <v>356</v>
      </c>
      <c r="Q810" s="494">
        <v>0</v>
      </c>
      <c r="R810" s="494">
        <v>0</v>
      </c>
      <c r="S810" s="494">
        <v>0</v>
      </c>
      <c r="T810" s="494">
        <v>0</v>
      </c>
      <c r="U810" s="494">
        <v>0</v>
      </c>
      <c r="V810" s="493">
        <v>2024</v>
      </c>
      <c r="W810" s="495"/>
      <c r="X810" s="496" t="str">
        <f t="shared" si="51"/>
        <v/>
      </c>
      <c r="Y810" s="497" t="str">
        <f t="shared" si="53"/>
        <v/>
      </c>
      <c r="Z810" s="497" t="str">
        <f t="shared" si="53"/>
        <v/>
      </c>
    </row>
    <row r="811" spans="1:26" s="82" customFormat="1" ht="32" x14ac:dyDescent="0.4">
      <c r="A811" s="493">
        <v>52061</v>
      </c>
      <c r="B811" s="105" t="s">
        <v>433</v>
      </c>
      <c r="C811" s="493" t="s">
        <v>330</v>
      </c>
      <c r="D811" s="105" t="s">
        <v>988</v>
      </c>
      <c r="E811" s="105" t="s">
        <v>989</v>
      </c>
      <c r="F811" s="493">
        <v>65384</v>
      </c>
      <c r="G811" s="105" t="s">
        <v>37</v>
      </c>
      <c r="H811" s="105" t="s">
        <v>342</v>
      </c>
      <c r="I811" s="105" t="s">
        <v>334</v>
      </c>
      <c r="J811" s="493">
        <v>622</v>
      </c>
      <c r="K811" s="493">
        <v>5</v>
      </c>
      <c r="L811" s="105" t="s">
        <v>771</v>
      </c>
      <c r="M811" s="105" t="s">
        <v>37</v>
      </c>
      <c r="N811" s="105" t="s">
        <v>226</v>
      </c>
      <c r="O811" s="105" t="s">
        <v>226</v>
      </c>
      <c r="P811" s="105" t="s">
        <v>350</v>
      </c>
      <c r="Q811" s="494">
        <v>0</v>
      </c>
      <c r="R811" s="494">
        <v>0</v>
      </c>
      <c r="S811" s="494">
        <v>0</v>
      </c>
      <c r="T811" s="494">
        <v>0</v>
      </c>
      <c r="U811" s="494">
        <v>0</v>
      </c>
      <c r="V811" s="493">
        <v>2024</v>
      </c>
      <c r="W811" s="495"/>
      <c r="X811" s="496" t="str">
        <f t="shared" si="51"/>
        <v/>
      </c>
      <c r="Y811" s="497" t="str">
        <f t="shared" si="53"/>
        <v/>
      </c>
      <c r="Z811" s="497" t="str">
        <f t="shared" si="53"/>
        <v/>
      </c>
    </row>
    <row r="812" spans="1:26" s="82" customFormat="1" ht="32" x14ac:dyDescent="0.4">
      <c r="A812" s="493">
        <v>52061</v>
      </c>
      <c r="B812" s="105" t="s">
        <v>433</v>
      </c>
      <c r="C812" s="493" t="s">
        <v>330</v>
      </c>
      <c r="D812" s="105" t="s">
        <v>988</v>
      </c>
      <c r="E812" s="105" t="s">
        <v>989</v>
      </c>
      <c r="F812" s="493">
        <v>65384</v>
      </c>
      <c r="G812" s="105" t="s">
        <v>37</v>
      </c>
      <c r="H812" s="105" t="s">
        <v>342</v>
      </c>
      <c r="I812" s="105" t="s">
        <v>334</v>
      </c>
      <c r="J812" s="493">
        <v>622</v>
      </c>
      <c r="K812" s="493">
        <v>5</v>
      </c>
      <c r="L812" s="105" t="s">
        <v>771</v>
      </c>
      <c r="M812" s="105" t="s">
        <v>37</v>
      </c>
      <c r="N812" s="105" t="s">
        <v>228</v>
      </c>
      <c r="O812" s="105" t="s">
        <v>228</v>
      </c>
      <c r="P812" s="105" t="s">
        <v>356</v>
      </c>
      <c r="Q812" s="494">
        <v>762393</v>
      </c>
      <c r="R812" s="494">
        <v>183754</v>
      </c>
      <c r="S812" s="494">
        <v>782978</v>
      </c>
      <c r="T812" s="494">
        <v>188716</v>
      </c>
      <c r="U812" s="494">
        <v>31431</v>
      </c>
      <c r="V812" s="493">
        <v>2024</v>
      </c>
      <c r="W812" s="495"/>
      <c r="X812" s="496" t="str">
        <f t="shared" si="51"/>
        <v/>
      </c>
      <c r="Y812" s="497" t="str">
        <f t="shared" si="53"/>
        <v/>
      </c>
      <c r="Z812" s="497" t="str">
        <f t="shared" si="53"/>
        <v/>
      </c>
    </row>
    <row r="813" spans="1:26" s="82" customFormat="1" ht="32" x14ac:dyDescent="0.4">
      <c r="A813" s="493">
        <v>52061</v>
      </c>
      <c r="B813" s="105" t="s">
        <v>433</v>
      </c>
      <c r="C813" s="493" t="s">
        <v>330</v>
      </c>
      <c r="D813" s="105" t="s">
        <v>988</v>
      </c>
      <c r="E813" s="105" t="s">
        <v>989</v>
      </c>
      <c r="F813" s="493">
        <v>65384</v>
      </c>
      <c r="G813" s="105" t="s">
        <v>37</v>
      </c>
      <c r="H813" s="105" t="s">
        <v>342</v>
      </c>
      <c r="I813" s="105" t="s">
        <v>334</v>
      </c>
      <c r="J813" s="493">
        <v>622</v>
      </c>
      <c r="K813" s="493">
        <v>5</v>
      </c>
      <c r="L813" s="105" t="s">
        <v>771</v>
      </c>
      <c r="M813" s="105" t="s">
        <v>990</v>
      </c>
      <c r="N813" s="105" t="s">
        <v>228</v>
      </c>
      <c r="O813" s="105" t="s">
        <v>228</v>
      </c>
      <c r="P813" s="105" t="s">
        <v>356</v>
      </c>
      <c r="Q813" s="494">
        <v>76269</v>
      </c>
      <c r="R813" s="494">
        <v>41604</v>
      </c>
      <c r="S813" s="494">
        <v>78328</v>
      </c>
      <c r="T813" s="494">
        <v>42729</v>
      </c>
      <c r="U813" s="494">
        <v>8057</v>
      </c>
      <c r="V813" s="493">
        <v>2024</v>
      </c>
      <c r="W813" s="495"/>
      <c r="X813" s="496" t="str">
        <f t="shared" si="51"/>
        <v/>
      </c>
      <c r="Y813" s="497" t="str">
        <f t="shared" si="53"/>
        <v/>
      </c>
      <c r="Z813" s="497" t="str">
        <f t="shared" si="53"/>
        <v/>
      </c>
    </row>
    <row r="814" spans="1:26" s="82" customFormat="1" ht="48" x14ac:dyDescent="0.4">
      <c r="A814" s="493">
        <v>52091</v>
      </c>
      <c r="B814" s="105" t="s">
        <v>329</v>
      </c>
      <c r="C814" s="493" t="s">
        <v>330</v>
      </c>
      <c r="D814" s="105" t="s">
        <v>991</v>
      </c>
      <c r="E814" s="105" t="s">
        <v>992</v>
      </c>
      <c r="F814" s="493">
        <v>13484</v>
      </c>
      <c r="G814" s="105" t="s">
        <v>52</v>
      </c>
      <c r="H814" s="105" t="s">
        <v>333</v>
      </c>
      <c r="I814" s="105" t="s">
        <v>334</v>
      </c>
      <c r="J814" s="493">
        <v>622</v>
      </c>
      <c r="K814" s="493">
        <v>4</v>
      </c>
      <c r="L814" s="105" t="s">
        <v>766</v>
      </c>
      <c r="M814" s="105" t="s">
        <v>359</v>
      </c>
      <c r="N814" s="105" t="s">
        <v>226</v>
      </c>
      <c r="O814" s="105" t="s">
        <v>226</v>
      </c>
      <c r="P814" s="105" t="s">
        <v>350</v>
      </c>
      <c r="Q814" s="494">
        <v>59</v>
      </c>
      <c r="R814" s="494">
        <v>59</v>
      </c>
      <c r="S814" s="494">
        <v>342</v>
      </c>
      <c r="T814" s="494">
        <v>342</v>
      </c>
      <c r="U814" s="494">
        <v>25</v>
      </c>
      <c r="V814" s="493">
        <v>2024</v>
      </c>
      <c r="W814" s="495"/>
      <c r="X814" s="496" t="str">
        <f t="shared" si="51"/>
        <v/>
      </c>
      <c r="Y814" s="497" t="str">
        <f t="shared" si="53"/>
        <v/>
      </c>
      <c r="Z814" s="497" t="str">
        <f t="shared" si="53"/>
        <v/>
      </c>
    </row>
    <row r="815" spans="1:26" s="82" customFormat="1" ht="48" x14ac:dyDescent="0.4">
      <c r="A815" s="493">
        <v>52091</v>
      </c>
      <c r="B815" s="105" t="s">
        <v>329</v>
      </c>
      <c r="C815" s="493" t="s">
        <v>330</v>
      </c>
      <c r="D815" s="105" t="s">
        <v>991</v>
      </c>
      <c r="E815" s="105" t="s">
        <v>992</v>
      </c>
      <c r="F815" s="493">
        <v>13484</v>
      </c>
      <c r="G815" s="105" t="s">
        <v>52</v>
      </c>
      <c r="H815" s="105" t="s">
        <v>333</v>
      </c>
      <c r="I815" s="105" t="s">
        <v>334</v>
      </c>
      <c r="J815" s="493">
        <v>622</v>
      </c>
      <c r="K815" s="493">
        <v>4</v>
      </c>
      <c r="L815" s="105" t="s">
        <v>766</v>
      </c>
      <c r="M815" s="105" t="s">
        <v>359</v>
      </c>
      <c r="N815" s="105" t="s">
        <v>228</v>
      </c>
      <c r="O815" s="105" t="s">
        <v>228</v>
      </c>
      <c r="P815" s="105" t="s">
        <v>356</v>
      </c>
      <c r="Q815" s="494">
        <v>0</v>
      </c>
      <c r="R815" s="494">
        <v>0</v>
      </c>
      <c r="S815" s="494">
        <v>0</v>
      </c>
      <c r="T815" s="494">
        <v>0</v>
      </c>
      <c r="U815" s="494">
        <v>0</v>
      </c>
      <c r="V815" s="493">
        <v>2024</v>
      </c>
      <c r="W815" s="495"/>
      <c r="X815" s="496" t="str">
        <f t="shared" si="51"/>
        <v/>
      </c>
      <c r="Y815" s="497" t="str">
        <f t="shared" si="53"/>
        <v/>
      </c>
      <c r="Z815" s="497" t="str">
        <f t="shared" si="53"/>
        <v/>
      </c>
    </row>
    <row r="816" spans="1:26" s="82" customFormat="1" ht="32" x14ac:dyDescent="0.4">
      <c r="A816" s="493">
        <v>52168</v>
      </c>
      <c r="B816" s="105" t="s">
        <v>433</v>
      </c>
      <c r="C816" s="493" t="s">
        <v>330</v>
      </c>
      <c r="D816" s="105" t="s">
        <v>993</v>
      </c>
      <c r="E816" s="105" t="s">
        <v>994</v>
      </c>
      <c r="F816" s="493">
        <v>24210</v>
      </c>
      <c r="G816" s="105" t="s">
        <v>52</v>
      </c>
      <c r="H816" s="105" t="s">
        <v>333</v>
      </c>
      <c r="I816" s="105" t="s">
        <v>334</v>
      </c>
      <c r="J816" s="493">
        <v>814</v>
      </c>
      <c r="K816" s="493">
        <v>5</v>
      </c>
      <c r="L816" s="105" t="s">
        <v>771</v>
      </c>
      <c r="M816" s="105" t="s">
        <v>380</v>
      </c>
      <c r="N816" s="105" t="s">
        <v>226</v>
      </c>
      <c r="O816" s="105" t="s">
        <v>226</v>
      </c>
      <c r="P816" s="105" t="s">
        <v>350</v>
      </c>
      <c r="Q816" s="494">
        <v>9733</v>
      </c>
      <c r="R816" s="494">
        <v>536</v>
      </c>
      <c r="S816" s="494">
        <v>56012</v>
      </c>
      <c r="T816" s="494">
        <v>3094</v>
      </c>
      <c r="U816" s="494">
        <v>562.779</v>
      </c>
      <c r="V816" s="493">
        <v>2024</v>
      </c>
      <c r="W816" s="495"/>
      <c r="X816" s="496" t="str">
        <f t="shared" si="51"/>
        <v/>
      </c>
      <c r="Y816" s="497" t="str">
        <f t="shared" si="53"/>
        <v/>
      </c>
      <c r="Z816" s="497" t="str">
        <f t="shared" si="53"/>
        <v/>
      </c>
    </row>
    <row r="817" spans="1:26" s="82" customFormat="1" ht="32" x14ac:dyDescent="0.4">
      <c r="A817" s="493">
        <v>52168</v>
      </c>
      <c r="B817" s="105" t="s">
        <v>433</v>
      </c>
      <c r="C817" s="493" t="s">
        <v>330</v>
      </c>
      <c r="D817" s="105" t="s">
        <v>993</v>
      </c>
      <c r="E817" s="105" t="s">
        <v>994</v>
      </c>
      <c r="F817" s="493">
        <v>24210</v>
      </c>
      <c r="G817" s="105" t="s">
        <v>52</v>
      </c>
      <c r="H817" s="105" t="s">
        <v>333</v>
      </c>
      <c r="I817" s="105" t="s">
        <v>334</v>
      </c>
      <c r="J817" s="493">
        <v>814</v>
      </c>
      <c r="K817" s="493">
        <v>5</v>
      </c>
      <c r="L817" s="105" t="s">
        <v>771</v>
      </c>
      <c r="M817" s="105" t="s">
        <v>380</v>
      </c>
      <c r="N817" s="105" t="s">
        <v>228</v>
      </c>
      <c r="O817" s="105" t="s">
        <v>228</v>
      </c>
      <c r="P817" s="105" t="s">
        <v>356</v>
      </c>
      <c r="Q817" s="494">
        <v>1999683</v>
      </c>
      <c r="R817" s="494">
        <v>242306</v>
      </c>
      <c r="S817" s="494">
        <v>2065673</v>
      </c>
      <c r="T817" s="494">
        <v>250301</v>
      </c>
      <c r="U817" s="494">
        <v>45541.321000000004</v>
      </c>
      <c r="V817" s="493">
        <v>2024</v>
      </c>
      <c r="W817" s="495"/>
      <c r="X817" s="496" t="str">
        <f t="shared" si="51"/>
        <v/>
      </c>
      <c r="Y817" s="497" t="str">
        <f t="shared" si="53"/>
        <v/>
      </c>
      <c r="Z817" s="497" t="str">
        <f t="shared" si="53"/>
        <v/>
      </c>
    </row>
    <row r="818" spans="1:26" s="82" customFormat="1" ht="32" x14ac:dyDescent="0.4">
      <c r="A818" s="493">
        <v>52168</v>
      </c>
      <c r="B818" s="105" t="s">
        <v>433</v>
      </c>
      <c r="C818" s="493" t="s">
        <v>330</v>
      </c>
      <c r="D818" s="105" t="s">
        <v>993</v>
      </c>
      <c r="E818" s="105" t="s">
        <v>994</v>
      </c>
      <c r="F818" s="493">
        <v>24210</v>
      </c>
      <c r="G818" s="105" t="s">
        <v>52</v>
      </c>
      <c r="H818" s="105" t="s">
        <v>333</v>
      </c>
      <c r="I818" s="105" t="s">
        <v>334</v>
      </c>
      <c r="J818" s="493">
        <v>814</v>
      </c>
      <c r="K818" s="493">
        <v>5</v>
      </c>
      <c r="L818" s="105" t="s">
        <v>771</v>
      </c>
      <c r="M818" s="105" t="s">
        <v>37</v>
      </c>
      <c r="N818" s="105" t="s">
        <v>226</v>
      </c>
      <c r="O818" s="105" t="s">
        <v>226</v>
      </c>
      <c r="P818" s="105" t="s">
        <v>350</v>
      </c>
      <c r="Q818" s="494">
        <v>1222</v>
      </c>
      <c r="R818" s="494">
        <v>508</v>
      </c>
      <c r="S818" s="494">
        <v>7033</v>
      </c>
      <c r="T818" s="494">
        <v>2921</v>
      </c>
      <c r="U818" s="494">
        <v>531.52300000000002</v>
      </c>
      <c r="V818" s="493">
        <v>2024</v>
      </c>
      <c r="W818" s="495"/>
      <c r="X818" s="496" t="str">
        <f t="shared" si="51"/>
        <v/>
      </c>
      <c r="Y818" s="497" t="str">
        <f t="shared" si="53"/>
        <v/>
      </c>
      <c r="Z818" s="497" t="str">
        <f t="shared" si="53"/>
        <v/>
      </c>
    </row>
    <row r="819" spans="1:26" s="82" customFormat="1" ht="32" x14ac:dyDescent="0.4">
      <c r="A819" s="493">
        <v>52168</v>
      </c>
      <c r="B819" s="105" t="s">
        <v>433</v>
      </c>
      <c r="C819" s="493" t="s">
        <v>330</v>
      </c>
      <c r="D819" s="105" t="s">
        <v>993</v>
      </c>
      <c r="E819" s="105" t="s">
        <v>994</v>
      </c>
      <c r="F819" s="493">
        <v>24210</v>
      </c>
      <c r="G819" s="105" t="s">
        <v>52</v>
      </c>
      <c r="H819" s="105" t="s">
        <v>333</v>
      </c>
      <c r="I819" s="105" t="s">
        <v>334</v>
      </c>
      <c r="J819" s="493">
        <v>814</v>
      </c>
      <c r="K819" s="493">
        <v>5</v>
      </c>
      <c r="L819" s="105" t="s">
        <v>771</v>
      </c>
      <c r="M819" s="105" t="s">
        <v>37</v>
      </c>
      <c r="N819" s="105" t="s">
        <v>228</v>
      </c>
      <c r="O819" s="105" t="s">
        <v>228</v>
      </c>
      <c r="P819" s="105" t="s">
        <v>356</v>
      </c>
      <c r="Q819" s="494">
        <v>1009576</v>
      </c>
      <c r="R819" s="494">
        <v>443805</v>
      </c>
      <c r="S819" s="494">
        <v>1042893</v>
      </c>
      <c r="T819" s="494">
        <v>458451</v>
      </c>
      <c r="U819" s="494">
        <v>83413.247000000003</v>
      </c>
      <c r="V819" s="493">
        <v>2024</v>
      </c>
      <c r="W819" s="495"/>
      <c r="X819" s="496" t="str">
        <f t="shared" si="51"/>
        <v/>
      </c>
      <c r="Y819" s="497" t="str">
        <f t="shared" si="53"/>
        <v/>
      </c>
      <c r="Z819" s="497" t="str">
        <f t="shared" si="53"/>
        <v/>
      </c>
    </row>
    <row r="820" spans="1:26" s="82" customFormat="1" ht="32" x14ac:dyDescent="0.4">
      <c r="A820" s="493">
        <v>52168</v>
      </c>
      <c r="B820" s="105" t="s">
        <v>433</v>
      </c>
      <c r="C820" s="493" t="s">
        <v>330</v>
      </c>
      <c r="D820" s="105" t="s">
        <v>993</v>
      </c>
      <c r="E820" s="105" t="s">
        <v>994</v>
      </c>
      <c r="F820" s="493">
        <v>24210</v>
      </c>
      <c r="G820" s="105" t="s">
        <v>52</v>
      </c>
      <c r="H820" s="105" t="s">
        <v>333</v>
      </c>
      <c r="I820" s="105" t="s">
        <v>334</v>
      </c>
      <c r="J820" s="493">
        <v>814</v>
      </c>
      <c r="K820" s="493">
        <v>5</v>
      </c>
      <c r="L820" s="105" t="s">
        <v>771</v>
      </c>
      <c r="M820" s="105" t="s">
        <v>37</v>
      </c>
      <c r="N820" s="105" t="s">
        <v>238</v>
      </c>
      <c r="O820" s="105" t="s">
        <v>238</v>
      </c>
      <c r="P820" s="105" t="s">
        <v>350</v>
      </c>
      <c r="Q820" s="494">
        <v>0</v>
      </c>
      <c r="R820" s="494">
        <v>0</v>
      </c>
      <c r="S820" s="494">
        <v>0</v>
      </c>
      <c r="T820" s="494">
        <v>0</v>
      </c>
      <c r="U820" s="494">
        <v>0</v>
      </c>
      <c r="V820" s="493">
        <v>2024</v>
      </c>
      <c r="W820" s="495"/>
      <c r="X820" s="496" t="str">
        <f t="shared" si="51"/>
        <v/>
      </c>
      <c r="Y820" s="497" t="str">
        <f t="shared" si="53"/>
        <v/>
      </c>
      <c r="Z820" s="497" t="str">
        <f t="shared" si="53"/>
        <v/>
      </c>
    </row>
    <row r="821" spans="1:26" s="82" customFormat="1" ht="32" x14ac:dyDescent="0.4">
      <c r="A821" s="493">
        <v>52168</v>
      </c>
      <c r="B821" s="105" t="s">
        <v>433</v>
      </c>
      <c r="C821" s="493" t="s">
        <v>330</v>
      </c>
      <c r="D821" s="105" t="s">
        <v>993</v>
      </c>
      <c r="E821" s="105" t="s">
        <v>994</v>
      </c>
      <c r="F821" s="493">
        <v>24210</v>
      </c>
      <c r="G821" s="105" t="s">
        <v>52</v>
      </c>
      <c r="H821" s="105" t="s">
        <v>333</v>
      </c>
      <c r="I821" s="105" t="s">
        <v>334</v>
      </c>
      <c r="J821" s="493">
        <v>814</v>
      </c>
      <c r="K821" s="493">
        <v>5</v>
      </c>
      <c r="L821" s="105" t="s">
        <v>771</v>
      </c>
      <c r="M821" s="105" t="s">
        <v>359</v>
      </c>
      <c r="N821" s="105" t="s">
        <v>226</v>
      </c>
      <c r="O821" s="105" t="s">
        <v>226</v>
      </c>
      <c r="P821" s="105" t="s">
        <v>350</v>
      </c>
      <c r="Q821" s="494">
        <v>91</v>
      </c>
      <c r="R821" s="494">
        <v>32</v>
      </c>
      <c r="S821" s="494">
        <v>525</v>
      </c>
      <c r="T821" s="494">
        <v>172</v>
      </c>
      <c r="U821" s="494">
        <v>31.36</v>
      </c>
      <c r="V821" s="493">
        <v>2024</v>
      </c>
      <c r="W821" s="495"/>
      <c r="X821" s="496" t="str">
        <f t="shared" si="51"/>
        <v/>
      </c>
      <c r="Y821" s="497" t="str">
        <f t="shared" si="53"/>
        <v/>
      </c>
      <c r="Z821" s="497" t="str">
        <f t="shared" si="53"/>
        <v/>
      </c>
    </row>
    <row r="822" spans="1:26" s="82" customFormat="1" ht="32" x14ac:dyDescent="0.4">
      <c r="A822" s="493">
        <v>52171</v>
      </c>
      <c r="B822" s="105" t="s">
        <v>329</v>
      </c>
      <c r="C822" s="493" t="s">
        <v>330</v>
      </c>
      <c r="D822" s="105" t="s">
        <v>995</v>
      </c>
      <c r="E822" s="105" t="s">
        <v>836</v>
      </c>
      <c r="F822" s="493">
        <v>56838</v>
      </c>
      <c r="G822" s="105" t="s">
        <v>34</v>
      </c>
      <c r="H822" s="105" t="s">
        <v>342</v>
      </c>
      <c r="I822" s="105" t="s">
        <v>334</v>
      </c>
      <c r="J822" s="493">
        <v>22</v>
      </c>
      <c r="K822" s="493">
        <v>2</v>
      </c>
      <c r="L822" s="105" t="s">
        <v>343</v>
      </c>
      <c r="M822" s="105" t="s">
        <v>336</v>
      </c>
      <c r="N822" s="105" t="s">
        <v>337</v>
      </c>
      <c r="O822" s="105" t="s">
        <v>338</v>
      </c>
      <c r="P822" s="105" t="s">
        <v>339</v>
      </c>
      <c r="Q822" s="494">
        <v>0</v>
      </c>
      <c r="R822" s="494">
        <v>0</v>
      </c>
      <c r="S822" s="494">
        <v>15875</v>
      </c>
      <c r="T822" s="494">
        <v>15875</v>
      </c>
      <c r="U822" s="494">
        <v>4653</v>
      </c>
      <c r="V822" s="493">
        <v>2024</v>
      </c>
      <c r="W822" s="495"/>
      <c r="X822" s="496">
        <f t="shared" si="51"/>
        <v>3.4117773479475608</v>
      </c>
      <c r="Y822" s="497" t="str">
        <f t="shared" si="53"/>
        <v/>
      </c>
      <c r="Z822" s="497" t="str">
        <f t="shared" si="53"/>
        <v/>
      </c>
    </row>
    <row r="823" spans="1:26" s="82" customFormat="1" ht="32" x14ac:dyDescent="0.4">
      <c r="A823" s="493">
        <v>54034</v>
      </c>
      <c r="B823" s="105" t="s">
        <v>329</v>
      </c>
      <c r="C823" s="493" t="s">
        <v>330</v>
      </c>
      <c r="D823" s="105" t="s">
        <v>996</v>
      </c>
      <c r="E823" s="105" t="s">
        <v>997</v>
      </c>
      <c r="F823" s="493">
        <v>6838</v>
      </c>
      <c r="G823" s="105" t="s">
        <v>52</v>
      </c>
      <c r="H823" s="105" t="s">
        <v>333</v>
      </c>
      <c r="I823" s="105" t="s">
        <v>334</v>
      </c>
      <c r="J823" s="493">
        <v>22</v>
      </c>
      <c r="K823" s="493">
        <v>2</v>
      </c>
      <c r="L823" s="105" t="s">
        <v>343</v>
      </c>
      <c r="M823" s="105" t="s">
        <v>380</v>
      </c>
      <c r="N823" s="105" t="s">
        <v>226</v>
      </c>
      <c r="O823" s="105" t="s">
        <v>226</v>
      </c>
      <c r="P823" s="105" t="s">
        <v>350</v>
      </c>
      <c r="Q823" s="494">
        <v>0</v>
      </c>
      <c r="R823" s="494">
        <v>0</v>
      </c>
      <c r="S823" s="494">
        <v>0</v>
      </c>
      <c r="T823" s="494">
        <v>0</v>
      </c>
      <c r="U823" s="494">
        <v>0</v>
      </c>
      <c r="V823" s="493">
        <v>2024</v>
      </c>
      <c r="W823" s="495" t="s">
        <v>355</v>
      </c>
      <c r="X823" s="496" t="str">
        <f t="shared" si="51"/>
        <v/>
      </c>
      <c r="Y823" s="497" t="str">
        <f t="shared" si="53"/>
        <v/>
      </c>
      <c r="Z823" s="497" t="str">
        <f t="shared" si="53"/>
        <v/>
      </c>
    </row>
    <row r="824" spans="1:26" s="82" customFormat="1" ht="32" x14ac:dyDescent="0.4">
      <c r="A824" s="493">
        <v>54034</v>
      </c>
      <c r="B824" s="105" t="s">
        <v>329</v>
      </c>
      <c r="C824" s="493" t="s">
        <v>330</v>
      </c>
      <c r="D824" s="105" t="s">
        <v>996</v>
      </c>
      <c r="E824" s="105" t="s">
        <v>997</v>
      </c>
      <c r="F824" s="493">
        <v>6838</v>
      </c>
      <c r="G824" s="105" t="s">
        <v>52</v>
      </c>
      <c r="H824" s="105" t="s">
        <v>333</v>
      </c>
      <c r="I824" s="105" t="s">
        <v>334</v>
      </c>
      <c r="J824" s="493">
        <v>22</v>
      </c>
      <c r="K824" s="493">
        <v>2</v>
      </c>
      <c r="L824" s="105" t="s">
        <v>343</v>
      </c>
      <c r="M824" s="105" t="s">
        <v>380</v>
      </c>
      <c r="N824" s="105" t="s">
        <v>228</v>
      </c>
      <c r="O824" s="105" t="s">
        <v>228</v>
      </c>
      <c r="P824" s="105" t="s">
        <v>356</v>
      </c>
      <c r="Q824" s="494">
        <v>8175</v>
      </c>
      <c r="R824" s="494">
        <v>8175</v>
      </c>
      <c r="S824" s="494">
        <v>8370</v>
      </c>
      <c r="T824" s="494">
        <v>8370</v>
      </c>
      <c r="U824" s="494">
        <v>5415</v>
      </c>
      <c r="V824" s="493">
        <v>2024</v>
      </c>
      <c r="W824" s="495" t="s">
        <v>355</v>
      </c>
      <c r="X824" s="496">
        <f t="shared" si="51"/>
        <v>1.5457063711911356</v>
      </c>
      <c r="Y824" s="497" t="str">
        <f t="shared" si="53"/>
        <v/>
      </c>
      <c r="Z824" s="497" t="str">
        <f t="shared" si="53"/>
        <v/>
      </c>
    </row>
    <row r="825" spans="1:26" s="82" customFormat="1" ht="32" x14ac:dyDescent="0.4">
      <c r="A825" s="493">
        <v>54034</v>
      </c>
      <c r="B825" s="105" t="s">
        <v>329</v>
      </c>
      <c r="C825" s="493" t="s">
        <v>330</v>
      </c>
      <c r="D825" s="105" t="s">
        <v>996</v>
      </c>
      <c r="E825" s="105" t="s">
        <v>997</v>
      </c>
      <c r="F825" s="493">
        <v>6838</v>
      </c>
      <c r="G825" s="105" t="s">
        <v>52</v>
      </c>
      <c r="H825" s="105" t="s">
        <v>333</v>
      </c>
      <c r="I825" s="105" t="s">
        <v>334</v>
      </c>
      <c r="J825" s="493">
        <v>22</v>
      </c>
      <c r="K825" s="493">
        <v>2</v>
      </c>
      <c r="L825" s="105" t="s">
        <v>343</v>
      </c>
      <c r="M825" s="105" t="s">
        <v>37</v>
      </c>
      <c r="N825" s="105" t="s">
        <v>226</v>
      </c>
      <c r="O825" s="105" t="s">
        <v>226</v>
      </c>
      <c r="P825" s="105" t="s">
        <v>350</v>
      </c>
      <c r="Q825" s="494">
        <v>0</v>
      </c>
      <c r="R825" s="494">
        <v>0</v>
      </c>
      <c r="S825" s="494">
        <v>0</v>
      </c>
      <c r="T825" s="494">
        <v>0</v>
      </c>
      <c r="U825" s="494">
        <v>0</v>
      </c>
      <c r="V825" s="493">
        <v>2024</v>
      </c>
      <c r="W825" s="495" t="s">
        <v>355</v>
      </c>
      <c r="X825" s="496" t="str">
        <f t="shared" si="51"/>
        <v/>
      </c>
      <c r="Y825" s="497" t="str">
        <f t="shared" si="53"/>
        <v/>
      </c>
      <c r="Z825" s="497" t="str">
        <f t="shared" si="53"/>
        <v/>
      </c>
    </row>
    <row r="826" spans="1:26" s="82" customFormat="1" ht="32" x14ac:dyDescent="0.4">
      <c r="A826" s="493">
        <v>54034</v>
      </c>
      <c r="B826" s="105" t="s">
        <v>329</v>
      </c>
      <c r="C826" s="493" t="s">
        <v>330</v>
      </c>
      <c r="D826" s="105" t="s">
        <v>996</v>
      </c>
      <c r="E826" s="105" t="s">
        <v>997</v>
      </c>
      <c r="F826" s="493">
        <v>6838</v>
      </c>
      <c r="G826" s="105" t="s">
        <v>52</v>
      </c>
      <c r="H826" s="105" t="s">
        <v>333</v>
      </c>
      <c r="I826" s="105" t="s">
        <v>334</v>
      </c>
      <c r="J826" s="493">
        <v>22</v>
      </c>
      <c r="K826" s="493">
        <v>2</v>
      </c>
      <c r="L826" s="105" t="s">
        <v>343</v>
      </c>
      <c r="M826" s="105" t="s">
        <v>37</v>
      </c>
      <c r="N826" s="105" t="s">
        <v>228</v>
      </c>
      <c r="O826" s="105" t="s">
        <v>228</v>
      </c>
      <c r="P826" s="105" t="s">
        <v>356</v>
      </c>
      <c r="Q826" s="494">
        <v>153891</v>
      </c>
      <c r="R826" s="494">
        <v>153891</v>
      </c>
      <c r="S826" s="494">
        <v>157505</v>
      </c>
      <c r="T826" s="494">
        <v>157505</v>
      </c>
      <c r="U826" s="494">
        <v>13429</v>
      </c>
      <c r="V826" s="493">
        <v>2024</v>
      </c>
      <c r="W826" s="495" t="s">
        <v>355</v>
      </c>
      <c r="X826" s="496">
        <f t="shared" si="51"/>
        <v>11.728721423784346</v>
      </c>
      <c r="Y826" s="497" t="str">
        <f t="shared" si="53"/>
        <v/>
      </c>
      <c r="Z826" s="497" t="str">
        <f t="shared" si="53"/>
        <v/>
      </c>
    </row>
    <row r="827" spans="1:26" s="82" customFormat="1" ht="32" x14ac:dyDescent="0.4">
      <c r="A827" s="493">
        <v>54041</v>
      </c>
      <c r="B827" s="105" t="s">
        <v>433</v>
      </c>
      <c r="C827" s="493" t="s">
        <v>330</v>
      </c>
      <c r="D827" s="105" t="s">
        <v>998</v>
      </c>
      <c r="E827" s="105" t="s">
        <v>998</v>
      </c>
      <c r="F827" s="493">
        <v>11127</v>
      </c>
      <c r="G827" s="105" t="s">
        <v>52</v>
      </c>
      <c r="H827" s="105" t="s">
        <v>333</v>
      </c>
      <c r="I827" s="105" t="s">
        <v>334</v>
      </c>
      <c r="J827" s="493">
        <v>22</v>
      </c>
      <c r="K827" s="493">
        <v>3</v>
      </c>
      <c r="L827" s="105" t="s">
        <v>436</v>
      </c>
      <c r="M827" s="105" t="s">
        <v>380</v>
      </c>
      <c r="N827" s="105" t="s">
        <v>226</v>
      </c>
      <c r="O827" s="105" t="s">
        <v>226</v>
      </c>
      <c r="P827" s="105" t="s">
        <v>350</v>
      </c>
      <c r="Q827" s="494">
        <v>0</v>
      </c>
      <c r="R827" s="494">
        <v>0</v>
      </c>
      <c r="S827" s="494">
        <v>0</v>
      </c>
      <c r="T827" s="494">
        <v>0</v>
      </c>
      <c r="U827" s="494">
        <v>0</v>
      </c>
      <c r="V827" s="493">
        <v>2024</v>
      </c>
      <c r="W827" s="495"/>
      <c r="X827" s="496" t="str">
        <f t="shared" si="51"/>
        <v/>
      </c>
      <c r="Y827" s="497" t="str">
        <f t="shared" si="53"/>
        <v/>
      </c>
      <c r="Z827" s="497" t="str">
        <f t="shared" si="53"/>
        <v/>
      </c>
    </row>
    <row r="828" spans="1:26" s="82" customFormat="1" ht="32" x14ac:dyDescent="0.4">
      <c r="A828" s="493">
        <v>54041</v>
      </c>
      <c r="B828" s="105" t="s">
        <v>433</v>
      </c>
      <c r="C828" s="493" t="s">
        <v>330</v>
      </c>
      <c r="D828" s="105" t="s">
        <v>998</v>
      </c>
      <c r="E828" s="105" t="s">
        <v>998</v>
      </c>
      <c r="F828" s="493">
        <v>11127</v>
      </c>
      <c r="G828" s="105" t="s">
        <v>52</v>
      </c>
      <c r="H828" s="105" t="s">
        <v>333</v>
      </c>
      <c r="I828" s="105" t="s">
        <v>334</v>
      </c>
      <c r="J828" s="493">
        <v>22</v>
      </c>
      <c r="K828" s="493">
        <v>3</v>
      </c>
      <c r="L828" s="105" t="s">
        <v>436</v>
      </c>
      <c r="M828" s="105" t="s">
        <v>380</v>
      </c>
      <c r="N828" s="105" t="s">
        <v>228</v>
      </c>
      <c r="O828" s="105" t="s">
        <v>228</v>
      </c>
      <c r="P828" s="105" t="s">
        <v>356</v>
      </c>
      <c r="Q828" s="494">
        <v>0</v>
      </c>
      <c r="R828" s="494">
        <v>0</v>
      </c>
      <c r="S828" s="494">
        <v>0</v>
      </c>
      <c r="T828" s="494">
        <v>0</v>
      </c>
      <c r="U828" s="494">
        <v>12850</v>
      </c>
      <c r="V828" s="493">
        <v>2024</v>
      </c>
      <c r="W828" s="495"/>
      <c r="X828" s="496" t="str">
        <f t="shared" si="51"/>
        <v/>
      </c>
      <c r="Y828" s="497" t="str">
        <f t="shared" ref="Y828:Z847" si="54">IF(AND($M828=$Y$2,$N828=$Y$3,NOT($Q828=$R828),NOT($U828=0)),IF($K828=5,$S828/($U828+(8/5)*$U828),IF($K828=7,$S828/($U828+(29/25)*$U828),"")),"")</f>
        <v/>
      </c>
      <c r="Z828" s="497" t="str">
        <f t="shared" si="54"/>
        <v/>
      </c>
    </row>
    <row r="829" spans="1:26" s="82" customFormat="1" ht="32" x14ac:dyDescent="0.4">
      <c r="A829" s="493">
        <v>54041</v>
      </c>
      <c r="B829" s="105" t="s">
        <v>433</v>
      </c>
      <c r="C829" s="493" t="s">
        <v>330</v>
      </c>
      <c r="D829" s="105" t="s">
        <v>998</v>
      </c>
      <c r="E829" s="105" t="s">
        <v>998</v>
      </c>
      <c r="F829" s="493">
        <v>11127</v>
      </c>
      <c r="G829" s="105" t="s">
        <v>52</v>
      </c>
      <c r="H829" s="105" t="s">
        <v>333</v>
      </c>
      <c r="I829" s="105" t="s">
        <v>334</v>
      </c>
      <c r="J829" s="493">
        <v>22</v>
      </c>
      <c r="K829" s="493">
        <v>3</v>
      </c>
      <c r="L829" s="105" t="s">
        <v>436</v>
      </c>
      <c r="M829" s="105" t="s">
        <v>37</v>
      </c>
      <c r="N829" s="105" t="s">
        <v>226</v>
      </c>
      <c r="O829" s="105" t="s">
        <v>226</v>
      </c>
      <c r="P829" s="105" t="s">
        <v>350</v>
      </c>
      <c r="Q829" s="494">
        <v>0</v>
      </c>
      <c r="R829" s="494">
        <v>0</v>
      </c>
      <c r="S829" s="494">
        <v>0</v>
      </c>
      <c r="T829" s="494">
        <v>0</v>
      </c>
      <c r="U829" s="494">
        <v>0</v>
      </c>
      <c r="V829" s="493">
        <v>2024</v>
      </c>
      <c r="W829" s="495"/>
      <c r="X829" s="496" t="str">
        <f t="shared" si="51"/>
        <v/>
      </c>
      <c r="Y829" s="497" t="str">
        <f t="shared" si="54"/>
        <v/>
      </c>
      <c r="Z829" s="497" t="str">
        <f t="shared" si="54"/>
        <v/>
      </c>
    </row>
    <row r="830" spans="1:26" s="82" customFormat="1" ht="32" x14ac:dyDescent="0.4">
      <c r="A830" s="493">
        <v>54041</v>
      </c>
      <c r="B830" s="105" t="s">
        <v>433</v>
      </c>
      <c r="C830" s="493" t="s">
        <v>330</v>
      </c>
      <c r="D830" s="105" t="s">
        <v>998</v>
      </c>
      <c r="E830" s="105" t="s">
        <v>998</v>
      </c>
      <c r="F830" s="493">
        <v>11127</v>
      </c>
      <c r="G830" s="105" t="s">
        <v>52</v>
      </c>
      <c r="H830" s="105" t="s">
        <v>333</v>
      </c>
      <c r="I830" s="105" t="s">
        <v>334</v>
      </c>
      <c r="J830" s="493">
        <v>22</v>
      </c>
      <c r="K830" s="493">
        <v>3</v>
      </c>
      <c r="L830" s="105" t="s">
        <v>436</v>
      </c>
      <c r="M830" s="105" t="s">
        <v>37</v>
      </c>
      <c r="N830" s="105" t="s">
        <v>228</v>
      </c>
      <c r="O830" s="105" t="s">
        <v>228</v>
      </c>
      <c r="P830" s="105" t="s">
        <v>356</v>
      </c>
      <c r="Q830" s="494">
        <v>1593279</v>
      </c>
      <c r="R830" s="494">
        <v>1579584</v>
      </c>
      <c r="S830" s="494">
        <v>1644264</v>
      </c>
      <c r="T830" s="494">
        <v>1630131</v>
      </c>
      <c r="U830" s="494">
        <v>26666</v>
      </c>
      <c r="V830" s="493">
        <v>2024</v>
      </c>
      <c r="W830" s="495"/>
      <c r="X830" s="496">
        <f t="shared" si="51"/>
        <v>61.131440786019652</v>
      </c>
      <c r="Y830" s="497" t="str">
        <f t="shared" si="54"/>
        <v/>
      </c>
      <c r="Z830" s="497" t="str">
        <f t="shared" si="54"/>
        <v/>
      </c>
    </row>
    <row r="831" spans="1:26" s="82" customFormat="1" ht="32" x14ac:dyDescent="0.4">
      <c r="A831" s="493">
        <v>54076</v>
      </c>
      <c r="B831" s="105" t="s">
        <v>433</v>
      </c>
      <c r="C831" s="493" t="s">
        <v>330</v>
      </c>
      <c r="D831" s="105" t="s">
        <v>999</v>
      </c>
      <c r="E831" s="105" t="s">
        <v>1000</v>
      </c>
      <c r="F831" s="493">
        <v>9261</v>
      </c>
      <c r="G831" s="105" t="s">
        <v>52</v>
      </c>
      <c r="H831" s="105" t="s">
        <v>333</v>
      </c>
      <c r="I831" s="105" t="s">
        <v>334</v>
      </c>
      <c r="J831" s="493">
        <v>22</v>
      </c>
      <c r="K831" s="493">
        <v>3</v>
      </c>
      <c r="L831" s="105" t="s">
        <v>436</v>
      </c>
      <c r="M831" s="105" t="s">
        <v>380</v>
      </c>
      <c r="N831" s="105" t="s">
        <v>226</v>
      </c>
      <c r="O831" s="105" t="s">
        <v>226</v>
      </c>
      <c r="P831" s="105" t="s">
        <v>350</v>
      </c>
      <c r="Q831" s="494">
        <v>0</v>
      </c>
      <c r="R831" s="494">
        <v>0</v>
      </c>
      <c r="S831" s="494">
        <v>0</v>
      </c>
      <c r="T831" s="494">
        <v>0</v>
      </c>
      <c r="U831" s="494">
        <v>0</v>
      </c>
      <c r="V831" s="493">
        <v>2024</v>
      </c>
      <c r="W831" s="495"/>
      <c r="X831" s="496" t="str">
        <f t="shared" si="51"/>
        <v/>
      </c>
      <c r="Y831" s="497" t="str">
        <f t="shared" si="54"/>
        <v/>
      </c>
      <c r="Z831" s="497" t="str">
        <f t="shared" si="54"/>
        <v/>
      </c>
    </row>
    <row r="832" spans="1:26" s="82" customFormat="1" ht="32" x14ac:dyDescent="0.4">
      <c r="A832" s="493">
        <v>54076</v>
      </c>
      <c r="B832" s="105" t="s">
        <v>433</v>
      </c>
      <c r="C832" s="493" t="s">
        <v>330</v>
      </c>
      <c r="D832" s="105" t="s">
        <v>999</v>
      </c>
      <c r="E832" s="105" t="s">
        <v>1000</v>
      </c>
      <c r="F832" s="493">
        <v>9261</v>
      </c>
      <c r="G832" s="105" t="s">
        <v>52</v>
      </c>
      <c r="H832" s="105" t="s">
        <v>333</v>
      </c>
      <c r="I832" s="105" t="s">
        <v>334</v>
      </c>
      <c r="J832" s="493">
        <v>22</v>
      </c>
      <c r="K832" s="493">
        <v>3</v>
      </c>
      <c r="L832" s="105" t="s">
        <v>436</v>
      </c>
      <c r="M832" s="105" t="s">
        <v>380</v>
      </c>
      <c r="N832" s="105" t="s">
        <v>228</v>
      </c>
      <c r="O832" s="105" t="s">
        <v>228</v>
      </c>
      <c r="P832" s="105" t="s">
        <v>356</v>
      </c>
      <c r="Q832" s="494">
        <v>82679</v>
      </c>
      <c r="R832" s="494">
        <v>82679</v>
      </c>
      <c r="S832" s="494">
        <v>85210</v>
      </c>
      <c r="T832" s="494">
        <v>85210</v>
      </c>
      <c r="U832" s="494">
        <v>16166</v>
      </c>
      <c r="V832" s="493">
        <v>2024</v>
      </c>
      <c r="W832" s="495"/>
      <c r="X832" s="496">
        <f t="shared" si="51"/>
        <v>5.2709390077941363</v>
      </c>
      <c r="Y832" s="497" t="str">
        <f t="shared" si="54"/>
        <v/>
      </c>
      <c r="Z832" s="497" t="str">
        <f t="shared" si="54"/>
        <v/>
      </c>
    </row>
    <row r="833" spans="1:26" s="82" customFormat="1" ht="32" x14ac:dyDescent="0.4">
      <c r="A833" s="493">
        <v>54076</v>
      </c>
      <c r="B833" s="105" t="s">
        <v>433</v>
      </c>
      <c r="C833" s="493" t="s">
        <v>330</v>
      </c>
      <c r="D833" s="105" t="s">
        <v>999</v>
      </c>
      <c r="E833" s="105" t="s">
        <v>1000</v>
      </c>
      <c r="F833" s="493">
        <v>9261</v>
      </c>
      <c r="G833" s="105" t="s">
        <v>52</v>
      </c>
      <c r="H833" s="105" t="s">
        <v>333</v>
      </c>
      <c r="I833" s="105" t="s">
        <v>334</v>
      </c>
      <c r="J833" s="493">
        <v>22</v>
      </c>
      <c r="K833" s="493">
        <v>3</v>
      </c>
      <c r="L833" s="105" t="s">
        <v>436</v>
      </c>
      <c r="M833" s="105" t="s">
        <v>37</v>
      </c>
      <c r="N833" s="105" t="s">
        <v>226</v>
      </c>
      <c r="O833" s="105" t="s">
        <v>226</v>
      </c>
      <c r="P833" s="105" t="s">
        <v>350</v>
      </c>
      <c r="Q833" s="494">
        <v>0</v>
      </c>
      <c r="R833" s="494">
        <v>0</v>
      </c>
      <c r="S833" s="494">
        <v>0</v>
      </c>
      <c r="T833" s="494">
        <v>0</v>
      </c>
      <c r="U833" s="494">
        <v>0</v>
      </c>
      <c r="V833" s="493">
        <v>2024</v>
      </c>
      <c r="W833" s="495" t="s">
        <v>355</v>
      </c>
      <c r="X833" s="496" t="str">
        <f t="shared" si="51"/>
        <v/>
      </c>
      <c r="Y833" s="497" t="str">
        <f t="shared" si="54"/>
        <v/>
      </c>
      <c r="Z833" s="497" t="str">
        <f t="shared" si="54"/>
        <v/>
      </c>
    </row>
    <row r="834" spans="1:26" s="82" customFormat="1" ht="32" x14ac:dyDescent="0.4">
      <c r="A834" s="493">
        <v>54076</v>
      </c>
      <c r="B834" s="105" t="s">
        <v>433</v>
      </c>
      <c r="C834" s="493" t="s">
        <v>330</v>
      </c>
      <c r="D834" s="105" t="s">
        <v>999</v>
      </c>
      <c r="E834" s="105" t="s">
        <v>1000</v>
      </c>
      <c r="F834" s="493">
        <v>9261</v>
      </c>
      <c r="G834" s="105" t="s">
        <v>52</v>
      </c>
      <c r="H834" s="105" t="s">
        <v>333</v>
      </c>
      <c r="I834" s="105" t="s">
        <v>334</v>
      </c>
      <c r="J834" s="493">
        <v>22</v>
      </c>
      <c r="K834" s="493">
        <v>3</v>
      </c>
      <c r="L834" s="105" t="s">
        <v>436</v>
      </c>
      <c r="M834" s="105" t="s">
        <v>37</v>
      </c>
      <c r="N834" s="105" t="s">
        <v>228</v>
      </c>
      <c r="O834" s="105" t="s">
        <v>228</v>
      </c>
      <c r="P834" s="105" t="s">
        <v>356</v>
      </c>
      <c r="Q834" s="494">
        <v>217739</v>
      </c>
      <c r="R834" s="494">
        <v>216685</v>
      </c>
      <c r="S834" s="494">
        <v>224463</v>
      </c>
      <c r="T834" s="494">
        <v>223337</v>
      </c>
      <c r="U834" s="494">
        <v>18351</v>
      </c>
      <c r="V834" s="493">
        <v>2024</v>
      </c>
      <c r="W834" s="495" t="s">
        <v>355</v>
      </c>
      <c r="X834" s="496">
        <f t="shared" si="51"/>
        <v>12.170290447387064</v>
      </c>
      <c r="Y834" s="497" t="str">
        <f t="shared" si="54"/>
        <v/>
      </c>
      <c r="Z834" s="497" t="str">
        <f t="shared" si="54"/>
        <v/>
      </c>
    </row>
    <row r="835" spans="1:26" s="82" customFormat="1" ht="32" x14ac:dyDescent="0.4">
      <c r="A835" s="493">
        <v>54099</v>
      </c>
      <c r="B835" s="105" t="s">
        <v>433</v>
      </c>
      <c r="C835" s="493" t="s">
        <v>330</v>
      </c>
      <c r="D835" s="105" t="s">
        <v>1001</v>
      </c>
      <c r="E835" s="105" t="s">
        <v>1002</v>
      </c>
      <c r="F835" s="493">
        <v>9350</v>
      </c>
      <c r="G835" s="105" t="s">
        <v>52</v>
      </c>
      <c r="H835" s="105" t="s">
        <v>333</v>
      </c>
      <c r="I835" s="105" t="s">
        <v>334</v>
      </c>
      <c r="J835" s="493">
        <v>322122</v>
      </c>
      <c r="K835" s="493">
        <v>7</v>
      </c>
      <c r="L835" s="105" t="s">
        <v>727</v>
      </c>
      <c r="M835" s="105" t="s">
        <v>360</v>
      </c>
      <c r="N835" s="105" t="s">
        <v>256</v>
      </c>
      <c r="O835" s="105" t="s">
        <v>387</v>
      </c>
      <c r="P835" s="105" t="s">
        <v>388</v>
      </c>
      <c r="Q835" s="494">
        <v>195671</v>
      </c>
      <c r="R835" s="494">
        <v>46196</v>
      </c>
      <c r="S835" s="494">
        <v>1656569</v>
      </c>
      <c r="T835" s="494">
        <v>391093</v>
      </c>
      <c r="U835" s="494">
        <v>68333.078999999998</v>
      </c>
      <c r="V835" s="493">
        <v>2024</v>
      </c>
      <c r="W835" s="495"/>
      <c r="X835" s="496" t="str">
        <f t="shared" si="51"/>
        <v/>
      </c>
      <c r="Y835" s="497" t="str">
        <f t="shared" si="54"/>
        <v/>
      </c>
      <c r="Z835" s="497" t="str">
        <f t="shared" si="54"/>
        <v/>
      </c>
    </row>
    <row r="836" spans="1:26" s="82" customFormat="1" ht="32" x14ac:dyDescent="0.4">
      <c r="A836" s="493">
        <v>54099</v>
      </c>
      <c r="B836" s="105" t="s">
        <v>433</v>
      </c>
      <c r="C836" s="493" t="s">
        <v>330</v>
      </c>
      <c r="D836" s="105" t="s">
        <v>1001</v>
      </c>
      <c r="E836" s="105" t="s">
        <v>1002</v>
      </c>
      <c r="F836" s="493">
        <v>9350</v>
      </c>
      <c r="G836" s="105" t="s">
        <v>52</v>
      </c>
      <c r="H836" s="105" t="s">
        <v>333</v>
      </c>
      <c r="I836" s="105" t="s">
        <v>334</v>
      </c>
      <c r="J836" s="493">
        <v>322122</v>
      </c>
      <c r="K836" s="493">
        <v>7</v>
      </c>
      <c r="L836" s="105" t="s">
        <v>727</v>
      </c>
      <c r="M836" s="105" t="s">
        <v>360</v>
      </c>
      <c r="N836" s="105" t="s">
        <v>228</v>
      </c>
      <c r="O836" s="105" t="s">
        <v>228</v>
      </c>
      <c r="P836" s="105" t="s">
        <v>356</v>
      </c>
      <c r="Q836" s="494">
        <v>2714713</v>
      </c>
      <c r="R836" s="494">
        <v>643958</v>
      </c>
      <c r="S836" s="494">
        <v>2714713</v>
      </c>
      <c r="T836" s="494">
        <v>643958</v>
      </c>
      <c r="U836" s="494">
        <v>112514.08</v>
      </c>
      <c r="V836" s="493">
        <v>2024</v>
      </c>
      <c r="W836" s="495"/>
      <c r="X836" s="496" t="str">
        <f t="shared" si="51"/>
        <v/>
      </c>
      <c r="Y836" s="497" t="str">
        <f t="shared" si="54"/>
        <v/>
      </c>
      <c r="Z836" s="497" t="str">
        <f t="shared" si="54"/>
        <v/>
      </c>
    </row>
    <row r="837" spans="1:26" s="82" customFormat="1" ht="32" x14ac:dyDescent="0.4">
      <c r="A837" s="493">
        <v>54099</v>
      </c>
      <c r="B837" s="105" t="s">
        <v>433</v>
      </c>
      <c r="C837" s="493" t="s">
        <v>330</v>
      </c>
      <c r="D837" s="105" t="s">
        <v>1001</v>
      </c>
      <c r="E837" s="105" t="s">
        <v>1002</v>
      </c>
      <c r="F837" s="493">
        <v>9350</v>
      </c>
      <c r="G837" s="105" t="s">
        <v>52</v>
      </c>
      <c r="H837" s="105" t="s">
        <v>333</v>
      </c>
      <c r="I837" s="105" t="s">
        <v>334</v>
      </c>
      <c r="J837" s="493">
        <v>322122</v>
      </c>
      <c r="K837" s="493">
        <v>7</v>
      </c>
      <c r="L837" s="105" t="s">
        <v>727</v>
      </c>
      <c r="M837" s="105" t="s">
        <v>360</v>
      </c>
      <c r="N837" s="105" t="s">
        <v>1003</v>
      </c>
      <c r="O837" s="105" t="s">
        <v>1004</v>
      </c>
      <c r="P837" s="105" t="s">
        <v>356</v>
      </c>
      <c r="Q837" s="494">
        <v>0</v>
      </c>
      <c r="R837" s="494">
        <v>0</v>
      </c>
      <c r="S837" s="494">
        <v>0</v>
      </c>
      <c r="T837" s="494">
        <v>0</v>
      </c>
      <c r="U837" s="494">
        <v>0</v>
      </c>
      <c r="V837" s="493">
        <v>2024</v>
      </c>
      <c r="W837" s="495"/>
      <c r="X837" s="496" t="str">
        <f t="shared" si="51"/>
        <v/>
      </c>
      <c r="Y837" s="497" t="str">
        <f t="shared" si="54"/>
        <v/>
      </c>
      <c r="Z837" s="497" t="str">
        <f t="shared" si="54"/>
        <v/>
      </c>
    </row>
    <row r="838" spans="1:26" s="82" customFormat="1" ht="32" x14ac:dyDescent="0.4">
      <c r="A838" s="493">
        <v>54099</v>
      </c>
      <c r="B838" s="105" t="s">
        <v>433</v>
      </c>
      <c r="C838" s="493" t="s">
        <v>330</v>
      </c>
      <c r="D838" s="105" t="s">
        <v>1001</v>
      </c>
      <c r="E838" s="105" t="s">
        <v>1002</v>
      </c>
      <c r="F838" s="493">
        <v>9350</v>
      </c>
      <c r="G838" s="105" t="s">
        <v>52</v>
      </c>
      <c r="H838" s="105" t="s">
        <v>333</v>
      </c>
      <c r="I838" s="105" t="s">
        <v>334</v>
      </c>
      <c r="J838" s="493">
        <v>322122</v>
      </c>
      <c r="K838" s="493">
        <v>7</v>
      </c>
      <c r="L838" s="105" t="s">
        <v>727</v>
      </c>
      <c r="M838" s="105" t="s">
        <v>360</v>
      </c>
      <c r="N838" s="105" t="s">
        <v>246</v>
      </c>
      <c r="O838" s="105" t="s">
        <v>349</v>
      </c>
      <c r="P838" s="105" t="s">
        <v>356</v>
      </c>
      <c r="Q838" s="494">
        <v>0</v>
      </c>
      <c r="R838" s="494">
        <v>0</v>
      </c>
      <c r="S838" s="494">
        <v>0</v>
      </c>
      <c r="T838" s="494">
        <v>0</v>
      </c>
      <c r="U838" s="494">
        <v>0</v>
      </c>
      <c r="V838" s="493">
        <v>2024</v>
      </c>
      <c r="W838" s="495"/>
      <c r="X838" s="496" t="str">
        <f t="shared" si="51"/>
        <v/>
      </c>
      <c r="Y838" s="497" t="str">
        <f t="shared" si="54"/>
        <v/>
      </c>
      <c r="Z838" s="497" t="str">
        <f t="shared" si="54"/>
        <v/>
      </c>
    </row>
    <row r="839" spans="1:26" s="82" customFormat="1" ht="32" x14ac:dyDescent="0.4">
      <c r="A839" s="493">
        <v>54099</v>
      </c>
      <c r="B839" s="105" t="s">
        <v>433</v>
      </c>
      <c r="C839" s="493" t="s">
        <v>330</v>
      </c>
      <c r="D839" s="105" t="s">
        <v>1001</v>
      </c>
      <c r="E839" s="105" t="s">
        <v>1002</v>
      </c>
      <c r="F839" s="493">
        <v>9350</v>
      </c>
      <c r="G839" s="105" t="s">
        <v>52</v>
      </c>
      <c r="H839" s="105" t="s">
        <v>333</v>
      </c>
      <c r="I839" s="105" t="s">
        <v>334</v>
      </c>
      <c r="J839" s="493">
        <v>322122</v>
      </c>
      <c r="K839" s="493">
        <v>7</v>
      </c>
      <c r="L839" s="105" t="s">
        <v>727</v>
      </c>
      <c r="M839" s="105" t="s">
        <v>360</v>
      </c>
      <c r="N839" s="105" t="s">
        <v>238</v>
      </c>
      <c r="O839" s="105" t="s">
        <v>238</v>
      </c>
      <c r="P839" s="105" t="s">
        <v>350</v>
      </c>
      <c r="Q839" s="494">
        <v>22700</v>
      </c>
      <c r="R839" s="494">
        <v>5461</v>
      </c>
      <c r="S839" s="494">
        <v>143919</v>
      </c>
      <c r="T839" s="494">
        <v>34624</v>
      </c>
      <c r="U839" s="494">
        <v>6049.6549999999997</v>
      </c>
      <c r="V839" s="493">
        <v>2024</v>
      </c>
      <c r="W839" s="495"/>
      <c r="X839" s="496" t="str">
        <f t="shared" si="51"/>
        <v/>
      </c>
      <c r="Y839" s="497" t="str">
        <f t="shared" si="54"/>
        <v/>
      </c>
      <c r="Z839" s="497" t="str">
        <f t="shared" si="54"/>
        <v/>
      </c>
    </row>
    <row r="840" spans="1:26" s="82" customFormat="1" ht="32" x14ac:dyDescent="0.4">
      <c r="A840" s="493">
        <v>54099</v>
      </c>
      <c r="B840" s="105" t="s">
        <v>433</v>
      </c>
      <c r="C840" s="493" t="s">
        <v>330</v>
      </c>
      <c r="D840" s="105" t="s">
        <v>1001</v>
      </c>
      <c r="E840" s="105" t="s">
        <v>1002</v>
      </c>
      <c r="F840" s="493">
        <v>9350</v>
      </c>
      <c r="G840" s="105" t="s">
        <v>52</v>
      </c>
      <c r="H840" s="105" t="s">
        <v>333</v>
      </c>
      <c r="I840" s="105" t="s">
        <v>334</v>
      </c>
      <c r="J840" s="493">
        <v>322122</v>
      </c>
      <c r="K840" s="493">
        <v>7</v>
      </c>
      <c r="L840" s="105" t="s">
        <v>727</v>
      </c>
      <c r="M840" s="105" t="s">
        <v>360</v>
      </c>
      <c r="N840" s="105" t="s">
        <v>258</v>
      </c>
      <c r="O840" s="105" t="s">
        <v>387</v>
      </c>
      <c r="P840" s="105" t="s">
        <v>388</v>
      </c>
      <c r="Q840" s="494">
        <v>14951</v>
      </c>
      <c r="R840" s="494">
        <v>3550</v>
      </c>
      <c r="S840" s="494">
        <v>126574</v>
      </c>
      <c r="T840" s="494">
        <v>30060</v>
      </c>
      <c r="U840" s="494">
        <v>5252.0829999999996</v>
      </c>
      <c r="V840" s="493">
        <v>2024</v>
      </c>
      <c r="W840" s="495"/>
      <c r="X840" s="496" t="str">
        <f t="shared" si="51"/>
        <v/>
      </c>
      <c r="Y840" s="497" t="str">
        <f t="shared" si="54"/>
        <v/>
      </c>
      <c r="Z840" s="497" t="str">
        <f t="shared" si="54"/>
        <v/>
      </c>
    </row>
    <row r="841" spans="1:26" s="82" customFormat="1" x14ac:dyDescent="0.4">
      <c r="A841" s="493">
        <v>54114</v>
      </c>
      <c r="B841" s="105" t="s">
        <v>433</v>
      </c>
      <c r="C841" s="493" t="s">
        <v>330</v>
      </c>
      <c r="D841" s="105" t="s">
        <v>1005</v>
      </c>
      <c r="E841" s="105" t="s">
        <v>1006</v>
      </c>
      <c r="F841" s="493">
        <v>10349</v>
      </c>
      <c r="G841" s="105" t="s">
        <v>52</v>
      </c>
      <c r="H841" s="105" t="s">
        <v>333</v>
      </c>
      <c r="I841" s="105" t="s">
        <v>334</v>
      </c>
      <c r="J841" s="493">
        <v>22</v>
      </c>
      <c r="K841" s="493">
        <v>3</v>
      </c>
      <c r="L841" s="105" t="s">
        <v>436</v>
      </c>
      <c r="M841" s="105" t="s">
        <v>380</v>
      </c>
      <c r="N841" s="105" t="s">
        <v>226</v>
      </c>
      <c r="O841" s="105" t="s">
        <v>226</v>
      </c>
      <c r="P841" s="105" t="s">
        <v>350</v>
      </c>
      <c r="Q841" s="494">
        <v>0</v>
      </c>
      <c r="R841" s="494">
        <v>0</v>
      </c>
      <c r="S841" s="494">
        <v>0</v>
      </c>
      <c r="T841" s="494">
        <v>0</v>
      </c>
      <c r="U841" s="494">
        <v>0</v>
      </c>
      <c r="V841" s="493">
        <v>2024</v>
      </c>
      <c r="W841" s="495"/>
      <c r="X841" s="496" t="str">
        <f t="shared" ref="X841:X904" si="55">IF(OR(K841&gt;3,T841=0,NOT(U841&gt;0)),"",T841/U841)</f>
        <v/>
      </c>
      <c r="Y841" s="497" t="str">
        <f t="shared" si="54"/>
        <v/>
      </c>
      <c r="Z841" s="497" t="str">
        <f t="shared" si="54"/>
        <v/>
      </c>
    </row>
    <row r="842" spans="1:26" s="82" customFormat="1" x14ac:dyDescent="0.4">
      <c r="A842" s="493">
        <v>54114</v>
      </c>
      <c r="B842" s="105" t="s">
        <v>433</v>
      </c>
      <c r="C842" s="493" t="s">
        <v>330</v>
      </c>
      <c r="D842" s="105" t="s">
        <v>1005</v>
      </c>
      <c r="E842" s="105" t="s">
        <v>1006</v>
      </c>
      <c r="F842" s="493">
        <v>10349</v>
      </c>
      <c r="G842" s="105" t="s">
        <v>52</v>
      </c>
      <c r="H842" s="105" t="s">
        <v>333</v>
      </c>
      <c r="I842" s="105" t="s">
        <v>334</v>
      </c>
      <c r="J842" s="493">
        <v>22</v>
      </c>
      <c r="K842" s="493">
        <v>3</v>
      </c>
      <c r="L842" s="105" t="s">
        <v>436</v>
      </c>
      <c r="M842" s="105" t="s">
        <v>380</v>
      </c>
      <c r="N842" s="105" t="s">
        <v>228</v>
      </c>
      <c r="O842" s="105" t="s">
        <v>228</v>
      </c>
      <c r="P842" s="105" t="s">
        <v>356</v>
      </c>
      <c r="Q842" s="494">
        <v>0</v>
      </c>
      <c r="R842" s="494">
        <v>0</v>
      </c>
      <c r="S842" s="494">
        <v>0</v>
      </c>
      <c r="T842" s="494">
        <v>0</v>
      </c>
      <c r="U842" s="494">
        <v>64697</v>
      </c>
      <c r="V842" s="493">
        <v>2024</v>
      </c>
      <c r="W842" s="495"/>
      <c r="X842" s="496" t="str">
        <f t="shared" si="55"/>
        <v/>
      </c>
      <c r="Y842" s="497" t="str">
        <f t="shared" si="54"/>
        <v/>
      </c>
      <c r="Z842" s="497" t="str">
        <f t="shared" si="54"/>
        <v/>
      </c>
    </row>
    <row r="843" spans="1:26" s="82" customFormat="1" x14ac:dyDescent="0.4">
      <c r="A843" s="493">
        <v>54114</v>
      </c>
      <c r="B843" s="105" t="s">
        <v>433</v>
      </c>
      <c r="C843" s="493" t="s">
        <v>330</v>
      </c>
      <c r="D843" s="105" t="s">
        <v>1005</v>
      </c>
      <c r="E843" s="105" t="s">
        <v>1006</v>
      </c>
      <c r="F843" s="493">
        <v>10349</v>
      </c>
      <c r="G843" s="105" t="s">
        <v>52</v>
      </c>
      <c r="H843" s="105" t="s">
        <v>333</v>
      </c>
      <c r="I843" s="105" t="s">
        <v>334</v>
      </c>
      <c r="J843" s="493">
        <v>22</v>
      </c>
      <c r="K843" s="493">
        <v>3</v>
      </c>
      <c r="L843" s="105" t="s">
        <v>436</v>
      </c>
      <c r="M843" s="105" t="s">
        <v>37</v>
      </c>
      <c r="N843" s="105" t="s">
        <v>226</v>
      </c>
      <c r="O843" s="105" t="s">
        <v>226</v>
      </c>
      <c r="P843" s="105" t="s">
        <v>350</v>
      </c>
      <c r="Q843" s="494">
        <v>0</v>
      </c>
      <c r="R843" s="494">
        <v>0</v>
      </c>
      <c r="S843" s="494">
        <v>0</v>
      </c>
      <c r="T843" s="494">
        <v>0</v>
      </c>
      <c r="U843" s="494">
        <v>0</v>
      </c>
      <c r="V843" s="493">
        <v>2024</v>
      </c>
      <c r="W843" s="495"/>
      <c r="X843" s="496" t="str">
        <f t="shared" si="55"/>
        <v/>
      </c>
      <c r="Y843" s="497" t="str">
        <f t="shared" si="54"/>
        <v/>
      </c>
      <c r="Z843" s="497" t="str">
        <f t="shared" si="54"/>
        <v/>
      </c>
    </row>
    <row r="844" spans="1:26" s="82" customFormat="1" x14ac:dyDescent="0.4">
      <c r="A844" s="493">
        <v>54114</v>
      </c>
      <c r="B844" s="105" t="s">
        <v>433</v>
      </c>
      <c r="C844" s="493" t="s">
        <v>330</v>
      </c>
      <c r="D844" s="105" t="s">
        <v>1005</v>
      </c>
      <c r="E844" s="105" t="s">
        <v>1006</v>
      </c>
      <c r="F844" s="493">
        <v>10349</v>
      </c>
      <c r="G844" s="105" t="s">
        <v>52</v>
      </c>
      <c r="H844" s="105" t="s">
        <v>333</v>
      </c>
      <c r="I844" s="105" t="s">
        <v>334</v>
      </c>
      <c r="J844" s="493">
        <v>22</v>
      </c>
      <c r="K844" s="493">
        <v>3</v>
      </c>
      <c r="L844" s="105" t="s">
        <v>436</v>
      </c>
      <c r="M844" s="105" t="s">
        <v>37</v>
      </c>
      <c r="N844" s="105" t="s">
        <v>228</v>
      </c>
      <c r="O844" s="105" t="s">
        <v>228</v>
      </c>
      <c r="P844" s="105" t="s">
        <v>356</v>
      </c>
      <c r="Q844" s="494">
        <v>3512978</v>
      </c>
      <c r="R844" s="494">
        <v>3478960</v>
      </c>
      <c r="S844" s="494">
        <v>3646471</v>
      </c>
      <c r="T844" s="494">
        <v>3611160</v>
      </c>
      <c r="U844" s="494">
        <v>333860</v>
      </c>
      <c r="V844" s="493">
        <v>2024</v>
      </c>
      <c r="W844" s="495"/>
      <c r="X844" s="496">
        <f t="shared" si="55"/>
        <v>10.816390103636255</v>
      </c>
      <c r="Y844" s="497" t="str">
        <f t="shared" si="54"/>
        <v/>
      </c>
      <c r="Z844" s="497" t="str">
        <f t="shared" si="54"/>
        <v/>
      </c>
    </row>
    <row r="845" spans="1:26" s="82" customFormat="1" ht="32" x14ac:dyDescent="0.4">
      <c r="A845" s="493">
        <v>54123</v>
      </c>
      <c r="B845" s="105" t="s">
        <v>329</v>
      </c>
      <c r="C845" s="493" t="s">
        <v>330</v>
      </c>
      <c r="D845" s="105" t="s">
        <v>1007</v>
      </c>
      <c r="E845" s="105" t="s">
        <v>1008</v>
      </c>
      <c r="F845" s="493">
        <v>56839</v>
      </c>
      <c r="G845" s="105" t="s">
        <v>34</v>
      </c>
      <c r="H845" s="105" t="s">
        <v>342</v>
      </c>
      <c r="I845" s="105" t="s">
        <v>334</v>
      </c>
      <c r="J845" s="493">
        <v>22</v>
      </c>
      <c r="K845" s="493">
        <v>2</v>
      </c>
      <c r="L845" s="105" t="s">
        <v>343</v>
      </c>
      <c r="M845" s="105" t="s">
        <v>336</v>
      </c>
      <c r="N845" s="105" t="s">
        <v>337</v>
      </c>
      <c r="O845" s="105" t="s">
        <v>338</v>
      </c>
      <c r="P845" s="105" t="s">
        <v>339</v>
      </c>
      <c r="Q845" s="494">
        <v>0</v>
      </c>
      <c r="R845" s="494">
        <v>0</v>
      </c>
      <c r="S845" s="494">
        <v>6476</v>
      </c>
      <c r="T845" s="494">
        <v>6476</v>
      </c>
      <c r="U845" s="494">
        <v>1898</v>
      </c>
      <c r="V845" s="493">
        <v>2024</v>
      </c>
      <c r="W845" s="495"/>
      <c r="X845" s="496">
        <f t="shared" si="55"/>
        <v>3.4120126448893573</v>
      </c>
      <c r="Y845" s="497" t="str">
        <f t="shared" si="54"/>
        <v/>
      </c>
      <c r="Z845" s="497" t="str">
        <f t="shared" si="54"/>
        <v/>
      </c>
    </row>
    <row r="846" spans="1:26" s="82" customFormat="1" ht="32" x14ac:dyDescent="0.4">
      <c r="A846" s="493">
        <v>54124</v>
      </c>
      <c r="B846" s="105" t="s">
        <v>329</v>
      </c>
      <c r="C846" s="493" t="s">
        <v>330</v>
      </c>
      <c r="D846" s="105" t="s">
        <v>1009</v>
      </c>
      <c r="E846" s="105" t="s">
        <v>954</v>
      </c>
      <c r="F846" s="493">
        <v>56837</v>
      </c>
      <c r="G846" s="105" t="s">
        <v>34</v>
      </c>
      <c r="H846" s="105" t="s">
        <v>342</v>
      </c>
      <c r="I846" s="105" t="s">
        <v>334</v>
      </c>
      <c r="J846" s="493">
        <v>22</v>
      </c>
      <c r="K846" s="493">
        <v>2</v>
      </c>
      <c r="L846" s="105" t="s">
        <v>343</v>
      </c>
      <c r="M846" s="105" t="s">
        <v>336</v>
      </c>
      <c r="N846" s="105" t="s">
        <v>337</v>
      </c>
      <c r="O846" s="105" t="s">
        <v>338</v>
      </c>
      <c r="P846" s="105" t="s">
        <v>339</v>
      </c>
      <c r="Q846" s="494">
        <v>0</v>
      </c>
      <c r="R846" s="494">
        <v>0</v>
      </c>
      <c r="S846" s="494">
        <v>11791</v>
      </c>
      <c r="T846" s="494">
        <v>11791</v>
      </c>
      <c r="U846" s="494">
        <v>3456</v>
      </c>
      <c r="V846" s="493">
        <v>2024</v>
      </c>
      <c r="W846" s="495"/>
      <c r="X846" s="496">
        <f t="shared" si="55"/>
        <v>3.4117476851851851</v>
      </c>
      <c r="Y846" s="497" t="str">
        <f t="shared" si="54"/>
        <v/>
      </c>
      <c r="Z846" s="497" t="str">
        <f t="shared" si="54"/>
        <v/>
      </c>
    </row>
    <row r="847" spans="1:26" s="82" customFormat="1" ht="32" x14ac:dyDescent="0.4">
      <c r="A847" s="493">
        <v>54131</v>
      </c>
      <c r="B847" s="105" t="s">
        <v>433</v>
      </c>
      <c r="C847" s="493" t="s">
        <v>330</v>
      </c>
      <c r="D847" s="105" t="s">
        <v>1010</v>
      </c>
      <c r="E847" s="105" t="s">
        <v>1011</v>
      </c>
      <c r="F847" s="493">
        <v>50136</v>
      </c>
      <c r="G847" s="105" t="s">
        <v>52</v>
      </c>
      <c r="H847" s="105" t="s">
        <v>333</v>
      </c>
      <c r="I847" s="105" t="s">
        <v>334</v>
      </c>
      <c r="J847" s="493">
        <v>22</v>
      </c>
      <c r="K847" s="493">
        <v>3</v>
      </c>
      <c r="L847" s="105" t="s">
        <v>436</v>
      </c>
      <c r="M847" s="105" t="s">
        <v>380</v>
      </c>
      <c r="N847" s="105" t="s">
        <v>226</v>
      </c>
      <c r="O847" s="105" t="s">
        <v>226</v>
      </c>
      <c r="P847" s="105" t="s">
        <v>350</v>
      </c>
      <c r="Q847" s="494">
        <v>0</v>
      </c>
      <c r="R847" s="494">
        <v>0</v>
      </c>
      <c r="S847" s="494">
        <v>0</v>
      </c>
      <c r="T847" s="494">
        <v>0</v>
      </c>
      <c r="U847" s="494">
        <v>0</v>
      </c>
      <c r="V847" s="493">
        <v>2024</v>
      </c>
      <c r="W847" s="495"/>
      <c r="X847" s="496" t="str">
        <f t="shared" si="55"/>
        <v/>
      </c>
      <c r="Y847" s="497" t="str">
        <f t="shared" si="54"/>
        <v/>
      </c>
      <c r="Z847" s="497" t="str">
        <f t="shared" si="54"/>
        <v/>
      </c>
    </row>
    <row r="848" spans="1:26" s="82" customFormat="1" ht="32" x14ac:dyDescent="0.4">
      <c r="A848" s="493">
        <v>54131</v>
      </c>
      <c r="B848" s="105" t="s">
        <v>433</v>
      </c>
      <c r="C848" s="493" t="s">
        <v>330</v>
      </c>
      <c r="D848" s="105" t="s">
        <v>1010</v>
      </c>
      <c r="E848" s="105" t="s">
        <v>1011</v>
      </c>
      <c r="F848" s="493">
        <v>50136</v>
      </c>
      <c r="G848" s="105" t="s">
        <v>52</v>
      </c>
      <c r="H848" s="105" t="s">
        <v>333</v>
      </c>
      <c r="I848" s="105" t="s">
        <v>334</v>
      </c>
      <c r="J848" s="493">
        <v>22</v>
      </c>
      <c r="K848" s="493">
        <v>3</v>
      </c>
      <c r="L848" s="105" t="s">
        <v>436</v>
      </c>
      <c r="M848" s="105" t="s">
        <v>380</v>
      </c>
      <c r="N848" s="105" t="s">
        <v>228</v>
      </c>
      <c r="O848" s="105" t="s">
        <v>228</v>
      </c>
      <c r="P848" s="105" t="s">
        <v>356</v>
      </c>
      <c r="Q848" s="494">
        <v>0</v>
      </c>
      <c r="R848" s="494">
        <v>0</v>
      </c>
      <c r="S848" s="494">
        <v>0</v>
      </c>
      <c r="T848" s="494">
        <v>0</v>
      </c>
      <c r="U848" s="494">
        <v>78591</v>
      </c>
      <c r="V848" s="493">
        <v>2024</v>
      </c>
      <c r="W848" s="495"/>
      <c r="X848" s="496" t="str">
        <f t="shared" si="55"/>
        <v/>
      </c>
      <c r="Y848" s="497" t="str">
        <f t="shared" ref="Y848:Z867" si="56">IF(AND($M848=$Y$2,$N848=$Y$3,NOT($Q848=$R848),NOT($U848=0)),IF($K848=5,$S848/($U848+(8/5)*$U848),IF($K848=7,$S848/($U848+(29/25)*$U848),"")),"")</f>
        <v/>
      </c>
      <c r="Z848" s="497" t="str">
        <f t="shared" si="56"/>
        <v/>
      </c>
    </row>
    <row r="849" spans="1:26" s="82" customFormat="1" ht="32" x14ac:dyDescent="0.4">
      <c r="A849" s="493">
        <v>54131</v>
      </c>
      <c r="B849" s="105" t="s">
        <v>433</v>
      </c>
      <c r="C849" s="493" t="s">
        <v>330</v>
      </c>
      <c r="D849" s="105" t="s">
        <v>1010</v>
      </c>
      <c r="E849" s="105" t="s">
        <v>1011</v>
      </c>
      <c r="F849" s="493">
        <v>50136</v>
      </c>
      <c r="G849" s="105" t="s">
        <v>52</v>
      </c>
      <c r="H849" s="105" t="s">
        <v>333</v>
      </c>
      <c r="I849" s="105" t="s">
        <v>334</v>
      </c>
      <c r="J849" s="493">
        <v>22</v>
      </c>
      <c r="K849" s="493">
        <v>3</v>
      </c>
      <c r="L849" s="105" t="s">
        <v>436</v>
      </c>
      <c r="M849" s="105" t="s">
        <v>37</v>
      </c>
      <c r="N849" s="105" t="s">
        <v>226</v>
      </c>
      <c r="O849" s="105" t="s">
        <v>226</v>
      </c>
      <c r="P849" s="105" t="s">
        <v>350</v>
      </c>
      <c r="Q849" s="494">
        <v>0</v>
      </c>
      <c r="R849" s="494">
        <v>0</v>
      </c>
      <c r="S849" s="494">
        <v>0</v>
      </c>
      <c r="T849" s="494">
        <v>0</v>
      </c>
      <c r="U849" s="494">
        <v>0</v>
      </c>
      <c r="V849" s="493">
        <v>2024</v>
      </c>
      <c r="W849" s="495"/>
      <c r="X849" s="496" t="str">
        <f t="shared" si="55"/>
        <v/>
      </c>
      <c r="Y849" s="497" t="str">
        <f t="shared" si="56"/>
        <v/>
      </c>
      <c r="Z849" s="497" t="str">
        <f t="shared" si="56"/>
        <v/>
      </c>
    </row>
    <row r="850" spans="1:26" s="82" customFormat="1" ht="32" x14ac:dyDescent="0.4">
      <c r="A850" s="493">
        <v>54131</v>
      </c>
      <c r="B850" s="105" t="s">
        <v>433</v>
      </c>
      <c r="C850" s="493" t="s">
        <v>330</v>
      </c>
      <c r="D850" s="105" t="s">
        <v>1010</v>
      </c>
      <c r="E850" s="105" t="s">
        <v>1011</v>
      </c>
      <c r="F850" s="493">
        <v>50136</v>
      </c>
      <c r="G850" s="105" t="s">
        <v>52</v>
      </c>
      <c r="H850" s="105" t="s">
        <v>333</v>
      </c>
      <c r="I850" s="105" t="s">
        <v>334</v>
      </c>
      <c r="J850" s="493">
        <v>22</v>
      </c>
      <c r="K850" s="493">
        <v>3</v>
      </c>
      <c r="L850" s="105" t="s">
        <v>436</v>
      </c>
      <c r="M850" s="105" t="s">
        <v>37</v>
      </c>
      <c r="N850" s="105" t="s">
        <v>228</v>
      </c>
      <c r="O850" s="105" t="s">
        <v>228</v>
      </c>
      <c r="P850" s="105" t="s">
        <v>356</v>
      </c>
      <c r="Q850" s="494">
        <v>2506257</v>
      </c>
      <c r="R850" s="494">
        <v>2251882</v>
      </c>
      <c r="S850" s="494">
        <v>2500475</v>
      </c>
      <c r="T850" s="494">
        <v>2246636</v>
      </c>
      <c r="U850" s="494">
        <v>210812</v>
      </c>
      <c r="V850" s="493">
        <v>2024</v>
      </c>
      <c r="W850" s="495"/>
      <c r="X850" s="496">
        <f t="shared" si="55"/>
        <v>10.65705937043432</v>
      </c>
      <c r="Y850" s="497" t="str">
        <f t="shared" si="56"/>
        <v/>
      </c>
      <c r="Z850" s="497" t="str">
        <f t="shared" si="56"/>
        <v/>
      </c>
    </row>
    <row r="851" spans="1:26" s="82" customFormat="1" ht="32" x14ac:dyDescent="0.4">
      <c r="A851" s="493">
        <v>54134</v>
      </c>
      <c r="B851" s="105" t="s">
        <v>329</v>
      </c>
      <c r="C851" s="493" t="s">
        <v>330</v>
      </c>
      <c r="D851" s="105" t="s">
        <v>1012</v>
      </c>
      <c r="E851" s="105" t="s">
        <v>1013</v>
      </c>
      <c r="F851" s="493">
        <v>7595</v>
      </c>
      <c r="G851" s="105" t="s">
        <v>34</v>
      </c>
      <c r="H851" s="105" t="s">
        <v>342</v>
      </c>
      <c r="I851" s="105" t="s">
        <v>334</v>
      </c>
      <c r="J851" s="493">
        <v>22</v>
      </c>
      <c r="K851" s="493">
        <v>2</v>
      </c>
      <c r="L851" s="105" t="s">
        <v>343</v>
      </c>
      <c r="M851" s="105" t="s">
        <v>403</v>
      </c>
      <c r="N851" s="105" t="s">
        <v>404</v>
      </c>
      <c r="O851" s="105" t="s">
        <v>232</v>
      </c>
      <c r="P851" s="105" t="s">
        <v>346</v>
      </c>
      <c r="Q851" s="494">
        <v>10411</v>
      </c>
      <c r="R851" s="494">
        <v>10411</v>
      </c>
      <c r="S851" s="494">
        <v>0</v>
      </c>
      <c r="T851" s="494">
        <v>0</v>
      </c>
      <c r="U851" s="494">
        <v>-2091</v>
      </c>
      <c r="V851" s="493">
        <v>2024</v>
      </c>
      <c r="W851" s="495"/>
      <c r="X851" s="496" t="str">
        <f t="shared" si="55"/>
        <v/>
      </c>
      <c r="Y851" s="497" t="str">
        <f t="shared" si="56"/>
        <v/>
      </c>
      <c r="Z851" s="497" t="str">
        <f t="shared" si="56"/>
        <v/>
      </c>
    </row>
    <row r="852" spans="1:26" s="82" customFormat="1" ht="32" x14ac:dyDescent="0.4">
      <c r="A852" s="493">
        <v>54134</v>
      </c>
      <c r="B852" s="105" t="s">
        <v>329</v>
      </c>
      <c r="C852" s="493" t="s">
        <v>330</v>
      </c>
      <c r="D852" s="105" t="s">
        <v>1012</v>
      </c>
      <c r="E852" s="105" t="s">
        <v>1013</v>
      </c>
      <c r="F852" s="493">
        <v>7595</v>
      </c>
      <c r="G852" s="105" t="s">
        <v>34</v>
      </c>
      <c r="H852" s="105" t="s">
        <v>342</v>
      </c>
      <c r="I852" s="105" t="s">
        <v>334</v>
      </c>
      <c r="J852" s="493">
        <v>22</v>
      </c>
      <c r="K852" s="493">
        <v>2</v>
      </c>
      <c r="L852" s="105" t="s">
        <v>343</v>
      </c>
      <c r="M852" s="105" t="s">
        <v>336</v>
      </c>
      <c r="N852" s="105" t="s">
        <v>337</v>
      </c>
      <c r="O852" s="105" t="s">
        <v>338</v>
      </c>
      <c r="P852" s="105" t="s">
        <v>339</v>
      </c>
      <c r="Q852" s="494">
        <v>0</v>
      </c>
      <c r="R852" s="494">
        <v>0</v>
      </c>
      <c r="S852" s="494">
        <v>1954947</v>
      </c>
      <c r="T852" s="494">
        <v>1954947</v>
      </c>
      <c r="U852" s="494">
        <v>572962</v>
      </c>
      <c r="V852" s="493">
        <v>2024</v>
      </c>
      <c r="W852" s="495"/>
      <c r="X852" s="496">
        <f t="shared" si="55"/>
        <v>3.4120011449275869</v>
      </c>
      <c r="Y852" s="497" t="str">
        <f t="shared" si="56"/>
        <v/>
      </c>
      <c r="Z852" s="497" t="str">
        <f t="shared" si="56"/>
        <v/>
      </c>
    </row>
    <row r="853" spans="1:26" s="82" customFormat="1" x14ac:dyDescent="0.4">
      <c r="A853" s="493">
        <v>54148</v>
      </c>
      <c r="B853" s="105" t="s">
        <v>329</v>
      </c>
      <c r="C853" s="493" t="s">
        <v>330</v>
      </c>
      <c r="D853" s="105" t="s">
        <v>1014</v>
      </c>
      <c r="E853" s="105" t="s">
        <v>1015</v>
      </c>
      <c r="F853" s="493">
        <v>56597</v>
      </c>
      <c r="G853" s="105" t="s">
        <v>34</v>
      </c>
      <c r="H853" s="105" t="s">
        <v>342</v>
      </c>
      <c r="I853" s="105" t="s">
        <v>334</v>
      </c>
      <c r="J853" s="493">
        <v>22</v>
      </c>
      <c r="K853" s="493">
        <v>2</v>
      </c>
      <c r="L853" s="105" t="s">
        <v>343</v>
      </c>
      <c r="M853" s="105" t="s">
        <v>336</v>
      </c>
      <c r="N853" s="105" t="s">
        <v>337</v>
      </c>
      <c r="O853" s="105" t="s">
        <v>338</v>
      </c>
      <c r="P853" s="105" t="s">
        <v>339</v>
      </c>
      <c r="Q853" s="494">
        <v>0</v>
      </c>
      <c r="R853" s="494">
        <v>0</v>
      </c>
      <c r="S853" s="494">
        <v>92268</v>
      </c>
      <c r="T853" s="494">
        <v>92268</v>
      </c>
      <c r="U853" s="494">
        <v>27042</v>
      </c>
      <c r="V853" s="493">
        <v>2024</v>
      </c>
      <c r="W853" s="495"/>
      <c r="X853" s="496">
        <f t="shared" si="55"/>
        <v>3.4120257377412915</v>
      </c>
      <c r="Y853" s="497" t="str">
        <f t="shared" si="56"/>
        <v/>
      </c>
      <c r="Z853" s="497" t="str">
        <f t="shared" si="56"/>
        <v/>
      </c>
    </row>
    <row r="854" spans="1:26" s="82" customFormat="1" ht="32" x14ac:dyDescent="0.4">
      <c r="A854" s="493">
        <v>54149</v>
      </c>
      <c r="B854" s="105" t="s">
        <v>433</v>
      </c>
      <c r="C854" s="493" t="s">
        <v>330</v>
      </c>
      <c r="D854" s="105" t="s">
        <v>1016</v>
      </c>
      <c r="E854" s="105" t="s">
        <v>1017</v>
      </c>
      <c r="F854" s="493">
        <v>13587</v>
      </c>
      <c r="G854" s="105" t="s">
        <v>52</v>
      </c>
      <c r="H854" s="105" t="s">
        <v>333</v>
      </c>
      <c r="I854" s="105" t="s">
        <v>334</v>
      </c>
      <c r="J854" s="493">
        <v>22</v>
      </c>
      <c r="K854" s="493">
        <v>3</v>
      </c>
      <c r="L854" s="105" t="s">
        <v>436</v>
      </c>
      <c r="M854" s="105" t="s">
        <v>295</v>
      </c>
      <c r="N854" s="105" t="s">
        <v>226</v>
      </c>
      <c r="O854" s="105" t="s">
        <v>226</v>
      </c>
      <c r="P854" s="105" t="s">
        <v>350</v>
      </c>
      <c r="Q854" s="494">
        <v>12</v>
      </c>
      <c r="R854" s="494">
        <v>10</v>
      </c>
      <c r="S854" s="494">
        <v>72</v>
      </c>
      <c r="T854" s="494">
        <v>42</v>
      </c>
      <c r="U854" s="494">
        <v>7.67</v>
      </c>
      <c r="V854" s="493">
        <v>2024</v>
      </c>
      <c r="W854" s="495"/>
      <c r="X854" s="496">
        <f t="shared" si="55"/>
        <v>5.475880052151239</v>
      </c>
      <c r="Y854" s="497" t="str">
        <f t="shared" si="56"/>
        <v/>
      </c>
      <c r="Z854" s="497" t="str">
        <f t="shared" si="56"/>
        <v/>
      </c>
    </row>
    <row r="855" spans="1:26" s="82" customFormat="1" ht="32" x14ac:dyDescent="0.4">
      <c r="A855" s="493">
        <v>54149</v>
      </c>
      <c r="B855" s="105" t="s">
        <v>433</v>
      </c>
      <c r="C855" s="493" t="s">
        <v>330</v>
      </c>
      <c r="D855" s="105" t="s">
        <v>1016</v>
      </c>
      <c r="E855" s="105" t="s">
        <v>1017</v>
      </c>
      <c r="F855" s="493">
        <v>13587</v>
      </c>
      <c r="G855" s="105" t="s">
        <v>52</v>
      </c>
      <c r="H855" s="105" t="s">
        <v>333</v>
      </c>
      <c r="I855" s="105" t="s">
        <v>334</v>
      </c>
      <c r="J855" s="493">
        <v>22</v>
      </c>
      <c r="K855" s="493">
        <v>3</v>
      </c>
      <c r="L855" s="105" t="s">
        <v>436</v>
      </c>
      <c r="M855" s="105" t="s">
        <v>295</v>
      </c>
      <c r="N855" s="105" t="s">
        <v>228</v>
      </c>
      <c r="O855" s="105" t="s">
        <v>228</v>
      </c>
      <c r="P855" s="105" t="s">
        <v>356</v>
      </c>
      <c r="Q855" s="494">
        <v>2981217</v>
      </c>
      <c r="R855" s="494">
        <v>1644445</v>
      </c>
      <c r="S855" s="494">
        <v>3082577</v>
      </c>
      <c r="T855" s="494">
        <v>1700356</v>
      </c>
      <c r="U855" s="494">
        <v>309300.33</v>
      </c>
      <c r="V855" s="493">
        <v>2024</v>
      </c>
      <c r="W855" s="495"/>
      <c r="X855" s="496">
        <f t="shared" si="55"/>
        <v>5.4974270476853349</v>
      </c>
      <c r="Y855" s="497" t="str">
        <f t="shared" si="56"/>
        <v/>
      </c>
      <c r="Z855" s="497" t="str">
        <f t="shared" si="56"/>
        <v/>
      </c>
    </row>
    <row r="856" spans="1:26" s="82" customFormat="1" ht="32" x14ac:dyDescent="0.4">
      <c r="A856" s="493">
        <v>54225</v>
      </c>
      <c r="B856" s="105" t="s">
        <v>433</v>
      </c>
      <c r="C856" s="493" t="s">
        <v>330</v>
      </c>
      <c r="D856" s="105" t="s">
        <v>1018</v>
      </c>
      <c r="E856" s="105" t="s">
        <v>1019</v>
      </c>
      <c r="F856" s="493">
        <v>7209</v>
      </c>
      <c r="G856" s="105" t="s">
        <v>33</v>
      </c>
      <c r="H856" s="105" t="s">
        <v>342</v>
      </c>
      <c r="I856" s="105" t="s">
        <v>334</v>
      </c>
      <c r="J856" s="493">
        <v>332</v>
      </c>
      <c r="K856" s="493">
        <v>7</v>
      </c>
      <c r="L856" s="105" t="s">
        <v>727</v>
      </c>
      <c r="M856" s="105" t="s">
        <v>295</v>
      </c>
      <c r="N856" s="105" t="s">
        <v>226</v>
      </c>
      <c r="O856" s="105" t="s">
        <v>226</v>
      </c>
      <c r="P856" s="105" t="s">
        <v>350</v>
      </c>
      <c r="Q856" s="494">
        <v>128</v>
      </c>
      <c r="R856" s="494">
        <v>34</v>
      </c>
      <c r="S856" s="494">
        <v>752</v>
      </c>
      <c r="T856" s="494">
        <v>209</v>
      </c>
      <c r="U856" s="494">
        <v>50.61</v>
      </c>
      <c r="V856" s="493">
        <v>2024</v>
      </c>
      <c r="W856" s="495"/>
      <c r="X856" s="496" t="str">
        <f t="shared" si="55"/>
        <v/>
      </c>
      <c r="Y856" s="497" t="str">
        <f t="shared" si="56"/>
        <v/>
      </c>
      <c r="Z856" s="497" t="str">
        <f t="shared" si="56"/>
        <v/>
      </c>
    </row>
    <row r="857" spans="1:26" s="82" customFormat="1" ht="32" x14ac:dyDescent="0.4">
      <c r="A857" s="493">
        <v>54225</v>
      </c>
      <c r="B857" s="105" t="s">
        <v>433</v>
      </c>
      <c r="C857" s="493" t="s">
        <v>330</v>
      </c>
      <c r="D857" s="105" t="s">
        <v>1018</v>
      </c>
      <c r="E857" s="105" t="s">
        <v>1019</v>
      </c>
      <c r="F857" s="493">
        <v>7209</v>
      </c>
      <c r="G857" s="105" t="s">
        <v>33</v>
      </c>
      <c r="H857" s="105" t="s">
        <v>342</v>
      </c>
      <c r="I857" s="105" t="s">
        <v>334</v>
      </c>
      <c r="J857" s="493">
        <v>332</v>
      </c>
      <c r="K857" s="493">
        <v>7</v>
      </c>
      <c r="L857" s="105" t="s">
        <v>727</v>
      </c>
      <c r="M857" s="105" t="s">
        <v>295</v>
      </c>
      <c r="N857" s="105" t="s">
        <v>228</v>
      </c>
      <c r="O857" s="105" t="s">
        <v>228</v>
      </c>
      <c r="P857" s="105" t="s">
        <v>356</v>
      </c>
      <c r="Q857" s="494">
        <v>784886</v>
      </c>
      <c r="R857" s="494">
        <v>218356</v>
      </c>
      <c r="S857" s="494">
        <v>807206</v>
      </c>
      <c r="T857" s="494">
        <v>224559</v>
      </c>
      <c r="U857" s="494">
        <v>54626.39</v>
      </c>
      <c r="V857" s="493">
        <v>2024</v>
      </c>
      <c r="W857" s="495"/>
      <c r="X857" s="496" t="str">
        <f t="shared" si="55"/>
        <v/>
      </c>
      <c r="Y857" s="497">
        <f t="shared" si="56"/>
        <v>6.8411345044305785</v>
      </c>
      <c r="Z857" s="497">
        <f t="shared" si="56"/>
        <v>6.8411345044305785</v>
      </c>
    </row>
    <row r="858" spans="1:26" s="82" customFormat="1" ht="32" x14ac:dyDescent="0.4">
      <c r="A858" s="493">
        <v>54225</v>
      </c>
      <c r="B858" s="105" t="s">
        <v>433</v>
      </c>
      <c r="C858" s="493" t="s">
        <v>330</v>
      </c>
      <c r="D858" s="105" t="s">
        <v>1018</v>
      </c>
      <c r="E858" s="105" t="s">
        <v>1019</v>
      </c>
      <c r="F858" s="493">
        <v>7209</v>
      </c>
      <c r="G858" s="105" t="s">
        <v>33</v>
      </c>
      <c r="H858" s="105" t="s">
        <v>342</v>
      </c>
      <c r="I858" s="105" t="s">
        <v>334</v>
      </c>
      <c r="J858" s="493">
        <v>332</v>
      </c>
      <c r="K858" s="493">
        <v>7</v>
      </c>
      <c r="L858" s="105" t="s">
        <v>727</v>
      </c>
      <c r="M858" s="105" t="s">
        <v>295</v>
      </c>
      <c r="N858" s="105" t="s">
        <v>238</v>
      </c>
      <c r="O858" s="105" t="s">
        <v>238</v>
      </c>
      <c r="P858" s="105" t="s">
        <v>350</v>
      </c>
      <c r="Q858" s="494">
        <v>0</v>
      </c>
      <c r="R858" s="494">
        <v>0</v>
      </c>
      <c r="S858" s="494">
        <v>0</v>
      </c>
      <c r="T858" s="494">
        <v>0</v>
      </c>
      <c r="U858" s="494">
        <v>0</v>
      </c>
      <c r="V858" s="493">
        <v>2024</v>
      </c>
      <c r="W858" s="495"/>
      <c r="X858" s="496" t="str">
        <f t="shared" si="55"/>
        <v/>
      </c>
      <c r="Y858" s="497" t="str">
        <f t="shared" si="56"/>
        <v/>
      </c>
      <c r="Z858" s="497" t="str">
        <f t="shared" si="56"/>
        <v/>
      </c>
    </row>
    <row r="859" spans="1:26" s="82" customFormat="1" ht="32" x14ac:dyDescent="0.4">
      <c r="A859" s="493">
        <v>54225</v>
      </c>
      <c r="B859" s="105" t="s">
        <v>433</v>
      </c>
      <c r="C859" s="493" t="s">
        <v>330</v>
      </c>
      <c r="D859" s="105" t="s">
        <v>1018</v>
      </c>
      <c r="E859" s="105" t="s">
        <v>1019</v>
      </c>
      <c r="F859" s="493">
        <v>7209</v>
      </c>
      <c r="G859" s="105" t="s">
        <v>33</v>
      </c>
      <c r="H859" s="105" t="s">
        <v>342</v>
      </c>
      <c r="I859" s="105" t="s">
        <v>334</v>
      </c>
      <c r="J859" s="493">
        <v>332</v>
      </c>
      <c r="K859" s="493">
        <v>7</v>
      </c>
      <c r="L859" s="105" t="s">
        <v>727</v>
      </c>
      <c r="M859" s="105" t="s">
        <v>359</v>
      </c>
      <c r="N859" s="105" t="s">
        <v>226</v>
      </c>
      <c r="O859" s="105" t="s">
        <v>226</v>
      </c>
      <c r="P859" s="105" t="s">
        <v>350</v>
      </c>
      <c r="Q859" s="494">
        <v>1</v>
      </c>
      <c r="R859" s="494">
        <v>0</v>
      </c>
      <c r="S859" s="494">
        <v>6</v>
      </c>
      <c r="T859" s="494">
        <v>0</v>
      </c>
      <c r="U859" s="494">
        <v>0</v>
      </c>
      <c r="V859" s="493">
        <v>2024</v>
      </c>
      <c r="W859" s="495"/>
      <c r="X859" s="496" t="str">
        <f t="shared" si="55"/>
        <v/>
      </c>
      <c r="Y859" s="497" t="str">
        <f t="shared" si="56"/>
        <v/>
      </c>
      <c r="Z859" s="497" t="str">
        <f t="shared" si="56"/>
        <v/>
      </c>
    </row>
    <row r="860" spans="1:26" s="82" customFormat="1" ht="32" x14ac:dyDescent="0.4">
      <c r="A860" s="493">
        <v>54225</v>
      </c>
      <c r="B860" s="105" t="s">
        <v>433</v>
      </c>
      <c r="C860" s="493" t="s">
        <v>330</v>
      </c>
      <c r="D860" s="105" t="s">
        <v>1018</v>
      </c>
      <c r="E860" s="105" t="s">
        <v>1019</v>
      </c>
      <c r="F860" s="493">
        <v>7209</v>
      </c>
      <c r="G860" s="105" t="s">
        <v>33</v>
      </c>
      <c r="H860" s="105" t="s">
        <v>342</v>
      </c>
      <c r="I860" s="105" t="s">
        <v>334</v>
      </c>
      <c r="J860" s="493">
        <v>332</v>
      </c>
      <c r="K860" s="493">
        <v>7</v>
      </c>
      <c r="L860" s="105" t="s">
        <v>727</v>
      </c>
      <c r="M860" s="105" t="s">
        <v>360</v>
      </c>
      <c r="N860" s="105" t="s">
        <v>226</v>
      </c>
      <c r="O860" s="105" t="s">
        <v>226</v>
      </c>
      <c r="P860" s="105" t="s">
        <v>350</v>
      </c>
      <c r="Q860" s="494">
        <v>0</v>
      </c>
      <c r="R860" s="494">
        <v>0</v>
      </c>
      <c r="S860" s="494">
        <v>0</v>
      </c>
      <c r="T860" s="494">
        <v>0</v>
      </c>
      <c r="U860" s="494">
        <v>0</v>
      </c>
      <c r="V860" s="493">
        <v>2024</v>
      </c>
      <c r="W860" s="495"/>
      <c r="X860" s="496" t="str">
        <f t="shared" si="55"/>
        <v/>
      </c>
      <c r="Y860" s="497" t="str">
        <f t="shared" si="56"/>
        <v/>
      </c>
      <c r="Z860" s="497" t="str">
        <f t="shared" si="56"/>
        <v/>
      </c>
    </row>
    <row r="861" spans="1:26" s="82" customFormat="1" ht="32" x14ac:dyDescent="0.4">
      <c r="A861" s="493">
        <v>54225</v>
      </c>
      <c r="B861" s="105" t="s">
        <v>433</v>
      </c>
      <c r="C861" s="493" t="s">
        <v>330</v>
      </c>
      <c r="D861" s="105" t="s">
        <v>1018</v>
      </c>
      <c r="E861" s="105" t="s">
        <v>1019</v>
      </c>
      <c r="F861" s="493">
        <v>7209</v>
      </c>
      <c r="G861" s="105" t="s">
        <v>33</v>
      </c>
      <c r="H861" s="105" t="s">
        <v>342</v>
      </c>
      <c r="I861" s="105" t="s">
        <v>334</v>
      </c>
      <c r="J861" s="493">
        <v>332</v>
      </c>
      <c r="K861" s="493">
        <v>7</v>
      </c>
      <c r="L861" s="105" t="s">
        <v>727</v>
      </c>
      <c r="M861" s="105" t="s">
        <v>360</v>
      </c>
      <c r="N861" s="105" t="s">
        <v>228</v>
      </c>
      <c r="O861" s="105" t="s">
        <v>228</v>
      </c>
      <c r="P861" s="105" t="s">
        <v>356</v>
      </c>
      <c r="Q861" s="494">
        <v>3682</v>
      </c>
      <c r="R861" s="494">
        <v>3607</v>
      </c>
      <c r="S861" s="494">
        <v>3780</v>
      </c>
      <c r="T861" s="494">
        <v>3702</v>
      </c>
      <c r="U861" s="494">
        <v>5730</v>
      </c>
      <c r="V861" s="493">
        <v>2024</v>
      </c>
      <c r="W861" s="495"/>
      <c r="X861" s="496" t="str">
        <f t="shared" si="55"/>
        <v/>
      </c>
      <c r="Y861" s="497" t="str">
        <f t="shared" si="56"/>
        <v/>
      </c>
      <c r="Z861" s="497" t="str">
        <f t="shared" si="56"/>
        <v/>
      </c>
    </row>
    <row r="862" spans="1:26" s="82" customFormat="1" ht="32" x14ac:dyDescent="0.4">
      <c r="A862" s="493">
        <v>54228</v>
      </c>
      <c r="B862" s="105" t="s">
        <v>433</v>
      </c>
      <c r="C862" s="493" t="s">
        <v>330</v>
      </c>
      <c r="D862" s="105" t="s">
        <v>1020</v>
      </c>
      <c r="E862" s="105" t="s">
        <v>1021</v>
      </c>
      <c r="F862" s="493">
        <v>5989</v>
      </c>
      <c r="G862" s="105" t="s">
        <v>33</v>
      </c>
      <c r="H862" s="105" t="s">
        <v>342</v>
      </c>
      <c r="I862" s="105" t="s">
        <v>334</v>
      </c>
      <c r="J862" s="493">
        <v>322122</v>
      </c>
      <c r="K862" s="493">
        <v>7</v>
      </c>
      <c r="L862" s="105" t="s">
        <v>727</v>
      </c>
      <c r="M862" s="105" t="s">
        <v>295</v>
      </c>
      <c r="N862" s="105" t="s">
        <v>226</v>
      </c>
      <c r="O862" s="105" t="s">
        <v>226</v>
      </c>
      <c r="P862" s="105" t="s">
        <v>350</v>
      </c>
      <c r="Q862" s="494">
        <v>1864</v>
      </c>
      <c r="R862" s="494">
        <v>649</v>
      </c>
      <c r="S862" s="494">
        <v>10959</v>
      </c>
      <c r="T862" s="494">
        <v>3814</v>
      </c>
      <c r="U862" s="494">
        <v>786.93399999999997</v>
      </c>
      <c r="V862" s="493">
        <v>2024</v>
      </c>
      <c r="W862" s="495"/>
      <c r="X862" s="496" t="str">
        <f t="shared" si="55"/>
        <v/>
      </c>
      <c r="Y862" s="497" t="str">
        <f t="shared" si="56"/>
        <v/>
      </c>
      <c r="Z862" s="497" t="str">
        <f t="shared" si="56"/>
        <v/>
      </c>
    </row>
    <row r="863" spans="1:26" s="82" customFormat="1" ht="32" x14ac:dyDescent="0.4">
      <c r="A863" s="493">
        <v>54228</v>
      </c>
      <c r="B863" s="105" t="s">
        <v>433</v>
      </c>
      <c r="C863" s="493" t="s">
        <v>330</v>
      </c>
      <c r="D863" s="105" t="s">
        <v>1020</v>
      </c>
      <c r="E863" s="105" t="s">
        <v>1021</v>
      </c>
      <c r="F863" s="493">
        <v>5989</v>
      </c>
      <c r="G863" s="105" t="s">
        <v>33</v>
      </c>
      <c r="H863" s="105" t="s">
        <v>342</v>
      </c>
      <c r="I863" s="105" t="s">
        <v>334</v>
      </c>
      <c r="J863" s="493">
        <v>322122</v>
      </c>
      <c r="K863" s="493">
        <v>7</v>
      </c>
      <c r="L863" s="105" t="s">
        <v>727</v>
      </c>
      <c r="M863" s="105" t="s">
        <v>295</v>
      </c>
      <c r="N863" s="105" t="s">
        <v>228</v>
      </c>
      <c r="O863" s="105" t="s">
        <v>228</v>
      </c>
      <c r="P863" s="105" t="s">
        <v>356</v>
      </c>
      <c r="Q863" s="494">
        <v>546033</v>
      </c>
      <c r="R863" s="494">
        <v>188781</v>
      </c>
      <c r="S863" s="494">
        <v>546033</v>
      </c>
      <c r="T863" s="494">
        <v>188781</v>
      </c>
      <c r="U863" s="494">
        <v>38957.065999999999</v>
      </c>
      <c r="V863" s="493">
        <v>2024</v>
      </c>
      <c r="W863" s="495"/>
      <c r="X863" s="496" t="str">
        <f t="shared" si="55"/>
        <v/>
      </c>
      <c r="Y863" s="497">
        <f t="shared" si="56"/>
        <v>6.489016794939217</v>
      </c>
      <c r="Z863" s="497">
        <f t="shared" si="56"/>
        <v>6.489016794939217</v>
      </c>
    </row>
    <row r="864" spans="1:26" s="82" customFormat="1" ht="32" x14ac:dyDescent="0.4">
      <c r="A864" s="493">
        <v>54228</v>
      </c>
      <c r="B864" s="105" t="s">
        <v>433</v>
      </c>
      <c r="C864" s="493" t="s">
        <v>330</v>
      </c>
      <c r="D864" s="105" t="s">
        <v>1020</v>
      </c>
      <c r="E864" s="105" t="s">
        <v>1021</v>
      </c>
      <c r="F864" s="493">
        <v>5989</v>
      </c>
      <c r="G864" s="105" t="s">
        <v>33</v>
      </c>
      <c r="H864" s="105" t="s">
        <v>342</v>
      </c>
      <c r="I864" s="105" t="s">
        <v>334</v>
      </c>
      <c r="J864" s="493">
        <v>322122</v>
      </c>
      <c r="K864" s="493">
        <v>7</v>
      </c>
      <c r="L864" s="105" t="s">
        <v>727</v>
      </c>
      <c r="M864" s="105" t="s">
        <v>360</v>
      </c>
      <c r="N864" s="105" t="s">
        <v>228</v>
      </c>
      <c r="O864" s="105" t="s">
        <v>228</v>
      </c>
      <c r="P864" s="105" t="s">
        <v>356</v>
      </c>
      <c r="Q864" s="494">
        <v>0</v>
      </c>
      <c r="R864" s="494">
        <v>0</v>
      </c>
      <c r="S864" s="494">
        <v>0</v>
      </c>
      <c r="T864" s="494">
        <v>0</v>
      </c>
      <c r="U864" s="494">
        <v>2832.4</v>
      </c>
      <c r="V864" s="493">
        <v>2024</v>
      </c>
      <c r="W864" s="495"/>
      <c r="X864" s="496" t="str">
        <f t="shared" si="55"/>
        <v/>
      </c>
      <c r="Y864" s="497" t="str">
        <f t="shared" si="56"/>
        <v/>
      </c>
      <c r="Z864" s="497" t="str">
        <f t="shared" si="56"/>
        <v/>
      </c>
    </row>
    <row r="865" spans="1:26" s="82" customFormat="1" ht="32" x14ac:dyDescent="0.4">
      <c r="A865" s="493">
        <v>54228</v>
      </c>
      <c r="B865" s="105" t="s">
        <v>433</v>
      </c>
      <c r="C865" s="493" t="s">
        <v>330</v>
      </c>
      <c r="D865" s="105" t="s">
        <v>1020</v>
      </c>
      <c r="E865" s="105" t="s">
        <v>1021</v>
      </c>
      <c r="F865" s="493">
        <v>5989</v>
      </c>
      <c r="G865" s="105" t="s">
        <v>33</v>
      </c>
      <c r="H865" s="105" t="s">
        <v>342</v>
      </c>
      <c r="I865" s="105" t="s">
        <v>334</v>
      </c>
      <c r="J865" s="493">
        <v>322122</v>
      </c>
      <c r="K865" s="493">
        <v>7</v>
      </c>
      <c r="L865" s="105" t="s">
        <v>727</v>
      </c>
      <c r="M865" s="105" t="s">
        <v>360</v>
      </c>
      <c r="N865" s="105" t="s">
        <v>232</v>
      </c>
      <c r="O865" s="105" t="s">
        <v>232</v>
      </c>
      <c r="P865" s="105" t="s">
        <v>339</v>
      </c>
      <c r="Q865" s="494">
        <v>0</v>
      </c>
      <c r="R865" s="494">
        <v>0</v>
      </c>
      <c r="S865" s="494">
        <v>0</v>
      </c>
      <c r="T865" s="494">
        <v>0</v>
      </c>
      <c r="U865" s="494">
        <v>0</v>
      </c>
      <c r="V865" s="493">
        <v>2024</v>
      </c>
      <c r="W865" s="495"/>
      <c r="X865" s="496" t="str">
        <f t="shared" si="55"/>
        <v/>
      </c>
      <c r="Y865" s="497" t="str">
        <f t="shared" si="56"/>
        <v/>
      </c>
      <c r="Z865" s="497" t="str">
        <f t="shared" si="56"/>
        <v/>
      </c>
    </row>
    <row r="866" spans="1:26" s="82" customFormat="1" ht="32" x14ac:dyDescent="0.4">
      <c r="A866" s="493">
        <v>54236</v>
      </c>
      <c r="B866" s="105" t="s">
        <v>433</v>
      </c>
      <c r="C866" s="493" t="s">
        <v>330</v>
      </c>
      <c r="D866" s="105" t="s">
        <v>1022</v>
      </c>
      <c r="E866" s="105" t="s">
        <v>1023</v>
      </c>
      <c r="F866" s="493">
        <v>14928</v>
      </c>
      <c r="G866" s="105" t="s">
        <v>37</v>
      </c>
      <c r="H866" s="105" t="s">
        <v>342</v>
      </c>
      <c r="I866" s="105" t="s">
        <v>334</v>
      </c>
      <c r="J866" s="493">
        <v>325</v>
      </c>
      <c r="K866" s="493">
        <v>7</v>
      </c>
      <c r="L866" s="105" t="s">
        <v>727</v>
      </c>
      <c r="M866" s="105" t="s">
        <v>295</v>
      </c>
      <c r="N866" s="105" t="s">
        <v>226</v>
      </c>
      <c r="O866" s="105" t="s">
        <v>226</v>
      </c>
      <c r="P866" s="105" t="s">
        <v>350</v>
      </c>
      <c r="Q866" s="494">
        <v>1558</v>
      </c>
      <c r="R866" s="494">
        <v>473</v>
      </c>
      <c r="S866" s="494">
        <v>9067</v>
      </c>
      <c r="T866" s="494">
        <v>2747</v>
      </c>
      <c r="U866" s="494">
        <v>611.66200000000003</v>
      </c>
      <c r="V866" s="493">
        <v>2024</v>
      </c>
      <c r="W866" s="495"/>
      <c r="X866" s="496" t="str">
        <f t="shared" si="55"/>
        <v/>
      </c>
      <c r="Y866" s="497" t="str">
        <f t="shared" si="56"/>
        <v/>
      </c>
      <c r="Z866" s="497" t="str">
        <f t="shared" si="56"/>
        <v/>
      </c>
    </row>
    <row r="867" spans="1:26" s="82" customFormat="1" ht="32" x14ac:dyDescent="0.4">
      <c r="A867" s="493">
        <v>54236</v>
      </c>
      <c r="B867" s="105" t="s">
        <v>433</v>
      </c>
      <c r="C867" s="493" t="s">
        <v>330</v>
      </c>
      <c r="D867" s="105" t="s">
        <v>1022</v>
      </c>
      <c r="E867" s="105" t="s">
        <v>1023</v>
      </c>
      <c r="F867" s="493">
        <v>14928</v>
      </c>
      <c r="G867" s="105" t="s">
        <v>37</v>
      </c>
      <c r="H867" s="105" t="s">
        <v>342</v>
      </c>
      <c r="I867" s="105" t="s">
        <v>334</v>
      </c>
      <c r="J867" s="493">
        <v>325</v>
      </c>
      <c r="K867" s="493">
        <v>7</v>
      </c>
      <c r="L867" s="105" t="s">
        <v>727</v>
      </c>
      <c r="M867" s="105" t="s">
        <v>295</v>
      </c>
      <c r="N867" s="105" t="s">
        <v>228</v>
      </c>
      <c r="O867" s="105" t="s">
        <v>228</v>
      </c>
      <c r="P867" s="105" t="s">
        <v>356</v>
      </c>
      <c r="Q867" s="494">
        <v>792641</v>
      </c>
      <c r="R867" s="494">
        <v>258740</v>
      </c>
      <c r="S867" s="494">
        <v>814041</v>
      </c>
      <c r="T867" s="494">
        <v>265727</v>
      </c>
      <c r="U867" s="494">
        <v>59188.338000000003</v>
      </c>
      <c r="V867" s="493">
        <v>2024</v>
      </c>
      <c r="W867" s="495"/>
      <c r="X867" s="496" t="str">
        <f t="shared" si="55"/>
        <v/>
      </c>
      <c r="Y867" s="497">
        <f t="shared" si="56"/>
        <v>6.3673156920428031</v>
      </c>
      <c r="Z867" s="497">
        <f t="shared" si="56"/>
        <v>6.3673156920428031</v>
      </c>
    </row>
    <row r="868" spans="1:26" s="82" customFormat="1" ht="32" x14ac:dyDescent="0.4">
      <c r="A868" s="493">
        <v>54236</v>
      </c>
      <c r="B868" s="105" t="s">
        <v>433</v>
      </c>
      <c r="C868" s="493" t="s">
        <v>330</v>
      </c>
      <c r="D868" s="105" t="s">
        <v>1022</v>
      </c>
      <c r="E868" s="105" t="s">
        <v>1023</v>
      </c>
      <c r="F868" s="493">
        <v>14928</v>
      </c>
      <c r="G868" s="105" t="s">
        <v>37</v>
      </c>
      <c r="H868" s="105" t="s">
        <v>342</v>
      </c>
      <c r="I868" s="105" t="s">
        <v>334</v>
      </c>
      <c r="J868" s="493">
        <v>325</v>
      </c>
      <c r="K868" s="493">
        <v>7</v>
      </c>
      <c r="L868" s="105" t="s">
        <v>727</v>
      </c>
      <c r="M868" s="105" t="s">
        <v>295</v>
      </c>
      <c r="N868" s="105" t="s">
        <v>238</v>
      </c>
      <c r="O868" s="105" t="s">
        <v>238</v>
      </c>
      <c r="P868" s="105" t="s">
        <v>350</v>
      </c>
      <c r="Q868" s="494">
        <v>0</v>
      </c>
      <c r="R868" s="494">
        <v>0</v>
      </c>
      <c r="S868" s="494">
        <v>0</v>
      </c>
      <c r="T868" s="494">
        <v>0</v>
      </c>
      <c r="U868" s="494">
        <v>0</v>
      </c>
      <c r="V868" s="493">
        <v>2024</v>
      </c>
      <c r="W868" s="495"/>
      <c r="X868" s="496" t="str">
        <f t="shared" si="55"/>
        <v/>
      </c>
      <c r="Y868" s="497" t="str">
        <f t="shared" ref="Y868:Z887" si="57">IF(AND($M868=$Y$2,$N868=$Y$3,NOT($Q868=$R868),NOT($U868=0)),IF($K868=5,$S868/($U868+(8/5)*$U868),IF($K868=7,$S868/($U868+(29/25)*$U868),"")),"")</f>
        <v/>
      </c>
      <c r="Z868" s="497" t="str">
        <f t="shared" si="57"/>
        <v/>
      </c>
    </row>
    <row r="869" spans="1:26" s="82" customFormat="1" ht="32" x14ac:dyDescent="0.4">
      <c r="A869" s="493">
        <v>54236</v>
      </c>
      <c r="B869" s="105" t="s">
        <v>433</v>
      </c>
      <c r="C869" s="493" t="s">
        <v>330</v>
      </c>
      <c r="D869" s="105" t="s">
        <v>1022</v>
      </c>
      <c r="E869" s="105" t="s">
        <v>1023</v>
      </c>
      <c r="F869" s="493">
        <v>14928</v>
      </c>
      <c r="G869" s="105" t="s">
        <v>37</v>
      </c>
      <c r="H869" s="105" t="s">
        <v>342</v>
      </c>
      <c r="I869" s="105" t="s">
        <v>334</v>
      </c>
      <c r="J869" s="493">
        <v>325</v>
      </c>
      <c r="K869" s="493">
        <v>7</v>
      </c>
      <c r="L869" s="105" t="s">
        <v>727</v>
      </c>
      <c r="M869" s="105" t="s">
        <v>360</v>
      </c>
      <c r="N869" s="105" t="s">
        <v>226</v>
      </c>
      <c r="O869" s="105" t="s">
        <v>226</v>
      </c>
      <c r="P869" s="105" t="s">
        <v>350</v>
      </c>
      <c r="Q869" s="494">
        <v>15363</v>
      </c>
      <c r="R869" s="494">
        <v>992</v>
      </c>
      <c r="S869" s="494">
        <v>89412</v>
      </c>
      <c r="T869" s="494">
        <v>5768</v>
      </c>
      <c r="U869" s="494">
        <v>1233.732</v>
      </c>
      <c r="V869" s="493">
        <v>2024</v>
      </c>
      <c r="W869" s="495"/>
      <c r="X869" s="496" t="str">
        <f t="shared" si="55"/>
        <v/>
      </c>
      <c r="Y869" s="497" t="str">
        <f t="shared" si="57"/>
        <v/>
      </c>
      <c r="Z869" s="497" t="str">
        <f t="shared" si="57"/>
        <v/>
      </c>
    </row>
    <row r="870" spans="1:26" s="82" customFormat="1" ht="32" x14ac:dyDescent="0.4">
      <c r="A870" s="493">
        <v>54236</v>
      </c>
      <c r="B870" s="105" t="s">
        <v>433</v>
      </c>
      <c r="C870" s="493" t="s">
        <v>330</v>
      </c>
      <c r="D870" s="105" t="s">
        <v>1022</v>
      </c>
      <c r="E870" s="105" t="s">
        <v>1023</v>
      </c>
      <c r="F870" s="493">
        <v>14928</v>
      </c>
      <c r="G870" s="105" t="s">
        <v>37</v>
      </c>
      <c r="H870" s="105" t="s">
        <v>342</v>
      </c>
      <c r="I870" s="105" t="s">
        <v>334</v>
      </c>
      <c r="J870" s="493">
        <v>325</v>
      </c>
      <c r="K870" s="493">
        <v>7</v>
      </c>
      <c r="L870" s="105" t="s">
        <v>727</v>
      </c>
      <c r="M870" s="105" t="s">
        <v>360</v>
      </c>
      <c r="N870" s="105" t="s">
        <v>228</v>
      </c>
      <c r="O870" s="105" t="s">
        <v>228</v>
      </c>
      <c r="P870" s="105" t="s">
        <v>356</v>
      </c>
      <c r="Q870" s="494">
        <v>860405</v>
      </c>
      <c r="R870" s="494">
        <v>75800</v>
      </c>
      <c r="S870" s="494">
        <v>883636</v>
      </c>
      <c r="T870" s="494">
        <v>77846</v>
      </c>
      <c r="U870" s="494">
        <v>16650.898000000001</v>
      </c>
      <c r="V870" s="493">
        <v>2024</v>
      </c>
      <c r="W870" s="495"/>
      <c r="X870" s="496" t="str">
        <f t="shared" si="55"/>
        <v/>
      </c>
      <c r="Y870" s="497" t="str">
        <f t="shared" si="57"/>
        <v/>
      </c>
      <c r="Z870" s="497" t="str">
        <f t="shared" si="57"/>
        <v/>
      </c>
    </row>
    <row r="871" spans="1:26" s="82" customFormat="1" ht="32" x14ac:dyDescent="0.4">
      <c r="A871" s="493">
        <v>54236</v>
      </c>
      <c r="B871" s="105" t="s">
        <v>433</v>
      </c>
      <c r="C871" s="493" t="s">
        <v>330</v>
      </c>
      <c r="D871" s="105" t="s">
        <v>1022</v>
      </c>
      <c r="E871" s="105" t="s">
        <v>1023</v>
      </c>
      <c r="F871" s="493">
        <v>14928</v>
      </c>
      <c r="G871" s="105" t="s">
        <v>37</v>
      </c>
      <c r="H871" s="105" t="s">
        <v>342</v>
      </c>
      <c r="I871" s="105" t="s">
        <v>334</v>
      </c>
      <c r="J871" s="493">
        <v>325</v>
      </c>
      <c r="K871" s="493">
        <v>7</v>
      </c>
      <c r="L871" s="105" t="s">
        <v>727</v>
      </c>
      <c r="M871" s="105" t="s">
        <v>360</v>
      </c>
      <c r="N871" s="105" t="s">
        <v>246</v>
      </c>
      <c r="O871" s="105" t="s">
        <v>349</v>
      </c>
      <c r="P871" s="105" t="s">
        <v>356</v>
      </c>
      <c r="Q871" s="494">
        <v>0</v>
      </c>
      <c r="R871" s="494">
        <v>0</v>
      </c>
      <c r="S871" s="494">
        <v>0</v>
      </c>
      <c r="T871" s="494">
        <v>0</v>
      </c>
      <c r="U871" s="494">
        <v>0</v>
      </c>
      <c r="V871" s="493">
        <v>2024</v>
      </c>
      <c r="W871" s="495"/>
      <c r="X871" s="496" t="str">
        <f t="shared" si="55"/>
        <v/>
      </c>
      <c r="Y871" s="497" t="str">
        <f t="shared" si="57"/>
        <v/>
      </c>
      <c r="Z871" s="497" t="str">
        <f t="shared" si="57"/>
        <v/>
      </c>
    </row>
    <row r="872" spans="1:26" s="82" customFormat="1" ht="32" x14ac:dyDescent="0.4">
      <c r="A872" s="493">
        <v>54302</v>
      </c>
      <c r="B872" s="105" t="s">
        <v>329</v>
      </c>
      <c r="C872" s="493" t="s">
        <v>330</v>
      </c>
      <c r="D872" s="105" t="s">
        <v>1024</v>
      </c>
      <c r="E872" s="105" t="s">
        <v>1025</v>
      </c>
      <c r="F872" s="493">
        <v>12382</v>
      </c>
      <c r="G872" s="105" t="s">
        <v>37</v>
      </c>
      <c r="H872" s="105" t="s">
        <v>342</v>
      </c>
      <c r="I872" s="105" t="s">
        <v>334</v>
      </c>
      <c r="J872" s="493">
        <v>22</v>
      </c>
      <c r="K872" s="493">
        <v>2</v>
      </c>
      <c r="L872" s="105" t="s">
        <v>343</v>
      </c>
      <c r="M872" s="105" t="s">
        <v>336</v>
      </c>
      <c r="N872" s="105" t="s">
        <v>337</v>
      </c>
      <c r="O872" s="105" t="s">
        <v>338</v>
      </c>
      <c r="P872" s="105" t="s">
        <v>339</v>
      </c>
      <c r="Q872" s="494">
        <v>0</v>
      </c>
      <c r="R872" s="494">
        <v>0</v>
      </c>
      <c r="S872" s="494">
        <v>30367</v>
      </c>
      <c r="T872" s="494">
        <v>30367</v>
      </c>
      <c r="U872" s="494">
        <v>8900</v>
      </c>
      <c r="V872" s="493">
        <v>2024</v>
      </c>
      <c r="W872" s="495"/>
      <c r="X872" s="496">
        <f t="shared" si="55"/>
        <v>3.4120224719101122</v>
      </c>
      <c r="Y872" s="497" t="str">
        <f t="shared" si="57"/>
        <v/>
      </c>
      <c r="Z872" s="497" t="str">
        <f t="shared" si="57"/>
        <v/>
      </c>
    </row>
    <row r="873" spans="1:26" s="82" customFormat="1" x14ac:dyDescent="0.4">
      <c r="A873" s="493">
        <v>54324</v>
      </c>
      <c r="B873" s="105" t="s">
        <v>329</v>
      </c>
      <c r="C873" s="493" t="s">
        <v>330</v>
      </c>
      <c r="D873" s="105" t="s">
        <v>1026</v>
      </c>
      <c r="E873" s="105" t="s">
        <v>1026</v>
      </c>
      <c r="F873" s="493">
        <v>27770</v>
      </c>
      <c r="G873" s="105" t="s">
        <v>38</v>
      </c>
      <c r="H873" s="105" t="s">
        <v>342</v>
      </c>
      <c r="I873" s="105" t="s">
        <v>334</v>
      </c>
      <c r="J873" s="493">
        <v>22</v>
      </c>
      <c r="K873" s="493">
        <v>2</v>
      </c>
      <c r="L873" s="105" t="s">
        <v>343</v>
      </c>
      <c r="M873" s="105" t="s">
        <v>380</v>
      </c>
      <c r="N873" s="105" t="s">
        <v>226</v>
      </c>
      <c r="O873" s="105" t="s">
        <v>226</v>
      </c>
      <c r="P873" s="105" t="s">
        <v>350</v>
      </c>
      <c r="Q873" s="494">
        <v>0</v>
      </c>
      <c r="R873" s="494">
        <v>0</v>
      </c>
      <c r="S873" s="494">
        <v>0</v>
      </c>
      <c r="T873" s="494">
        <v>0</v>
      </c>
      <c r="U873" s="494">
        <v>189.048</v>
      </c>
      <c r="V873" s="493">
        <v>2024</v>
      </c>
      <c r="W873" s="495" t="s">
        <v>355</v>
      </c>
      <c r="X873" s="496" t="str">
        <f t="shared" si="55"/>
        <v/>
      </c>
      <c r="Y873" s="497" t="str">
        <f t="shared" si="57"/>
        <v/>
      </c>
      <c r="Z873" s="497" t="str">
        <f t="shared" si="57"/>
        <v/>
      </c>
    </row>
    <row r="874" spans="1:26" s="82" customFormat="1" x14ac:dyDescent="0.4">
      <c r="A874" s="493">
        <v>54324</v>
      </c>
      <c r="B874" s="105" t="s">
        <v>329</v>
      </c>
      <c r="C874" s="493" t="s">
        <v>330</v>
      </c>
      <c r="D874" s="105" t="s">
        <v>1026</v>
      </c>
      <c r="E874" s="105" t="s">
        <v>1026</v>
      </c>
      <c r="F874" s="493">
        <v>27770</v>
      </c>
      <c r="G874" s="105" t="s">
        <v>38</v>
      </c>
      <c r="H874" s="105" t="s">
        <v>342</v>
      </c>
      <c r="I874" s="105" t="s">
        <v>334</v>
      </c>
      <c r="J874" s="493">
        <v>22</v>
      </c>
      <c r="K874" s="493">
        <v>2</v>
      </c>
      <c r="L874" s="105" t="s">
        <v>343</v>
      </c>
      <c r="M874" s="105" t="s">
        <v>380</v>
      </c>
      <c r="N874" s="105" t="s">
        <v>228</v>
      </c>
      <c r="O874" s="105" t="s">
        <v>228</v>
      </c>
      <c r="P874" s="105" t="s">
        <v>356</v>
      </c>
      <c r="Q874" s="494">
        <v>4487</v>
      </c>
      <c r="R874" s="494">
        <v>4487</v>
      </c>
      <c r="S874" s="494">
        <v>4608</v>
      </c>
      <c r="T874" s="494">
        <v>4608</v>
      </c>
      <c r="U874" s="494">
        <v>321973.95</v>
      </c>
      <c r="V874" s="493">
        <v>2024</v>
      </c>
      <c r="W874" s="495" t="s">
        <v>355</v>
      </c>
      <c r="X874" s="496">
        <f t="shared" si="55"/>
        <v>1.4311716832992235E-2</v>
      </c>
      <c r="Y874" s="497" t="str">
        <f t="shared" si="57"/>
        <v/>
      </c>
      <c r="Z874" s="497" t="str">
        <f t="shared" si="57"/>
        <v/>
      </c>
    </row>
    <row r="875" spans="1:26" s="82" customFormat="1" x14ac:dyDescent="0.4">
      <c r="A875" s="493">
        <v>54324</v>
      </c>
      <c r="B875" s="105" t="s">
        <v>329</v>
      </c>
      <c r="C875" s="493" t="s">
        <v>330</v>
      </c>
      <c r="D875" s="105" t="s">
        <v>1026</v>
      </c>
      <c r="E875" s="105" t="s">
        <v>1026</v>
      </c>
      <c r="F875" s="493">
        <v>27770</v>
      </c>
      <c r="G875" s="105" t="s">
        <v>38</v>
      </c>
      <c r="H875" s="105" t="s">
        <v>342</v>
      </c>
      <c r="I875" s="105" t="s">
        <v>334</v>
      </c>
      <c r="J875" s="493">
        <v>22</v>
      </c>
      <c r="K875" s="493">
        <v>2</v>
      </c>
      <c r="L875" s="105" t="s">
        <v>343</v>
      </c>
      <c r="M875" s="105" t="s">
        <v>37</v>
      </c>
      <c r="N875" s="105" t="s">
        <v>226</v>
      </c>
      <c r="O875" s="105" t="s">
        <v>226</v>
      </c>
      <c r="P875" s="105" t="s">
        <v>350</v>
      </c>
      <c r="Q875" s="494">
        <v>847</v>
      </c>
      <c r="R875" s="494">
        <v>847</v>
      </c>
      <c r="S875" s="494">
        <v>4904</v>
      </c>
      <c r="T875" s="494">
        <v>4904</v>
      </c>
      <c r="U875" s="494">
        <v>347.57499999999999</v>
      </c>
      <c r="V875" s="493">
        <v>2024</v>
      </c>
      <c r="W875" s="495" t="s">
        <v>355</v>
      </c>
      <c r="X875" s="496">
        <f t="shared" si="55"/>
        <v>14.109185067970943</v>
      </c>
      <c r="Y875" s="497" t="str">
        <f t="shared" si="57"/>
        <v/>
      </c>
      <c r="Z875" s="497" t="str">
        <f t="shared" si="57"/>
        <v/>
      </c>
    </row>
    <row r="876" spans="1:26" s="82" customFormat="1" x14ac:dyDescent="0.4">
      <c r="A876" s="493">
        <v>54324</v>
      </c>
      <c r="B876" s="105" t="s">
        <v>329</v>
      </c>
      <c r="C876" s="493" t="s">
        <v>330</v>
      </c>
      <c r="D876" s="105" t="s">
        <v>1026</v>
      </c>
      <c r="E876" s="105" t="s">
        <v>1026</v>
      </c>
      <c r="F876" s="493">
        <v>27770</v>
      </c>
      <c r="G876" s="105" t="s">
        <v>38</v>
      </c>
      <c r="H876" s="105" t="s">
        <v>342</v>
      </c>
      <c r="I876" s="105" t="s">
        <v>334</v>
      </c>
      <c r="J876" s="493">
        <v>22</v>
      </c>
      <c r="K876" s="493">
        <v>2</v>
      </c>
      <c r="L876" s="105" t="s">
        <v>343</v>
      </c>
      <c r="M876" s="105" t="s">
        <v>37</v>
      </c>
      <c r="N876" s="105" t="s">
        <v>228</v>
      </c>
      <c r="O876" s="105" t="s">
        <v>228</v>
      </c>
      <c r="P876" s="105" t="s">
        <v>356</v>
      </c>
      <c r="Q876" s="494">
        <v>7827138</v>
      </c>
      <c r="R876" s="494">
        <v>7827138</v>
      </c>
      <c r="S876" s="494">
        <v>8038472</v>
      </c>
      <c r="T876" s="494">
        <v>8038472</v>
      </c>
      <c r="U876" s="494">
        <v>574319.43000000005</v>
      </c>
      <c r="V876" s="493">
        <v>2024</v>
      </c>
      <c r="W876" s="495" t="s">
        <v>355</v>
      </c>
      <c r="X876" s="496">
        <f t="shared" si="55"/>
        <v>13.996517582558541</v>
      </c>
      <c r="Y876" s="497" t="str">
        <f t="shared" si="57"/>
        <v/>
      </c>
      <c r="Z876" s="497" t="str">
        <f t="shared" si="57"/>
        <v/>
      </c>
    </row>
    <row r="877" spans="1:26" s="82" customFormat="1" ht="32" x14ac:dyDescent="0.4">
      <c r="A877" s="493">
        <v>54355</v>
      </c>
      <c r="B877" s="105" t="s">
        <v>329</v>
      </c>
      <c r="C877" s="493" t="s">
        <v>330</v>
      </c>
      <c r="D877" s="105" t="s">
        <v>1027</v>
      </c>
      <c r="E877" s="105" t="s">
        <v>386</v>
      </c>
      <c r="F877" s="493">
        <v>2548</v>
      </c>
      <c r="G877" s="105" t="s">
        <v>36</v>
      </c>
      <c r="H877" s="105" t="s">
        <v>342</v>
      </c>
      <c r="I877" s="105" t="s">
        <v>334</v>
      </c>
      <c r="J877" s="493">
        <v>22</v>
      </c>
      <c r="K877" s="493">
        <v>1</v>
      </c>
      <c r="L877" s="105" t="s">
        <v>335</v>
      </c>
      <c r="M877" s="105" t="s">
        <v>336</v>
      </c>
      <c r="N877" s="105" t="s">
        <v>337</v>
      </c>
      <c r="O877" s="105" t="s">
        <v>338</v>
      </c>
      <c r="P877" s="105" t="s">
        <v>339</v>
      </c>
      <c r="Q877" s="494">
        <v>0</v>
      </c>
      <c r="R877" s="494">
        <v>0</v>
      </c>
      <c r="S877" s="494">
        <v>100606</v>
      </c>
      <c r="T877" s="494">
        <v>100606</v>
      </c>
      <c r="U877" s="494">
        <v>29486</v>
      </c>
      <c r="V877" s="493">
        <v>2024</v>
      </c>
      <c r="W877" s="495"/>
      <c r="X877" s="496">
        <f t="shared" si="55"/>
        <v>3.4119921318591873</v>
      </c>
      <c r="Y877" s="497" t="str">
        <f t="shared" si="57"/>
        <v/>
      </c>
      <c r="Z877" s="497" t="str">
        <f t="shared" si="57"/>
        <v/>
      </c>
    </row>
    <row r="878" spans="1:26" s="82" customFormat="1" ht="32" x14ac:dyDescent="0.4">
      <c r="A878" s="493">
        <v>54384</v>
      </c>
      <c r="B878" s="105" t="s">
        <v>329</v>
      </c>
      <c r="C878" s="493" t="s">
        <v>330</v>
      </c>
      <c r="D878" s="105" t="s">
        <v>1028</v>
      </c>
      <c r="E878" s="105" t="s">
        <v>394</v>
      </c>
      <c r="F878" s="493">
        <v>7601</v>
      </c>
      <c r="G878" s="105" t="s">
        <v>35</v>
      </c>
      <c r="H878" s="105" t="s">
        <v>342</v>
      </c>
      <c r="I878" s="105" t="s">
        <v>334</v>
      </c>
      <c r="J878" s="493">
        <v>22</v>
      </c>
      <c r="K878" s="493">
        <v>1</v>
      </c>
      <c r="L878" s="105" t="s">
        <v>335</v>
      </c>
      <c r="M878" s="105" t="s">
        <v>336</v>
      </c>
      <c r="N878" s="105" t="s">
        <v>337</v>
      </c>
      <c r="O878" s="105" t="s">
        <v>338</v>
      </c>
      <c r="P878" s="105" t="s">
        <v>339</v>
      </c>
      <c r="Q878" s="494">
        <v>0</v>
      </c>
      <c r="R878" s="494">
        <v>0</v>
      </c>
      <c r="S878" s="494">
        <v>5983</v>
      </c>
      <c r="T878" s="494">
        <v>5983</v>
      </c>
      <c r="U878" s="494">
        <v>1754</v>
      </c>
      <c r="V878" s="493">
        <v>2024</v>
      </c>
      <c r="W878" s="495"/>
      <c r="X878" s="496">
        <f t="shared" si="55"/>
        <v>3.4110604332953249</v>
      </c>
      <c r="Y878" s="497" t="str">
        <f t="shared" si="57"/>
        <v/>
      </c>
      <c r="Z878" s="497" t="str">
        <f t="shared" si="57"/>
        <v/>
      </c>
    </row>
    <row r="879" spans="1:26" s="82" customFormat="1" ht="32" x14ac:dyDescent="0.4">
      <c r="A879" s="493">
        <v>54391</v>
      </c>
      <c r="B879" s="105" t="s">
        <v>329</v>
      </c>
      <c r="C879" s="493" t="s">
        <v>330</v>
      </c>
      <c r="D879" s="105" t="s">
        <v>1029</v>
      </c>
      <c r="E879" s="105" t="s">
        <v>592</v>
      </c>
      <c r="F879" s="493">
        <v>57280</v>
      </c>
      <c r="G879" s="105" t="s">
        <v>52</v>
      </c>
      <c r="H879" s="105" t="s">
        <v>333</v>
      </c>
      <c r="I879" s="105" t="s">
        <v>334</v>
      </c>
      <c r="J879" s="493">
        <v>22</v>
      </c>
      <c r="K879" s="493">
        <v>2</v>
      </c>
      <c r="L879" s="105" t="s">
        <v>343</v>
      </c>
      <c r="M879" s="105" t="s">
        <v>336</v>
      </c>
      <c r="N879" s="105" t="s">
        <v>337</v>
      </c>
      <c r="O879" s="105" t="s">
        <v>338</v>
      </c>
      <c r="P879" s="105" t="s">
        <v>339</v>
      </c>
      <c r="Q879" s="494">
        <v>0</v>
      </c>
      <c r="R879" s="494">
        <v>0</v>
      </c>
      <c r="S879" s="494">
        <v>20342</v>
      </c>
      <c r="T879" s="494">
        <v>20342</v>
      </c>
      <c r="U879" s="494">
        <v>5962</v>
      </c>
      <c r="V879" s="493">
        <v>2024</v>
      </c>
      <c r="W879" s="495"/>
      <c r="X879" s="496">
        <f t="shared" si="55"/>
        <v>3.411942301241194</v>
      </c>
      <c r="Y879" s="497" t="str">
        <f t="shared" si="57"/>
        <v/>
      </c>
      <c r="Z879" s="497" t="str">
        <f t="shared" si="57"/>
        <v/>
      </c>
    </row>
    <row r="880" spans="1:26" s="82" customFormat="1" x14ac:dyDescent="0.4">
      <c r="A880" s="493">
        <v>54395</v>
      </c>
      <c r="B880" s="105" t="s">
        <v>329</v>
      </c>
      <c r="C880" s="493" t="s">
        <v>330</v>
      </c>
      <c r="D880" s="105" t="s">
        <v>1030</v>
      </c>
      <c r="E880" s="105" t="s">
        <v>1031</v>
      </c>
      <c r="F880" s="493">
        <v>59834</v>
      </c>
      <c r="G880" s="105" t="s">
        <v>52</v>
      </c>
      <c r="H880" s="105" t="s">
        <v>333</v>
      </c>
      <c r="I880" s="105" t="s">
        <v>334</v>
      </c>
      <c r="J880" s="493">
        <v>22</v>
      </c>
      <c r="K880" s="493">
        <v>2</v>
      </c>
      <c r="L880" s="105" t="s">
        <v>343</v>
      </c>
      <c r="M880" s="105" t="s">
        <v>336</v>
      </c>
      <c r="N880" s="105" t="s">
        <v>337</v>
      </c>
      <c r="O880" s="105" t="s">
        <v>338</v>
      </c>
      <c r="P880" s="105" t="s">
        <v>339</v>
      </c>
      <c r="Q880" s="494">
        <v>0</v>
      </c>
      <c r="R880" s="494">
        <v>0</v>
      </c>
      <c r="S880" s="494">
        <v>37043</v>
      </c>
      <c r="T880" s="494">
        <v>37043</v>
      </c>
      <c r="U880" s="494">
        <v>10857</v>
      </c>
      <c r="V880" s="493">
        <v>2024</v>
      </c>
      <c r="W880" s="495"/>
      <c r="X880" s="496">
        <f t="shared" si="55"/>
        <v>3.4119001565810074</v>
      </c>
      <c r="Y880" s="497" t="str">
        <f t="shared" si="57"/>
        <v/>
      </c>
      <c r="Z880" s="497" t="str">
        <f t="shared" si="57"/>
        <v/>
      </c>
    </row>
    <row r="881" spans="1:26" s="82" customFormat="1" ht="32" x14ac:dyDescent="0.4">
      <c r="A881" s="493">
        <v>54409</v>
      </c>
      <c r="B881" s="105" t="s">
        <v>433</v>
      </c>
      <c r="C881" s="493" t="s">
        <v>330</v>
      </c>
      <c r="D881" s="105" t="s">
        <v>1032</v>
      </c>
      <c r="E881" s="105" t="s">
        <v>1033</v>
      </c>
      <c r="F881" s="493">
        <v>4823</v>
      </c>
      <c r="G881" s="105" t="s">
        <v>35</v>
      </c>
      <c r="H881" s="105" t="s">
        <v>342</v>
      </c>
      <c r="I881" s="105" t="s">
        <v>334</v>
      </c>
      <c r="J881" s="493">
        <v>611</v>
      </c>
      <c r="K881" s="493">
        <v>5</v>
      </c>
      <c r="L881" s="105" t="s">
        <v>771</v>
      </c>
      <c r="M881" s="105" t="s">
        <v>360</v>
      </c>
      <c r="N881" s="105" t="s">
        <v>246</v>
      </c>
      <c r="O881" s="105" t="s">
        <v>349</v>
      </c>
      <c r="P881" s="105" t="s">
        <v>356</v>
      </c>
      <c r="Q881" s="494">
        <v>0</v>
      </c>
      <c r="R881" s="494">
        <v>0</v>
      </c>
      <c r="S881" s="494">
        <v>0</v>
      </c>
      <c r="T881" s="494">
        <v>0</v>
      </c>
      <c r="U881" s="494">
        <v>0</v>
      </c>
      <c r="V881" s="493">
        <v>2024</v>
      </c>
      <c r="W881" s="495"/>
      <c r="X881" s="496" t="str">
        <f t="shared" si="55"/>
        <v/>
      </c>
      <c r="Y881" s="497" t="str">
        <f t="shared" si="57"/>
        <v/>
      </c>
      <c r="Z881" s="497" t="str">
        <f t="shared" si="57"/>
        <v/>
      </c>
    </row>
    <row r="882" spans="1:26" s="82" customFormat="1" ht="32" x14ac:dyDescent="0.4">
      <c r="A882" s="493">
        <v>54409</v>
      </c>
      <c r="B882" s="105" t="s">
        <v>433</v>
      </c>
      <c r="C882" s="493" t="s">
        <v>330</v>
      </c>
      <c r="D882" s="105" t="s">
        <v>1032</v>
      </c>
      <c r="E882" s="105" t="s">
        <v>1033</v>
      </c>
      <c r="F882" s="493">
        <v>4823</v>
      </c>
      <c r="G882" s="105" t="s">
        <v>35</v>
      </c>
      <c r="H882" s="105" t="s">
        <v>342</v>
      </c>
      <c r="I882" s="105" t="s">
        <v>334</v>
      </c>
      <c r="J882" s="493">
        <v>611</v>
      </c>
      <c r="K882" s="493">
        <v>5</v>
      </c>
      <c r="L882" s="105" t="s">
        <v>771</v>
      </c>
      <c r="M882" s="105" t="s">
        <v>360</v>
      </c>
      <c r="N882" s="105" t="s">
        <v>238</v>
      </c>
      <c r="O882" s="105" t="s">
        <v>238</v>
      </c>
      <c r="P882" s="105" t="s">
        <v>350</v>
      </c>
      <c r="Q882" s="494">
        <v>75865</v>
      </c>
      <c r="R882" s="494">
        <v>9603</v>
      </c>
      <c r="S882" s="494">
        <v>477243</v>
      </c>
      <c r="T882" s="494">
        <v>60400</v>
      </c>
      <c r="U882" s="494">
        <v>9787.2999999999993</v>
      </c>
      <c r="V882" s="493">
        <v>2024</v>
      </c>
      <c r="W882" s="495"/>
      <c r="X882" s="496" t="str">
        <f t="shared" si="55"/>
        <v/>
      </c>
      <c r="Y882" s="497" t="str">
        <f t="shared" si="57"/>
        <v/>
      </c>
      <c r="Z882" s="497" t="str">
        <f t="shared" si="57"/>
        <v/>
      </c>
    </row>
    <row r="883" spans="1:26" s="82" customFormat="1" ht="32" x14ac:dyDescent="0.4">
      <c r="A883" s="493">
        <v>54418</v>
      </c>
      <c r="B883" s="105" t="s">
        <v>329</v>
      </c>
      <c r="C883" s="493" t="s">
        <v>330</v>
      </c>
      <c r="D883" s="105" t="s">
        <v>1034</v>
      </c>
      <c r="E883" s="105" t="s">
        <v>394</v>
      </c>
      <c r="F883" s="493">
        <v>7601</v>
      </c>
      <c r="G883" s="105" t="s">
        <v>35</v>
      </c>
      <c r="H883" s="105" t="s">
        <v>342</v>
      </c>
      <c r="I883" s="105" t="s">
        <v>334</v>
      </c>
      <c r="J883" s="493">
        <v>22</v>
      </c>
      <c r="K883" s="493">
        <v>1</v>
      </c>
      <c r="L883" s="105" t="s">
        <v>335</v>
      </c>
      <c r="M883" s="105" t="s">
        <v>336</v>
      </c>
      <c r="N883" s="105" t="s">
        <v>337</v>
      </c>
      <c r="O883" s="105" t="s">
        <v>338</v>
      </c>
      <c r="P883" s="105" t="s">
        <v>339</v>
      </c>
      <c r="Q883" s="494">
        <v>0</v>
      </c>
      <c r="R883" s="494">
        <v>0</v>
      </c>
      <c r="S883" s="494">
        <v>7858</v>
      </c>
      <c r="T883" s="494">
        <v>7858</v>
      </c>
      <c r="U883" s="494">
        <v>2303</v>
      </c>
      <c r="V883" s="493">
        <v>2024</v>
      </c>
      <c r="W883" s="495"/>
      <c r="X883" s="496">
        <f t="shared" si="55"/>
        <v>3.4120712114633087</v>
      </c>
      <c r="Y883" s="497" t="str">
        <f t="shared" si="57"/>
        <v/>
      </c>
      <c r="Z883" s="497" t="str">
        <f t="shared" si="57"/>
        <v/>
      </c>
    </row>
    <row r="884" spans="1:26" s="82" customFormat="1" ht="32" x14ac:dyDescent="0.4">
      <c r="A884" s="493">
        <v>54471</v>
      </c>
      <c r="B884" s="105" t="s">
        <v>329</v>
      </c>
      <c r="C884" s="493" t="s">
        <v>330</v>
      </c>
      <c r="D884" s="105" t="s">
        <v>1035</v>
      </c>
      <c r="E884" s="105" t="s">
        <v>394</v>
      </c>
      <c r="F884" s="493">
        <v>7601</v>
      </c>
      <c r="G884" s="105" t="s">
        <v>35</v>
      </c>
      <c r="H884" s="105" t="s">
        <v>342</v>
      </c>
      <c r="I884" s="105" t="s">
        <v>334</v>
      </c>
      <c r="J884" s="493">
        <v>22</v>
      </c>
      <c r="K884" s="493">
        <v>1</v>
      </c>
      <c r="L884" s="105" t="s">
        <v>335</v>
      </c>
      <c r="M884" s="105" t="s">
        <v>336</v>
      </c>
      <c r="N884" s="105" t="s">
        <v>337</v>
      </c>
      <c r="O884" s="105" t="s">
        <v>338</v>
      </c>
      <c r="P884" s="105" t="s">
        <v>339</v>
      </c>
      <c r="Q884" s="494">
        <v>0</v>
      </c>
      <c r="R884" s="494">
        <v>0</v>
      </c>
      <c r="S884" s="494">
        <v>5117</v>
      </c>
      <c r="T884" s="494">
        <v>5117</v>
      </c>
      <c r="U884" s="494">
        <v>1500</v>
      </c>
      <c r="V884" s="493">
        <v>2024</v>
      </c>
      <c r="W884" s="495"/>
      <c r="X884" s="496">
        <f t="shared" si="55"/>
        <v>3.4113333333333333</v>
      </c>
      <c r="Y884" s="497" t="str">
        <f t="shared" si="57"/>
        <v/>
      </c>
      <c r="Z884" s="497" t="str">
        <f t="shared" si="57"/>
        <v/>
      </c>
    </row>
    <row r="885" spans="1:26" s="82" customFormat="1" ht="32" x14ac:dyDescent="0.4">
      <c r="A885" s="493">
        <v>54515</v>
      </c>
      <c r="B885" s="105" t="s">
        <v>433</v>
      </c>
      <c r="C885" s="493" t="s">
        <v>330</v>
      </c>
      <c r="D885" s="105" t="s">
        <v>1036</v>
      </c>
      <c r="E885" s="105" t="s">
        <v>1036</v>
      </c>
      <c r="F885" s="493">
        <v>4566</v>
      </c>
      <c r="G885" s="105" t="s">
        <v>35</v>
      </c>
      <c r="H885" s="105" t="s">
        <v>342</v>
      </c>
      <c r="I885" s="105" t="s">
        <v>334</v>
      </c>
      <c r="J885" s="493">
        <v>622</v>
      </c>
      <c r="K885" s="493">
        <v>5</v>
      </c>
      <c r="L885" s="105" t="s">
        <v>771</v>
      </c>
      <c r="M885" s="105" t="s">
        <v>359</v>
      </c>
      <c r="N885" s="105" t="s">
        <v>226</v>
      </c>
      <c r="O885" s="105" t="s">
        <v>226</v>
      </c>
      <c r="P885" s="105" t="s">
        <v>350</v>
      </c>
      <c r="Q885" s="494">
        <v>0</v>
      </c>
      <c r="R885" s="494">
        <v>0</v>
      </c>
      <c r="S885" s="494">
        <v>0</v>
      </c>
      <c r="T885" s="494">
        <v>0</v>
      </c>
      <c r="U885" s="494">
        <v>0</v>
      </c>
      <c r="V885" s="493">
        <v>2024</v>
      </c>
      <c r="W885" s="495"/>
      <c r="X885" s="496" t="str">
        <f t="shared" si="55"/>
        <v/>
      </c>
      <c r="Y885" s="497" t="str">
        <f t="shared" si="57"/>
        <v/>
      </c>
      <c r="Z885" s="497" t="str">
        <f t="shared" si="57"/>
        <v/>
      </c>
    </row>
    <row r="886" spans="1:26" s="82" customFormat="1" ht="32" x14ac:dyDescent="0.4">
      <c r="A886" s="493">
        <v>54547</v>
      </c>
      <c r="B886" s="105" t="s">
        <v>433</v>
      </c>
      <c r="C886" s="493" t="s">
        <v>330</v>
      </c>
      <c r="D886" s="105" t="s">
        <v>1037</v>
      </c>
      <c r="E886" s="105" t="s">
        <v>1038</v>
      </c>
      <c r="F886" s="493">
        <v>17254</v>
      </c>
      <c r="G886" s="105" t="s">
        <v>52</v>
      </c>
      <c r="H886" s="105" t="s">
        <v>333</v>
      </c>
      <c r="I886" s="105" t="s">
        <v>334</v>
      </c>
      <c r="J886" s="493">
        <v>22</v>
      </c>
      <c r="K886" s="493">
        <v>3</v>
      </c>
      <c r="L886" s="105" t="s">
        <v>436</v>
      </c>
      <c r="M886" s="105" t="s">
        <v>380</v>
      </c>
      <c r="N886" s="105" t="s">
        <v>228</v>
      </c>
      <c r="O886" s="105" t="s">
        <v>228</v>
      </c>
      <c r="P886" s="105" t="s">
        <v>356</v>
      </c>
      <c r="Q886" s="494">
        <v>2300294</v>
      </c>
      <c r="R886" s="494">
        <v>2300294</v>
      </c>
      <c r="S886" s="494">
        <v>2369697</v>
      </c>
      <c r="T886" s="494">
        <v>2369697</v>
      </c>
      <c r="U886" s="494">
        <v>2267945.4</v>
      </c>
      <c r="V886" s="493">
        <v>2024</v>
      </c>
      <c r="W886" s="495"/>
      <c r="X886" s="496">
        <f t="shared" si="55"/>
        <v>1.044865101249792</v>
      </c>
      <c r="Y886" s="497" t="str">
        <f t="shared" si="57"/>
        <v/>
      </c>
      <c r="Z886" s="497" t="str">
        <f t="shared" si="57"/>
        <v/>
      </c>
    </row>
    <row r="887" spans="1:26" s="82" customFormat="1" ht="32" x14ac:dyDescent="0.4">
      <c r="A887" s="493">
        <v>54547</v>
      </c>
      <c r="B887" s="105" t="s">
        <v>433</v>
      </c>
      <c r="C887" s="493" t="s">
        <v>330</v>
      </c>
      <c r="D887" s="105" t="s">
        <v>1037</v>
      </c>
      <c r="E887" s="105" t="s">
        <v>1038</v>
      </c>
      <c r="F887" s="493">
        <v>17254</v>
      </c>
      <c r="G887" s="105" t="s">
        <v>52</v>
      </c>
      <c r="H887" s="105" t="s">
        <v>333</v>
      </c>
      <c r="I887" s="105" t="s">
        <v>334</v>
      </c>
      <c r="J887" s="493">
        <v>22</v>
      </c>
      <c r="K887" s="493">
        <v>3</v>
      </c>
      <c r="L887" s="105" t="s">
        <v>436</v>
      </c>
      <c r="M887" s="105" t="s">
        <v>37</v>
      </c>
      <c r="N887" s="105" t="s">
        <v>228</v>
      </c>
      <c r="O887" s="105" t="s">
        <v>228</v>
      </c>
      <c r="P887" s="105" t="s">
        <v>356</v>
      </c>
      <c r="Q887" s="494">
        <v>43151167</v>
      </c>
      <c r="R887" s="494">
        <v>38137524</v>
      </c>
      <c r="S887" s="494">
        <v>44450663</v>
      </c>
      <c r="T887" s="494">
        <v>39286266</v>
      </c>
      <c r="U887" s="494">
        <v>3890104.5</v>
      </c>
      <c r="V887" s="493">
        <v>2024</v>
      </c>
      <c r="W887" s="495"/>
      <c r="X887" s="496">
        <f t="shared" si="55"/>
        <v>10.099025874497716</v>
      </c>
      <c r="Y887" s="497" t="str">
        <f t="shared" si="57"/>
        <v/>
      </c>
      <c r="Z887" s="497" t="str">
        <f t="shared" si="57"/>
        <v/>
      </c>
    </row>
    <row r="888" spans="1:26" s="82" customFormat="1" ht="32" x14ac:dyDescent="0.4">
      <c r="A888" s="493">
        <v>54572</v>
      </c>
      <c r="B888" s="105" t="s">
        <v>329</v>
      </c>
      <c r="C888" s="493" t="s">
        <v>330</v>
      </c>
      <c r="D888" s="105" t="s">
        <v>1039</v>
      </c>
      <c r="E888" s="105" t="s">
        <v>592</v>
      </c>
      <c r="F888" s="493">
        <v>57280</v>
      </c>
      <c r="G888" s="105" t="s">
        <v>35</v>
      </c>
      <c r="H888" s="105" t="s">
        <v>342</v>
      </c>
      <c r="I888" s="105" t="s">
        <v>334</v>
      </c>
      <c r="J888" s="493">
        <v>22</v>
      </c>
      <c r="K888" s="493">
        <v>2</v>
      </c>
      <c r="L888" s="105" t="s">
        <v>343</v>
      </c>
      <c r="M888" s="105" t="s">
        <v>336</v>
      </c>
      <c r="N888" s="105" t="s">
        <v>337</v>
      </c>
      <c r="O888" s="105" t="s">
        <v>338</v>
      </c>
      <c r="P888" s="105" t="s">
        <v>339</v>
      </c>
      <c r="Q888" s="494">
        <v>0</v>
      </c>
      <c r="R888" s="494">
        <v>0</v>
      </c>
      <c r="S888" s="494">
        <v>11787</v>
      </c>
      <c r="T888" s="494">
        <v>11787</v>
      </c>
      <c r="U888" s="494">
        <v>3454</v>
      </c>
      <c r="V888" s="493">
        <v>2024</v>
      </c>
      <c r="W888" s="495"/>
      <c r="X888" s="496">
        <f t="shared" si="55"/>
        <v>3.4125651418645049</v>
      </c>
      <c r="Y888" s="497" t="str">
        <f t="shared" ref="Y888:Z907" si="58">IF(AND($M888=$Y$2,$N888=$Y$3,NOT($Q888=$R888),NOT($U888=0)),IF($K888=5,$S888/($U888+(8/5)*$U888),IF($K888=7,$S888/($U888+(29/25)*$U888),"")),"")</f>
        <v/>
      </c>
      <c r="Z888" s="497" t="str">
        <f t="shared" si="58"/>
        <v/>
      </c>
    </row>
    <row r="889" spans="1:26" s="82" customFormat="1" ht="32" x14ac:dyDescent="0.4">
      <c r="A889" s="493">
        <v>54573</v>
      </c>
      <c r="B889" s="105" t="s">
        <v>329</v>
      </c>
      <c r="C889" s="493" t="s">
        <v>330</v>
      </c>
      <c r="D889" s="105" t="s">
        <v>1040</v>
      </c>
      <c r="E889" s="105" t="s">
        <v>1041</v>
      </c>
      <c r="F889" s="493">
        <v>54838</v>
      </c>
      <c r="G889" s="105" t="s">
        <v>52</v>
      </c>
      <c r="H889" s="105" t="s">
        <v>333</v>
      </c>
      <c r="I889" s="105" t="s">
        <v>334</v>
      </c>
      <c r="J889" s="493">
        <v>111</v>
      </c>
      <c r="K889" s="493">
        <v>6</v>
      </c>
      <c r="L889" s="105" t="s">
        <v>729</v>
      </c>
      <c r="M889" s="105" t="s">
        <v>336</v>
      </c>
      <c r="N889" s="105" t="s">
        <v>337</v>
      </c>
      <c r="O889" s="105" t="s">
        <v>338</v>
      </c>
      <c r="P889" s="105" t="s">
        <v>339</v>
      </c>
      <c r="Q889" s="494">
        <v>0</v>
      </c>
      <c r="R889" s="494">
        <v>0</v>
      </c>
      <c r="S889" s="494">
        <v>25804</v>
      </c>
      <c r="T889" s="494">
        <v>25804</v>
      </c>
      <c r="U889" s="494">
        <v>7563</v>
      </c>
      <c r="V889" s="493">
        <v>2024</v>
      </c>
      <c r="W889" s="495"/>
      <c r="X889" s="496" t="str">
        <f t="shared" si="55"/>
        <v/>
      </c>
      <c r="Y889" s="497" t="str">
        <f t="shared" si="58"/>
        <v/>
      </c>
      <c r="Z889" s="497" t="str">
        <f t="shared" si="58"/>
        <v/>
      </c>
    </row>
    <row r="890" spans="1:26" s="82" customFormat="1" ht="32" x14ac:dyDescent="0.4">
      <c r="A890" s="493">
        <v>54574</v>
      </c>
      <c r="B890" s="105" t="s">
        <v>329</v>
      </c>
      <c r="C890" s="493" t="s">
        <v>330</v>
      </c>
      <c r="D890" s="105" t="s">
        <v>1042</v>
      </c>
      <c r="E890" s="105" t="s">
        <v>1043</v>
      </c>
      <c r="F890" s="493">
        <v>16729</v>
      </c>
      <c r="G890" s="105" t="s">
        <v>52</v>
      </c>
      <c r="H890" s="105" t="s">
        <v>333</v>
      </c>
      <c r="I890" s="105" t="s">
        <v>334</v>
      </c>
      <c r="J890" s="493">
        <v>22</v>
      </c>
      <c r="K890" s="493">
        <v>2</v>
      </c>
      <c r="L890" s="105" t="s">
        <v>343</v>
      </c>
      <c r="M890" s="105" t="s">
        <v>380</v>
      </c>
      <c r="N890" s="105" t="s">
        <v>228</v>
      </c>
      <c r="O890" s="105" t="s">
        <v>228</v>
      </c>
      <c r="P890" s="105" t="s">
        <v>356</v>
      </c>
      <c r="Q890" s="494">
        <v>111253</v>
      </c>
      <c r="R890" s="494">
        <v>111253</v>
      </c>
      <c r="S890" s="494">
        <v>116107</v>
      </c>
      <c r="T890" s="494">
        <v>116107</v>
      </c>
      <c r="U890" s="494">
        <v>124191</v>
      </c>
      <c r="V890" s="493">
        <v>2024</v>
      </c>
      <c r="W890" s="495" t="s">
        <v>355</v>
      </c>
      <c r="X890" s="496">
        <f t="shared" si="55"/>
        <v>0.9349067162676844</v>
      </c>
      <c r="Y890" s="497" t="str">
        <f t="shared" si="58"/>
        <v/>
      </c>
      <c r="Z890" s="497" t="str">
        <f t="shared" si="58"/>
        <v/>
      </c>
    </row>
    <row r="891" spans="1:26" s="82" customFormat="1" ht="32" x14ac:dyDescent="0.4">
      <c r="A891" s="493">
        <v>54574</v>
      </c>
      <c r="B891" s="105" t="s">
        <v>329</v>
      </c>
      <c r="C891" s="493" t="s">
        <v>330</v>
      </c>
      <c r="D891" s="105" t="s">
        <v>1042</v>
      </c>
      <c r="E891" s="105" t="s">
        <v>1043</v>
      </c>
      <c r="F891" s="493">
        <v>16729</v>
      </c>
      <c r="G891" s="105" t="s">
        <v>52</v>
      </c>
      <c r="H891" s="105" t="s">
        <v>333</v>
      </c>
      <c r="I891" s="105" t="s">
        <v>334</v>
      </c>
      <c r="J891" s="493">
        <v>22</v>
      </c>
      <c r="K891" s="493">
        <v>2</v>
      </c>
      <c r="L891" s="105" t="s">
        <v>343</v>
      </c>
      <c r="M891" s="105" t="s">
        <v>37</v>
      </c>
      <c r="N891" s="105" t="s">
        <v>228</v>
      </c>
      <c r="O891" s="105" t="s">
        <v>228</v>
      </c>
      <c r="P891" s="105" t="s">
        <v>356</v>
      </c>
      <c r="Q891" s="494">
        <v>3003145</v>
      </c>
      <c r="R891" s="494">
        <v>3003145</v>
      </c>
      <c r="S891" s="494">
        <v>3134261</v>
      </c>
      <c r="T891" s="494">
        <v>3134261</v>
      </c>
      <c r="U891" s="494">
        <v>230694</v>
      </c>
      <c r="V891" s="493">
        <v>2024</v>
      </c>
      <c r="W891" s="495" t="s">
        <v>355</v>
      </c>
      <c r="X891" s="496">
        <f t="shared" si="55"/>
        <v>13.586226776595836</v>
      </c>
      <c r="Y891" s="497" t="str">
        <f t="shared" si="58"/>
        <v/>
      </c>
      <c r="Z891" s="497" t="str">
        <f t="shared" si="58"/>
        <v/>
      </c>
    </row>
    <row r="892" spans="1:26" s="82" customFormat="1" x14ac:dyDescent="0.4">
      <c r="A892" s="493">
        <v>54580</v>
      </c>
      <c r="B892" s="105" t="s">
        <v>329</v>
      </c>
      <c r="C892" s="493" t="s">
        <v>330</v>
      </c>
      <c r="D892" s="105" t="s">
        <v>1044</v>
      </c>
      <c r="E892" s="105" t="s">
        <v>1045</v>
      </c>
      <c r="F892" s="493">
        <v>24931</v>
      </c>
      <c r="G892" s="105" t="s">
        <v>52</v>
      </c>
      <c r="H892" s="105" t="s">
        <v>333</v>
      </c>
      <c r="I892" s="105" t="s">
        <v>334</v>
      </c>
      <c r="J892" s="493">
        <v>22</v>
      </c>
      <c r="K892" s="493">
        <v>2</v>
      </c>
      <c r="L892" s="105" t="s">
        <v>343</v>
      </c>
      <c r="M892" s="105" t="s">
        <v>336</v>
      </c>
      <c r="N892" s="105" t="s">
        <v>337</v>
      </c>
      <c r="O892" s="105" t="s">
        <v>338</v>
      </c>
      <c r="P892" s="105" t="s">
        <v>339</v>
      </c>
      <c r="Q892" s="494">
        <v>0</v>
      </c>
      <c r="R892" s="494">
        <v>0</v>
      </c>
      <c r="S892" s="494">
        <v>1113964</v>
      </c>
      <c r="T892" s="494">
        <v>1113964</v>
      </c>
      <c r="U892" s="494">
        <v>326484</v>
      </c>
      <c r="V892" s="493">
        <v>2024</v>
      </c>
      <c r="W892" s="495"/>
      <c r="X892" s="496">
        <f t="shared" si="55"/>
        <v>3.4120018132588426</v>
      </c>
      <c r="Y892" s="497" t="str">
        <f t="shared" si="58"/>
        <v/>
      </c>
      <c r="Z892" s="497" t="str">
        <f t="shared" si="58"/>
        <v/>
      </c>
    </row>
    <row r="893" spans="1:26" s="82" customFormat="1" ht="32" x14ac:dyDescent="0.4">
      <c r="A893" s="493">
        <v>54586</v>
      </c>
      <c r="B893" s="105" t="s">
        <v>329</v>
      </c>
      <c r="C893" s="493" t="s">
        <v>330</v>
      </c>
      <c r="D893" s="105" t="s">
        <v>1046</v>
      </c>
      <c r="E893" s="105" t="s">
        <v>1047</v>
      </c>
      <c r="F893" s="493">
        <v>65159</v>
      </c>
      <c r="G893" s="105" t="s">
        <v>33</v>
      </c>
      <c r="H893" s="105" t="s">
        <v>342</v>
      </c>
      <c r="I893" s="105" t="s">
        <v>334</v>
      </c>
      <c r="J893" s="493">
        <v>22</v>
      </c>
      <c r="K893" s="493">
        <v>2</v>
      </c>
      <c r="L893" s="105" t="s">
        <v>343</v>
      </c>
      <c r="M893" s="105" t="s">
        <v>380</v>
      </c>
      <c r="N893" s="105" t="s">
        <v>226</v>
      </c>
      <c r="O893" s="105" t="s">
        <v>226</v>
      </c>
      <c r="P893" s="105" t="s">
        <v>350</v>
      </c>
      <c r="Q893" s="494">
        <v>0</v>
      </c>
      <c r="R893" s="494">
        <v>0</v>
      </c>
      <c r="S893" s="494">
        <v>0</v>
      </c>
      <c r="T893" s="494">
        <v>0</v>
      </c>
      <c r="U893" s="494">
        <v>0</v>
      </c>
      <c r="V893" s="493">
        <v>2024</v>
      </c>
      <c r="W893" s="495" t="s">
        <v>355</v>
      </c>
      <c r="X893" s="496" t="str">
        <f t="shared" si="55"/>
        <v/>
      </c>
      <c r="Y893" s="497" t="str">
        <f t="shared" si="58"/>
        <v/>
      </c>
      <c r="Z893" s="497" t="str">
        <f t="shared" si="58"/>
        <v/>
      </c>
    </row>
    <row r="894" spans="1:26" s="82" customFormat="1" ht="32" x14ac:dyDescent="0.4">
      <c r="A894" s="493">
        <v>54586</v>
      </c>
      <c r="B894" s="105" t="s">
        <v>329</v>
      </c>
      <c r="C894" s="493" t="s">
        <v>330</v>
      </c>
      <c r="D894" s="105" t="s">
        <v>1046</v>
      </c>
      <c r="E894" s="105" t="s">
        <v>1047</v>
      </c>
      <c r="F894" s="493">
        <v>65159</v>
      </c>
      <c r="G894" s="105" t="s">
        <v>33</v>
      </c>
      <c r="H894" s="105" t="s">
        <v>342</v>
      </c>
      <c r="I894" s="105" t="s">
        <v>334</v>
      </c>
      <c r="J894" s="493">
        <v>22</v>
      </c>
      <c r="K894" s="493">
        <v>2</v>
      </c>
      <c r="L894" s="105" t="s">
        <v>343</v>
      </c>
      <c r="M894" s="105" t="s">
        <v>380</v>
      </c>
      <c r="N894" s="105" t="s">
        <v>228</v>
      </c>
      <c r="O894" s="105" t="s">
        <v>228</v>
      </c>
      <c r="P894" s="105" t="s">
        <v>356</v>
      </c>
      <c r="Q894" s="494">
        <v>0</v>
      </c>
      <c r="R894" s="494">
        <v>0</v>
      </c>
      <c r="S894" s="494">
        <v>0</v>
      </c>
      <c r="T894" s="494">
        <v>0</v>
      </c>
      <c r="U894" s="494">
        <v>0</v>
      </c>
      <c r="V894" s="493">
        <v>2024</v>
      </c>
      <c r="W894" s="495" t="s">
        <v>355</v>
      </c>
      <c r="X894" s="496" t="str">
        <f t="shared" si="55"/>
        <v/>
      </c>
      <c r="Y894" s="497" t="str">
        <f t="shared" si="58"/>
        <v/>
      </c>
      <c r="Z894" s="497" t="str">
        <f t="shared" si="58"/>
        <v/>
      </c>
    </row>
    <row r="895" spans="1:26" s="82" customFormat="1" ht="32" x14ac:dyDescent="0.4">
      <c r="A895" s="493">
        <v>54586</v>
      </c>
      <c r="B895" s="105" t="s">
        <v>329</v>
      </c>
      <c r="C895" s="493" t="s">
        <v>330</v>
      </c>
      <c r="D895" s="105" t="s">
        <v>1046</v>
      </c>
      <c r="E895" s="105" t="s">
        <v>1047</v>
      </c>
      <c r="F895" s="493">
        <v>65159</v>
      </c>
      <c r="G895" s="105" t="s">
        <v>33</v>
      </c>
      <c r="H895" s="105" t="s">
        <v>342</v>
      </c>
      <c r="I895" s="105" t="s">
        <v>334</v>
      </c>
      <c r="J895" s="493">
        <v>22</v>
      </c>
      <c r="K895" s="493">
        <v>2</v>
      </c>
      <c r="L895" s="105" t="s">
        <v>343</v>
      </c>
      <c r="M895" s="105" t="s">
        <v>37</v>
      </c>
      <c r="N895" s="105" t="s">
        <v>226</v>
      </c>
      <c r="O895" s="105" t="s">
        <v>226</v>
      </c>
      <c r="P895" s="105" t="s">
        <v>350</v>
      </c>
      <c r="Q895" s="494">
        <v>0</v>
      </c>
      <c r="R895" s="494">
        <v>0</v>
      </c>
      <c r="S895" s="494">
        <v>0</v>
      </c>
      <c r="T895" s="494">
        <v>0</v>
      </c>
      <c r="U895" s="494">
        <v>0</v>
      </c>
      <c r="V895" s="493">
        <v>2024</v>
      </c>
      <c r="W895" s="495" t="s">
        <v>355</v>
      </c>
      <c r="X895" s="496" t="str">
        <f t="shared" si="55"/>
        <v/>
      </c>
      <c r="Y895" s="497" t="str">
        <f t="shared" si="58"/>
        <v/>
      </c>
      <c r="Z895" s="497" t="str">
        <f t="shared" si="58"/>
        <v/>
      </c>
    </row>
    <row r="896" spans="1:26" s="82" customFormat="1" ht="32" x14ac:dyDescent="0.4">
      <c r="A896" s="493">
        <v>54586</v>
      </c>
      <c r="B896" s="105" t="s">
        <v>329</v>
      </c>
      <c r="C896" s="493" t="s">
        <v>330</v>
      </c>
      <c r="D896" s="105" t="s">
        <v>1046</v>
      </c>
      <c r="E896" s="105" t="s">
        <v>1047</v>
      </c>
      <c r="F896" s="493">
        <v>65159</v>
      </c>
      <c r="G896" s="105" t="s">
        <v>33</v>
      </c>
      <c r="H896" s="105" t="s">
        <v>342</v>
      </c>
      <c r="I896" s="105" t="s">
        <v>334</v>
      </c>
      <c r="J896" s="493">
        <v>22</v>
      </c>
      <c r="K896" s="493">
        <v>2</v>
      </c>
      <c r="L896" s="105" t="s">
        <v>343</v>
      </c>
      <c r="M896" s="105" t="s">
        <v>37</v>
      </c>
      <c r="N896" s="105" t="s">
        <v>228</v>
      </c>
      <c r="O896" s="105" t="s">
        <v>228</v>
      </c>
      <c r="P896" s="105" t="s">
        <v>356</v>
      </c>
      <c r="Q896" s="494">
        <v>0</v>
      </c>
      <c r="R896" s="494">
        <v>0</v>
      </c>
      <c r="S896" s="494">
        <v>0</v>
      </c>
      <c r="T896" s="494">
        <v>0</v>
      </c>
      <c r="U896" s="494">
        <v>0</v>
      </c>
      <c r="V896" s="493">
        <v>2024</v>
      </c>
      <c r="W896" s="495" t="s">
        <v>355</v>
      </c>
      <c r="X896" s="496" t="str">
        <f t="shared" si="55"/>
        <v/>
      </c>
      <c r="Y896" s="497" t="str">
        <f t="shared" si="58"/>
        <v/>
      </c>
      <c r="Z896" s="497" t="str">
        <f t="shared" si="58"/>
        <v/>
      </c>
    </row>
    <row r="897" spans="1:26" s="82" customFormat="1" x14ac:dyDescent="0.4">
      <c r="A897" s="493">
        <v>54592</v>
      </c>
      <c r="B897" s="105" t="s">
        <v>329</v>
      </c>
      <c r="C897" s="493" t="s">
        <v>330</v>
      </c>
      <c r="D897" s="105" t="s">
        <v>1048</v>
      </c>
      <c r="E897" s="105" t="s">
        <v>1049</v>
      </c>
      <c r="F897" s="493">
        <v>15253</v>
      </c>
      <c r="G897" s="105" t="s">
        <v>52</v>
      </c>
      <c r="H897" s="105" t="s">
        <v>333</v>
      </c>
      <c r="I897" s="105" t="s">
        <v>334</v>
      </c>
      <c r="J897" s="493">
        <v>22</v>
      </c>
      <c r="K897" s="493">
        <v>2</v>
      </c>
      <c r="L897" s="105" t="s">
        <v>343</v>
      </c>
      <c r="M897" s="105" t="s">
        <v>380</v>
      </c>
      <c r="N897" s="105" t="s">
        <v>226</v>
      </c>
      <c r="O897" s="105" t="s">
        <v>226</v>
      </c>
      <c r="P897" s="105" t="s">
        <v>350</v>
      </c>
      <c r="Q897" s="494">
        <v>0</v>
      </c>
      <c r="R897" s="494">
        <v>0</v>
      </c>
      <c r="S897" s="494">
        <v>0</v>
      </c>
      <c r="T897" s="494">
        <v>0</v>
      </c>
      <c r="U897" s="494">
        <v>0</v>
      </c>
      <c r="V897" s="493">
        <v>2024</v>
      </c>
      <c r="W897" s="495"/>
      <c r="X897" s="496" t="str">
        <f t="shared" si="55"/>
        <v/>
      </c>
      <c r="Y897" s="497" t="str">
        <f t="shared" si="58"/>
        <v/>
      </c>
      <c r="Z897" s="497" t="str">
        <f t="shared" si="58"/>
        <v/>
      </c>
    </row>
    <row r="898" spans="1:26" s="82" customFormat="1" x14ac:dyDescent="0.4">
      <c r="A898" s="493">
        <v>54592</v>
      </c>
      <c r="B898" s="105" t="s">
        <v>329</v>
      </c>
      <c r="C898" s="493" t="s">
        <v>330</v>
      </c>
      <c r="D898" s="105" t="s">
        <v>1048</v>
      </c>
      <c r="E898" s="105" t="s">
        <v>1049</v>
      </c>
      <c r="F898" s="493">
        <v>15253</v>
      </c>
      <c r="G898" s="105" t="s">
        <v>52</v>
      </c>
      <c r="H898" s="105" t="s">
        <v>333</v>
      </c>
      <c r="I898" s="105" t="s">
        <v>334</v>
      </c>
      <c r="J898" s="493">
        <v>22</v>
      </c>
      <c r="K898" s="493">
        <v>2</v>
      </c>
      <c r="L898" s="105" t="s">
        <v>343</v>
      </c>
      <c r="M898" s="105" t="s">
        <v>380</v>
      </c>
      <c r="N898" s="105" t="s">
        <v>228</v>
      </c>
      <c r="O898" s="105" t="s">
        <v>228</v>
      </c>
      <c r="P898" s="105" t="s">
        <v>356</v>
      </c>
      <c r="Q898" s="494">
        <v>14363</v>
      </c>
      <c r="R898" s="494">
        <v>14363</v>
      </c>
      <c r="S898" s="494">
        <v>15004</v>
      </c>
      <c r="T898" s="494">
        <v>15004</v>
      </c>
      <c r="U898" s="494">
        <v>4345</v>
      </c>
      <c r="V898" s="493">
        <v>2024</v>
      </c>
      <c r="W898" s="495"/>
      <c r="X898" s="496">
        <f t="shared" si="55"/>
        <v>3.4531645569620255</v>
      </c>
      <c r="Y898" s="497" t="str">
        <f t="shared" si="58"/>
        <v/>
      </c>
      <c r="Z898" s="497" t="str">
        <f t="shared" si="58"/>
        <v/>
      </c>
    </row>
    <row r="899" spans="1:26" s="82" customFormat="1" x14ac:dyDescent="0.4">
      <c r="A899" s="493">
        <v>54592</v>
      </c>
      <c r="B899" s="105" t="s">
        <v>329</v>
      </c>
      <c r="C899" s="493" t="s">
        <v>330</v>
      </c>
      <c r="D899" s="105" t="s">
        <v>1048</v>
      </c>
      <c r="E899" s="105" t="s">
        <v>1049</v>
      </c>
      <c r="F899" s="493">
        <v>15253</v>
      </c>
      <c r="G899" s="105" t="s">
        <v>52</v>
      </c>
      <c r="H899" s="105" t="s">
        <v>333</v>
      </c>
      <c r="I899" s="105" t="s">
        <v>334</v>
      </c>
      <c r="J899" s="493">
        <v>22</v>
      </c>
      <c r="K899" s="493">
        <v>2</v>
      </c>
      <c r="L899" s="105" t="s">
        <v>343</v>
      </c>
      <c r="M899" s="105" t="s">
        <v>380</v>
      </c>
      <c r="N899" s="105" t="s">
        <v>264</v>
      </c>
      <c r="O899" s="105" t="s">
        <v>481</v>
      </c>
      <c r="P899" s="105" t="s">
        <v>350</v>
      </c>
      <c r="Q899" s="494">
        <v>0</v>
      </c>
      <c r="R899" s="494">
        <v>0</v>
      </c>
      <c r="S899" s="494">
        <v>0</v>
      </c>
      <c r="T899" s="494">
        <v>0</v>
      </c>
      <c r="U899" s="494">
        <v>0</v>
      </c>
      <c r="V899" s="493">
        <v>2024</v>
      </c>
      <c r="W899" s="495"/>
      <c r="X899" s="496" t="str">
        <f t="shared" si="55"/>
        <v/>
      </c>
      <c r="Y899" s="497" t="str">
        <f t="shared" si="58"/>
        <v/>
      </c>
      <c r="Z899" s="497" t="str">
        <f t="shared" si="58"/>
        <v/>
      </c>
    </row>
    <row r="900" spans="1:26" s="82" customFormat="1" x14ac:dyDescent="0.4">
      <c r="A900" s="493">
        <v>54592</v>
      </c>
      <c r="B900" s="105" t="s">
        <v>329</v>
      </c>
      <c r="C900" s="493" t="s">
        <v>330</v>
      </c>
      <c r="D900" s="105" t="s">
        <v>1048</v>
      </c>
      <c r="E900" s="105" t="s">
        <v>1049</v>
      </c>
      <c r="F900" s="493">
        <v>15253</v>
      </c>
      <c r="G900" s="105" t="s">
        <v>52</v>
      </c>
      <c r="H900" s="105" t="s">
        <v>333</v>
      </c>
      <c r="I900" s="105" t="s">
        <v>334</v>
      </c>
      <c r="J900" s="493">
        <v>22</v>
      </c>
      <c r="K900" s="493">
        <v>2</v>
      </c>
      <c r="L900" s="105" t="s">
        <v>343</v>
      </c>
      <c r="M900" s="105" t="s">
        <v>37</v>
      </c>
      <c r="N900" s="105" t="s">
        <v>226</v>
      </c>
      <c r="O900" s="105" t="s">
        <v>226</v>
      </c>
      <c r="P900" s="105" t="s">
        <v>350</v>
      </c>
      <c r="Q900" s="494">
        <v>0</v>
      </c>
      <c r="R900" s="494">
        <v>0</v>
      </c>
      <c r="S900" s="494">
        <v>0</v>
      </c>
      <c r="T900" s="494">
        <v>0</v>
      </c>
      <c r="U900" s="494">
        <v>0</v>
      </c>
      <c r="V900" s="493">
        <v>2024</v>
      </c>
      <c r="W900" s="495"/>
      <c r="X900" s="496" t="str">
        <f t="shared" si="55"/>
        <v/>
      </c>
      <c r="Y900" s="497" t="str">
        <f t="shared" si="58"/>
        <v/>
      </c>
      <c r="Z900" s="497" t="str">
        <f t="shared" si="58"/>
        <v/>
      </c>
    </row>
    <row r="901" spans="1:26" s="82" customFormat="1" x14ac:dyDescent="0.4">
      <c r="A901" s="493">
        <v>54592</v>
      </c>
      <c r="B901" s="105" t="s">
        <v>329</v>
      </c>
      <c r="C901" s="493" t="s">
        <v>330</v>
      </c>
      <c r="D901" s="105" t="s">
        <v>1048</v>
      </c>
      <c r="E901" s="105" t="s">
        <v>1049</v>
      </c>
      <c r="F901" s="493">
        <v>15253</v>
      </c>
      <c r="G901" s="105" t="s">
        <v>52</v>
      </c>
      <c r="H901" s="105" t="s">
        <v>333</v>
      </c>
      <c r="I901" s="105" t="s">
        <v>334</v>
      </c>
      <c r="J901" s="493">
        <v>22</v>
      </c>
      <c r="K901" s="493">
        <v>2</v>
      </c>
      <c r="L901" s="105" t="s">
        <v>343</v>
      </c>
      <c r="M901" s="105" t="s">
        <v>37</v>
      </c>
      <c r="N901" s="105" t="s">
        <v>228</v>
      </c>
      <c r="O901" s="105" t="s">
        <v>228</v>
      </c>
      <c r="P901" s="105" t="s">
        <v>356</v>
      </c>
      <c r="Q901" s="494">
        <v>88876</v>
      </c>
      <c r="R901" s="494">
        <v>88876</v>
      </c>
      <c r="S901" s="494">
        <v>92839</v>
      </c>
      <c r="T901" s="494">
        <v>92839</v>
      </c>
      <c r="U901" s="494">
        <v>7839</v>
      </c>
      <c r="V901" s="493">
        <v>2024</v>
      </c>
      <c r="W901" s="495"/>
      <c r="X901" s="496">
        <f t="shared" si="55"/>
        <v>11.843219798443679</v>
      </c>
      <c r="Y901" s="497" t="str">
        <f t="shared" si="58"/>
        <v/>
      </c>
      <c r="Z901" s="497" t="str">
        <f t="shared" si="58"/>
        <v/>
      </c>
    </row>
    <row r="902" spans="1:26" s="82" customFormat="1" x14ac:dyDescent="0.4">
      <c r="A902" s="493">
        <v>54592</v>
      </c>
      <c r="B902" s="105" t="s">
        <v>329</v>
      </c>
      <c r="C902" s="493" t="s">
        <v>330</v>
      </c>
      <c r="D902" s="105" t="s">
        <v>1048</v>
      </c>
      <c r="E902" s="105" t="s">
        <v>1049</v>
      </c>
      <c r="F902" s="493">
        <v>15253</v>
      </c>
      <c r="G902" s="105" t="s">
        <v>52</v>
      </c>
      <c r="H902" s="105" t="s">
        <v>333</v>
      </c>
      <c r="I902" s="105" t="s">
        <v>334</v>
      </c>
      <c r="J902" s="493">
        <v>22</v>
      </c>
      <c r="K902" s="493">
        <v>2</v>
      </c>
      <c r="L902" s="105" t="s">
        <v>343</v>
      </c>
      <c r="M902" s="105" t="s">
        <v>37</v>
      </c>
      <c r="N902" s="105" t="s">
        <v>264</v>
      </c>
      <c r="O902" s="105" t="s">
        <v>481</v>
      </c>
      <c r="P902" s="105" t="s">
        <v>350</v>
      </c>
      <c r="Q902" s="494">
        <v>0</v>
      </c>
      <c r="R902" s="494">
        <v>0</v>
      </c>
      <c r="S902" s="494">
        <v>0</v>
      </c>
      <c r="T902" s="494">
        <v>0</v>
      </c>
      <c r="U902" s="494">
        <v>0</v>
      </c>
      <c r="V902" s="493">
        <v>2024</v>
      </c>
      <c r="W902" s="495"/>
      <c r="X902" s="496" t="str">
        <f t="shared" si="55"/>
        <v/>
      </c>
      <c r="Y902" s="497" t="str">
        <f t="shared" si="58"/>
        <v/>
      </c>
      <c r="Z902" s="497" t="str">
        <f t="shared" si="58"/>
        <v/>
      </c>
    </row>
    <row r="903" spans="1:26" s="82" customFormat="1" x14ac:dyDescent="0.4">
      <c r="A903" s="493">
        <v>54592</v>
      </c>
      <c r="B903" s="105" t="s">
        <v>329</v>
      </c>
      <c r="C903" s="493" t="s">
        <v>330</v>
      </c>
      <c r="D903" s="105" t="s">
        <v>1048</v>
      </c>
      <c r="E903" s="105" t="s">
        <v>1049</v>
      </c>
      <c r="F903" s="493">
        <v>15253</v>
      </c>
      <c r="G903" s="105" t="s">
        <v>52</v>
      </c>
      <c r="H903" s="105" t="s">
        <v>333</v>
      </c>
      <c r="I903" s="105" t="s">
        <v>334</v>
      </c>
      <c r="J903" s="493">
        <v>22</v>
      </c>
      <c r="K903" s="493">
        <v>2</v>
      </c>
      <c r="L903" s="105" t="s">
        <v>343</v>
      </c>
      <c r="M903" s="105" t="s">
        <v>359</v>
      </c>
      <c r="N903" s="105" t="s">
        <v>226</v>
      </c>
      <c r="O903" s="105" t="s">
        <v>226</v>
      </c>
      <c r="P903" s="105" t="s">
        <v>350</v>
      </c>
      <c r="Q903" s="494">
        <v>0</v>
      </c>
      <c r="R903" s="494">
        <v>0</v>
      </c>
      <c r="S903" s="494">
        <v>0</v>
      </c>
      <c r="T903" s="494">
        <v>0</v>
      </c>
      <c r="U903" s="494">
        <v>0</v>
      </c>
      <c r="V903" s="493">
        <v>2024</v>
      </c>
      <c r="W903" s="495"/>
      <c r="X903" s="496" t="str">
        <f t="shared" si="55"/>
        <v/>
      </c>
      <c r="Y903" s="497" t="str">
        <f t="shared" si="58"/>
        <v/>
      </c>
      <c r="Z903" s="497" t="str">
        <f t="shared" si="58"/>
        <v/>
      </c>
    </row>
    <row r="904" spans="1:26" s="82" customFormat="1" ht="32" x14ac:dyDescent="0.4">
      <c r="A904" s="493">
        <v>54593</v>
      </c>
      <c r="B904" s="105" t="s">
        <v>329</v>
      </c>
      <c r="C904" s="493" t="s">
        <v>330</v>
      </c>
      <c r="D904" s="105" t="s">
        <v>1050</v>
      </c>
      <c r="E904" s="105" t="s">
        <v>1051</v>
      </c>
      <c r="F904" s="493">
        <v>16839</v>
      </c>
      <c r="G904" s="105" t="s">
        <v>52</v>
      </c>
      <c r="H904" s="105" t="s">
        <v>333</v>
      </c>
      <c r="I904" s="105" t="s">
        <v>334</v>
      </c>
      <c r="J904" s="493">
        <v>22</v>
      </c>
      <c r="K904" s="493">
        <v>2</v>
      </c>
      <c r="L904" s="105" t="s">
        <v>343</v>
      </c>
      <c r="M904" s="105" t="s">
        <v>380</v>
      </c>
      <c r="N904" s="105" t="s">
        <v>228</v>
      </c>
      <c r="O904" s="105" t="s">
        <v>228</v>
      </c>
      <c r="P904" s="105" t="s">
        <v>356</v>
      </c>
      <c r="Q904" s="494">
        <v>0</v>
      </c>
      <c r="R904" s="494">
        <v>0</v>
      </c>
      <c r="S904" s="494">
        <v>0</v>
      </c>
      <c r="T904" s="494">
        <v>0</v>
      </c>
      <c r="U904" s="494">
        <v>1007</v>
      </c>
      <c r="V904" s="493">
        <v>2024</v>
      </c>
      <c r="W904" s="495" t="s">
        <v>355</v>
      </c>
      <c r="X904" s="496" t="str">
        <f t="shared" si="55"/>
        <v/>
      </c>
      <c r="Y904" s="497" t="str">
        <f t="shared" si="58"/>
        <v/>
      </c>
      <c r="Z904" s="497" t="str">
        <f t="shared" si="58"/>
        <v/>
      </c>
    </row>
    <row r="905" spans="1:26" s="82" customFormat="1" ht="32" x14ac:dyDescent="0.4">
      <c r="A905" s="493">
        <v>54593</v>
      </c>
      <c r="B905" s="105" t="s">
        <v>329</v>
      </c>
      <c r="C905" s="493" t="s">
        <v>330</v>
      </c>
      <c r="D905" s="105" t="s">
        <v>1050</v>
      </c>
      <c r="E905" s="105" t="s">
        <v>1051</v>
      </c>
      <c r="F905" s="493">
        <v>16839</v>
      </c>
      <c r="G905" s="105" t="s">
        <v>52</v>
      </c>
      <c r="H905" s="105" t="s">
        <v>333</v>
      </c>
      <c r="I905" s="105" t="s">
        <v>334</v>
      </c>
      <c r="J905" s="493">
        <v>22</v>
      </c>
      <c r="K905" s="493">
        <v>2</v>
      </c>
      <c r="L905" s="105" t="s">
        <v>343</v>
      </c>
      <c r="M905" s="105" t="s">
        <v>37</v>
      </c>
      <c r="N905" s="105" t="s">
        <v>228</v>
      </c>
      <c r="O905" s="105" t="s">
        <v>228</v>
      </c>
      <c r="P905" s="105" t="s">
        <v>356</v>
      </c>
      <c r="Q905" s="494">
        <v>32078</v>
      </c>
      <c r="R905" s="494">
        <v>32078</v>
      </c>
      <c r="S905" s="494">
        <v>33361</v>
      </c>
      <c r="T905" s="494">
        <v>33361</v>
      </c>
      <c r="U905" s="494">
        <v>2433</v>
      </c>
      <c r="V905" s="493">
        <v>2024</v>
      </c>
      <c r="W905" s="495" t="s">
        <v>355</v>
      </c>
      <c r="X905" s="496">
        <f t="shared" ref="X905:X968" si="59">IF(OR(K905&gt;3,T905=0,NOT(U905&gt;0)),"",T905/U905)</f>
        <v>13.711878339498561</v>
      </c>
      <c r="Y905" s="497" t="str">
        <f t="shared" si="58"/>
        <v/>
      </c>
      <c r="Z905" s="497" t="str">
        <f t="shared" si="58"/>
        <v/>
      </c>
    </row>
    <row r="906" spans="1:26" s="82" customFormat="1" ht="32" x14ac:dyDescent="0.4">
      <c r="A906" s="493">
        <v>54593</v>
      </c>
      <c r="B906" s="105" t="s">
        <v>329</v>
      </c>
      <c r="C906" s="493" t="s">
        <v>330</v>
      </c>
      <c r="D906" s="105" t="s">
        <v>1050</v>
      </c>
      <c r="E906" s="105" t="s">
        <v>1051</v>
      </c>
      <c r="F906" s="493">
        <v>16839</v>
      </c>
      <c r="G906" s="105" t="s">
        <v>52</v>
      </c>
      <c r="H906" s="105" t="s">
        <v>333</v>
      </c>
      <c r="I906" s="105" t="s">
        <v>334</v>
      </c>
      <c r="J906" s="493">
        <v>22</v>
      </c>
      <c r="K906" s="493">
        <v>2</v>
      </c>
      <c r="L906" s="105" t="s">
        <v>343</v>
      </c>
      <c r="M906" s="105" t="s">
        <v>359</v>
      </c>
      <c r="N906" s="105" t="s">
        <v>226</v>
      </c>
      <c r="O906" s="105" t="s">
        <v>226</v>
      </c>
      <c r="P906" s="105" t="s">
        <v>350</v>
      </c>
      <c r="Q906" s="494">
        <v>6</v>
      </c>
      <c r="R906" s="494">
        <v>6</v>
      </c>
      <c r="S906" s="494">
        <v>34</v>
      </c>
      <c r="T906" s="494">
        <v>34</v>
      </c>
      <c r="U906" s="494">
        <v>3</v>
      </c>
      <c r="V906" s="493">
        <v>2024</v>
      </c>
      <c r="W906" s="495"/>
      <c r="X906" s="496">
        <f t="shared" si="59"/>
        <v>11.333333333333334</v>
      </c>
      <c r="Y906" s="497" t="str">
        <f t="shared" si="58"/>
        <v/>
      </c>
      <c r="Z906" s="497" t="str">
        <f t="shared" si="58"/>
        <v/>
      </c>
    </row>
    <row r="907" spans="1:26" s="82" customFormat="1" ht="32" x14ac:dyDescent="0.4">
      <c r="A907" s="493">
        <v>54605</v>
      </c>
      <c r="B907" s="105" t="s">
        <v>433</v>
      </c>
      <c r="C907" s="493" t="s">
        <v>330</v>
      </c>
      <c r="D907" s="105" t="s">
        <v>1052</v>
      </c>
      <c r="E907" s="105" t="s">
        <v>1053</v>
      </c>
      <c r="F907" s="493">
        <v>21621</v>
      </c>
      <c r="G907" s="105" t="s">
        <v>37</v>
      </c>
      <c r="H907" s="105" t="s">
        <v>342</v>
      </c>
      <c r="I907" s="105" t="s">
        <v>334</v>
      </c>
      <c r="J907" s="493">
        <v>336</v>
      </c>
      <c r="K907" s="493">
        <v>7</v>
      </c>
      <c r="L907" s="105" t="s">
        <v>727</v>
      </c>
      <c r="M907" s="105" t="s">
        <v>295</v>
      </c>
      <c r="N907" s="105" t="s">
        <v>226</v>
      </c>
      <c r="O907" s="105" t="s">
        <v>226</v>
      </c>
      <c r="P907" s="105" t="s">
        <v>350</v>
      </c>
      <c r="Q907" s="494">
        <v>667</v>
      </c>
      <c r="R907" s="494">
        <v>199</v>
      </c>
      <c r="S907" s="494">
        <v>3849</v>
      </c>
      <c r="T907" s="494">
        <v>1149</v>
      </c>
      <c r="U907" s="494">
        <v>233.28899999999999</v>
      </c>
      <c r="V907" s="493">
        <v>2024</v>
      </c>
      <c r="W907" s="495"/>
      <c r="X907" s="496" t="str">
        <f t="shared" si="59"/>
        <v/>
      </c>
      <c r="Y907" s="497" t="str">
        <f t="shared" si="58"/>
        <v/>
      </c>
      <c r="Z907" s="497" t="str">
        <f t="shared" si="58"/>
        <v/>
      </c>
    </row>
    <row r="908" spans="1:26" s="82" customFormat="1" ht="32" x14ac:dyDescent="0.4">
      <c r="A908" s="493">
        <v>54605</v>
      </c>
      <c r="B908" s="105" t="s">
        <v>433</v>
      </c>
      <c r="C908" s="493" t="s">
        <v>330</v>
      </c>
      <c r="D908" s="105" t="s">
        <v>1052</v>
      </c>
      <c r="E908" s="105" t="s">
        <v>1053</v>
      </c>
      <c r="F908" s="493">
        <v>21621</v>
      </c>
      <c r="G908" s="105" t="s">
        <v>37</v>
      </c>
      <c r="H908" s="105" t="s">
        <v>342</v>
      </c>
      <c r="I908" s="105" t="s">
        <v>334</v>
      </c>
      <c r="J908" s="493">
        <v>336</v>
      </c>
      <c r="K908" s="493">
        <v>7</v>
      </c>
      <c r="L908" s="105" t="s">
        <v>727</v>
      </c>
      <c r="M908" s="105" t="s">
        <v>295</v>
      </c>
      <c r="N908" s="105" t="s">
        <v>240</v>
      </c>
      <c r="O908" s="105" t="s">
        <v>349</v>
      </c>
      <c r="P908" s="105" t="s">
        <v>350</v>
      </c>
      <c r="Q908" s="494">
        <v>0</v>
      </c>
      <c r="R908" s="494">
        <v>0</v>
      </c>
      <c r="S908" s="494">
        <v>0</v>
      </c>
      <c r="T908" s="494">
        <v>0</v>
      </c>
      <c r="U908" s="494">
        <v>0</v>
      </c>
      <c r="V908" s="493">
        <v>2024</v>
      </c>
      <c r="W908" s="495"/>
      <c r="X908" s="496" t="str">
        <f t="shared" si="59"/>
        <v/>
      </c>
      <c r="Y908" s="497" t="str">
        <f t="shared" ref="Y908:Z927" si="60">IF(AND($M908=$Y$2,$N908=$Y$3,NOT($Q908=$R908),NOT($U908=0)),IF($K908=5,$S908/($U908+(8/5)*$U908),IF($K908=7,$S908/($U908+(29/25)*$U908),"")),"")</f>
        <v/>
      </c>
      <c r="Z908" s="497" t="str">
        <f t="shared" si="60"/>
        <v/>
      </c>
    </row>
    <row r="909" spans="1:26" s="82" customFormat="1" ht="32" x14ac:dyDescent="0.4">
      <c r="A909" s="493">
        <v>54605</v>
      </c>
      <c r="B909" s="105" t="s">
        <v>433</v>
      </c>
      <c r="C909" s="493" t="s">
        <v>330</v>
      </c>
      <c r="D909" s="105" t="s">
        <v>1052</v>
      </c>
      <c r="E909" s="105" t="s">
        <v>1053</v>
      </c>
      <c r="F909" s="493">
        <v>21621</v>
      </c>
      <c r="G909" s="105" t="s">
        <v>37</v>
      </c>
      <c r="H909" s="105" t="s">
        <v>342</v>
      </c>
      <c r="I909" s="105" t="s">
        <v>334</v>
      </c>
      <c r="J909" s="493">
        <v>336</v>
      </c>
      <c r="K909" s="493">
        <v>7</v>
      </c>
      <c r="L909" s="105" t="s">
        <v>727</v>
      </c>
      <c r="M909" s="105" t="s">
        <v>295</v>
      </c>
      <c r="N909" s="105" t="s">
        <v>228</v>
      </c>
      <c r="O909" s="105" t="s">
        <v>228</v>
      </c>
      <c r="P909" s="105" t="s">
        <v>356</v>
      </c>
      <c r="Q909" s="494">
        <v>1553195</v>
      </c>
      <c r="R909" s="494">
        <v>576195</v>
      </c>
      <c r="S909" s="494">
        <v>1599978</v>
      </c>
      <c r="T909" s="494">
        <v>593258</v>
      </c>
      <c r="U909" s="494">
        <v>121097.71</v>
      </c>
      <c r="V909" s="493">
        <v>2024</v>
      </c>
      <c r="W909" s="495"/>
      <c r="X909" s="496" t="str">
        <f t="shared" si="59"/>
        <v/>
      </c>
      <c r="Y909" s="497">
        <f t="shared" si="60"/>
        <v>6.1168006856244892</v>
      </c>
      <c r="Z909" s="497">
        <f t="shared" si="60"/>
        <v>6.1168006856244892</v>
      </c>
    </row>
    <row r="910" spans="1:26" s="82" customFormat="1" ht="32" x14ac:dyDescent="0.4">
      <c r="A910" s="493">
        <v>54620</v>
      </c>
      <c r="B910" s="105" t="s">
        <v>329</v>
      </c>
      <c r="C910" s="493" t="s">
        <v>330</v>
      </c>
      <c r="D910" s="105" t="s">
        <v>1054</v>
      </c>
      <c r="E910" s="105" t="s">
        <v>1054</v>
      </c>
      <c r="F910" s="493">
        <v>65545</v>
      </c>
      <c r="G910" s="105" t="s">
        <v>33</v>
      </c>
      <c r="H910" s="105" t="s">
        <v>342</v>
      </c>
      <c r="I910" s="105" t="s">
        <v>334</v>
      </c>
      <c r="J910" s="493">
        <v>22</v>
      </c>
      <c r="K910" s="493">
        <v>2</v>
      </c>
      <c r="L910" s="105" t="s">
        <v>343</v>
      </c>
      <c r="M910" s="105" t="s">
        <v>360</v>
      </c>
      <c r="N910" s="105" t="s">
        <v>228</v>
      </c>
      <c r="O910" s="105" t="s">
        <v>228</v>
      </c>
      <c r="P910" s="105" t="s">
        <v>356</v>
      </c>
      <c r="Q910" s="494">
        <v>25740</v>
      </c>
      <c r="R910" s="494">
        <v>25740</v>
      </c>
      <c r="S910" s="494">
        <v>26486</v>
      </c>
      <c r="T910" s="494">
        <v>26486</v>
      </c>
      <c r="U910" s="494">
        <v>1166.17</v>
      </c>
      <c r="V910" s="493">
        <v>2024</v>
      </c>
      <c r="W910" s="495"/>
      <c r="X910" s="496">
        <f t="shared" si="59"/>
        <v>22.711954517780423</v>
      </c>
      <c r="Y910" s="497" t="str">
        <f t="shared" si="60"/>
        <v/>
      </c>
      <c r="Z910" s="497" t="str">
        <f t="shared" si="60"/>
        <v/>
      </c>
    </row>
    <row r="911" spans="1:26" s="82" customFormat="1" ht="32" x14ac:dyDescent="0.4">
      <c r="A911" s="493">
        <v>54620</v>
      </c>
      <c r="B911" s="105" t="s">
        <v>329</v>
      </c>
      <c r="C911" s="493" t="s">
        <v>330</v>
      </c>
      <c r="D911" s="105" t="s">
        <v>1054</v>
      </c>
      <c r="E911" s="105" t="s">
        <v>1054</v>
      </c>
      <c r="F911" s="493">
        <v>65545</v>
      </c>
      <c r="G911" s="105" t="s">
        <v>33</v>
      </c>
      <c r="H911" s="105" t="s">
        <v>342</v>
      </c>
      <c r="I911" s="105" t="s">
        <v>334</v>
      </c>
      <c r="J911" s="493">
        <v>22</v>
      </c>
      <c r="K911" s="493">
        <v>2</v>
      </c>
      <c r="L911" s="105" t="s">
        <v>343</v>
      </c>
      <c r="M911" s="105" t="s">
        <v>360</v>
      </c>
      <c r="N911" s="105" t="s">
        <v>258</v>
      </c>
      <c r="O911" s="105" t="s">
        <v>387</v>
      </c>
      <c r="P911" s="105" t="s">
        <v>388</v>
      </c>
      <c r="Q911" s="494">
        <v>127515</v>
      </c>
      <c r="R911" s="494">
        <v>127515</v>
      </c>
      <c r="S911" s="494">
        <v>1164213</v>
      </c>
      <c r="T911" s="494">
        <v>1164213</v>
      </c>
      <c r="U911" s="494">
        <v>60056.83</v>
      </c>
      <c r="V911" s="493">
        <v>2024</v>
      </c>
      <c r="W911" s="495"/>
      <c r="X911" s="496">
        <f t="shared" si="59"/>
        <v>19.385188995156753</v>
      </c>
      <c r="Y911" s="497" t="str">
        <f t="shared" si="60"/>
        <v/>
      </c>
      <c r="Z911" s="497" t="str">
        <f t="shared" si="60"/>
        <v/>
      </c>
    </row>
    <row r="912" spans="1:26" s="82" customFormat="1" ht="32" x14ac:dyDescent="0.4">
      <c r="A912" s="493">
        <v>54639</v>
      </c>
      <c r="B912" s="105" t="s">
        <v>329</v>
      </c>
      <c r="C912" s="493" t="s">
        <v>330</v>
      </c>
      <c r="D912" s="105" t="s">
        <v>1055</v>
      </c>
      <c r="E912" s="105" t="s">
        <v>1013</v>
      </c>
      <c r="F912" s="493">
        <v>7595</v>
      </c>
      <c r="G912" s="105" t="s">
        <v>35</v>
      </c>
      <c r="H912" s="105" t="s">
        <v>342</v>
      </c>
      <c r="I912" s="105" t="s">
        <v>334</v>
      </c>
      <c r="J912" s="493">
        <v>22</v>
      </c>
      <c r="K912" s="493">
        <v>2</v>
      </c>
      <c r="L912" s="105" t="s">
        <v>343</v>
      </c>
      <c r="M912" s="105" t="s">
        <v>403</v>
      </c>
      <c r="N912" s="105" t="s">
        <v>404</v>
      </c>
      <c r="O912" s="105" t="s">
        <v>232</v>
      </c>
      <c r="P912" s="105" t="s">
        <v>346</v>
      </c>
      <c r="Q912" s="494">
        <v>10818</v>
      </c>
      <c r="R912" s="494">
        <v>10818</v>
      </c>
      <c r="S912" s="494">
        <v>0</v>
      </c>
      <c r="T912" s="494">
        <v>0</v>
      </c>
      <c r="U912" s="494">
        <v>-1628</v>
      </c>
      <c r="V912" s="493">
        <v>2024</v>
      </c>
      <c r="W912" s="495"/>
      <c r="X912" s="496" t="str">
        <f t="shared" si="59"/>
        <v/>
      </c>
      <c r="Y912" s="497" t="str">
        <f t="shared" si="60"/>
        <v/>
      </c>
      <c r="Z912" s="497" t="str">
        <f t="shared" si="60"/>
        <v/>
      </c>
    </row>
    <row r="913" spans="1:26" s="82" customFormat="1" ht="32" x14ac:dyDescent="0.4">
      <c r="A913" s="493">
        <v>54639</v>
      </c>
      <c r="B913" s="105" t="s">
        <v>329</v>
      </c>
      <c r="C913" s="493" t="s">
        <v>330</v>
      </c>
      <c r="D913" s="105" t="s">
        <v>1055</v>
      </c>
      <c r="E913" s="105" t="s">
        <v>1013</v>
      </c>
      <c r="F913" s="493">
        <v>7595</v>
      </c>
      <c r="G913" s="105" t="s">
        <v>35</v>
      </c>
      <c r="H913" s="105" t="s">
        <v>342</v>
      </c>
      <c r="I913" s="105" t="s">
        <v>334</v>
      </c>
      <c r="J913" s="493">
        <v>22</v>
      </c>
      <c r="K913" s="493">
        <v>2</v>
      </c>
      <c r="L913" s="105" t="s">
        <v>343</v>
      </c>
      <c r="M913" s="105" t="s">
        <v>336</v>
      </c>
      <c r="N913" s="105" t="s">
        <v>337</v>
      </c>
      <c r="O913" s="105" t="s">
        <v>338</v>
      </c>
      <c r="P913" s="105" t="s">
        <v>339</v>
      </c>
      <c r="Q913" s="494">
        <v>0</v>
      </c>
      <c r="R913" s="494">
        <v>0</v>
      </c>
      <c r="S913" s="494">
        <v>460988</v>
      </c>
      <c r="T913" s="494">
        <v>460988</v>
      </c>
      <c r="U913" s="494">
        <v>135108</v>
      </c>
      <c r="V913" s="493">
        <v>2024</v>
      </c>
      <c r="W913" s="495"/>
      <c r="X913" s="496">
        <f t="shared" si="59"/>
        <v>3.4119963288628354</v>
      </c>
      <c r="Y913" s="497" t="str">
        <f t="shared" si="60"/>
        <v/>
      </c>
      <c r="Z913" s="497" t="str">
        <f t="shared" si="60"/>
        <v/>
      </c>
    </row>
    <row r="914" spans="1:26" s="82" customFormat="1" ht="32" x14ac:dyDescent="0.4">
      <c r="A914" s="493">
        <v>54663</v>
      </c>
      <c r="B914" s="105" t="s">
        <v>329</v>
      </c>
      <c r="C914" s="493" t="s">
        <v>330</v>
      </c>
      <c r="D914" s="105" t="s">
        <v>1056</v>
      </c>
      <c r="E914" s="105" t="s">
        <v>937</v>
      </c>
      <c r="F914" s="493">
        <v>54842</v>
      </c>
      <c r="G914" s="105" t="s">
        <v>35</v>
      </c>
      <c r="H914" s="105" t="s">
        <v>342</v>
      </c>
      <c r="I914" s="105" t="s">
        <v>334</v>
      </c>
      <c r="J914" s="493">
        <v>22</v>
      </c>
      <c r="K914" s="493">
        <v>2</v>
      </c>
      <c r="L914" s="105" t="s">
        <v>343</v>
      </c>
      <c r="M914" s="105" t="s">
        <v>295</v>
      </c>
      <c r="N914" s="105" t="s">
        <v>252</v>
      </c>
      <c r="O914" s="105" t="s">
        <v>688</v>
      </c>
      <c r="P914" s="105" t="s">
        <v>356</v>
      </c>
      <c r="Q914" s="494">
        <v>1282107</v>
      </c>
      <c r="R914" s="494">
        <v>1282107</v>
      </c>
      <c r="S914" s="494">
        <v>630797</v>
      </c>
      <c r="T914" s="494">
        <v>630797</v>
      </c>
      <c r="U914" s="494">
        <v>32494</v>
      </c>
      <c r="V914" s="493">
        <v>2024</v>
      </c>
      <c r="W914" s="495"/>
      <c r="X914" s="496">
        <f t="shared" si="59"/>
        <v>19.412722348741305</v>
      </c>
      <c r="Y914" s="497" t="str">
        <f t="shared" si="60"/>
        <v/>
      </c>
      <c r="Z914" s="497" t="str">
        <f t="shared" si="60"/>
        <v/>
      </c>
    </row>
    <row r="915" spans="1:26" s="82" customFormat="1" ht="32" x14ac:dyDescent="0.4">
      <c r="A915" s="493">
        <v>54663</v>
      </c>
      <c r="B915" s="105" t="s">
        <v>329</v>
      </c>
      <c r="C915" s="493" t="s">
        <v>330</v>
      </c>
      <c r="D915" s="105" t="s">
        <v>1056</v>
      </c>
      <c r="E915" s="105" t="s">
        <v>937</v>
      </c>
      <c r="F915" s="493">
        <v>54842</v>
      </c>
      <c r="G915" s="105" t="s">
        <v>35</v>
      </c>
      <c r="H915" s="105" t="s">
        <v>342</v>
      </c>
      <c r="I915" s="105" t="s">
        <v>334</v>
      </c>
      <c r="J915" s="493">
        <v>22</v>
      </c>
      <c r="K915" s="493">
        <v>2</v>
      </c>
      <c r="L915" s="105" t="s">
        <v>343</v>
      </c>
      <c r="M915" s="105" t="s">
        <v>359</v>
      </c>
      <c r="N915" s="105" t="s">
        <v>252</v>
      </c>
      <c r="O915" s="105" t="s">
        <v>688</v>
      </c>
      <c r="P915" s="105" t="s">
        <v>356</v>
      </c>
      <c r="Q915" s="494">
        <v>307375</v>
      </c>
      <c r="R915" s="494">
        <v>307375</v>
      </c>
      <c r="S915" s="494">
        <v>153380</v>
      </c>
      <c r="T915" s="494">
        <v>153380</v>
      </c>
      <c r="U915" s="494">
        <v>11669</v>
      </c>
      <c r="V915" s="493">
        <v>2024</v>
      </c>
      <c r="W915" s="495"/>
      <c r="X915" s="496">
        <f t="shared" si="59"/>
        <v>13.144228297197703</v>
      </c>
      <c r="Y915" s="497" t="str">
        <f t="shared" si="60"/>
        <v/>
      </c>
      <c r="Z915" s="497" t="str">
        <f t="shared" si="60"/>
        <v/>
      </c>
    </row>
    <row r="916" spans="1:26" s="82" customFormat="1" x14ac:dyDescent="0.4">
      <c r="A916" s="493">
        <v>54688</v>
      </c>
      <c r="B916" s="105" t="s">
        <v>329</v>
      </c>
      <c r="C916" s="493" t="s">
        <v>330</v>
      </c>
      <c r="D916" s="105" t="s">
        <v>1057</v>
      </c>
      <c r="E916" s="105" t="s">
        <v>1058</v>
      </c>
      <c r="F916" s="493">
        <v>42890</v>
      </c>
      <c r="G916" s="105" t="s">
        <v>38</v>
      </c>
      <c r="H916" s="105" t="s">
        <v>342</v>
      </c>
      <c r="I916" s="105" t="s">
        <v>334</v>
      </c>
      <c r="J916" s="493">
        <v>22</v>
      </c>
      <c r="K916" s="493">
        <v>2</v>
      </c>
      <c r="L916" s="105" t="s">
        <v>343</v>
      </c>
      <c r="M916" s="105" t="s">
        <v>336</v>
      </c>
      <c r="N916" s="105" t="s">
        <v>337</v>
      </c>
      <c r="O916" s="105" t="s">
        <v>338</v>
      </c>
      <c r="P916" s="105" t="s">
        <v>339</v>
      </c>
      <c r="Q916" s="494">
        <v>0</v>
      </c>
      <c r="R916" s="494">
        <v>0</v>
      </c>
      <c r="S916" s="494">
        <v>307</v>
      </c>
      <c r="T916" s="494">
        <v>307</v>
      </c>
      <c r="U916" s="494">
        <v>90</v>
      </c>
      <c r="V916" s="493">
        <v>2024</v>
      </c>
      <c r="W916" s="495"/>
      <c r="X916" s="496">
        <f t="shared" si="59"/>
        <v>3.411111111111111</v>
      </c>
      <c r="Y916" s="497" t="str">
        <f t="shared" si="60"/>
        <v/>
      </c>
      <c r="Z916" s="497" t="str">
        <f t="shared" si="60"/>
        <v/>
      </c>
    </row>
    <row r="917" spans="1:26" s="82" customFormat="1" ht="32" x14ac:dyDescent="0.4">
      <c r="A917" s="493">
        <v>54691</v>
      </c>
      <c r="B917" s="105" t="s">
        <v>329</v>
      </c>
      <c r="C917" s="493" t="s">
        <v>330</v>
      </c>
      <c r="D917" s="105" t="s">
        <v>1059</v>
      </c>
      <c r="E917" s="105" t="s">
        <v>592</v>
      </c>
      <c r="F917" s="493">
        <v>57280</v>
      </c>
      <c r="G917" s="105" t="s">
        <v>52</v>
      </c>
      <c r="H917" s="105" t="s">
        <v>333</v>
      </c>
      <c r="I917" s="105" t="s">
        <v>334</v>
      </c>
      <c r="J917" s="493">
        <v>22</v>
      </c>
      <c r="K917" s="493">
        <v>2</v>
      </c>
      <c r="L917" s="105" t="s">
        <v>343</v>
      </c>
      <c r="M917" s="105" t="s">
        <v>336</v>
      </c>
      <c r="N917" s="105" t="s">
        <v>337</v>
      </c>
      <c r="O917" s="105" t="s">
        <v>338</v>
      </c>
      <c r="P917" s="105" t="s">
        <v>339</v>
      </c>
      <c r="Q917" s="494">
        <v>0</v>
      </c>
      <c r="R917" s="494">
        <v>0</v>
      </c>
      <c r="S917" s="494">
        <v>13735</v>
      </c>
      <c r="T917" s="494">
        <v>13735</v>
      </c>
      <c r="U917" s="494">
        <v>4026</v>
      </c>
      <c r="V917" s="493">
        <v>2024</v>
      </c>
      <c r="W917" s="495"/>
      <c r="X917" s="496">
        <f t="shared" si="59"/>
        <v>3.4115747640337806</v>
      </c>
      <c r="Y917" s="497" t="str">
        <f t="shared" si="60"/>
        <v/>
      </c>
      <c r="Z917" s="497" t="str">
        <f t="shared" si="60"/>
        <v/>
      </c>
    </row>
    <row r="918" spans="1:26" s="82" customFormat="1" ht="32" x14ac:dyDescent="0.4">
      <c r="A918" s="493">
        <v>54758</v>
      </c>
      <c r="B918" s="105" t="s">
        <v>329</v>
      </c>
      <c r="C918" s="493" t="s">
        <v>330</v>
      </c>
      <c r="D918" s="105" t="s">
        <v>1060</v>
      </c>
      <c r="E918" s="105" t="s">
        <v>789</v>
      </c>
      <c r="F918" s="493">
        <v>20541</v>
      </c>
      <c r="G918" s="105" t="s">
        <v>37</v>
      </c>
      <c r="H918" s="105" t="s">
        <v>342</v>
      </c>
      <c r="I918" s="105" t="s">
        <v>334</v>
      </c>
      <c r="J918" s="493">
        <v>22</v>
      </c>
      <c r="K918" s="493">
        <v>2</v>
      </c>
      <c r="L918" s="105" t="s">
        <v>343</v>
      </c>
      <c r="M918" s="105" t="s">
        <v>360</v>
      </c>
      <c r="N918" s="105" t="s">
        <v>254</v>
      </c>
      <c r="O918" s="105" t="s">
        <v>688</v>
      </c>
      <c r="P918" s="105" t="s">
        <v>388</v>
      </c>
      <c r="Q918" s="494">
        <v>118269</v>
      </c>
      <c r="R918" s="494">
        <v>118269</v>
      </c>
      <c r="S918" s="494">
        <v>907363</v>
      </c>
      <c r="T918" s="494">
        <v>907363</v>
      </c>
      <c r="U918" s="494">
        <v>44745.245999999999</v>
      </c>
      <c r="V918" s="493">
        <v>2024</v>
      </c>
      <c r="W918" s="495"/>
      <c r="X918" s="496">
        <f t="shared" si="59"/>
        <v>20.278422427267468</v>
      </c>
      <c r="Y918" s="497" t="str">
        <f t="shared" si="60"/>
        <v/>
      </c>
      <c r="Z918" s="497" t="str">
        <f t="shared" si="60"/>
        <v/>
      </c>
    </row>
    <row r="919" spans="1:26" s="82" customFormat="1" ht="32" x14ac:dyDescent="0.4">
      <c r="A919" s="493">
        <v>54758</v>
      </c>
      <c r="B919" s="105" t="s">
        <v>329</v>
      </c>
      <c r="C919" s="493" t="s">
        <v>330</v>
      </c>
      <c r="D919" s="105" t="s">
        <v>1060</v>
      </c>
      <c r="E919" s="105" t="s">
        <v>789</v>
      </c>
      <c r="F919" s="493">
        <v>20541</v>
      </c>
      <c r="G919" s="105" t="s">
        <v>37</v>
      </c>
      <c r="H919" s="105" t="s">
        <v>342</v>
      </c>
      <c r="I919" s="105" t="s">
        <v>334</v>
      </c>
      <c r="J919" s="493">
        <v>22</v>
      </c>
      <c r="K919" s="493">
        <v>2</v>
      </c>
      <c r="L919" s="105" t="s">
        <v>343</v>
      </c>
      <c r="M919" s="105" t="s">
        <v>360</v>
      </c>
      <c r="N919" s="105" t="s">
        <v>230</v>
      </c>
      <c r="O919" s="105" t="s">
        <v>232</v>
      </c>
      <c r="P919" s="105" t="s">
        <v>388</v>
      </c>
      <c r="Q919" s="494">
        <v>75615</v>
      </c>
      <c r="R919" s="494">
        <v>75615</v>
      </c>
      <c r="S919" s="494">
        <v>1109023</v>
      </c>
      <c r="T919" s="494">
        <v>1109023</v>
      </c>
      <c r="U919" s="494">
        <v>54689.754000000001</v>
      </c>
      <c r="V919" s="493">
        <v>2024</v>
      </c>
      <c r="W919" s="495"/>
      <c r="X919" s="496">
        <f t="shared" si="59"/>
        <v>20.278441918023621</v>
      </c>
      <c r="Y919" s="497" t="str">
        <f t="shared" si="60"/>
        <v/>
      </c>
      <c r="Z919" s="497" t="str">
        <f t="shared" si="60"/>
        <v/>
      </c>
    </row>
    <row r="920" spans="1:26" s="82" customFormat="1" ht="32" x14ac:dyDescent="0.4">
      <c r="A920" s="493">
        <v>54769</v>
      </c>
      <c r="B920" s="105" t="s">
        <v>433</v>
      </c>
      <c r="C920" s="493" t="s">
        <v>330</v>
      </c>
      <c r="D920" s="105" t="s">
        <v>1061</v>
      </c>
      <c r="E920" s="105" t="s">
        <v>1062</v>
      </c>
      <c r="F920" s="493">
        <v>11329</v>
      </c>
      <c r="G920" s="105" t="s">
        <v>52</v>
      </c>
      <c r="H920" s="105" t="s">
        <v>333</v>
      </c>
      <c r="I920" s="105" t="s">
        <v>334</v>
      </c>
      <c r="J920" s="493">
        <v>622</v>
      </c>
      <c r="K920" s="493">
        <v>5</v>
      </c>
      <c r="L920" s="105" t="s">
        <v>771</v>
      </c>
      <c r="M920" s="105" t="s">
        <v>359</v>
      </c>
      <c r="N920" s="105" t="s">
        <v>226</v>
      </c>
      <c r="O920" s="105" t="s">
        <v>226</v>
      </c>
      <c r="P920" s="105" t="s">
        <v>350</v>
      </c>
      <c r="Q920" s="494">
        <v>41</v>
      </c>
      <c r="R920" s="494">
        <v>7</v>
      </c>
      <c r="S920" s="494">
        <v>242</v>
      </c>
      <c r="T920" s="494">
        <v>51</v>
      </c>
      <c r="U920" s="494">
        <v>10.763</v>
      </c>
      <c r="V920" s="493">
        <v>2024</v>
      </c>
      <c r="W920" s="495"/>
      <c r="X920" s="496" t="str">
        <f t="shared" si="59"/>
        <v/>
      </c>
      <c r="Y920" s="497" t="str">
        <f t="shared" si="60"/>
        <v/>
      </c>
      <c r="Z920" s="497" t="str">
        <f t="shared" si="60"/>
        <v/>
      </c>
    </row>
    <row r="921" spans="1:26" s="82" customFormat="1" ht="32" x14ac:dyDescent="0.4">
      <c r="A921" s="493">
        <v>54769</v>
      </c>
      <c r="B921" s="105" t="s">
        <v>433</v>
      </c>
      <c r="C921" s="493" t="s">
        <v>330</v>
      </c>
      <c r="D921" s="105" t="s">
        <v>1061</v>
      </c>
      <c r="E921" s="105" t="s">
        <v>1062</v>
      </c>
      <c r="F921" s="493">
        <v>11329</v>
      </c>
      <c r="G921" s="105" t="s">
        <v>52</v>
      </c>
      <c r="H921" s="105" t="s">
        <v>333</v>
      </c>
      <c r="I921" s="105" t="s">
        <v>334</v>
      </c>
      <c r="J921" s="493">
        <v>622</v>
      </c>
      <c r="K921" s="493">
        <v>5</v>
      </c>
      <c r="L921" s="105" t="s">
        <v>771</v>
      </c>
      <c r="M921" s="105" t="s">
        <v>359</v>
      </c>
      <c r="N921" s="105" t="s">
        <v>228</v>
      </c>
      <c r="O921" s="105" t="s">
        <v>228</v>
      </c>
      <c r="P921" s="105" t="s">
        <v>356</v>
      </c>
      <c r="Q921" s="494">
        <v>10436</v>
      </c>
      <c r="R921" s="494">
        <v>2242</v>
      </c>
      <c r="S921" s="494">
        <v>10645</v>
      </c>
      <c r="T921" s="494">
        <v>2286</v>
      </c>
      <c r="U921" s="494">
        <v>475.23700000000002</v>
      </c>
      <c r="V921" s="493">
        <v>2024</v>
      </c>
      <c r="W921" s="495"/>
      <c r="X921" s="496" t="str">
        <f t="shared" si="59"/>
        <v/>
      </c>
      <c r="Y921" s="497" t="str">
        <f t="shared" si="60"/>
        <v/>
      </c>
      <c r="Z921" s="497" t="str">
        <f t="shared" si="60"/>
        <v/>
      </c>
    </row>
    <row r="922" spans="1:26" s="82" customFormat="1" ht="32" x14ac:dyDescent="0.4">
      <c r="A922" s="493">
        <v>54772</v>
      </c>
      <c r="B922" s="105" t="s">
        <v>329</v>
      </c>
      <c r="C922" s="493" t="s">
        <v>330</v>
      </c>
      <c r="D922" s="105" t="s">
        <v>1063</v>
      </c>
      <c r="E922" s="105" t="s">
        <v>757</v>
      </c>
      <c r="F922" s="493">
        <v>55754</v>
      </c>
      <c r="G922" s="105" t="s">
        <v>52</v>
      </c>
      <c r="H922" s="105" t="s">
        <v>333</v>
      </c>
      <c r="I922" s="105" t="s">
        <v>334</v>
      </c>
      <c r="J922" s="493">
        <v>22</v>
      </c>
      <c r="K922" s="493">
        <v>2</v>
      </c>
      <c r="L922" s="105" t="s">
        <v>343</v>
      </c>
      <c r="M922" s="105" t="s">
        <v>336</v>
      </c>
      <c r="N922" s="105" t="s">
        <v>337</v>
      </c>
      <c r="O922" s="105" t="s">
        <v>338</v>
      </c>
      <c r="P922" s="105" t="s">
        <v>339</v>
      </c>
      <c r="Q922" s="494">
        <v>0</v>
      </c>
      <c r="R922" s="494">
        <v>0</v>
      </c>
      <c r="S922" s="494">
        <v>274362</v>
      </c>
      <c r="T922" s="494">
        <v>274362</v>
      </c>
      <c r="U922" s="494">
        <v>80411</v>
      </c>
      <c r="V922" s="493">
        <v>2024</v>
      </c>
      <c r="W922" s="495"/>
      <c r="X922" s="496">
        <f t="shared" si="59"/>
        <v>3.41199587121165</v>
      </c>
      <c r="Y922" s="497" t="str">
        <f t="shared" si="60"/>
        <v/>
      </c>
      <c r="Z922" s="497" t="str">
        <f t="shared" si="60"/>
        <v/>
      </c>
    </row>
    <row r="923" spans="1:26" s="82" customFormat="1" x14ac:dyDescent="0.4">
      <c r="A923" s="493">
        <v>54782</v>
      </c>
      <c r="B923" s="105" t="s">
        <v>329</v>
      </c>
      <c r="C923" s="493" t="s">
        <v>330</v>
      </c>
      <c r="D923" s="105" t="s">
        <v>1064</v>
      </c>
      <c r="E923" s="105" t="s">
        <v>1065</v>
      </c>
      <c r="F923" s="493">
        <v>17283</v>
      </c>
      <c r="G923" s="105" t="s">
        <v>52</v>
      </c>
      <c r="H923" s="105" t="s">
        <v>333</v>
      </c>
      <c r="I923" s="105" t="s">
        <v>334</v>
      </c>
      <c r="J923" s="493">
        <v>22</v>
      </c>
      <c r="K923" s="493">
        <v>2</v>
      </c>
      <c r="L923" s="105" t="s">
        <v>343</v>
      </c>
      <c r="M923" s="105" t="s">
        <v>359</v>
      </c>
      <c r="N923" s="105" t="s">
        <v>252</v>
      </c>
      <c r="O923" s="105" t="s">
        <v>688</v>
      </c>
      <c r="P923" s="105" t="s">
        <v>356</v>
      </c>
      <c r="Q923" s="494">
        <v>1662798</v>
      </c>
      <c r="R923" s="494">
        <v>1662798</v>
      </c>
      <c r="S923" s="494">
        <v>806627</v>
      </c>
      <c r="T923" s="494">
        <v>806627</v>
      </c>
      <c r="U923" s="494">
        <v>78353</v>
      </c>
      <c r="V923" s="493">
        <v>2024</v>
      </c>
      <c r="W923" s="495"/>
      <c r="X923" s="496">
        <f t="shared" si="59"/>
        <v>10.294781310224241</v>
      </c>
      <c r="Y923" s="497" t="str">
        <f t="shared" si="60"/>
        <v/>
      </c>
      <c r="Z923" s="497" t="str">
        <f t="shared" si="60"/>
        <v/>
      </c>
    </row>
    <row r="924" spans="1:26" s="82" customFormat="1" ht="32" x14ac:dyDescent="0.4">
      <c r="A924" s="493">
        <v>54803</v>
      </c>
      <c r="B924" s="105" t="s">
        <v>433</v>
      </c>
      <c r="C924" s="493" t="s">
        <v>330</v>
      </c>
      <c r="D924" s="105" t="s">
        <v>1066</v>
      </c>
      <c r="E924" s="105" t="s">
        <v>1067</v>
      </c>
      <c r="F924" s="493">
        <v>59190</v>
      </c>
      <c r="G924" s="105" t="s">
        <v>35</v>
      </c>
      <c r="H924" s="105" t="s">
        <v>342</v>
      </c>
      <c r="I924" s="105" t="s">
        <v>334</v>
      </c>
      <c r="J924" s="493">
        <v>611</v>
      </c>
      <c r="K924" s="493">
        <v>5</v>
      </c>
      <c r="L924" s="105" t="s">
        <v>771</v>
      </c>
      <c r="M924" s="105" t="s">
        <v>359</v>
      </c>
      <c r="N924" s="105" t="s">
        <v>226</v>
      </c>
      <c r="O924" s="105" t="s">
        <v>226</v>
      </c>
      <c r="P924" s="105" t="s">
        <v>350</v>
      </c>
      <c r="Q924" s="494">
        <v>0</v>
      </c>
      <c r="R924" s="494">
        <v>0</v>
      </c>
      <c r="S924" s="494">
        <v>0</v>
      </c>
      <c r="T924" s="494">
        <v>0</v>
      </c>
      <c r="U924" s="494">
        <v>0</v>
      </c>
      <c r="V924" s="493">
        <v>2024</v>
      </c>
      <c r="W924" s="495"/>
      <c r="X924" s="496" t="str">
        <f t="shared" si="59"/>
        <v/>
      </c>
      <c r="Y924" s="497" t="str">
        <f t="shared" si="60"/>
        <v/>
      </c>
      <c r="Z924" s="497" t="str">
        <f t="shared" si="60"/>
        <v/>
      </c>
    </row>
    <row r="925" spans="1:26" s="82" customFormat="1" ht="32" x14ac:dyDescent="0.4">
      <c r="A925" s="493">
        <v>54803</v>
      </c>
      <c r="B925" s="105" t="s">
        <v>433</v>
      </c>
      <c r="C925" s="493" t="s">
        <v>330</v>
      </c>
      <c r="D925" s="105" t="s">
        <v>1066</v>
      </c>
      <c r="E925" s="105" t="s">
        <v>1067</v>
      </c>
      <c r="F925" s="493">
        <v>59190</v>
      </c>
      <c r="G925" s="105" t="s">
        <v>35</v>
      </c>
      <c r="H925" s="105" t="s">
        <v>342</v>
      </c>
      <c r="I925" s="105" t="s">
        <v>334</v>
      </c>
      <c r="J925" s="493">
        <v>611</v>
      </c>
      <c r="K925" s="493">
        <v>5</v>
      </c>
      <c r="L925" s="105" t="s">
        <v>771</v>
      </c>
      <c r="M925" s="105" t="s">
        <v>359</v>
      </c>
      <c r="N925" s="105" t="s">
        <v>238</v>
      </c>
      <c r="O925" s="105" t="s">
        <v>238</v>
      </c>
      <c r="P925" s="105" t="s">
        <v>350</v>
      </c>
      <c r="Q925" s="494">
        <v>0</v>
      </c>
      <c r="R925" s="494">
        <v>0</v>
      </c>
      <c r="S925" s="494">
        <v>0</v>
      </c>
      <c r="T925" s="494">
        <v>0</v>
      </c>
      <c r="U925" s="494">
        <v>0</v>
      </c>
      <c r="V925" s="493">
        <v>2024</v>
      </c>
      <c r="W925" s="495"/>
      <c r="X925" s="496" t="str">
        <f t="shared" si="59"/>
        <v/>
      </c>
      <c r="Y925" s="497" t="str">
        <f t="shared" si="60"/>
        <v/>
      </c>
      <c r="Z925" s="497" t="str">
        <f t="shared" si="60"/>
        <v/>
      </c>
    </row>
    <row r="926" spans="1:26" s="82" customFormat="1" x14ac:dyDescent="0.4">
      <c r="A926" s="493">
        <v>54805</v>
      </c>
      <c r="B926" s="105" t="s">
        <v>329</v>
      </c>
      <c r="C926" s="493" t="s">
        <v>330</v>
      </c>
      <c r="D926" s="105" t="s">
        <v>1068</v>
      </c>
      <c r="E926" s="105" t="s">
        <v>1069</v>
      </c>
      <c r="F926" s="493">
        <v>12469</v>
      </c>
      <c r="G926" s="105" t="s">
        <v>33</v>
      </c>
      <c r="H926" s="105" t="s">
        <v>342</v>
      </c>
      <c r="I926" s="105" t="s">
        <v>334</v>
      </c>
      <c r="J926" s="493">
        <v>22</v>
      </c>
      <c r="K926" s="493">
        <v>2</v>
      </c>
      <c r="L926" s="105" t="s">
        <v>343</v>
      </c>
      <c r="M926" s="105" t="s">
        <v>380</v>
      </c>
      <c r="N926" s="105" t="s">
        <v>228</v>
      </c>
      <c r="O926" s="105" t="s">
        <v>228</v>
      </c>
      <c r="P926" s="105" t="s">
        <v>356</v>
      </c>
      <c r="Q926" s="494">
        <v>185889</v>
      </c>
      <c r="R926" s="494">
        <v>185889</v>
      </c>
      <c r="S926" s="494">
        <v>191094</v>
      </c>
      <c r="T926" s="494">
        <v>191094</v>
      </c>
      <c r="U926" s="494">
        <v>84827</v>
      </c>
      <c r="V926" s="493">
        <v>2024</v>
      </c>
      <c r="W926" s="495" t="s">
        <v>355</v>
      </c>
      <c r="X926" s="496">
        <f t="shared" si="59"/>
        <v>2.2527497141240409</v>
      </c>
      <c r="Y926" s="497" t="str">
        <f t="shared" si="60"/>
        <v/>
      </c>
      <c r="Z926" s="497" t="str">
        <f t="shared" si="60"/>
        <v/>
      </c>
    </row>
    <row r="927" spans="1:26" s="82" customFormat="1" x14ac:dyDescent="0.4">
      <c r="A927" s="493">
        <v>54805</v>
      </c>
      <c r="B927" s="105" t="s">
        <v>329</v>
      </c>
      <c r="C927" s="493" t="s">
        <v>330</v>
      </c>
      <c r="D927" s="105" t="s">
        <v>1068</v>
      </c>
      <c r="E927" s="105" t="s">
        <v>1069</v>
      </c>
      <c r="F927" s="493">
        <v>12469</v>
      </c>
      <c r="G927" s="105" t="s">
        <v>33</v>
      </c>
      <c r="H927" s="105" t="s">
        <v>342</v>
      </c>
      <c r="I927" s="105" t="s">
        <v>334</v>
      </c>
      <c r="J927" s="493">
        <v>22</v>
      </c>
      <c r="K927" s="493">
        <v>2</v>
      </c>
      <c r="L927" s="105" t="s">
        <v>343</v>
      </c>
      <c r="M927" s="105" t="s">
        <v>37</v>
      </c>
      <c r="N927" s="105" t="s">
        <v>228</v>
      </c>
      <c r="O927" s="105" t="s">
        <v>228</v>
      </c>
      <c r="P927" s="105" t="s">
        <v>356</v>
      </c>
      <c r="Q927" s="494">
        <v>1747022</v>
      </c>
      <c r="R927" s="494">
        <v>1747022</v>
      </c>
      <c r="S927" s="494">
        <v>1796009</v>
      </c>
      <c r="T927" s="494">
        <v>1796009</v>
      </c>
      <c r="U927" s="494">
        <v>168302</v>
      </c>
      <c r="V927" s="493">
        <v>2024</v>
      </c>
      <c r="W927" s="495" t="s">
        <v>355</v>
      </c>
      <c r="X927" s="496">
        <f t="shared" si="59"/>
        <v>10.671346745730888</v>
      </c>
      <c r="Y927" s="497" t="str">
        <f t="shared" si="60"/>
        <v/>
      </c>
      <c r="Z927" s="497" t="str">
        <f t="shared" si="60"/>
        <v/>
      </c>
    </row>
    <row r="928" spans="1:26" s="82" customFormat="1" ht="32" x14ac:dyDescent="0.4">
      <c r="A928" s="493">
        <v>54808</v>
      </c>
      <c r="B928" s="105" t="s">
        <v>433</v>
      </c>
      <c r="C928" s="493" t="s">
        <v>330</v>
      </c>
      <c r="D928" s="105" t="s">
        <v>1070</v>
      </c>
      <c r="E928" s="105" t="s">
        <v>1071</v>
      </c>
      <c r="F928" s="493">
        <v>13491</v>
      </c>
      <c r="G928" s="105" t="s">
        <v>52</v>
      </c>
      <c r="H928" s="105" t="s">
        <v>333</v>
      </c>
      <c r="I928" s="105" t="s">
        <v>334</v>
      </c>
      <c r="J928" s="493">
        <v>611</v>
      </c>
      <c r="K928" s="493">
        <v>5</v>
      </c>
      <c r="L928" s="105" t="s">
        <v>771</v>
      </c>
      <c r="M928" s="105" t="s">
        <v>380</v>
      </c>
      <c r="N928" s="105" t="s">
        <v>226</v>
      </c>
      <c r="O928" s="105" t="s">
        <v>226</v>
      </c>
      <c r="P928" s="105" t="s">
        <v>350</v>
      </c>
      <c r="Q928" s="494">
        <v>0</v>
      </c>
      <c r="R928" s="494">
        <v>0</v>
      </c>
      <c r="S928" s="494">
        <v>0</v>
      </c>
      <c r="T928" s="494">
        <v>0</v>
      </c>
      <c r="U928" s="494">
        <v>0</v>
      </c>
      <c r="V928" s="493">
        <v>2024</v>
      </c>
      <c r="W928" s="495"/>
      <c r="X928" s="496" t="str">
        <f t="shared" si="59"/>
        <v/>
      </c>
      <c r="Y928" s="497" t="str">
        <f t="shared" ref="Y928:Z947" si="61">IF(AND($M928=$Y$2,$N928=$Y$3,NOT($Q928=$R928),NOT($U928=0)),IF($K928=5,$S928/($U928+(8/5)*$U928),IF($K928=7,$S928/($U928+(29/25)*$U928),"")),"")</f>
        <v/>
      </c>
      <c r="Z928" s="497" t="str">
        <f t="shared" si="61"/>
        <v/>
      </c>
    </row>
    <row r="929" spans="1:26" s="82" customFormat="1" ht="32" x14ac:dyDescent="0.4">
      <c r="A929" s="493">
        <v>54808</v>
      </c>
      <c r="B929" s="105" t="s">
        <v>329</v>
      </c>
      <c r="C929" s="493" t="s">
        <v>330</v>
      </c>
      <c r="D929" s="105" t="s">
        <v>1070</v>
      </c>
      <c r="E929" s="105" t="s">
        <v>1071</v>
      </c>
      <c r="F929" s="493">
        <v>13491</v>
      </c>
      <c r="G929" s="105" t="s">
        <v>52</v>
      </c>
      <c r="H929" s="105" t="s">
        <v>333</v>
      </c>
      <c r="I929" s="105" t="s">
        <v>334</v>
      </c>
      <c r="J929" s="493">
        <v>611</v>
      </c>
      <c r="K929" s="493">
        <v>4</v>
      </c>
      <c r="L929" s="105" t="s">
        <v>766</v>
      </c>
      <c r="M929" s="105" t="s">
        <v>380</v>
      </c>
      <c r="N929" s="105" t="s">
        <v>226</v>
      </c>
      <c r="O929" s="105" t="s">
        <v>226</v>
      </c>
      <c r="P929" s="105" t="s">
        <v>350</v>
      </c>
      <c r="Q929" s="494">
        <v>0</v>
      </c>
      <c r="R929" s="494">
        <v>0</v>
      </c>
      <c r="S929" s="494">
        <v>0</v>
      </c>
      <c r="T929" s="494">
        <v>0</v>
      </c>
      <c r="U929" s="494">
        <v>0</v>
      </c>
      <c r="V929" s="493">
        <v>2024</v>
      </c>
      <c r="W929" s="495"/>
      <c r="X929" s="496" t="str">
        <f t="shared" si="59"/>
        <v/>
      </c>
      <c r="Y929" s="497" t="str">
        <f t="shared" si="61"/>
        <v/>
      </c>
      <c r="Z929" s="497" t="str">
        <f t="shared" si="61"/>
        <v/>
      </c>
    </row>
    <row r="930" spans="1:26" s="82" customFormat="1" ht="32" x14ac:dyDescent="0.4">
      <c r="A930" s="493">
        <v>54808</v>
      </c>
      <c r="B930" s="105" t="s">
        <v>433</v>
      </c>
      <c r="C930" s="493" t="s">
        <v>330</v>
      </c>
      <c r="D930" s="105" t="s">
        <v>1070</v>
      </c>
      <c r="E930" s="105" t="s">
        <v>1071</v>
      </c>
      <c r="F930" s="493">
        <v>13491</v>
      </c>
      <c r="G930" s="105" t="s">
        <v>52</v>
      </c>
      <c r="H930" s="105" t="s">
        <v>333</v>
      </c>
      <c r="I930" s="105" t="s">
        <v>334</v>
      </c>
      <c r="J930" s="493">
        <v>611</v>
      </c>
      <c r="K930" s="493">
        <v>5</v>
      </c>
      <c r="L930" s="105" t="s">
        <v>771</v>
      </c>
      <c r="M930" s="105" t="s">
        <v>380</v>
      </c>
      <c r="N930" s="105" t="s">
        <v>228</v>
      </c>
      <c r="O930" s="105" t="s">
        <v>228</v>
      </c>
      <c r="P930" s="105" t="s">
        <v>356</v>
      </c>
      <c r="Q930" s="494">
        <v>0</v>
      </c>
      <c r="R930" s="494">
        <v>0</v>
      </c>
      <c r="S930" s="494">
        <v>0</v>
      </c>
      <c r="T930" s="494">
        <v>0</v>
      </c>
      <c r="U930" s="494">
        <v>0</v>
      </c>
      <c r="V930" s="493">
        <v>2024</v>
      </c>
      <c r="W930" s="495"/>
      <c r="X930" s="496" t="str">
        <f t="shared" si="59"/>
        <v/>
      </c>
      <c r="Y930" s="497" t="str">
        <f t="shared" si="61"/>
        <v/>
      </c>
      <c r="Z930" s="497" t="str">
        <f t="shared" si="61"/>
        <v/>
      </c>
    </row>
    <row r="931" spans="1:26" s="82" customFormat="1" ht="32" x14ac:dyDescent="0.4">
      <c r="A931" s="493">
        <v>54808</v>
      </c>
      <c r="B931" s="105" t="s">
        <v>329</v>
      </c>
      <c r="C931" s="493" t="s">
        <v>330</v>
      </c>
      <c r="D931" s="105" t="s">
        <v>1070</v>
      </c>
      <c r="E931" s="105" t="s">
        <v>1071</v>
      </c>
      <c r="F931" s="493">
        <v>13491</v>
      </c>
      <c r="G931" s="105" t="s">
        <v>52</v>
      </c>
      <c r="H931" s="105" t="s">
        <v>333</v>
      </c>
      <c r="I931" s="105" t="s">
        <v>334</v>
      </c>
      <c r="J931" s="493">
        <v>611</v>
      </c>
      <c r="K931" s="493">
        <v>4</v>
      </c>
      <c r="L931" s="105" t="s">
        <v>766</v>
      </c>
      <c r="M931" s="105" t="s">
        <v>380</v>
      </c>
      <c r="N931" s="105" t="s">
        <v>228</v>
      </c>
      <c r="O931" s="105" t="s">
        <v>228</v>
      </c>
      <c r="P931" s="105" t="s">
        <v>356</v>
      </c>
      <c r="Q931" s="494">
        <v>0</v>
      </c>
      <c r="R931" s="494">
        <v>0</v>
      </c>
      <c r="S931" s="494">
        <v>0</v>
      </c>
      <c r="T931" s="494">
        <v>0</v>
      </c>
      <c r="U931" s="494">
        <v>0</v>
      </c>
      <c r="V931" s="493">
        <v>2024</v>
      </c>
      <c r="W931" s="495"/>
      <c r="X931" s="496" t="str">
        <f t="shared" si="59"/>
        <v/>
      </c>
      <c r="Y931" s="497" t="str">
        <f t="shared" si="61"/>
        <v/>
      </c>
      <c r="Z931" s="497" t="str">
        <f t="shared" si="61"/>
        <v/>
      </c>
    </row>
    <row r="932" spans="1:26" s="82" customFormat="1" ht="32" x14ac:dyDescent="0.4">
      <c r="A932" s="493">
        <v>54808</v>
      </c>
      <c r="B932" s="105" t="s">
        <v>433</v>
      </c>
      <c r="C932" s="493" t="s">
        <v>330</v>
      </c>
      <c r="D932" s="105" t="s">
        <v>1070</v>
      </c>
      <c r="E932" s="105" t="s">
        <v>1071</v>
      </c>
      <c r="F932" s="493">
        <v>13491</v>
      </c>
      <c r="G932" s="105" t="s">
        <v>52</v>
      </c>
      <c r="H932" s="105" t="s">
        <v>333</v>
      </c>
      <c r="I932" s="105" t="s">
        <v>334</v>
      </c>
      <c r="J932" s="493">
        <v>611</v>
      </c>
      <c r="K932" s="493">
        <v>5</v>
      </c>
      <c r="L932" s="105" t="s">
        <v>771</v>
      </c>
      <c r="M932" s="105" t="s">
        <v>37</v>
      </c>
      <c r="N932" s="105" t="s">
        <v>226</v>
      </c>
      <c r="O932" s="105" t="s">
        <v>226</v>
      </c>
      <c r="P932" s="105" t="s">
        <v>350</v>
      </c>
      <c r="Q932" s="494">
        <v>3680</v>
      </c>
      <c r="R932" s="494">
        <v>3680</v>
      </c>
      <c r="S932" s="494">
        <v>21786</v>
      </c>
      <c r="T932" s="494">
        <v>21786</v>
      </c>
      <c r="U932" s="494">
        <v>1970.414</v>
      </c>
      <c r="V932" s="493">
        <v>2024</v>
      </c>
      <c r="W932" s="495"/>
      <c r="X932" s="496" t="str">
        <f t="shared" si="59"/>
        <v/>
      </c>
      <c r="Y932" s="497" t="str">
        <f t="shared" si="61"/>
        <v/>
      </c>
      <c r="Z932" s="497" t="str">
        <f t="shared" si="61"/>
        <v/>
      </c>
    </row>
    <row r="933" spans="1:26" s="82" customFormat="1" ht="32" x14ac:dyDescent="0.4">
      <c r="A933" s="493">
        <v>54808</v>
      </c>
      <c r="B933" s="105" t="s">
        <v>329</v>
      </c>
      <c r="C933" s="493" t="s">
        <v>330</v>
      </c>
      <c r="D933" s="105" t="s">
        <v>1070</v>
      </c>
      <c r="E933" s="105" t="s">
        <v>1071</v>
      </c>
      <c r="F933" s="493">
        <v>13491</v>
      </c>
      <c r="G933" s="105" t="s">
        <v>52</v>
      </c>
      <c r="H933" s="105" t="s">
        <v>333</v>
      </c>
      <c r="I933" s="105" t="s">
        <v>334</v>
      </c>
      <c r="J933" s="493">
        <v>611</v>
      </c>
      <c r="K933" s="493">
        <v>4</v>
      </c>
      <c r="L933" s="105" t="s">
        <v>766</v>
      </c>
      <c r="M933" s="105" t="s">
        <v>37</v>
      </c>
      <c r="N933" s="105" t="s">
        <v>226</v>
      </c>
      <c r="O933" s="105" t="s">
        <v>226</v>
      </c>
      <c r="P933" s="105" t="s">
        <v>350</v>
      </c>
      <c r="Q933" s="494">
        <v>2057</v>
      </c>
      <c r="R933" s="494">
        <v>2057</v>
      </c>
      <c r="S933" s="494">
        <v>12178</v>
      </c>
      <c r="T933" s="494">
        <v>12178</v>
      </c>
      <c r="U933" s="494">
        <v>1101.548</v>
      </c>
      <c r="V933" s="493">
        <v>2024</v>
      </c>
      <c r="W933" s="495"/>
      <c r="X933" s="496" t="str">
        <f t="shared" si="59"/>
        <v/>
      </c>
      <c r="Y933" s="497" t="str">
        <f t="shared" si="61"/>
        <v/>
      </c>
      <c r="Z933" s="497" t="str">
        <f t="shared" si="61"/>
        <v/>
      </c>
    </row>
    <row r="934" spans="1:26" s="82" customFormat="1" ht="32" x14ac:dyDescent="0.4">
      <c r="A934" s="493">
        <v>54808</v>
      </c>
      <c r="B934" s="105" t="s">
        <v>433</v>
      </c>
      <c r="C934" s="493" t="s">
        <v>330</v>
      </c>
      <c r="D934" s="105" t="s">
        <v>1070</v>
      </c>
      <c r="E934" s="105" t="s">
        <v>1071</v>
      </c>
      <c r="F934" s="493">
        <v>13491</v>
      </c>
      <c r="G934" s="105" t="s">
        <v>52</v>
      </c>
      <c r="H934" s="105" t="s">
        <v>333</v>
      </c>
      <c r="I934" s="105" t="s">
        <v>334</v>
      </c>
      <c r="J934" s="493">
        <v>611</v>
      </c>
      <c r="K934" s="493">
        <v>5</v>
      </c>
      <c r="L934" s="105" t="s">
        <v>771</v>
      </c>
      <c r="M934" s="105" t="s">
        <v>37</v>
      </c>
      <c r="N934" s="105" t="s">
        <v>228</v>
      </c>
      <c r="O934" s="105" t="s">
        <v>228</v>
      </c>
      <c r="P934" s="105" t="s">
        <v>356</v>
      </c>
      <c r="Q934" s="494">
        <v>615495</v>
      </c>
      <c r="R934" s="494">
        <v>615495</v>
      </c>
      <c r="S934" s="494">
        <v>533018</v>
      </c>
      <c r="T934" s="494">
        <v>533018</v>
      </c>
      <c r="U934" s="494">
        <v>48211.614999999998</v>
      </c>
      <c r="V934" s="493">
        <v>2024</v>
      </c>
      <c r="W934" s="495"/>
      <c r="X934" s="496" t="str">
        <f t="shared" si="59"/>
        <v/>
      </c>
      <c r="Y934" s="497" t="str">
        <f t="shared" si="61"/>
        <v/>
      </c>
      <c r="Z934" s="497" t="str">
        <f t="shared" si="61"/>
        <v/>
      </c>
    </row>
    <row r="935" spans="1:26" s="82" customFormat="1" ht="32" x14ac:dyDescent="0.4">
      <c r="A935" s="493">
        <v>54808</v>
      </c>
      <c r="B935" s="105" t="s">
        <v>329</v>
      </c>
      <c r="C935" s="493" t="s">
        <v>330</v>
      </c>
      <c r="D935" s="105" t="s">
        <v>1070</v>
      </c>
      <c r="E935" s="105" t="s">
        <v>1071</v>
      </c>
      <c r="F935" s="493">
        <v>13491</v>
      </c>
      <c r="G935" s="105" t="s">
        <v>52</v>
      </c>
      <c r="H935" s="105" t="s">
        <v>333</v>
      </c>
      <c r="I935" s="105" t="s">
        <v>334</v>
      </c>
      <c r="J935" s="493">
        <v>611</v>
      </c>
      <c r="K935" s="493">
        <v>4</v>
      </c>
      <c r="L935" s="105" t="s">
        <v>766</v>
      </c>
      <c r="M935" s="105" t="s">
        <v>37</v>
      </c>
      <c r="N935" s="105" t="s">
        <v>228</v>
      </c>
      <c r="O935" s="105" t="s">
        <v>228</v>
      </c>
      <c r="P935" s="105" t="s">
        <v>356</v>
      </c>
      <c r="Q935" s="494">
        <v>294325</v>
      </c>
      <c r="R935" s="494">
        <v>294325</v>
      </c>
      <c r="S935" s="494">
        <v>254886</v>
      </c>
      <c r="T935" s="494">
        <v>254886</v>
      </c>
      <c r="U935" s="494">
        <v>23054.422999999999</v>
      </c>
      <c r="V935" s="493">
        <v>2024</v>
      </c>
      <c r="W935" s="495"/>
      <c r="X935" s="496" t="str">
        <f t="shared" si="59"/>
        <v/>
      </c>
      <c r="Y935" s="497" t="str">
        <f t="shared" si="61"/>
        <v/>
      </c>
      <c r="Z935" s="497" t="str">
        <f t="shared" si="61"/>
        <v/>
      </c>
    </row>
    <row r="936" spans="1:26" s="82" customFormat="1" ht="32" x14ac:dyDescent="0.4">
      <c r="A936" s="493">
        <v>54808</v>
      </c>
      <c r="B936" s="105" t="s">
        <v>433</v>
      </c>
      <c r="C936" s="493" t="s">
        <v>330</v>
      </c>
      <c r="D936" s="105" t="s">
        <v>1070</v>
      </c>
      <c r="E936" s="105" t="s">
        <v>1071</v>
      </c>
      <c r="F936" s="493">
        <v>13491</v>
      </c>
      <c r="G936" s="105" t="s">
        <v>52</v>
      </c>
      <c r="H936" s="105" t="s">
        <v>333</v>
      </c>
      <c r="I936" s="105" t="s">
        <v>334</v>
      </c>
      <c r="J936" s="493">
        <v>611</v>
      </c>
      <c r="K936" s="493">
        <v>5</v>
      </c>
      <c r="L936" s="105" t="s">
        <v>771</v>
      </c>
      <c r="M936" s="105" t="s">
        <v>37</v>
      </c>
      <c r="N936" s="105" t="s">
        <v>238</v>
      </c>
      <c r="O936" s="105" t="s">
        <v>238</v>
      </c>
      <c r="P936" s="105" t="s">
        <v>350</v>
      </c>
      <c r="Q936" s="494">
        <v>0</v>
      </c>
      <c r="R936" s="494">
        <v>0</v>
      </c>
      <c r="S936" s="494">
        <v>0</v>
      </c>
      <c r="T936" s="494">
        <v>0</v>
      </c>
      <c r="U936" s="494">
        <v>0</v>
      </c>
      <c r="V936" s="493">
        <v>2024</v>
      </c>
      <c r="W936" s="495"/>
      <c r="X936" s="496" t="str">
        <f t="shared" si="59"/>
        <v/>
      </c>
      <c r="Y936" s="497" t="str">
        <f t="shared" si="61"/>
        <v/>
      </c>
      <c r="Z936" s="497" t="str">
        <f t="shared" si="61"/>
        <v/>
      </c>
    </row>
    <row r="937" spans="1:26" s="82" customFormat="1" ht="32" x14ac:dyDescent="0.4">
      <c r="A937" s="493">
        <v>54808</v>
      </c>
      <c r="B937" s="105" t="s">
        <v>329</v>
      </c>
      <c r="C937" s="493" t="s">
        <v>330</v>
      </c>
      <c r="D937" s="105" t="s">
        <v>1070</v>
      </c>
      <c r="E937" s="105" t="s">
        <v>1071</v>
      </c>
      <c r="F937" s="493">
        <v>13491</v>
      </c>
      <c r="G937" s="105" t="s">
        <v>52</v>
      </c>
      <c r="H937" s="105" t="s">
        <v>333</v>
      </c>
      <c r="I937" s="105" t="s">
        <v>334</v>
      </c>
      <c r="J937" s="493">
        <v>611</v>
      </c>
      <c r="K937" s="493">
        <v>4</v>
      </c>
      <c r="L937" s="105" t="s">
        <v>766</v>
      </c>
      <c r="M937" s="105" t="s">
        <v>37</v>
      </c>
      <c r="N937" s="105" t="s">
        <v>238</v>
      </c>
      <c r="O937" s="105" t="s">
        <v>238</v>
      </c>
      <c r="P937" s="105" t="s">
        <v>350</v>
      </c>
      <c r="Q937" s="494">
        <v>0</v>
      </c>
      <c r="R937" s="494">
        <v>0</v>
      </c>
      <c r="S937" s="494">
        <v>0</v>
      </c>
      <c r="T937" s="494">
        <v>0</v>
      </c>
      <c r="U937" s="494">
        <v>0</v>
      </c>
      <c r="V937" s="493">
        <v>2024</v>
      </c>
      <c r="W937" s="495"/>
      <c r="X937" s="496" t="str">
        <f t="shared" si="59"/>
        <v/>
      </c>
      <c r="Y937" s="497" t="str">
        <f t="shared" si="61"/>
        <v/>
      </c>
      <c r="Z937" s="497" t="str">
        <f t="shared" si="61"/>
        <v/>
      </c>
    </row>
    <row r="938" spans="1:26" s="82" customFormat="1" ht="32" x14ac:dyDescent="0.4">
      <c r="A938" s="493">
        <v>54808</v>
      </c>
      <c r="B938" s="105" t="s">
        <v>433</v>
      </c>
      <c r="C938" s="493" t="s">
        <v>330</v>
      </c>
      <c r="D938" s="105" t="s">
        <v>1070</v>
      </c>
      <c r="E938" s="105" t="s">
        <v>1071</v>
      </c>
      <c r="F938" s="493">
        <v>13491</v>
      </c>
      <c r="G938" s="105" t="s">
        <v>52</v>
      </c>
      <c r="H938" s="105" t="s">
        <v>333</v>
      </c>
      <c r="I938" s="105" t="s">
        <v>334</v>
      </c>
      <c r="J938" s="493">
        <v>611</v>
      </c>
      <c r="K938" s="493">
        <v>5</v>
      </c>
      <c r="L938" s="105" t="s">
        <v>771</v>
      </c>
      <c r="M938" s="105" t="s">
        <v>359</v>
      </c>
      <c r="N938" s="105" t="s">
        <v>226</v>
      </c>
      <c r="O938" s="105" t="s">
        <v>226</v>
      </c>
      <c r="P938" s="105" t="s">
        <v>350</v>
      </c>
      <c r="Q938" s="494">
        <v>0</v>
      </c>
      <c r="R938" s="494">
        <v>0</v>
      </c>
      <c r="S938" s="494">
        <v>0</v>
      </c>
      <c r="T938" s="494">
        <v>0</v>
      </c>
      <c r="U938" s="494">
        <v>0</v>
      </c>
      <c r="V938" s="493">
        <v>2024</v>
      </c>
      <c r="W938" s="495"/>
      <c r="X938" s="496" t="str">
        <f t="shared" si="59"/>
        <v/>
      </c>
      <c r="Y938" s="497" t="str">
        <f t="shared" si="61"/>
        <v/>
      </c>
      <c r="Z938" s="497" t="str">
        <f t="shared" si="61"/>
        <v/>
      </c>
    </row>
    <row r="939" spans="1:26" s="82" customFormat="1" ht="32" x14ac:dyDescent="0.4">
      <c r="A939" s="493">
        <v>54808</v>
      </c>
      <c r="B939" s="105" t="s">
        <v>329</v>
      </c>
      <c r="C939" s="493" t="s">
        <v>330</v>
      </c>
      <c r="D939" s="105" t="s">
        <v>1070</v>
      </c>
      <c r="E939" s="105" t="s">
        <v>1071</v>
      </c>
      <c r="F939" s="493">
        <v>13491</v>
      </c>
      <c r="G939" s="105" t="s">
        <v>52</v>
      </c>
      <c r="H939" s="105" t="s">
        <v>333</v>
      </c>
      <c r="I939" s="105" t="s">
        <v>334</v>
      </c>
      <c r="J939" s="493">
        <v>611</v>
      </c>
      <c r="K939" s="493">
        <v>4</v>
      </c>
      <c r="L939" s="105" t="s">
        <v>766</v>
      </c>
      <c r="M939" s="105" t="s">
        <v>359</v>
      </c>
      <c r="N939" s="105" t="s">
        <v>226</v>
      </c>
      <c r="O939" s="105" t="s">
        <v>226</v>
      </c>
      <c r="P939" s="105" t="s">
        <v>350</v>
      </c>
      <c r="Q939" s="494">
        <v>0</v>
      </c>
      <c r="R939" s="494">
        <v>0</v>
      </c>
      <c r="S939" s="494">
        <v>0</v>
      </c>
      <c r="T939" s="494">
        <v>0</v>
      </c>
      <c r="U939" s="494">
        <v>0</v>
      </c>
      <c r="V939" s="493">
        <v>2024</v>
      </c>
      <c r="W939" s="495"/>
      <c r="X939" s="496" t="str">
        <f t="shared" si="59"/>
        <v/>
      </c>
      <c r="Y939" s="497" t="str">
        <f t="shared" si="61"/>
        <v/>
      </c>
      <c r="Z939" s="497" t="str">
        <f t="shared" si="61"/>
        <v/>
      </c>
    </row>
    <row r="940" spans="1:26" s="82" customFormat="1" ht="32" x14ac:dyDescent="0.4">
      <c r="A940" s="493">
        <v>54863</v>
      </c>
      <c r="B940" s="105" t="s">
        <v>329</v>
      </c>
      <c r="C940" s="493" t="s">
        <v>330</v>
      </c>
      <c r="D940" s="105" t="s">
        <v>1072</v>
      </c>
      <c r="E940" s="105" t="s">
        <v>1073</v>
      </c>
      <c r="F940" s="493">
        <v>1362</v>
      </c>
      <c r="G940" s="105" t="s">
        <v>52</v>
      </c>
      <c r="H940" s="105" t="s">
        <v>333</v>
      </c>
      <c r="I940" s="105" t="s">
        <v>334</v>
      </c>
      <c r="J940" s="493">
        <v>622</v>
      </c>
      <c r="K940" s="493">
        <v>4</v>
      </c>
      <c r="L940" s="105" t="s">
        <v>766</v>
      </c>
      <c r="M940" s="105" t="s">
        <v>359</v>
      </c>
      <c r="N940" s="105" t="s">
        <v>226</v>
      </c>
      <c r="O940" s="105" t="s">
        <v>226</v>
      </c>
      <c r="P940" s="105" t="s">
        <v>350</v>
      </c>
      <c r="Q940" s="494">
        <v>0</v>
      </c>
      <c r="R940" s="494">
        <v>0</v>
      </c>
      <c r="S940" s="494">
        <v>0</v>
      </c>
      <c r="T940" s="494">
        <v>0</v>
      </c>
      <c r="U940" s="494">
        <v>0</v>
      </c>
      <c r="V940" s="493">
        <v>2024</v>
      </c>
      <c r="W940" s="495"/>
      <c r="X940" s="496" t="str">
        <f t="shared" si="59"/>
        <v/>
      </c>
      <c r="Y940" s="497" t="str">
        <f t="shared" si="61"/>
        <v/>
      </c>
      <c r="Z940" s="497" t="str">
        <f t="shared" si="61"/>
        <v/>
      </c>
    </row>
    <row r="941" spans="1:26" s="82" customFormat="1" ht="32" x14ac:dyDescent="0.4">
      <c r="A941" s="493">
        <v>54865</v>
      </c>
      <c r="B941" s="105" t="s">
        <v>329</v>
      </c>
      <c r="C941" s="493" t="s">
        <v>330</v>
      </c>
      <c r="D941" s="105" t="s">
        <v>1074</v>
      </c>
      <c r="E941" s="105" t="s">
        <v>592</v>
      </c>
      <c r="F941" s="493">
        <v>57280</v>
      </c>
      <c r="G941" s="105" t="s">
        <v>52</v>
      </c>
      <c r="H941" s="105" t="s">
        <v>333</v>
      </c>
      <c r="I941" s="105" t="s">
        <v>334</v>
      </c>
      <c r="J941" s="493">
        <v>22</v>
      </c>
      <c r="K941" s="493">
        <v>2</v>
      </c>
      <c r="L941" s="105" t="s">
        <v>343</v>
      </c>
      <c r="M941" s="105" t="s">
        <v>336</v>
      </c>
      <c r="N941" s="105" t="s">
        <v>337</v>
      </c>
      <c r="O941" s="105" t="s">
        <v>338</v>
      </c>
      <c r="P941" s="105" t="s">
        <v>339</v>
      </c>
      <c r="Q941" s="494">
        <v>0</v>
      </c>
      <c r="R941" s="494">
        <v>0</v>
      </c>
      <c r="S941" s="494">
        <v>31064</v>
      </c>
      <c r="T941" s="494">
        <v>31064</v>
      </c>
      <c r="U941" s="494">
        <v>9104</v>
      </c>
      <c r="V941" s="493">
        <v>2024</v>
      </c>
      <c r="W941" s="495"/>
      <c r="X941" s="496">
        <f t="shared" si="59"/>
        <v>3.4121265377855887</v>
      </c>
      <c r="Y941" s="497" t="str">
        <f t="shared" si="61"/>
        <v/>
      </c>
      <c r="Z941" s="497" t="str">
        <f t="shared" si="61"/>
        <v/>
      </c>
    </row>
    <row r="942" spans="1:26" s="82" customFormat="1" ht="32" x14ac:dyDescent="0.4">
      <c r="A942" s="493">
        <v>54878</v>
      </c>
      <c r="B942" s="105" t="s">
        <v>329</v>
      </c>
      <c r="C942" s="493" t="s">
        <v>330</v>
      </c>
      <c r="D942" s="105" t="s">
        <v>1075</v>
      </c>
      <c r="E942" s="105" t="s">
        <v>1076</v>
      </c>
      <c r="F942" s="493">
        <v>65338</v>
      </c>
      <c r="G942" s="105" t="s">
        <v>52</v>
      </c>
      <c r="H942" s="105" t="s">
        <v>333</v>
      </c>
      <c r="I942" s="105" t="s">
        <v>334</v>
      </c>
      <c r="J942" s="493">
        <v>322122</v>
      </c>
      <c r="K942" s="493">
        <v>6</v>
      </c>
      <c r="L942" s="105" t="s">
        <v>729</v>
      </c>
      <c r="M942" s="105" t="s">
        <v>336</v>
      </c>
      <c r="N942" s="105" t="s">
        <v>337</v>
      </c>
      <c r="O942" s="105" t="s">
        <v>338</v>
      </c>
      <c r="P942" s="105" t="s">
        <v>339</v>
      </c>
      <c r="Q942" s="494">
        <v>0</v>
      </c>
      <c r="R942" s="494">
        <v>0</v>
      </c>
      <c r="S942" s="494">
        <v>22798</v>
      </c>
      <c r="T942" s="494">
        <v>22798</v>
      </c>
      <c r="U942" s="494">
        <v>6682</v>
      </c>
      <c r="V942" s="493">
        <v>2024</v>
      </c>
      <c r="W942" s="495"/>
      <c r="X942" s="496" t="str">
        <f t="shared" si="59"/>
        <v/>
      </c>
      <c r="Y942" s="497" t="str">
        <f t="shared" si="61"/>
        <v/>
      </c>
      <c r="Z942" s="497" t="str">
        <f t="shared" si="61"/>
        <v/>
      </c>
    </row>
    <row r="943" spans="1:26" s="82" customFormat="1" ht="32" x14ac:dyDescent="0.4">
      <c r="A943" s="493">
        <v>54907</v>
      </c>
      <c r="B943" s="105" t="s">
        <v>433</v>
      </c>
      <c r="C943" s="493" t="s">
        <v>330</v>
      </c>
      <c r="D943" s="105" t="s">
        <v>1077</v>
      </c>
      <c r="E943" s="105" t="s">
        <v>1078</v>
      </c>
      <c r="F943" s="493">
        <v>11820</v>
      </c>
      <c r="G943" s="105" t="s">
        <v>33</v>
      </c>
      <c r="H943" s="105" t="s">
        <v>342</v>
      </c>
      <c r="I943" s="105" t="s">
        <v>334</v>
      </c>
      <c r="J943" s="493">
        <v>611</v>
      </c>
      <c r="K943" s="493">
        <v>5</v>
      </c>
      <c r="L943" s="105" t="s">
        <v>771</v>
      </c>
      <c r="M943" s="105" t="s">
        <v>295</v>
      </c>
      <c r="N943" s="105" t="s">
        <v>226</v>
      </c>
      <c r="O943" s="105" t="s">
        <v>226</v>
      </c>
      <c r="P943" s="105" t="s">
        <v>350</v>
      </c>
      <c r="Q943" s="494">
        <v>69</v>
      </c>
      <c r="R943" s="494">
        <v>23</v>
      </c>
      <c r="S943" s="494">
        <v>403</v>
      </c>
      <c r="T943" s="494">
        <v>125</v>
      </c>
      <c r="U943" s="494">
        <v>27.626999999999999</v>
      </c>
      <c r="V943" s="493">
        <v>2024</v>
      </c>
      <c r="W943" s="495"/>
      <c r="X943" s="496" t="str">
        <f t="shared" si="59"/>
        <v/>
      </c>
      <c r="Y943" s="497" t="str">
        <f t="shared" si="61"/>
        <v/>
      </c>
      <c r="Z943" s="497" t="str">
        <f t="shared" si="61"/>
        <v/>
      </c>
    </row>
    <row r="944" spans="1:26" s="82" customFormat="1" ht="32" x14ac:dyDescent="0.4">
      <c r="A944" s="493">
        <v>54907</v>
      </c>
      <c r="B944" s="105" t="s">
        <v>433</v>
      </c>
      <c r="C944" s="493" t="s">
        <v>330</v>
      </c>
      <c r="D944" s="105" t="s">
        <v>1077</v>
      </c>
      <c r="E944" s="105" t="s">
        <v>1078</v>
      </c>
      <c r="F944" s="493">
        <v>11820</v>
      </c>
      <c r="G944" s="105" t="s">
        <v>33</v>
      </c>
      <c r="H944" s="105" t="s">
        <v>342</v>
      </c>
      <c r="I944" s="105" t="s">
        <v>334</v>
      </c>
      <c r="J944" s="493">
        <v>611</v>
      </c>
      <c r="K944" s="493">
        <v>5</v>
      </c>
      <c r="L944" s="105" t="s">
        <v>771</v>
      </c>
      <c r="M944" s="105" t="s">
        <v>295</v>
      </c>
      <c r="N944" s="105" t="s">
        <v>228</v>
      </c>
      <c r="O944" s="105" t="s">
        <v>228</v>
      </c>
      <c r="P944" s="105" t="s">
        <v>356</v>
      </c>
      <c r="Q944" s="494">
        <v>2879622</v>
      </c>
      <c r="R944" s="494">
        <v>898270</v>
      </c>
      <c r="S944" s="494">
        <v>2966011</v>
      </c>
      <c r="T944" s="494">
        <v>925217</v>
      </c>
      <c r="U944" s="494">
        <v>204755.37</v>
      </c>
      <c r="V944" s="493">
        <v>2024</v>
      </c>
      <c r="W944" s="495"/>
      <c r="X944" s="496" t="str">
        <f t="shared" si="59"/>
        <v/>
      </c>
      <c r="Y944" s="497">
        <f t="shared" si="61"/>
        <v>5.5713970360751048</v>
      </c>
      <c r="Z944" s="497">
        <f t="shared" si="61"/>
        <v>5.5713970360751048</v>
      </c>
    </row>
    <row r="945" spans="1:26" s="82" customFormat="1" ht="32" x14ac:dyDescent="0.4">
      <c r="A945" s="493">
        <v>54914</v>
      </c>
      <c r="B945" s="105" t="s">
        <v>433</v>
      </c>
      <c r="C945" s="493" t="s">
        <v>330</v>
      </c>
      <c r="D945" s="105" t="s">
        <v>1079</v>
      </c>
      <c r="E945" s="105" t="s">
        <v>1080</v>
      </c>
      <c r="F945" s="493">
        <v>2313</v>
      </c>
      <c r="G945" s="105" t="s">
        <v>52</v>
      </c>
      <c r="H945" s="105" t="s">
        <v>333</v>
      </c>
      <c r="I945" s="105" t="s">
        <v>334</v>
      </c>
      <c r="J945" s="493">
        <v>22</v>
      </c>
      <c r="K945" s="493">
        <v>3</v>
      </c>
      <c r="L945" s="105" t="s">
        <v>436</v>
      </c>
      <c r="M945" s="105" t="s">
        <v>380</v>
      </c>
      <c r="N945" s="105" t="s">
        <v>226</v>
      </c>
      <c r="O945" s="105" t="s">
        <v>226</v>
      </c>
      <c r="P945" s="105" t="s">
        <v>350</v>
      </c>
      <c r="Q945" s="494">
        <v>0</v>
      </c>
      <c r="R945" s="494">
        <v>0</v>
      </c>
      <c r="S945" s="494">
        <v>0</v>
      </c>
      <c r="T945" s="494">
        <v>0</v>
      </c>
      <c r="U945" s="494">
        <v>25.550999999999998</v>
      </c>
      <c r="V945" s="493">
        <v>2024</v>
      </c>
      <c r="W945" s="495"/>
      <c r="X945" s="496" t="str">
        <f t="shared" si="59"/>
        <v/>
      </c>
      <c r="Y945" s="497" t="str">
        <f t="shared" si="61"/>
        <v/>
      </c>
      <c r="Z945" s="497" t="str">
        <f t="shared" si="61"/>
        <v/>
      </c>
    </row>
    <row r="946" spans="1:26" s="82" customFormat="1" ht="32" x14ac:dyDescent="0.4">
      <c r="A946" s="493">
        <v>54914</v>
      </c>
      <c r="B946" s="105" t="s">
        <v>433</v>
      </c>
      <c r="C946" s="493" t="s">
        <v>330</v>
      </c>
      <c r="D946" s="105" t="s">
        <v>1079</v>
      </c>
      <c r="E946" s="105" t="s">
        <v>1080</v>
      </c>
      <c r="F946" s="493">
        <v>2313</v>
      </c>
      <c r="G946" s="105" t="s">
        <v>52</v>
      </c>
      <c r="H946" s="105" t="s">
        <v>333</v>
      </c>
      <c r="I946" s="105" t="s">
        <v>334</v>
      </c>
      <c r="J946" s="493">
        <v>22</v>
      </c>
      <c r="K946" s="493">
        <v>3</v>
      </c>
      <c r="L946" s="105" t="s">
        <v>436</v>
      </c>
      <c r="M946" s="105" t="s">
        <v>380</v>
      </c>
      <c r="N946" s="105" t="s">
        <v>228</v>
      </c>
      <c r="O946" s="105" t="s">
        <v>228</v>
      </c>
      <c r="P946" s="105" t="s">
        <v>356</v>
      </c>
      <c r="Q946" s="494">
        <v>0</v>
      </c>
      <c r="R946" s="494">
        <v>0</v>
      </c>
      <c r="S946" s="494">
        <v>0</v>
      </c>
      <c r="T946" s="494">
        <v>0</v>
      </c>
      <c r="U946" s="494">
        <v>418604.74</v>
      </c>
      <c r="V946" s="493">
        <v>2024</v>
      </c>
      <c r="W946" s="495"/>
      <c r="X946" s="496" t="str">
        <f t="shared" si="59"/>
        <v/>
      </c>
      <c r="Y946" s="497" t="str">
        <f t="shared" si="61"/>
        <v/>
      </c>
      <c r="Z946" s="497" t="str">
        <f t="shared" si="61"/>
        <v/>
      </c>
    </row>
    <row r="947" spans="1:26" s="82" customFormat="1" ht="32" x14ac:dyDescent="0.4">
      <c r="A947" s="493">
        <v>54914</v>
      </c>
      <c r="B947" s="105" t="s">
        <v>433</v>
      </c>
      <c r="C947" s="493" t="s">
        <v>330</v>
      </c>
      <c r="D947" s="105" t="s">
        <v>1079</v>
      </c>
      <c r="E947" s="105" t="s">
        <v>1080</v>
      </c>
      <c r="F947" s="493">
        <v>2313</v>
      </c>
      <c r="G947" s="105" t="s">
        <v>52</v>
      </c>
      <c r="H947" s="105" t="s">
        <v>333</v>
      </c>
      <c r="I947" s="105" t="s">
        <v>334</v>
      </c>
      <c r="J947" s="493">
        <v>22</v>
      </c>
      <c r="K947" s="493">
        <v>3</v>
      </c>
      <c r="L947" s="105" t="s">
        <v>436</v>
      </c>
      <c r="M947" s="105" t="s">
        <v>37</v>
      </c>
      <c r="N947" s="105" t="s">
        <v>226</v>
      </c>
      <c r="O947" s="105" t="s">
        <v>226</v>
      </c>
      <c r="P947" s="105" t="s">
        <v>350</v>
      </c>
      <c r="Q947" s="494">
        <v>352</v>
      </c>
      <c r="R947" s="494">
        <v>216</v>
      </c>
      <c r="S947" s="494">
        <v>2029</v>
      </c>
      <c r="T947" s="494">
        <v>1245</v>
      </c>
      <c r="U947" s="494">
        <v>180.44</v>
      </c>
      <c r="V947" s="493">
        <v>2024</v>
      </c>
      <c r="W947" s="495"/>
      <c r="X947" s="496">
        <f t="shared" si="59"/>
        <v>6.8998004876967416</v>
      </c>
      <c r="Y947" s="497" t="str">
        <f t="shared" si="61"/>
        <v/>
      </c>
      <c r="Z947" s="497" t="str">
        <f t="shared" si="61"/>
        <v/>
      </c>
    </row>
    <row r="948" spans="1:26" s="82" customFormat="1" ht="32" x14ac:dyDescent="0.4">
      <c r="A948" s="493">
        <v>54914</v>
      </c>
      <c r="B948" s="105" t="s">
        <v>433</v>
      </c>
      <c r="C948" s="493" t="s">
        <v>330</v>
      </c>
      <c r="D948" s="105" t="s">
        <v>1079</v>
      </c>
      <c r="E948" s="105" t="s">
        <v>1080</v>
      </c>
      <c r="F948" s="493">
        <v>2313</v>
      </c>
      <c r="G948" s="105" t="s">
        <v>52</v>
      </c>
      <c r="H948" s="105" t="s">
        <v>333</v>
      </c>
      <c r="I948" s="105" t="s">
        <v>334</v>
      </c>
      <c r="J948" s="493">
        <v>22</v>
      </c>
      <c r="K948" s="493">
        <v>3</v>
      </c>
      <c r="L948" s="105" t="s">
        <v>436</v>
      </c>
      <c r="M948" s="105" t="s">
        <v>37</v>
      </c>
      <c r="N948" s="105" t="s">
        <v>228</v>
      </c>
      <c r="O948" s="105" t="s">
        <v>228</v>
      </c>
      <c r="P948" s="105" t="s">
        <v>356</v>
      </c>
      <c r="Q948" s="494">
        <v>19782748</v>
      </c>
      <c r="R948" s="494">
        <v>12592143</v>
      </c>
      <c r="S948" s="494">
        <v>20459392</v>
      </c>
      <c r="T948" s="494">
        <v>13022104</v>
      </c>
      <c r="U948" s="494">
        <v>1750763.6</v>
      </c>
      <c r="V948" s="493">
        <v>2024</v>
      </c>
      <c r="W948" s="495"/>
      <c r="X948" s="496">
        <f t="shared" si="59"/>
        <v>7.4379567863988028</v>
      </c>
      <c r="Y948" s="497" t="str">
        <f t="shared" ref="Y948:Z967" si="62">IF(AND($M948=$Y$2,$N948=$Y$3,NOT($Q948=$R948),NOT($U948=0)),IF($K948=5,$S948/($U948+(8/5)*$U948),IF($K948=7,$S948/($U948+(29/25)*$U948),"")),"")</f>
        <v/>
      </c>
      <c r="Z948" s="497" t="str">
        <f t="shared" si="62"/>
        <v/>
      </c>
    </row>
    <row r="949" spans="1:26" s="82" customFormat="1" ht="32" x14ac:dyDescent="0.4">
      <c r="A949" s="493">
        <v>54937</v>
      </c>
      <c r="B949" s="105" t="s">
        <v>433</v>
      </c>
      <c r="C949" s="493" t="s">
        <v>330</v>
      </c>
      <c r="D949" s="105" t="s">
        <v>1081</v>
      </c>
      <c r="E949" s="105" t="s">
        <v>1082</v>
      </c>
      <c r="F949" s="493">
        <v>20347</v>
      </c>
      <c r="G949" s="105" t="s">
        <v>33</v>
      </c>
      <c r="H949" s="105" t="s">
        <v>342</v>
      </c>
      <c r="I949" s="105" t="s">
        <v>334</v>
      </c>
      <c r="J949" s="493">
        <v>611</v>
      </c>
      <c r="K949" s="493">
        <v>5</v>
      </c>
      <c r="L949" s="105" t="s">
        <v>771</v>
      </c>
      <c r="M949" s="105" t="s">
        <v>359</v>
      </c>
      <c r="N949" s="105" t="s">
        <v>228</v>
      </c>
      <c r="O949" s="105" t="s">
        <v>228</v>
      </c>
      <c r="P949" s="105" t="s">
        <v>356</v>
      </c>
      <c r="Q949" s="494">
        <v>110942</v>
      </c>
      <c r="R949" s="494">
        <v>6327</v>
      </c>
      <c r="S949" s="494">
        <v>113160</v>
      </c>
      <c r="T949" s="494">
        <v>6454</v>
      </c>
      <c r="U949" s="494">
        <v>889</v>
      </c>
      <c r="V949" s="493">
        <v>2024</v>
      </c>
      <c r="W949" s="495"/>
      <c r="X949" s="496" t="str">
        <f t="shared" si="59"/>
        <v/>
      </c>
      <c r="Y949" s="497" t="str">
        <f t="shared" si="62"/>
        <v/>
      </c>
      <c r="Z949" s="497" t="str">
        <f t="shared" si="62"/>
        <v/>
      </c>
    </row>
    <row r="950" spans="1:26" s="82" customFormat="1" ht="32" x14ac:dyDescent="0.4">
      <c r="A950" s="493">
        <v>54953</v>
      </c>
      <c r="B950" s="105" t="s">
        <v>329</v>
      </c>
      <c r="C950" s="493" t="s">
        <v>330</v>
      </c>
      <c r="D950" s="105" t="s">
        <v>1083</v>
      </c>
      <c r="E950" s="105" t="s">
        <v>757</v>
      </c>
      <c r="F950" s="493">
        <v>55754</v>
      </c>
      <c r="G950" s="105" t="s">
        <v>52</v>
      </c>
      <c r="H950" s="105" t="s">
        <v>333</v>
      </c>
      <c r="I950" s="105" t="s">
        <v>334</v>
      </c>
      <c r="J950" s="493">
        <v>22</v>
      </c>
      <c r="K950" s="493">
        <v>2</v>
      </c>
      <c r="L950" s="105" t="s">
        <v>343</v>
      </c>
      <c r="M950" s="105" t="s">
        <v>336</v>
      </c>
      <c r="N950" s="105" t="s">
        <v>337</v>
      </c>
      <c r="O950" s="105" t="s">
        <v>338</v>
      </c>
      <c r="P950" s="105" t="s">
        <v>339</v>
      </c>
      <c r="Q950" s="494">
        <v>0</v>
      </c>
      <c r="R950" s="494">
        <v>0</v>
      </c>
      <c r="S950" s="494">
        <v>717954</v>
      </c>
      <c r="T950" s="494">
        <v>717954</v>
      </c>
      <c r="U950" s="494">
        <v>210420</v>
      </c>
      <c r="V950" s="493">
        <v>2024</v>
      </c>
      <c r="W950" s="495"/>
      <c r="X950" s="496">
        <f t="shared" si="59"/>
        <v>3.4120045623039634</v>
      </c>
      <c r="Y950" s="497" t="str">
        <f t="shared" si="62"/>
        <v/>
      </c>
      <c r="Z950" s="497" t="str">
        <f t="shared" si="62"/>
        <v/>
      </c>
    </row>
    <row r="951" spans="1:26" s="82" customFormat="1" ht="32" x14ac:dyDescent="0.4">
      <c r="A951" s="493">
        <v>55006</v>
      </c>
      <c r="B951" s="105" t="s">
        <v>329</v>
      </c>
      <c r="C951" s="493" t="s">
        <v>330</v>
      </c>
      <c r="D951" s="105" t="s">
        <v>1084</v>
      </c>
      <c r="E951" s="105" t="s">
        <v>1085</v>
      </c>
      <c r="F951" s="493">
        <v>57249</v>
      </c>
      <c r="G951" s="105" t="s">
        <v>35</v>
      </c>
      <c r="H951" s="105" t="s">
        <v>342</v>
      </c>
      <c r="I951" s="105" t="s">
        <v>334</v>
      </c>
      <c r="J951" s="493">
        <v>22</v>
      </c>
      <c r="K951" s="493">
        <v>2</v>
      </c>
      <c r="L951" s="105" t="s">
        <v>343</v>
      </c>
      <c r="M951" s="105" t="s">
        <v>359</v>
      </c>
      <c r="N951" s="105" t="s">
        <v>252</v>
      </c>
      <c r="O951" s="105" t="s">
        <v>688</v>
      </c>
      <c r="P951" s="105" t="s">
        <v>356</v>
      </c>
      <c r="Q951" s="494">
        <v>385568</v>
      </c>
      <c r="R951" s="494">
        <v>385568</v>
      </c>
      <c r="S951" s="494">
        <v>152684</v>
      </c>
      <c r="T951" s="494">
        <v>152684</v>
      </c>
      <c r="U951" s="494">
        <v>13442</v>
      </c>
      <c r="V951" s="493">
        <v>2024</v>
      </c>
      <c r="W951" s="495"/>
      <c r="X951" s="496">
        <f t="shared" si="59"/>
        <v>11.358726380002976</v>
      </c>
      <c r="Y951" s="497" t="str">
        <f t="shared" si="62"/>
        <v/>
      </c>
      <c r="Z951" s="497" t="str">
        <f t="shared" si="62"/>
        <v/>
      </c>
    </row>
    <row r="952" spans="1:26" s="82" customFormat="1" x14ac:dyDescent="0.4">
      <c r="A952" s="493">
        <v>55026</v>
      </c>
      <c r="B952" s="105" t="s">
        <v>329</v>
      </c>
      <c r="C952" s="493" t="s">
        <v>330</v>
      </c>
      <c r="D952" s="105" t="s">
        <v>1086</v>
      </c>
      <c r="E952" s="105" t="s">
        <v>1087</v>
      </c>
      <c r="F952" s="493">
        <v>55773</v>
      </c>
      <c r="G952" s="105" t="s">
        <v>33</v>
      </c>
      <c r="H952" s="105" t="s">
        <v>342</v>
      </c>
      <c r="I952" s="105" t="s">
        <v>334</v>
      </c>
      <c r="J952" s="493">
        <v>22</v>
      </c>
      <c r="K952" s="493">
        <v>2</v>
      </c>
      <c r="L952" s="105" t="s">
        <v>343</v>
      </c>
      <c r="M952" s="105" t="s">
        <v>1088</v>
      </c>
      <c r="N952" s="105" t="s">
        <v>228</v>
      </c>
      <c r="O952" s="105" t="s">
        <v>228</v>
      </c>
      <c r="P952" s="105" t="s">
        <v>356</v>
      </c>
      <c r="Q952" s="494">
        <v>4018781</v>
      </c>
      <c r="R952" s="494">
        <v>4018781</v>
      </c>
      <c r="S952" s="494">
        <v>4130205</v>
      </c>
      <c r="T952" s="494">
        <v>4130205</v>
      </c>
      <c r="U952" s="494">
        <v>531137</v>
      </c>
      <c r="V952" s="493">
        <v>2024</v>
      </c>
      <c r="W952" s="495" t="s">
        <v>355</v>
      </c>
      <c r="X952" s="496">
        <f t="shared" si="59"/>
        <v>7.7761575638677023</v>
      </c>
      <c r="Y952" s="497" t="str">
        <f t="shared" si="62"/>
        <v/>
      </c>
      <c r="Z952" s="497" t="str">
        <f t="shared" si="62"/>
        <v/>
      </c>
    </row>
    <row r="953" spans="1:26" s="82" customFormat="1" ht="32" x14ac:dyDescent="0.4">
      <c r="A953" s="493">
        <v>55031</v>
      </c>
      <c r="B953" s="105" t="s">
        <v>433</v>
      </c>
      <c r="C953" s="493" t="s">
        <v>330</v>
      </c>
      <c r="D953" s="105" t="s">
        <v>1089</v>
      </c>
      <c r="E953" s="105" t="s">
        <v>1090</v>
      </c>
      <c r="F953" s="493">
        <v>66314</v>
      </c>
      <c r="G953" s="105" t="s">
        <v>34</v>
      </c>
      <c r="H953" s="105" t="s">
        <v>342</v>
      </c>
      <c r="I953" s="105" t="s">
        <v>334</v>
      </c>
      <c r="J953" s="493">
        <v>322</v>
      </c>
      <c r="K953" s="493">
        <v>7</v>
      </c>
      <c r="L953" s="105" t="s">
        <v>727</v>
      </c>
      <c r="M953" s="105" t="s">
        <v>295</v>
      </c>
      <c r="N953" s="105" t="s">
        <v>226</v>
      </c>
      <c r="O953" s="105" t="s">
        <v>226</v>
      </c>
      <c r="P953" s="105" t="s">
        <v>350</v>
      </c>
      <c r="Q953" s="494">
        <v>0</v>
      </c>
      <c r="R953" s="494">
        <v>0</v>
      </c>
      <c r="S953" s="494">
        <v>0</v>
      </c>
      <c r="T953" s="494">
        <v>0</v>
      </c>
      <c r="U953" s="494">
        <v>-53.015999999999998</v>
      </c>
      <c r="V953" s="493">
        <v>2024</v>
      </c>
      <c r="W953" s="495"/>
      <c r="X953" s="496" t="str">
        <f t="shared" si="59"/>
        <v/>
      </c>
      <c r="Y953" s="497" t="str">
        <f t="shared" si="62"/>
        <v/>
      </c>
      <c r="Z953" s="497" t="str">
        <f t="shared" si="62"/>
        <v/>
      </c>
    </row>
    <row r="954" spans="1:26" s="82" customFormat="1" ht="32" x14ac:dyDescent="0.4">
      <c r="A954" s="493">
        <v>55031</v>
      </c>
      <c r="B954" s="105" t="s">
        <v>433</v>
      </c>
      <c r="C954" s="493" t="s">
        <v>330</v>
      </c>
      <c r="D954" s="105" t="s">
        <v>1089</v>
      </c>
      <c r="E954" s="105" t="s">
        <v>1090</v>
      </c>
      <c r="F954" s="493">
        <v>66314</v>
      </c>
      <c r="G954" s="105" t="s">
        <v>34</v>
      </c>
      <c r="H954" s="105" t="s">
        <v>342</v>
      </c>
      <c r="I954" s="105" t="s">
        <v>334</v>
      </c>
      <c r="J954" s="493">
        <v>322</v>
      </c>
      <c r="K954" s="493">
        <v>7</v>
      </c>
      <c r="L954" s="105" t="s">
        <v>727</v>
      </c>
      <c r="M954" s="105" t="s">
        <v>295</v>
      </c>
      <c r="N954" s="105" t="s">
        <v>228</v>
      </c>
      <c r="O954" s="105" t="s">
        <v>228</v>
      </c>
      <c r="P954" s="105" t="s">
        <v>356</v>
      </c>
      <c r="Q954" s="494">
        <v>0</v>
      </c>
      <c r="R954" s="494">
        <v>0</v>
      </c>
      <c r="S954" s="494">
        <v>0</v>
      </c>
      <c r="T954" s="494">
        <v>0</v>
      </c>
      <c r="U954" s="494">
        <v>-1291.9839999999999</v>
      </c>
      <c r="V954" s="493">
        <v>2024</v>
      </c>
      <c r="W954" s="495"/>
      <c r="X954" s="496" t="str">
        <f t="shared" si="59"/>
        <v/>
      </c>
      <c r="Y954" s="497" t="str">
        <f t="shared" si="62"/>
        <v/>
      </c>
      <c r="Z954" s="497" t="str">
        <f t="shared" si="62"/>
        <v/>
      </c>
    </row>
    <row r="955" spans="1:26" s="82" customFormat="1" x14ac:dyDescent="0.4">
      <c r="A955" s="493">
        <v>55041</v>
      </c>
      <c r="B955" s="105" t="s">
        <v>329</v>
      </c>
      <c r="C955" s="493" t="s">
        <v>330</v>
      </c>
      <c r="D955" s="105" t="s">
        <v>1091</v>
      </c>
      <c r="E955" s="105" t="s">
        <v>1092</v>
      </c>
      <c r="F955" s="493">
        <v>1616</v>
      </c>
      <c r="G955" s="105" t="s">
        <v>33</v>
      </c>
      <c r="H955" s="105" t="s">
        <v>342</v>
      </c>
      <c r="I955" s="105" t="s">
        <v>334</v>
      </c>
      <c r="J955" s="493">
        <v>22</v>
      </c>
      <c r="K955" s="493">
        <v>2</v>
      </c>
      <c r="L955" s="105" t="s">
        <v>343</v>
      </c>
      <c r="M955" s="105" t="s">
        <v>1088</v>
      </c>
      <c r="N955" s="105" t="s">
        <v>228</v>
      </c>
      <c r="O955" s="105" t="s">
        <v>228</v>
      </c>
      <c r="P955" s="105" t="s">
        <v>356</v>
      </c>
      <c r="Q955" s="494">
        <v>4066166</v>
      </c>
      <c r="R955" s="494">
        <v>4066166</v>
      </c>
      <c r="S955" s="494">
        <v>4190232</v>
      </c>
      <c r="T955" s="494">
        <v>4190232</v>
      </c>
      <c r="U955" s="494">
        <v>573345</v>
      </c>
      <c r="V955" s="493">
        <v>2024</v>
      </c>
      <c r="W955" s="495" t="s">
        <v>355</v>
      </c>
      <c r="X955" s="496">
        <f t="shared" si="59"/>
        <v>7.3083954686968582</v>
      </c>
      <c r="Y955" s="497" t="str">
        <f t="shared" si="62"/>
        <v/>
      </c>
      <c r="Z955" s="497" t="str">
        <f t="shared" si="62"/>
        <v/>
      </c>
    </row>
    <row r="956" spans="1:26" s="82" customFormat="1" x14ac:dyDescent="0.4">
      <c r="A956" s="493">
        <v>55042</v>
      </c>
      <c r="B956" s="105" t="s">
        <v>329</v>
      </c>
      <c r="C956" s="493" t="s">
        <v>330</v>
      </c>
      <c r="D956" s="105" t="s">
        <v>1093</v>
      </c>
      <c r="E956" s="105" t="s">
        <v>1094</v>
      </c>
      <c r="F956" s="493">
        <v>2232</v>
      </c>
      <c r="G956" s="105" t="s">
        <v>37</v>
      </c>
      <c r="H956" s="105" t="s">
        <v>342</v>
      </c>
      <c r="I956" s="105" t="s">
        <v>334</v>
      </c>
      <c r="J956" s="493">
        <v>22</v>
      </c>
      <c r="K956" s="493">
        <v>2</v>
      </c>
      <c r="L956" s="105" t="s">
        <v>343</v>
      </c>
      <c r="M956" s="105" t="s">
        <v>380</v>
      </c>
      <c r="N956" s="105" t="s">
        <v>228</v>
      </c>
      <c r="O956" s="105" t="s">
        <v>228</v>
      </c>
      <c r="P956" s="105" t="s">
        <v>356</v>
      </c>
      <c r="Q956" s="494">
        <v>0</v>
      </c>
      <c r="R956" s="494">
        <v>0</v>
      </c>
      <c r="S956" s="494">
        <v>0</v>
      </c>
      <c r="T956" s="494">
        <v>0</v>
      </c>
      <c r="U956" s="494">
        <v>899073</v>
      </c>
      <c r="V956" s="493">
        <v>2024</v>
      </c>
      <c r="W956" s="495" t="s">
        <v>355</v>
      </c>
      <c r="X956" s="496" t="str">
        <f t="shared" si="59"/>
        <v/>
      </c>
      <c r="Y956" s="497" t="str">
        <f t="shared" si="62"/>
        <v/>
      </c>
      <c r="Z956" s="497" t="str">
        <f t="shared" si="62"/>
        <v/>
      </c>
    </row>
    <row r="957" spans="1:26" s="82" customFormat="1" x14ac:dyDescent="0.4">
      <c r="A957" s="493">
        <v>55042</v>
      </c>
      <c r="B957" s="105" t="s">
        <v>329</v>
      </c>
      <c r="C957" s="493" t="s">
        <v>330</v>
      </c>
      <c r="D957" s="105" t="s">
        <v>1093</v>
      </c>
      <c r="E957" s="105" t="s">
        <v>1094</v>
      </c>
      <c r="F957" s="493">
        <v>2232</v>
      </c>
      <c r="G957" s="105" t="s">
        <v>37</v>
      </c>
      <c r="H957" s="105" t="s">
        <v>342</v>
      </c>
      <c r="I957" s="105" t="s">
        <v>334</v>
      </c>
      <c r="J957" s="493">
        <v>22</v>
      </c>
      <c r="K957" s="493">
        <v>2</v>
      </c>
      <c r="L957" s="105" t="s">
        <v>343</v>
      </c>
      <c r="M957" s="105" t="s">
        <v>37</v>
      </c>
      <c r="N957" s="105" t="s">
        <v>228</v>
      </c>
      <c r="O957" s="105" t="s">
        <v>228</v>
      </c>
      <c r="P957" s="105" t="s">
        <v>356</v>
      </c>
      <c r="Q957" s="494">
        <v>18663380</v>
      </c>
      <c r="R957" s="494">
        <v>18663380</v>
      </c>
      <c r="S957" s="494">
        <v>19296680</v>
      </c>
      <c r="T957" s="494">
        <v>19296680</v>
      </c>
      <c r="U957" s="494">
        <v>1750588</v>
      </c>
      <c r="V957" s="493">
        <v>2024</v>
      </c>
      <c r="W957" s="495" t="s">
        <v>355</v>
      </c>
      <c r="X957" s="496">
        <f t="shared" si="59"/>
        <v>11.02297056760357</v>
      </c>
      <c r="Y957" s="497" t="str">
        <f t="shared" si="62"/>
        <v/>
      </c>
      <c r="Z957" s="497" t="str">
        <f t="shared" si="62"/>
        <v/>
      </c>
    </row>
    <row r="958" spans="1:26" s="82" customFormat="1" x14ac:dyDescent="0.4">
      <c r="A958" s="493">
        <v>55048</v>
      </c>
      <c r="B958" s="105" t="s">
        <v>329</v>
      </c>
      <c r="C958" s="493" t="s">
        <v>330</v>
      </c>
      <c r="D958" s="105" t="s">
        <v>1095</v>
      </c>
      <c r="E958" s="105" t="s">
        <v>1096</v>
      </c>
      <c r="F958" s="493">
        <v>55510</v>
      </c>
      <c r="G958" s="105" t="s">
        <v>38</v>
      </c>
      <c r="H958" s="105" t="s">
        <v>342</v>
      </c>
      <c r="I958" s="105" t="s">
        <v>334</v>
      </c>
      <c r="J958" s="493">
        <v>22</v>
      </c>
      <c r="K958" s="493">
        <v>2</v>
      </c>
      <c r="L958" s="105" t="s">
        <v>343</v>
      </c>
      <c r="M958" s="105" t="s">
        <v>380</v>
      </c>
      <c r="N958" s="105" t="s">
        <v>228</v>
      </c>
      <c r="O958" s="105" t="s">
        <v>228</v>
      </c>
      <c r="P958" s="105" t="s">
        <v>356</v>
      </c>
      <c r="Q958" s="494">
        <v>0</v>
      </c>
      <c r="R958" s="494">
        <v>0</v>
      </c>
      <c r="S958" s="494">
        <v>0</v>
      </c>
      <c r="T958" s="494">
        <v>0</v>
      </c>
      <c r="U958" s="494">
        <v>559673</v>
      </c>
      <c r="V958" s="493">
        <v>2024</v>
      </c>
      <c r="W958" s="495" t="s">
        <v>355</v>
      </c>
      <c r="X958" s="496" t="str">
        <f t="shared" si="59"/>
        <v/>
      </c>
      <c r="Y958" s="497" t="str">
        <f t="shared" si="62"/>
        <v/>
      </c>
      <c r="Z958" s="497" t="str">
        <f t="shared" si="62"/>
        <v/>
      </c>
    </row>
    <row r="959" spans="1:26" s="82" customFormat="1" x14ac:dyDescent="0.4">
      <c r="A959" s="493">
        <v>55048</v>
      </c>
      <c r="B959" s="105" t="s">
        <v>329</v>
      </c>
      <c r="C959" s="493" t="s">
        <v>330</v>
      </c>
      <c r="D959" s="105" t="s">
        <v>1095</v>
      </c>
      <c r="E959" s="105" t="s">
        <v>1096</v>
      </c>
      <c r="F959" s="493">
        <v>55510</v>
      </c>
      <c r="G959" s="105" t="s">
        <v>38</v>
      </c>
      <c r="H959" s="105" t="s">
        <v>342</v>
      </c>
      <c r="I959" s="105" t="s">
        <v>334</v>
      </c>
      <c r="J959" s="493">
        <v>22</v>
      </c>
      <c r="K959" s="493">
        <v>2</v>
      </c>
      <c r="L959" s="105" t="s">
        <v>343</v>
      </c>
      <c r="M959" s="105" t="s">
        <v>37</v>
      </c>
      <c r="N959" s="105" t="s">
        <v>228</v>
      </c>
      <c r="O959" s="105" t="s">
        <v>228</v>
      </c>
      <c r="P959" s="105" t="s">
        <v>356</v>
      </c>
      <c r="Q959" s="494">
        <v>11736559</v>
      </c>
      <c r="R959" s="494">
        <v>11736559</v>
      </c>
      <c r="S959" s="494">
        <v>12053448</v>
      </c>
      <c r="T959" s="494">
        <v>12053448</v>
      </c>
      <c r="U959" s="494">
        <v>1103441</v>
      </c>
      <c r="V959" s="493">
        <v>2024</v>
      </c>
      <c r="W959" s="495" t="s">
        <v>355</v>
      </c>
      <c r="X959" s="496">
        <f t="shared" si="59"/>
        <v>10.923509276889295</v>
      </c>
      <c r="Y959" s="497" t="str">
        <f t="shared" si="62"/>
        <v/>
      </c>
      <c r="Z959" s="497" t="str">
        <f t="shared" si="62"/>
        <v/>
      </c>
    </row>
    <row r="960" spans="1:26" s="82" customFormat="1" ht="32" x14ac:dyDescent="0.4">
      <c r="A960" s="493">
        <v>55068</v>
      </c>
      <c r="B960" s="105" t="s">
        <v>329</v>
      </c>
      <c r="C960" s="493" t="s">
        <v>330</v>
      </c>
      <c r="D960" s="105" t="s">
        <v>1097</v>
      </c>
      <c r="E960" s="105" t="s">
        <v>1098</v>
      </c>
      <c r="F960" s="493">
        <v>4966</v>
      </c>
      <c r="G960" s="105" t="s">
        <v>34</v>
      </c>
      <c r="H960" s="105" t="s">
        <v>342</v>
      </c>
      <c r="I960" s="105" t="s">
        <v>334</v>
      </c>
      <c r="J960" s="493">
        <v>22</v>
      </c>
      <c r="K960" s="493">
        <v>2</v>
      </c>
      <c r="L960" s="105" t="s">
        <v>343</v>
      </c>
      <c r="M960" s="105" t="s">
        <v>380</v>
      </c>
      <c r="N960" s="105" t="s">
        <v>228</v>
      </c>
      <c r="O960" s="105" t="s">
        <v>228</v>
      </c>
      <c r="P960" s="105" t="s">
        <v>356</v>
      </c>
      <c r="Q960" s="494">
        <v>0</v>
      </c>
      <c r="R960" s="494">
        <v>0</v>
      </c>
      <c r="S960" s="494">
        <v>0</v>
      </c>
      <c r="T960" s="494">
        <v>0</v>
      </c>
      <c r="U960" s="494">
        <v>976454</v>
      </c>
      <c r="V960" s="493">
        <v>2024</v>
      </c>
      <c r="W960" s="495" t="s">
        <v>355</v>
      </c>
      <c r="X960" s="496" t="str">
        <f t="shared" si="59"/>
        <v/>
      </c>
      <c r="Y960" s="497" t="str">
        <f t="shared" si="62"/>
        <v/>
      </c>
      <c r="Z960" s="497" t="str">
        <f t="shared" si="62"/>
        <v/>
      </c>
    </row>
    <row r="961" spans="1:26" s="82" customFormat="1" ht="32" x14ac:dyDescent="0.4">
      <c r="A961" s="493">
        <v>55068</v>
      </c>
      <c r="B961" s="105" t="s">
        <v>329</v>
      </c>
      <c r="C961" s="493" t="s">
        <v>330</v>
      </c>
      <c r="D961" s="105" t="s">
        <v>1097</v>
      </c>
      <c r="E961" s="105" t="s">
        <v>1098</v>
      </c>
      <c r="F961" s="493">
        <v>4966</v>
      </c>
      <c r="G961" s="105" t="s">
        <v>34</v>
      </c>
      <c r="H961" s="105" t="s">
        <v>342</v>
      </c>
      <c r="I961" s="105" t="s">
        <v>334</v>
      </c>
      <c r="J961" s="493">
        <v>22</v>
      </c>
      <c r="K961" s="493">
        <v>2</v>
      </c>
      <c r="L961" s="105" t="s">
        <v>343</v>
      </c>
      <c r="M961" s="105" t="s">
        <v>37</v>
      </c>
      <c r="N961" s="105" t="s">
        <v>228</v>
      </c>
      <c r="O961" s="105" t="s">
        <v>228</v>
      </c>
      <c r="P961" s="105" t="s">
        <v>356</v>
      </c>
      <c r="Q961" s="494">
        <v>17649594</v>
      </c>
      <c r="R961" s="494">
        <v>17649594</v>
      </c>
      <c r="S961" s="494">
        <v>18412811</v>
      </c>
      <c r="T961" s="494">
        <v>18412811</v>
      </c>
      <c r="U961" s="494">
        <v>1570390</v>
      </c>
      <c r="V961" s="493">
        <v>2024</v>
      </c>
      <c r="W961" s="495" t="s">
        <v>355</v>
      </c>
      <c r="X961" s="496">
        <f t="shared" si="59"/>
        <v>11.724992517782207</v>
      </c>
      <c r="Y961" s="497" t="str">
        <f t="shared" si="62"/>
        <v/>
      </c>
      <c r="Z961" s="497" t="str">
        <f t="shared" si="62"/>
        <v/>
      </c>
    </row>
    <row r="962" spans="1:26" s="82" customFormat="1" ht="32" x14ac:dyDescent="0.4">
      <c r="A962" s="493">
        <v>55079</v>
      </c>
      <c r="B962" s="105" t="s">
        <v>329</v>
      </c>
      <c r="C962" s="493" t="s">
        <v>330</v>
      </c>
      <c r="D962" s="105" t="s">
        <v>1099</v>
      </c>
      <c r="E962" s="105" t="s">
        <v>1100</v>
      </c>
      <c r="F962" s="493">
        <v>12713</v>
      </c>
      <c r="G962" s="105" t="s">
        <v>33</v>
      </c>
      <c r="H962" s="105" t="s">
        <v>342</v>
      </c>
      <c r="I962" s="105" t="s">
        <v>334</v>
      </c>
      <c r="J962" s="493">
        <v>22</v>
      </c>
      <c r="K962" s="493">
        <v>2</v>
      </c>
      <c r="L962" s="105" t="s">
        <v>343</v>
      </c>
      <c r="M962" s="105" t="s">
        <v>380</v>
      </c>
      <c r="N962" s="105" t="s">
        <v>226</v>
      </c>
      <c r="O962" s="105" t="s">
        <v>226</v>
      </c>
      <c r="P962" s="105" t="s">
        <v>350</v>
      </c>
      <c r="Q962" s="494">
        <v>0</v>
      </c>
      <c r="R962" s="494">
        <v>0</v>
      </c>
      <c r="S962" s="494">
        <v>0</v>
      </c>
      <c r="T962" s="494">
        <v>0</v>
      </c>
      <c r="U962" s="494">
        <v>0</v>
      </c>
      <c r="V962" s="493">
        <v>2024</v>
      </c>
      <c r="W962" s="495" t="s">
        <v>355</v>
      </c>
      <c r="X962" s="496" t="str">
        <f t="shared" si="59"/>
        <v/>
      </c>
      <c r="Y962" s="497" t="str">
        <f t="shared" si="62"/>
        <v/>
      </c>
      <c r="Z962" s="497" t="str">
        <f t="shared" si="62"/>
        <v/>
      </c>
    </row>
    <row r="963" spans="1:26" s="82" customFormat="1" ht="32" x14ac:dyDescent="0.4">
      <c r="A963" s="493">
        <v>55079</v>
      </c>
      <c r="B963" s="105" t="s">
        <v>329</v>
      </c>
      <c r="C963" s="493" t="s">
        <v>330</v>
      </c>
      <c r="D963" s="105" t="s">
        <v>1099</v>
      </c>
      <c r="E963" s="105" t="s">
        <v>1100</v>
      </c>
      <c r="F963" s="493">
        <v>12713</v>
      </c>
      <c r="G963" s="105" t="s">
        <v>33</v>
      </c>
      <c r="H963" s="105" t="s">
        <v>342</v>
      </c>
      <c r="I963" s="105" t="s">
        <v>334</v>
      </c>
      <c r="J963" s="493">
        <v>22</v>
      </c>
      <c r="K963" s="493">
        <v>2</v>
      </c>
      <c r="L963" s="105" t="s">
        <v>343</v>
      </c>
      <c r="M963" s="105" t="s">
        <v>380</v>
      </c>
      <c r="N963" s="105" t="s">
        <v>228</v>
      </c>
      <c r="O963" s="105" t="s">
        <v>228</v>
      </c>
      <c r="P963" s="105" t="s">
        <v>356</v>
      </c>
      <c r="Q963" s="494">
        <v>0</v>
      </c>
      <c r="R963" s="494">
        <v>0</v>
      </c>
      <c r="S963" s="494">
        <v>0</v>
      </c>
      <c r="T963" s="494">
        <v>0</v>
      </c>
      <c r="U963" s="494">
        <v>164357</v>
      </c>
      <c r="V963" s="493">
        <v>2024</v>
      </c>
      <c r="W963" s="495" t="s">
        <v>355</v>
      </c>
      <c r="X963" s="496" t="str">
        <f t="shared" si="59"/>
        <v/>
      </c>
      <c r="Y963" s="497" t="str">
        <f t="shared" si="62"/>
        <v/>
      </c>
      <c r="Z963" s="497" t="str">
        <f t="shared" si="62"/>
        <v/>
      </c>
    </row>
    <row r="964" spans="1:26" s="82" customFormat="1" ht="32" x14ac:dyDescent="0.4">
      <c r="A964" s="493">
        <v>55079</v>
      </c>
      <c r="B964" s="105" t="s">
        <v>329</v>
      </c>
      <c r="C964" s="493" t="s">
        <v>330</v>
      </c>
      <c r="D964" s="105" t="s">
        <v>1099</v>
      </c>
      <c r="E964" s="105" t="s">
        <v>1100</v>
      </c>
      <c r="F964" s="493">
        <v>12713</v>
      </c>
      <c r="G964" s="105" t="s">
        <v>33</v>
      </c>
      <c r="H964" s="105" t="s">
        <v>342</v>
      </c>
      <c r="I964" s="105" t="s">
        <v>334</v>
      </c>
      <c r="J964" s="493">
        <v>22</v>
      </c>
      <c r="K964" s="493">
        <v>2</v>
      </c>
      <c r="L964" s="105" t="s">
        <v>343</v>
      </c>
      <c r="M964" s="105" t="s">
        <v>37</v>
      </c>
      <c r="N964" s="105" t="s">
        <v>226</v>
      </c>
      <c r="O964" s="105" t="s">
        <v>226</v>
      </c>
      <c r="P964" s="105" t="s">
        <v>350</v>
      </c>
      <c r="Q964" s="494">
        <v>0</v>
      </c>
      <c r="R964" s="494">
        <v>0</v>
      </c>
      <c r="S964" s="494">
        <v>0</v>
      </c>
      <c r="T964" s="494">
        <v>0</v>
      </c>
      <c r="U964" s="494">
        <v>0</v>
      </c>
      <c r="V964" s="493">
        <v>2024</v>
      </c>
      <c r="W964" s="495" t="s">
        <v>355</v>
      </c>
      <c r="X964" s="496" t="str">
        <f t="shared" si="59"/>
        <v/>
      </c>
      <c r="Y964" s="497" t="str">
        <f t="shared" si="62"/>
        <v/>
      </c>
      <c r="Z964" s="497" t="str">
        <f t="shared" si="62"/>
        <v/>
      </c>
    </row>
    <row r="965" spans="1:26" s="82" customFormat="1" ht="32" x14ac:dyDescent="0.4">
      <c r="A965" s="493">
        <v>55079</v>
      </c>
      <c r="B965" s="105" t="s">
        <v>329</v>
      </c>
      <c r="C965" s="493" t="s">
        <v>330</v>
      </c>
      <c r="D965" s="105" t="s">
        <v>1099</v>
      </c>
      <c r="E965" s="105" t="s">
        <v>1100</v>
      </c>
      <c r="F965" s="493">
        <v>12713</v>
      </c>
      <c r="G965" s="105" t="s">
        <v>33</v>
      </c>
      <c r="H965" s="105" t="s">
        <v>342</v>
      </c>
      <c r="I965" s="105" t="s">
        <v>334</v>
      </c>
      <c r="J965" s="493">
        <v>22</v>
      </c>
      <c r="K965" s="493">
        <v>2</v>
      </c>
      <c r="L965" s="105" t="s">
        <v>343</v>
      </c>
      <c r="M965" s="105" t="s">
        <v>37</v>
      </c>
      <c r="N965" s="105" t="s">
        <v>228</v>
      </c>
      <c r="O965" s="105" t="s">
        <v>228</v>
      </c>
      <c r="P965" s="105" t="s">
        <v>356</v>
      </c>
      <c r="Q965" s="494">
        <v>3786663</v>
      </c>
      <c r="R965" s="494">
        <v>3786663</v>
      </c>
      <c r="S965" s="494">
        <v>3903112</v>
      </c>
      <c r="T965" s="494">
        <v>3903112</v>
      </c>
      <c r="U965" s="494">
        <v>356230</v>
      </c>
      <c r="V965" s="493">
        <v>2024</v>
      </c>
      <c r="W965" s="495" t="s">
        <v>355</v>
      </c>
      <c r="X965" s="496">
        <f t="shared" si="59"/>
        <v>10.956718973696768</v>
      </c>
      <c r="Y965" s="497" t="str">
        <f t="shared" si="62"/>
        <v/>
      </c>
      <c r="Z965" s="497" t="str">
        <f t="shared" si="62"/>
        <v/>
      </c>
    </row>
    <row r="966" spans="1:26" s="82" customFormat="1" x14ac:dyDescent="0.4">
      <c r="A966" s="493">
        <v>55093</v>
      </c>
      <c r="B966" s="105" t="s">
        <v>329</v>
      </c>
      <c r="C966" s="493" t="s">
        <v>330</v>
      </c>
      <c r="D966" s="105" t="s">
        <v>1101</v>
      </c>
      <c r="E966" s="105" t="s">
        <v>1102</v>
      </c>
      <c r="F966" s="493">
        <v>57226</v>
      </c>
      <c r="G966" s="105" t="s">
        <v>33</v>
      </c>
      <c r="H966" s="105" t="s">
        <v>342</v>
      </c>
      <c r="I966" s="105" t="s">
        <v>334</v>
      </c>
      <c r="J966" s="493">
        <v>22</v>
      </c>
      <c r="K966" s="493">
        <v>2</v>
      </c>
      <c r="L966" s="105" t="s">
        <v>343</v>
      </c>
      <c r="M966" s="105" t="s">
        <v>359</v>
      </c>
      <c r="N966" s="105" t="s">
        <v>252</v>
      </c>
      <c r="O966" s="105" t="s">
        <v>688</v>
      </c>
      <c r="P966" s="105" t="s">
        <v>356</v>
      </c>
      <c r="Q966" s="494">
        <v>115965</v>
      </c>
      <c r="R966" s="494">
        <v>115965</v>
      </c>
      <c r="S966" s="494">
        <v>56359</v>
      </c>
      <c r="T966" s="494">
        <v>56359</v>
      </c>
      <c r="U966" s="494">
        <v>5804</v>
      </c>
      <c r="V966" s="493">
        <v>2024</v>
      </c>
      <c r="W966" s="495"/>
      <c r="X966" s="496">
        <f t="shared" si="59"/>
        <v>9.7103721571330119</v>
      </c>
      <c r="Y966" s="497" t="str">
        <f t="shared" si="62"/>
        <v/>
      </c>
      <c r="Z966" s="497" t="str">
        <f t="shared" si="62"/>
        <v/>
      </c>
    </row>
    <row r="967" spans="1:26" s="82" customFormat="1" x14ac:dyDescent="0.4">
      <c r="A967" s="493">
        <v>55100</v>
      </c>
      <c r="B967" s="105" t="s">
        <v>329</v>
      </c>
      <c r="C967" s="493" t="s">
        <v>330</v>
      </c>
      <c r="D967" s="105" t="s">
        <v>1103</v>
      </c>
      <c r="E967" s="105" t="s">
        <v>1104</v>
      </c>
      <c r="F967" s="493">
        <v>54821</v>
      </c>
      <c r="G967" s="105" t="s">
        <v>34</v>
      </c>
      <c r="H967" s="105" t="s">
        <v>342</v>
      </c>
      <c r="I967" s="105" t="s">
        <v>334</v>
      </c>
      <c r="J967" s="493">
        <v>22</v>
      </c>
      <c r="K967" s="493">
        <v>2</v>
      </c>
      <c r="L967" s="105" t="s">
        <v>343</v>
      </c>
      <c r="M967" s="105" t="s">
        <v>380</v>
      </c>
      <c r="N967" s="105" t="s">
        <v>228</v>
      </c>
      <c r="O967" s="105" t="s">
        <v>228</v>
      </c>
      <c r="P967" s="105" t="s">
        <v>356</v>
      </c>
      <c r="Q967" s="494">
        <v>0</v>
      </c>
      <c r="R967" s="494">
        <v>0</v>
      </c>
      <c r="S967" s="494">
        <v>0</v>
      </c>
      <c r="T967" s="494">
        <v>0</v>
      </c>
      <c r="U967" s="494">
        <v>223517</v>
      </c>
      <c r="V967" s="493">
        <v>2024</v>
      </c>
      <c r="W967" s="495" t="s">
        <v>355</v>
      </c>
      <c r="X967" s="496" t="str">
        <f t="shared" si="59"/>
        <v/>
      </c>
      <c r="Y967" s="497" t="str">
        <f t="shared" si="62"/>
        <v/>
      </c>
      <c r="Z967" s="497" t="str">
        <f t="shared" si="62"/>
        <v/>
      </c>
    </row>
    <row r="968" spans="1:26" s="82" customFormat="1" x14ac:dyDescent="0.4">
      <c r="A968" s="493">
        <v>55100</v>
      </c>
      <c r="B968" s="105" t="s">
        <v>329</v>
      </c>
      <c r="C968" s="493" t="s">
        <v>330</v>
      </c>
      <c r="D968" s="105" t="s">
        <v>1103</v>
      </c>
      <c r="E968" s="105" t="s">
        <v>1104</v>
      </c>
      <c r="F968" s="493">
        <v>54821</v>
      </c>
      <c r="G968" s="105" t="s">
        <v>34</v>
      </c>
      <c r="H968" s="105" t="s">
        <v>342</v>
      </c>
      <c r="I968" s="105" t="s">
        <v>334</v>
      </c>
      <c r="J968" s="493">
        <v>22</v>
      </c>
      <c r="K968" s="493">
        <v>2</v>
      </c>
      <c r="L968" s="105" t="s">
        <v>343</v>
      </c>
      <c r="M968" s="105" t="s">
        <v>37</v>
      </c>
      <c r="N968" s="105" t="s">
        <v>228</v>
      </c>
      <c r="O968" s="105" t="s">
        <v>228</v>
      </c>
      <c r="P968" s="105" t="s">
        <v>356</v>
      </c>
      <c r="Q968" s="494">
        <v>4478274</v>
      </c>
      <c r="R968" s="494">
        <v>4478274</v>
      </c>
      <c r="S968" s="494">
        <v>4668647</v>
      </c>
      <c r="T968" s="494">
        <v>4668647</v>
      </c>
      <c r="U968" s="494">
        <v>414184</v>
      </c>
      <c r="V968" s="493">
        <v>2024</v>
      </c>
      <c r="W968" s="495" t="s">
        <v>355</v>
      </c>
      <c r="X968" s="496">
        <f t="shared" si="59"/>
        <v>11.27191538060379</v>
      </c>
      <c r="Y968" s="497" t="str">
        <f t="shared" ref="Y968:Z987" si="63">IF(AND($M968=$Y$2,$N968=$Y$3,NOT($Q968=$R968),NOT($U968=0)),IF($K968=5,$S968/($U968+(8/5)*$U968),IF($K968=7,$S968/($U968+(29/25)*$U968),"")),"")</f>
        <v/>
      </c>
      <c r="Z968" s="497" t="str">
        <f t="shared" si="63"/>
        <v/>
      </c>
    </row>
    <row r="969" spans="1:26" s="82" customFormat="1" ht="32" x14ac:dyDescent="0.4">
      <c r="A969" s="493">
        <v>55107</v>
      </c>
      <c r="B969" s="105" t="s">
        <v>329</v>
      </c>
      <c r="C969" s="493" t="s">
        <v>330</v>
      </c>
      <c r="D969" s="105" t="s">
        <v>1105</v>
      </c>
      <c r="E969" s="105" t="s">
        <v>1106</v>
      </c>
      <c r="F969" s="493">
        <v>6832</v>
      </c>
      <c r="G969" s="105" t="s">
        <v>38</v>
      </c>
      <c r="H969" s="105" t="s">
        <v>342</v>
      </c>
      <c r="I969" s="105" t="s">
        <v>334</v>
      </c>
      <c r="J969" s="493">
        <v>22</v>
      </c>
      <c r="K969" s="493">
        <v>2</v>
      </c>
      <c r="L969" s="105" t="s">
        <v>343</v>
      </c>
      <c r="M969" s="105" t="s">
        <v>380</v>
      </c>
      <c r="N969" s="105" t="s">
        <v>228</v>
      </c>
      <c r="O969" s="105" t="s">
        <v>228</v>
      </c>
      <c r="P969" s="105" t="s">
        <v>356</v>
      </c>
      <c r="Q969" s="494">
        <v>447865</v>
      </c>
      <c r="R969" s="494">
        <v>447865</v>
      </c>
      <c r="S969" s="494">
        <v>461238</v>
      </c>
      <c r="T969" s="494">
        <v>461238</v>
      </c>
      <c r="U969" s="494">
        <v>1292315</v>
      </c>
      <c r="V969" s="493">
        <v>2024</v>
      </c>
      <c r="W969" s="495" t="s">
        <v>355</v>
      </c>
      <c r="X969" s="496">
        <f t="shared" ref="X969:X1032" si="64">IF(OR(K969&gt;3,T969=0,NOT(U969&gt;0)),"",T969/U969)</f>
        <v>0.35690833891117879</v>
      </c>
      <c r="Y969" s="497" t="str">
        <f t="shared" si="63"/>
        <v/>
      </c>
      <c r="Z969" s="497" t="str">
        <f t="shared" si="63"/>
        <v/>
      </c>
    </row>
    <row r="970" spans="1:26" s="82" customFormat="1" ht="32" x14ac:dyDescent="0.4">
      <c r="A970" s="493">
        <v>55107</v>
      </c>
      <c r="B970" s="105" t="s">
        <v>329</v>
      </c>
      <c r="C970" s="493" t="s">
        <v>330</v>
      </c>
      <c r="D970" s="105" t="s">
        <v>1105</v>
      </c>
      <c r="E970" s="105" t="s">
        <v>1106</v>
      </c>
      <c r="F970" s="493">
        <v>6832</v>
      </c>
      <c r="G970" s="105" t="s">
        <v>38</v>
      </c>
      <c r="H970" s="105" t="s">
        <v>342</v>
      </c>
      <c r="I970" s="105" t="s">
        <v>334</v>
      </c>
      <c r="J970" s="493">
        <v>22</v>
      </c>
      <c r="K970" s="493">
        <v>2</v>
      </c>
      <c r="L970" s="105" t="s">
        <v>343</v>
      </c>
      <c r="M970" s="105" t="s">
        <v>37</v>
      </c>
      <c r="N970" s="105" t="s">
        <v>228</v>
      </c>
      <c r="O970" s="105" t="s">
        <v>228</v>
      </c>
      <c r="P970" s="105" t="s">
        <v>356</v>
      </c>
      <c r="Q970" s="494">
        <v>24335017</v>
      </c>
      <c r="R970" s="494">
        <v>24335017</v>
      </c>
      <c r="S970" s="494">
        <v>25065781</v>
      </c>
      <c r="T970" s="494">
        <v>25065781</v>
      </c>
      <c r="U970" s="494">
        <v>2237392</v>
      </c>
      <c r="V970" s="493">
        <v>2024</v>
      </c>
      <c r="W970" s="495" t="s">
        <v>355</v>
      </c>
      <c r="X970" s="496">
        <f t="shared" si="64"/>
        <v>11.203124441313815</v>
      </c>
      <c r="Y970" s="497" t="str">
        <f t="shared" si="63"/>
        <v/>
      </c>
      <c r="Z970" s="497" t="str">
        <f t="shared" si="63"/>
        <v/>
      </c>
    </row>
    <row r="971" spans="1:26" s="82" customFormat="1" x14ac:dyDescent="0.4">
      <c r="A971" s="493">
        <v>55126</v>
      </c>
      <c r="B971" s="105" t="s">
        <v>329</v>
      </c>
      <c r="C971" s="493" t="s">
        <v>330</v>
      </c>
      <c r="D971" s="105" t="s">
        <v>1107</v>
      </c>
      <c r="E971" s="105" t="s">
        <v>1108</v>
      </c>
      <c r="F971" s="493">
        <v>12568</v>
      </c>
      <c r="G971" s="105" t="s">
        <v>37</v>
      </c>
      <c r="H971" s="105" t="s">
        <v>342</v>
      </c>
      <c r="I971" s="105" t="s">
        <v>334</v>
      </c>
      <c r="J971" s="493">
        <v>22</v>
      </c>
      <c r="K971" s="493">
        <v>2</v>
      </c>
      <c r="L971" s="105" t="s">
        <v>343</v>
      </c>
      <c r="M971" s="105" t="s">
        <v>1088</v>
      </c>
      <c r="N971" s="105" t="s">
        <v>228</v>
      </c>
      <c r="O971" s="105" t="s">
        <v>228</v>
      </c>
      <c r="P971" s="105" t="s">
        <v>356</v>
      </c>
      <c r="Q971" s="494">
        <v>27769130</v>
      </c>
      <c r="R971" s="494">
        <v>27769130</v>
      </c>
      <c r="S971" s="494">
        <v>28907666</v>
      </c>
      <c r="T971" s="494">
        <v>28907666</v>
      </c>
      <c r="U971" s="494">
        <v>3793320</v>
      </c>
      <c r="V971" s="493">
        <v>2024</v>
      </c>
      <c r="W971" s="495" t="s">
        <v>355</v>
      </c>
      <c r="X971" s="496">
        <f t="shared" si="64"/>
        <v>7.6206768740839159</v>
      </c>
      <c r="Y971" s="497" t="str">
        <f t="shared" si="63"/>
        <v/>
      </c>
      <c r="Z971" s="497" t="str">
        <f t="shared" si="63"/>
        <v/>
      </c>
    </row>
    <row r="972" spans="1:26" s="82" customFormat="1" x14ac:dyDescent="0.4">
      <c r="A972" s="493">
        <v>55126</v>
      </c>
      <c r="B972" s="105" t="s">
        <v>329</v>
      </c>
      <c r="C972" s="493" t="s">
        <v>330</v>
      </c>
      <c r="D972" s="105" t="s">
        <v>1107</v>
      </c>
      <c r="E972" s="105" t="s">
        <v>1108</v>
      </c>
      <c r="F972" s="493">
        <v>12568</v>
      </c>
      <c r="G972" s="105" t="s">
        <v>37</v>
      </c>
      <c r="H972" s="105" t="s">
        <v>342</v>
      </c>
      <c r="I972" s="105" t="s">
        <v>334</v>
      </c>
      <c r="J972" s="493">
        <v>22</v>
      </c>
      <c r="K972" s="493">
        <v>2</v>
      </c>
      <c r="L972" s="105" t="s">
        <v>343</v>
      </c>
      <c r="M972" s="105" t="s">
        <v>1088</v>
      </c>
      <c r="N972" s="105" t="s">
        <v>246</v>
      </c>
      <c r="O972" s="105" t="s">
        <v>349</v>
      </c>
      <c r="P972" s="105" t="s">
        <v>356</v>
      </c>
      <c r="Q972" s="494">
        <v>0</v>
      </c>
      <c r="R972" s="494">
        <v>0</v>
      </c>
      <c r="S972" s="494">
        <v>0</v>
      </c>
      <c r="T972" s="494">
        <v>0</v>
      </c>
      <c r="U972" s="494">
        <v>0</v>
      </c>
      <c r="V972" s="493">
        <v>2024</v>
      </c>
      <c r="W972" s="495" t="s">
        <v>355</v>
      </c>
      <c r="X972" s="496" t="str">
        <f t="shared" si="64"/>
        <v/>
      </c>
      <c r="Y972" s="497" t="str">
        <f t="shared" si="63"/>
        <v/>
      </c>
      <c r="Z972" s="497" t="str">
        <f t="shared" si="63"/>
        <v/>
      </c>
    </row>
    <row r="973" spans="1:26" s="82" customFormat="1" ht="32" x14ac:dyDescent="0.4">
      <c r="A973" s="493">
        <v>55149</v>
      </c>
      <c r="B973" s="105" t="s">
        <v>329</v>
      </c>
      <c r="C973" s="493" t="s">
        <v>330</v>
      </c>
      <c r="D973" s="105" t="s">
        <v>1109</v>
      </c>
      <c r="E973" s="105" t="s">
        <v>1110</v>
      </c>
      <c r="F973" s="493">
        <v>10576</v>
      </c>
      <c r="G973" s="105" t="s">
        <v>37</v>
      </c>
      <c r="H973" s="105" t="s">
        <v>342</v>
      </c>
      <c r="I973" s="105" t="s">
        <v>334</v>
      </c>
      <c r="J973" s="493">
        <v>22</v>
      </c>
      <c r="K973" s="493">
        <v>2</v>
      </c>
      <c r="L973" s="105" t="s">
        <v>343</v>
      </c>
      <c r="M973" s="105" t="s">
        <v>1088</v>
      </c>
      <c r="N973" s="105" t="s">
        <v>228</v>
      </c>
      <c r="O973" s="105" t="s">
        <v>228</v>
      </c>
      <c r="P973" s="105" t="s">
        <v>356</v>
      </c>
      <c r="Q973" s="494">
        <v>42117791</v>
      </c>
      <c r="R973" s="494">
        <v>42117791</v>
      </c>
      <c r="S973" s="494">
        <v>43322481</v>
      </c>
      <c r="T973" s="494">
        <v>43322481</v>
      </c>
      <c r="U973" s="494">
        <v>5840726</v>
      </c>
      <c r="V973" s="493">
        <v>2024</v>
      </c>
      <c r="W973" s="495" t="s">
        <v>355</v>
      </c>
      <c r="X973" s="496">
        <f t="shared" si="64"/>
        <v>7.4173109644246278</v>
      </c>
      <c r="Y973" s="497" t="str">
        <f t="shared" si="63"/>
        <v/>
      </c>
      <c r="Z973" s="497" t="str">
        <f t="shared" si="63"/>
        <v/>
      </c>
    </row>
    <row r="974" spans="1:26" s="82" customFormat="1" ht="32" x14ac:dyDescent="0.4">
      <c r="A974" s="493">
        <v>55149</v>
      </c>
      <c r="B974" s="105" t="s">
        <v>329</v>
      </c>
      <c r="C974" s="493" t="s">
        <v>330</v>
      </c>
      <c r="D974" s="105" t="s">
        <v>1109</v>
      </c>
      <c r="E974" s="105" t="s">
        <v>1110</v>
      </c>
      <c r="F974" s="493">
        <v>10576</v>
      </c>
      <c r="G974" s="105" t="s">
        <v>37</v>
      </c>
      <c r="H974" s="105" t="s">
        <v>342</v>
      </c>
      <c r="I974" s="105" t="s">
        <v>334</v>
      </c>
      <c r="J974" s="493">
        <v>22</v>
      </c>
      <c r="K974" s="493">
        <v>2</v>
      </c>
      <c r="L974" s="105" t="s">
        <v>343</v>
      </c>
      <c r="M974" s="105" t="s">
        <v>1088</v>
      </c>
      <c r="N974" s="105" t="s">
        <v>246</v>
      </c>
      <c r="O974" s="105" t="s">
        <v>349</v>
      </c>
      <c r="P974" s="105" t="s">
        <v>356</v>
      </c>
      <c r="Q974" s="494">
        <v>0</v>
      </c>
      <c r="R974" s="494">
        <v>0</v>
      </c>
      <c r="S974" s="494">
        <v>0</v>
      </c>
      <c r="T974" s="494">
        <v>0</v>
      </c>
      <c r="U974" s="494">
        <v>0</v>
      </c>
      <c r="V974" s="493">
        <v>2024</v>
      </c>
      <c r="W974" s="495" t="s">
        <v>355</v>
      </c>
      <c r="X974" s="496" t="str">
        <f t="shared" si="64"/>
        <v/>
      </c>
      <c r="Y974" s="497" t="str">
        <f t="shared" si="63"/>
        <v/>
      </c>
      <c r="Z974" s="497" t="str">
        <f t="shared" si="63"/>
        <v/>
      </c>
    </row>
    <row r="975" spans="1:26" s="82" customFormat="1" x14ac:dyDescent="0.4">
      <c r="A975" s="493">
        <v>55155</v>
      </c>
      <c r="B975" s="105" t="s">
        <v>329</v>
      </c>
      <c r="C975" s="493" t="s">
        <v>330</v>
      </c>
      <c r="D975" s="105" t="s">
        <v>1111</v>
      </c>
      <c r="E975" s="105" t="s">
        <v>1112</v>
      </c>
      <c r="F975" s="493">
        <v>57229</v>
      </c>
      <c r="G975" s="105" t="s">
        <v>52</v>
      </c>
      <c r="H975" s="105" t="s">
        <v>333</v>
      </c>
      <c r="I975" s="105" t="s">
        <v>334</v>
      </c>
      <c r="J975" s="493">
        <v>22</v>
      </c>
      <c r="K975" s="493">
        <v>2</v>
      </c>
      <c r="L975" s="105" t="s">
        <v>343</v>
      </c>
      <c r="M975" s="105" t="s">
        <v>359</v>
      </c>
      <c r="N975" s="105" t="s">
        <v>252</v>
      </c>
      <c r="O975" s="105" t="s">
        <v>688</v>
      </c>
      <c r="P975" s="105" t="s">
        <v>356</v>
      </c>
      <c r="Q975" s="494">
        <v>270035</v>
      </c>
      <c r="R975" s="494">
        <v>270035</v>
      </c>
      <c r="S975" s="494">
        <v>119085</v>
      </c>
      <c r="T975" s="494">
        <v>119085</v>
      </c>
      <c r="U975" s="494">
        <v>10083</v>
      </c>
      <c r="V975" s="493">
        <v>2024</v>
      </c>
      <c r="W975" s="495"/>
      <c r="X975" s="496">
        <f t="shared" si="64"/>
        <v>11.810473073490034</v>
      </c>
      <c r="Y975" s="497" t="str">
        <f t="shared" si="63"/>
        <v/>
      </c>
      <c r="Z975" s="497" t="str">
        <f t="shared" si="63"/>
        <v/>
      </c>
    </row>
    <row r="976" spans="1:26" s="82" customFormat="1" ht="32" x14ac:dyDescent="0.4">
      <c r="A976" s="493">
        <v>55170</v>
      </c>
      <c r="B976" s="105" t="s">
        <v>329</v>
      </c>
      <c r="C976" s="493" t="s">
        <v>330</v>
      </c>
      <c r="D976" s="105" t="s">
        <v>1113</v>
      </c>
      <c r="E976" s="105" t="s">
        <v>1114</v>
      </c>
      <c r="F976" s="493">
        <v>88</v>
      </c>
      <c r="G976" s="105" t="s">
        <v>35</v>
      </c>
      <c r="H976" s="105" t="s">
        <v>342</v>
      </c>
      <c r="I976" s="105" t="s">
        <v>334</v>
      </c>
      <c r="J976" s="493">
        <v>22</v>
      </c>
      <c r="K976" s="493">
        <v>2</v>
      </c>
      <c r="L976" s="105" t="s">
        <v>343</v>
      </c>
      <c r="M976" s="105" t="s">
        <v>380</v>
      </c>
      <c r="N976" s="105" t="s">
        <v>228</v>
      </c>
      <c r="O976" s="105" t="s">
        <v>228</v>
      </c>
      <c r="P976" s="105" t="s">
        <v>356</v>
      </c>
      <c r="Q976" s="494">
        <v>0</v>
      </c>
      <c r="R976" s="494">
        <v>0</v>
      </c>
      <c r="S976" s="494">
        <v>0</v>
      </c>
      <c r="T976" s="494">
        <v>0</v>
      </c>
      <c r="U976" s="494">
        <v>1091556</v>
      </c>
      <c r="V976" s="493">
        <v>2024</v>
      </c>
      <c r="W976" s="495" t="s">
        <v>355</v>
      </c>
      <c r="X976" s="496" t="str">
        <f t="shared" si="64"/>
        <v/>
      </c>
      <c r="Y976" s="497" t="str">
        <f t="shared" si="63"/>
        <v/>
      </c>
      <c r="Z976" s="497" t="str">
        <f t="shared" si="63"/>
        <v/>
      </c>
    </row>
    <row r="977" spans="1:26" s="82" customFormat="1" ht="32" x14ac:dyDescent="0.4">
      <c r="A977" s="493">
        <v>55170</v>
      </c>
      <c r="B977" s="105" t="s">
        <v>329</v>
      </c>
      <c r="C977" s="493" t="s">
        <v>330</v>
      </c>
      <c r="D977" s="105" t="s">
        <v>1113</v>
      </c>
      <c r="E977" s="105" t="s">
        <v>1114</v>
      </c>
      <c r="F977" s="493">
        <v>88</v>
      </c>
      <c r="G977" s="105" t="s">
        <v>35</v>
      </c>
      <c r="H977" s="105" t="s">
        <v>342</v>
      </c>
      <c r="I977" s="105" t="s">
        <v>334</v>
      </c>
      <c r="J977" s="493">
        <v>22</v>
      </c>
      <c r="K977" s="493">
        <v>2</v>
      </c>
      <c r="L977" s="105" t="s">
        <v>343</v>
      </c>
      <c r="M977" s="105" t="s">
        <v>37</v>
      </c>
      <c r="N977" s="105" t="s">
        <v>228</v>
      </c>
      <c r="O977" s="105" t="s">
        <v>228</v>
      </c>
      <c r="P977" s="105" t="s">
        <v>356</v>
      </c>
      <c r="Q977" s="494">
        <v>22561460</v>
      </c>
      <c r="R977" s="494">
        <v>22561460</v>
      </c>
      <c r="S977" s="494">
        <v>23292209</v>
      </c>
      <c r="T977" s="494">
        <v>23292209</v>
      </c>
      <c r="U977" s="494">
        <v>2046134</v>
      </c>
      <c r="V977" s="493">
        <v>2024</v>
      </c>
      <c r="W977" s="495" t="s">
        <v>355</v>
      </c>
      <c r="X977" s="496">
        <f t="shared" si="64"/>
        <v>11.3835208251268</v>
      </c>
      <c r="Y977" s="497" t="str">
        <f t="shared" si="63"/>
        <v/>
      </c>
      <c r="Z977" s="497" t="str">
        <f t="shared" si="63"/>
        <v/>
      </c>
    </row>
    <row r="978" spans="1:26" s="82" customFormat="1" ht="32" x14ac:dyDescent="0.4">
      <c r="A978" s="493">
        <v>55211</v>
      </c>
      <c r="B978" s="105" t="s">
        <v>329</v>
      </c>
      <c r="C978" s="493" t="s">
        <v>330</v>
      </c>
      <c r="D978" s="105" t="s">
        <v>1115</v>
      </c>
      <c r="E978" s="105" t="s">
        <v>1116</v>
      </c>
      <c r="F978" s="493">
        <v>641</v>
      </c>
      <c r="G978" s="105" t="s">
        <v>33</v>
      </c>
      <c r="H978" s="105" t="s">
        <v>342</v>
      </c>
      <c r="I978" s="105" t="s">
        <v>334</v>
      </c>
      <c r="J978" s="493">
        <v>22</v>
      </c>
      <c r="K978" s="493">
        <v>2</v>
      </c>
      <c r="L978" s="105" t="s">
        <v>343</v>
      </c>
      <c r="M978" s="105" t="s">
        <v>1088</v>
      </c>
      <c r="N978" s="105" t="s">
        <v>228</v>
      </c>
      <c r="O978" s="105" t="s">
        <v>228</v>
      </c>
      <c r="P978" s="105" t="s">
        <v>356</v>
      </c>
      <c r="Q978" s="494">
        <v>20263974</v>
      </c>
      <c r="R978" s="494">
        <v>20263974</v>
      </c>
      <c r="S978" s="494">
        <v>20866091</v>
      </c>
      <c r="T978" s="494">
        <v>20866091</v>
      </c>
      <c r="U978" s="494">
        <v>2668246</v>
      </c>
      <c r="V978" s="493">
        <v>2024</v>
      </c>
      <c r="W978" s="495" t="s">
        <v>355</v>
      </c>
      <c r="X978" s="496">
        <f t="shared" si="64"/>
        <v>7.8201526395991978</v>
      </c>
      <c r="Y978" s="497" t="str">
        <f t="shared" si="63"/>
        <v/>
      </c>
      <c r="Z978" s="497" t="str">
        <f t="shared" si="63"/>
        <v/>
      </c>
    </row>
    <row r="979" spans="1:26" s="82" customFormat="1" ht="32" x14ac:dyDescent="0.4">
      <c r="A979" s="493">
        <v>55212</v>
      </c>
      <c r="B979" s="105" t="s">
        <v>329</v>
      </c>
      <c r="C979" s="493" t="s">
        <v>330</v>
      </c>
      <c r="D979" s="105" t="s">
        <v>1117</v>
      </c>
      <c r="E979" s="105" t="s">
        <v>1118</v>
      </c>
      <c r="F979" s="493">
        <v>656</v>
      </c>
      <c r="G979" s="105" t="s">
        <v>33</v>
      </c>
      <c r="H979" s="105" t="s">
        <v>342</v>
      </c>
      <c r="I979" s="105" t="s">
        <v>334</v>
      </c>
      <c r="J979" s="493">
        <v>22</v>
      </c>
      <c r="K979" s="493">
        <v>2</v>
      </c>
      <c r="L979" s="105" t="s">
        <v>343</v>
      </c>
      <c r="M979" s="105" t="s">
        <v>1088</v>
      </c>
      <c r="N979" s="105" t="s">
        <v>228</v>
      </c>
      <c r="O979" s="105" t="s">
        <v>228</v>
      </c>
      <c r="P979" s="105" t="s">
        <v>356</v>
      </c>
      <c r="Q979" s="494">
        <v>14860207</v>
      </c>
      <c r="R979" s="494">
        <v>14860207</v>
      </c>
      <c r="S979" s="494">
        <v>15306014</v>
      </c>
      <c r="T979" s="494">
        <v>15306014</v>
      </c>
      <c r="U979" s="494">
        <v>1991001</v>
      </c>
      <c r="V979" s="493">
        <v>2024</v>
      </c>
      <c r="W979" s="495" t="s">
        <v>355</v>
      </c>
      <c r="X979" s="496">
        <f t="shared" si="64"/>
        <v>7.687597344250455</v>
      </c>
      <c r="Y979" s="497" t="str">
        <f t="shared" si="63"/>
        <v/>
      </c>
      <c r="Z979" s="497" t="str">
        <f t="shared" si="63"/>
        <v/>
      </c>
    </row>
    <row r="980" spans="1:26" s="82" customFormat="1" ht="32" x14ac:dyDescent="0.4">
      <c r="A980" s="493">
        <v>55243</v>
      </c>
      <c r="B980" s="105" t="s">
        <v>329</v>
      </c>
      <c r="C980" s="493" t="s">
        <v>330</v>
      </c>
      <c r="D980" s="105" t="s">
        <v>1119</v>
      </c>
      <c r="E980" s="105" t="s">
        <v>1120</v>
      </c>
      <c r="F980" s="493">
        <v>13582</v>
      </c>
      <c r="G980" s="105" t="s">
        <v>52</v>
      </c>
      <c r="H980" s="105" t="s">
        <v>333</v>
      </c>
      <c r="I980" s="105" t="s">
        <v>334</v>
      </c>
      <c r="J980" s="493">
        <v>22</v>
      </c>
      <c r="K980" s="493">
        <v>2</v>
      </c>
      <c r="L980" s="105" t="s">
        <v>343</v>
      </c>
      <c r="M980" s="105" t="s">
        <v>295</v>
      </c>
      <c r="N980" s="105" t="s">
        <v>242</v>
      </c>
      <c r="O980" s="105" t="s">
        <v>349</v>
      </c>
      <c r="P980" s="105" t="s">
        <v>350</v>
      </c>
      <c r="Q980" s="494">
        <v>0</v>
      </c>
      <c r="R980" s="494">
        <v>0</v>
      </c>
      <c r="S980" s="494">
        <v>0</v>
      </c>
      <c r="T980" s="494">
        <v>0</v>
      </c>
      <c r="U980" s="494">
        <v>0</v>
      </c>
      <c r="V980" s="493">
        <v>2024</v>
      </c>
      <c r="W980" s="495"/>
      <c r="X980" s="496" t="str">
        <f t="shared" si="64"/>
        <v/>
      </c>
      <c r="Y980" s="497" t="str">
        <f t="shared" si="63"/>
        <v/>
      </c>
      <c r="Z980" s="497" t="str">
        <f t="shared" si="63"/>
        <v/>
      </c>
    </row>
    <row r="981" spans="1:26" s="82" customFormat="1" ht="32" x14ac:dyDescent="0.4">
      <c r="A981" s="493">
        <v>55243</v>
      </c>
      <c r="B981" s="105" t="s">
        <v>329</v>
      </c>
      <c r="C981" s="493" t="s">
        <v>330</v>
      </c>
      <c r="D981" s="105" t="s">
        <v>1119</v>
      </c>
      <c r="E981" s="105" t="s">
        <v>1120</v>
      </c>
      <c r="F981" s="493">
        <v>13582</v>
      </c>
      <c r="G981" s="105" t="s">
        <v>52</v>
      </c>
      <c r="H981" s="105" t="s">
        <v>333</v>
      </c>
      <c r="I981" s="105" t="s">
        <v>334</v>
      </c>
      <c r="J981" s="493">
        <v>22</v>
      </c>
      <c r="K981" s="493">
        <v>2</v>
      </c>
      <c r="L981" s="105" t="s">
        <v>343</v>
      </c>
      <c r="M981" s="105" t="s">
        <v>295</v>
      </c>
      <c r="N981" s="105" t="s">
        <v>228</v>
      </c>
      <c r="O981" s="105" t="s">
        <v>228</v>
      </c>
      <c r="P981" s="105" t="s">
        <v>356</v>
      </c>
      <c r="Q981" s="494">
        <v>0</v>
      </c>
      <c r="R981" s="494">
        <v>0</v>
      </c>
      <c r="S981" s="494">
        <v>0</v>
      </c>
      <c r="T981" s="494">
        <v>0</v>
      </c>
      <c r="U981" s="494">
        <v>0</v>
      </c>
      <c r="V981" s="493">
        <v>2024</v>
      </c>
      <c r="W981" s="495"/>
      <c r="X981" s="496" t="str">
        <f t="shared" si="64"/>
        <v/>
      </c>
      <c r="Y981" s="497" t="str">
        <f t="shared" si="63"/>
        <v/>
      </c>
      <c r="Z981" s="497" t="str">
        <f t="shared" si="63"/>
        <v/>
      </c>
    </row>
    <row r="982" spans="1:26" s="82" customFormat="1" ht="32" x14ac:dyDescent="0.4">
      <c r="A982" s="493">
        <v>55288</v>
      </c>
      <c r="B982" s="105" t="s">
        <v>329</v>
      </c>
      <c r="C982" s="493" t="s">
        <v>330</v>
      </c>
      <c r="D982" s="105" t="s">
        <v>1121</v>
      </c>
      <c r="E982" s="105" t="s">
        <v>399</v>
      </c>
      <c r="F982" s="493">
        <v>59178</v>
      </c>
      <c r="G982" s="105" t="s">
        <v>34</v>
      </c>
      <c r="H982" s="105" t="s">
        <v>342</v>
      </c>
      <c r="I982" s="105" t="s">
        <v>334</v>
      </c>
      <c r="J982" s="493">
        <v>22</v>
      </c>
      <c r="K982" s="493">
        <v>2</v>
      </c>
      <c r="L982" s="105" t="s">
        <v>343</v>
      </c>
      <c r="M982" s="105" t="s">
        <v>336</v>
      </c>
      <c r="N982" s="105" t="s">
        <v>337</v>
      </c>
      <c r="O982" s="105" t="s">
        <v>338</v>
      </c>
      <c r="P982" s="105" t="s">
        <v>339</v>
      </c>
      <c r="Q982" s="494">
        <v>0</v>
      </c>
      <c r="R982" s="494">
        <v>0</v>
      </c>
      <c r="S982" s="494">
        <v>79601</v>
      </c>
      <c r="T982" s="494">
        <v>79601</v>
      </c>
      <c r="U982" s="494">
        <v>23330</v>
      </c>
      <c r="V982" s="493">
        <v>2024</v>
      </c>
      <c r="W982" s="495"/>
      <c r="X982" s="496">
        <f t="shared" si="64"/>
        <v>3.4119588512644663</v>
      </c>
      <c r="Y982" s="497" t="str">
        <f t="shared" si="63"/>
        <v/>
      </c>
      <c r="Z982" s="497" t="str">
        <f t="shared" si="63"/>
        <v/>
      </c>
    </row>
    <row r="983" spans="1:26" s="82" customFormat="1" ht="32" x14ac:dyDescent="0.4">
      <c r="A983" s="493">
        <v>55294</v>
      </c>
      <c r="B983" s="105" t="s">
        <v>329</v>
      </c>
      <c r="C983" s="493" t="s">
        <v>330</v>
      </c>
      <c r="D983" s="105" t="s">
        <v>1122</v>
      </c>
      <c r="E983" s="105" t="s">
        <v>1123</v>
      </c>
      <c r="F983" s="493">
        <v>2891</v>
      </c>
      <c r="G983" s="105" t="s">
        <v>34</v>
      </c>
      <c r="H983" s="105" t="s">
        <v>342</v>
      </c>
      <c r="I983" s="105" t="s">
        <v>334</v>
      </c>
      <c r="J983" s="493">
        <v>22</v>
      </c>
      <c r="K983" s="493">
        <v>2</v>
      </c>
      <c r="L983" s="105" t="s">
        <v>343</v>
      </c>
      <c r="M983" s="105" t="s">
        <v>380</v>
      </c>
      <c r="N983" s="105" t="s">
        <v>228</v>
      </c>
      <c r="O983" s="105" t="s">
        <v>228</v>
      </c>
      <c r="P983" s="105" t="s">
        <v>356</v>
      </c>
      <c r="Q983" s="494">
        <v>0</v>
      </c>
      <c r="R983" s="494">
        <v>0</v>
      </c>
      <c r="S983" s="494">
        <v>0</v>
      </c>
      <c r="T983" s="494">
        <v>0</v>
      </c>
      <c r="U983" s="494">
        <v>1059823</v>
      </c>
      <c r="V983" s="493">
        <v>2024</v>
      </c>
      <c r="W983" s="495" t="s">
        <v>355</v>
      </c>
      <c r="X983" s="496" t="str">
        <f t="shared" si="64"/>
        <v/>
      </c>
      <c r="Y983" s="497" t="str">
        <f t="shared" si="63"/>
        <v/>
      </c>
      <c r="Z983" s="497" t="str">
        <f t="shared" si="63"/>
        <v/>
      </c>
    </row>
    <row r="984" spans="1:26" s="82" customFormat="1" ht="32" x14ac:dyDescent="0.4">
      <c r="A984" s="493">
        <v>55294</v>
      </c>
      <c r="B984" s="105" t="s">
        <v>329</v>
      </c>
      <c r="C984" s="493" t="s">
        <v>330</v>
      </c>
      <c r="D984" s="105" t="s">
        <v>1122</v>
      </c>
      <c r="E984" s="105" t="s">
        <v>1123</v>
      </c>
      <c r="F984" s="493">
        <v>2891</v>
      </c>
      <c r="G984" s="105" t="s">
        <v>34</v>
      </c>
      <c r="H984" s="105" t="s">
        <v>342</v>
      </c>
      <c r="I984" s="105" t="s">
        <v>334</v>
      </c>
      <c r="J984" s="493">
        <v>22</v>
      </c>
      <c r="K984" s="493">
        <v>2</v>
      </c>
      <c r="L984" s="105" t="s">
        <v>343</v>
      </c>
      <c r="M984" s="105" t="s">
        <v>37</v>
      </c>
      <c r="N984" s="105" t="s">
        <v>228</v>
      </c>
      <c r="O984" s="105" t="s">
        <v>228</v>
      </c>
      <c r="P984" s="105" t="s">
        <v>356</v>
      </c>
      <c r="Q984" s="494">
        <v>20346044</v>
      </c>
      <c r="R984" s="494">
        <v>20346044</v>
      </c>
      <c r="S984" s="494">
        <v>21215059</v>
      </c>
      <c r="T984" s="494">
        <v>21215059</v>
      </c>
      <c r="U984" s="494">
        <v>1962599</v>
      </c>
      <c r="V984" s="493">
        <v>2024</v>
      </c>
      <c r="W984" s="495" t="s">
        <v>355</v>
      </c>
      <c r="X984" s="496">
        <f t="shared" si="64"/>
        <v>10.809675843103966</v>
      </c>
      <c r="Y984" s="497" t="str">
        <f t="shared" si="63"/>
        <v/>
      </c>
      <c r="Z984" s="497" t="str">
        <f t="shared" si="63"/>
        <v/>
      </c>
    </row>
    <row r="985" spans="1:26" s="82" customFormat="1" ht="32" x14ac:dyDescent="0.4">
      <c r="A985" s="493">
        <v>55317</v>
      </c>
      <c r="B985" s="105" t="s">
        <v>329</v>
      </c>
      <c r="C985" s="493" t="s">
        <v>330</v>
      </c>
      <c r="D985" s="105" t="s">
        <v>1124</v>
      </c>
      <c r="E985" s="105" t="s">
        <v>1125</v>
      </c>
      <c r="F985" s="493">
        <v>59368</v>
      </c>
      <c r="G985" s="105" t="s">
        <v>33</v>
      </c>
      <c r="H985" s="105" t="s">
        <v>342</v>
      </c>
      <c r="I985" s="105" t="s">
        <v>334</v>
      </c>
      <c r="J985" s="493">
        <v>22</v>
      </c>
      <c r="K985" s="493">
        <v>2</v>
      </c>
      <c r="L985" s="105" t="s">
        <v>343</v>
      </c>
      <c r="M985" s="105" t="s">
        <v>380</v>
      </c>
      <c r="N985" s="105" t="s">
        <v>226</v>
      </c>
      <c r="O985" s="105" t="s">
        <v>226</v>
      </c>
      <c r="P985" s="105" t="s">
        <v>350</v>
      </c>
      <c r="Q985" s="494">
        <v>0</v>
      </c>
      <c r="R985" s="494">
        <v>0</v>
      </c>
      <c r="S985" s="494">
        <v>0</v>
      </c>
      <c r="T985" s="494">
        <v>0</v>
      </c>
      <c r="U985" s="494">
        <v>14416.198</v>
      </c>
      <c r="V985" s="493">
        <v>2024</v>
      </c>
      <c r="W985" s="495" t="s">
        <v>355</v>
      </c>
      <c r="X985" s="496" t="str">
        <f t="shared" si="64"/>
        <v/>
      </c>
      <c r="Y985" s="497" t="str">
        <f t="shared" si="63"/>
        <v/>
      </c>
      <c r="Z985" s="497" t="str">
        <f t="shared" si="63"/>
        <v/>
      </c>
    </row>
    <row r="986" spans="1:26" s="82" customFormat="1" ht="32" x14ac:dyDescent="0.4">
      <c r="A986" s="493">
        <v>55317</v>
      </c>
      <c r="B986" s="105" t="s">
        <v>329</v>
      </c>
      <c r="C986" s="493" t="s">
        <v>330</v>
      </c>
      <c r="D986" s="105" t="s">
        <v>1124</v>
      </c>
      <c r="E986" s="105" t="s">
        <v>1125</v>
      </c>
      <c r="F986" s="493">
        <v>59368</v>
      </c>
      <c r="G986" s="105" t="s">
        <v>33</v>
      </c>
      <c r="H986" s="105" t="s">
        <v>342</v>
      </c>
      <c r="I986" s="105" t="s">
        <v>334</v>
      </c>
      <c r="J986" s="493">
        <v>22</v>
      </c>
      <c r="K986" s="493">
        <v>2</v>
      </c>
      <c r="L986" s="105" t="s">
        <v>343</v>
      </c>
      <c r="M986" s="105" t="s">
        <v>380</v>
      </c>
      <c r="N986" s="105" t="s">
        <v>228</v>
      </c>
      <c r="O986" s="105" t="s">
        <v>228</v>
      </c>
      <c r="P986" s="105" t="s">
        <v>356</v>
      </c>
      <c r="Q986" s="494">
        <v>171233</v>
      </c>
      <c r="R986" s="494">
        <v>171233</v>
      </c>
      <c r="S986" s="494">
        <v>176371</v>
      </c>
      <c r="T986" s="494">
        <v>176371</v>
      </c>
      <c r="U986" s="494">
        <v>1036704.8</v>
      </c>
      <c r="V986" s="493">
        <v>2024</v>
      </c>
      <c r="W986" s="495" t="s">
        <v>355</v>
      </c>
      <c r="X986" s="496">
        <f t="shared" si="64"/>
        <v>0.17012653939675015</v>
      </c>
      <c r="Y986" s="497" t="str">
        <f t="shared" si="63"/>
        <v/>
      </c>
      <c r="Z986" s="497" t="str">
        <f t="shared" si="63"/>
        <v/>
      </c>
    </row>
    <row r="987" spans="1:26" s="82" customFormat="1" ht="32" x14ac:dyDescent="0.4">
      <c r="A987" s="493">
        <v>55317</v>
      </c>
      <c r="B987" s="105" t="s">
        <v>329</v>
      </c>
      <c r="C987" s="493" t="s">
        <v>330</v>
      </c>
      <c r="D987" s="105" t="s">
        <v>1124</v>
      </c>
      <c r="E987" s="105" t="s">
        <v>1125</v>
      </c>
      <c r="F987" s="493">
        <v>59368</v>
      </c>
      <c r="G987" s="105" t="s">
        <v>33</v>
      </c>
      <c r="H987" s="105" t="s">
        <v>342</v>
      </c>
      <c r="I987" s="105" t="s">
        <v>334</v>
      </c>
      <c r="J987" s="493">
        <v>22</v>
      </c>
      <c r="K987" s="493">
        <v>2</v>
      </c>
      <c r="L987" s="105" t="s">
        <v>343</v>
      </c>
      <c r="M987" s="105" t="s">
        <v>37</v>
      </c>
      <c r="N987" s="105" t="s">
        <v>226</v>
      </c>
      <c r="O987" s="105" t="s">
        <v>226</v>
      </c>
      <c r="P987" s="105" t="s">
        <v>350</v>
      </c>
      <c r="Q987" s="494">
        <v>60355</v>
      </c>
      <c r="R987" s="494">
        <v>60355</v>
      </c>
      <c r="S987" s="494">
        <v>350059</v>
      </c>
      <c r="T987" s="494">
        <v>350059</v>
      </c>
      <c r="U987" s="494">
        <v>32646.348999999998</v>
      </c>
      <c r="V987" s="493">
        <v>2024</v>
      </c>
      <c r="W987" s="495" t="s">
        <v>355</v>
      </c>
      <c r="X987" s="496">
        <f t="shared" si="64"/>
        <v>10.722761065869877</v>
      </c>
      <c r="Y987" s="497" t="str">
        <f t="shared" si="63"/>
        <v/>
      </c>
      <c r="Z987" s="497" t="str">
        <f t="shared" si="63"/>
        <v/>
      </c>
    </row>
    <row r="988" spans="1:26" s="82" customFormat="1" ht="32" x14ac:dyDescent="0.4">
      <c r="A988" s="493">
        <v>55317</v>
      </c>
      <c r="B988" s="105" t="s">
        <v>329</v>
      </c>
      <c r="C988" s="493" t="s">
        <v>330</v>
      </c>
      <c r="D988" s="105" t="s">
        <v>1124</v>
      </c>
      <c r="E988" s="105" t="s">
        <v>1125</v>
      </c>
      <c r="F988" s="493">
        <v>59368</v>
      </c>
      <c r="G988" s="105" t="s">
        <v>33</v>
      </c>
      <c r="H988" s="105" t="s">
        <v>342</v>
      </c>
      <c r="I988" s="105" t="s">
        <v>334</v>
      </c>
      <c r="J988" s="493">
        <v>22</v>
      </c>
      <c r="K988" s="493">
        <v>2</v>
      </c>
      <c r="L988" s="105" t="s">
        <v>343</v>
      </c>
      <c r="M988" s="105" t="s">
        <v>37</v>
      </c>
      <c r="N988" s="105" t="s">
        <v>228</v>
      </c>
      <c r="O988" s="105" t="s">
        <v>228</v>
      </c>
      <c r="P988" s="105" t="s">
        <v>356</v>
      </c>
      <c r="Q988" s="494">
        <v>22884932</v>
      </c>
      <c r="R988" s="494">
        <v>22884932</v>
      </c>
      <c r="S988" s="494">
        <v>23571481</v>
      </c>
      <c r="T988" s="494">
        <v>23571481</v>
      </c>
      <c r="U988" s="494">
        <v>2175770.7000000002</v>
      </c>
      <c r="V988" s="493">
        <v>2024</v>
      </c>
      <c r="W988" s="495" t="s">
        <v>355</v>
      </c>
      <c r="X988" s="496">
        <f t="shared" si="64"/>
        <v>10.833623690216987</v>
      </c>
      <c r="Y988" s="497" t="str">
        <f t="shared" ref="Y988:Z1007" si="65">IF(AND($M988=$Y$2,$N988=$Y$3,NOT($Q988=$R988),NOT($U988=0)),IF($K988=5,$S988/($U988+(8/5)*$U988),IF($K988=7,$S988/($U988+(29/25)*$U988),"")),"")</f>
        <v/>
      </c>
      <c r="Z988" s="497" t="str">
        <f t="shared" si="65"/>
        <v/>
      </c>
    </row>
    <row r="989" spans="1:26" s="82" customFormat="1" x14ac:dyDescent="0.4">
      <c r="A989" s="493">
        <v>55375</v>
      </c>
      <c r="B989" s="105" t="s">
        <v>329</v>
      </c>
      <c r="C989" s="493" t="s">
        <v>330</v>
      </c>
      <c r="D989" s="105" t="s">
        <v>1126</v>
      </c>
      <c r="E989" s="105" t="s">
        <v>1127</v>
      </c>
      <c r="F989" s="493">
        <v>22979</v>
      </c>
      <c r="G989" s="105" t="s">
        <v>52</v>
      </c>
      <c r="H989" s="105" t="s">
        <v>333</v>
      </c>
      <c r="I989" s="105" t="s">
        <v>334</v>
      </c>
      <c r="J989" s="493">
        <v>22</v>
      </c>
      <c r="K989" s="493">
        <v>2</v>
      </c>
      <c r="L989" s="105" t="s">
        <v>343</v>
      </c>
      <c r="M989" s="105" t="s">
        <v>380</v>
      </c>
      <c r="N989" s="105" t="s">
        <v>226</v>
      </c>
      <c r="O989" s="105" t="s">
        <v>226</v>
      </c>
      <c r="P989" s="105" t="s">
        <v>350</v>
      </c>
      <c r="Q989" s="494">
        <v>0</v>
      </c>
      <c r="R989" s="494">
        <v>0</v>
      </c>
      <c r="S989" s="494">
        <v>0</v>
      </c>
      <c r="T989" s="494">
        <v>0</v>
      </c>
      <c r="U989" s="494">
        <v>2690.788</v>
      </c>
      <c r="V989" s="493">
        <v>2024</v>
      </c>
      <c r="W989" s="495" t="s">
        <v>355</v>
      </c>
      <c r="X989" s="496" t="str">
        <f t="shared" si="64"/>
        <v/>
      </c>
      <c r="Y989" s="497" t="str">
        <f t="shared" si="65"/>
        <v/>
      </c>
      <c r="Z989" s="497" t="str">
        <f t="shared" si="65"/>
        <v/>
      </c>
    </row>
    <row r="990" spans="1:26" s="82" customFormat="1" x14ac:dyDescent="0.4">
      <c r="A990" s="493">
        <v>55375</v>
      </c>
      <c r="B990" s="105" t="s">
        <v>329</v>
      </c>
      <c r="C990" s="493" t="s">
        <v>330</v>
      </c>
      <c r="D990" s="105" t="s">
        <v>1126</v>
      </c>
      <c r="E990" s="105" t="s">
        <v>1127</v>
      </c>
      <c r="F990" s="493">
        <v>22979</v>
      </c>
      <c r="G990" s="105" t="s">
        <v>52</v>
      </c>
      <c r="H990" s="105" t="s">
        <v>333</v>
      </c>
      <c r="I990" s="105" t="s">
        <v>334</v>
      </c>
      <c r="J990" s="493">
        <v>22</v>
      </c>
      <c r="K990" s="493">
        <v>2</v>
      </c>
      <c r="L990" s="105" t="s">
        <v>343</v>
      </c>
      <c r="M990" s="105" t="s">
        <v>380</v>
      </c>
      <c r="N990" s="105" t="s">
        <v>228</v>
      </c>
      <c r="O990" s="105" t="s">
        <v>228</v>
      </c>
      <c r="P990" s="105" t="s">
        <v>356</v>
      </c>
      <c r="Q990" s="494">
        <v>1942244</v>
      </c>
      <c r="R990" s="494">
        <v>1942244</v>
      </c>
      <c r="S990" s="494">
        <v>2001336</v>
      </c>
      <c r="T990" s="494">
        <v>2001336</v>
      </c>
      <c r="U990" s="494">
        <v>1603588.2</v>
      </c>
      <c r="V990" s="493">
        <v>2024</v>
      </c>
      <c r="W990" s="495" t="s">
        <v>355</v>
      </c>
      <c r="X990" s="496">
        <f t="shared" si="64"/>
        <v>1.2480361229896804</v>
      </c>
      <c r="Y990" s="497" t="str">
        <f t="shared" si="65"/>
        <v/>
      </c>
      <c r="Z990" s="497" t="str">
        <f t="shared" si="65"/>
        <v/>
      </c>
    </row>
    <row r="991" spans="1:26" s="82" customFormat="1" x14ac:dyDescent="0.4">
      <c r="A991" s="493">
        <v>55375</v>
      </c>
      <c r="B991" s="105" t="s">
        <v>329</v>
      </c>
      <c r="C991" s="493" t="s">
        <v>330</v>
      </c>
      <c r="D991" s="105" t="s">
        <v>1126</v>
      </c>
      <c r="E991" s="105" t="s">
        <v>1127</v>
      </c>
      <c r="F991" s="493">
        <v>22979</v>
      </c>
      <c r="G991" s="105" t="s">
        <v>52</v>
      </c>
      <c r="H991" s="105" t="s">
        <v>333</v>
      </c>
      <c r="I991" s="105" t="s">
        <v>334</v>
      </c>
      <c r="J991" s="493">
        <v>22</v>
      </c>
      <c r="K991" s="493">
        <v>2</v>
      </c>
      <c r="L991" s="105" t="s">
        <v>343</v>
      </c>
      <c r="M991" s="105" t="s">
        <v>37</v>
      </c>
      <c r="N991" s="105" t="s">
        <v>226</v>
      </c>
      <c r="O991" s="105" t="s">
        <v>226</v>
      </c>
      <c r="P991" s="105" t="s">
        <v>350</v>
      </c>
      <c r="Q991" s="494">
        <v>9020</v>
      </c>
      <c r="R991" s="494">
        <v>9020</v>
      </c>
      <c r="S991" s="494">
        <v>52281</v>
      </c>
      <c r="T991" s="494">
        <v>52281</v>
      </c>
      <c r="U991" s="494">
        <v>4749.085</v>
      </c>
      <c r="V991" s="493">
        <v>2024</v>
      </c>
      <c r="W991" s="495" t="s">
        <v>355</v>
      </c>
      <c r="X991" s="496">
        <f t="shared" si="64"/>
        <v>11.008646928829448</v>
      </c>
      <c r="Y991" s="497" t="str">
        <f t="shared" si="65"/>
        <v/>
      </c>
      <c r="Z991" s="497" t="str">
        <f t="shared" si="65"/>
        <v/>
      </c>
    </row>
    <row r="992" spans="1:26" s="82" customFormat="1" x14ac:dyDescent="0.4">
      <c r="A992" s="493">
        <v>55375</v>
      </c>
      <c r="B992" s="105" t="s">
        <v>329</v>
      </c>
      <c r="C992" s="493" t="s">
        <v>330</v>
      </c>
      <c r="D992" s="105" t="s">
        <v>1126</v>
      </c>
      <c r="E992" s="105" t="s">
        <v>1127</v>
      </c>
      <c r="F992" s="493">
        <v>22979</v>
      </c>
      <c r="G992" s="105" t="s">
        <v>52</v>
      </c>
      <c r="H992" s="105" t="s">
        <v>333</v>
      </c>
      <c r="I992" s="105" t="s">
        <v>334</v>
      </c>
      <c r="J992" s="493">
        <v>22</v>
      </c>
      <c r="K992" s="493">
        <v>2</v>
      </c>
      <c r="L992" s="105" t="s">
        <v>343</v>
      </c>
      <c r="M992" s="105" t="s">
        <v>37</v>
      </c>
      <c r="N992" s="105" t="s">
        <v>228</v>
      </c>
      <c r="O992" s="105" t="s">
        <v>228</v>
      </c>
      <c r="P992" s="105" t="s">
        <v>356</v>
      </c>
      <c r="Q992" s="494">
        <v>27216167</v>
      </c>
      <c r="R992" s="494">
        <v>27216167</v>
      </c>
      <c r="S992" s="494">
        <v>28054045</v>
      </c>
      <c r="T992" s="494">
        <v>28054045</v>
      </c>
      <c r="U992" s="494">
        <v>2546291.9</v>
      </c>
      <c r="V992" s="493">
        <v>2024</v>
      </c>
      <c r="W992" s="495" t="s">
        <v>355</v>
      </c>
      <c r="X992" s="496">
        <f t="shared" si="64"/>
        <v>11.017607604218512</v>
      </c>
      <c r="Y992" s="497" t="str">
        <f t="shared" si="65"/>
        <v/>
      </c>
      <c r="Z992" s="497" t="str">
        <f t="shared" si="65"/>
        <v/>
      </c>
    </row>
    <row r="993" spans="1:26" s="82" customFormat="1" ht="32" x14ac:dyDescent="0.4">
      <c r="A993" s="493">
        <v>55405</v>
      </c>
      <c r="B993" s="105" t="s">
        <v>329</v>
      </c>
      <c r="C993" s="493" t="s">
        <v>330</v>
      </c>
      <c r="D993" s="105" t="s">
        <v>1128</v>
      </c>
      <c r="E993" s="105" t="s">
        <v>1129</v>
      </c>
      <c r="F993" s="493">
        <v>32173</v>
      </c>
      <c r="G993" s="105" t="s">
        <v>52</v>
      </c>
      <c r="H993" s="105" t="s">
        <v>333</v>
      </c>
      <c r="I993" s="105" t="s">
        <v>334</v>
      </c>
      <c r="J993" s="493">
        <v>22</v>
      </c>
      <c r="K993" s="493">
        <v>2</v>
      </c>
      <c r="L993" s="105" t="s">
        <v>343</v>
      </c>
      <c r="M993" s="105" t="s">
        <v>380</v>
      </c>
      <c r="N993" s="105" t="s">
        <v>226</v>
      </c>
      <c r="O993" s="105" t="s">
        <v>226</v>
      </c>
      <c r="P993" s="105" t="s">
        <v>350</v>
      </c>
      <c r="Q993" s="494">
        <v>0</v>
      </c>
      <c r="R993" s="494">
        <v>0</v>
      </c>
      <c r="S993" s="494">
        <v>0</v>
      </c>
      <c r="T993" s="494">
        <v>0</v>
      </c>
      <c r="U993" s="494">
        <v>0</v>
      </c>
      <c r="V993" s="493">
        <v>2024</v>
      </c>
      <c r="W993" s="495" t="s">
        <v>355</v>
      </c>
      <c r="X993" s="496" t="str">
        <f t="shared" si="64"/>
        <v/>
      </c>
      <c r="Y993" s="497" t="str">
        <f t="shared" si="65"/>
        <v/>
      </c>
      <c r="Z993" s="497" t="str">
        <f t="shared" si="65"/>
        <v/>
      </c>
    </row>
    <row r="994" spans="1:26" s="82" customFormat="1" ht="32" x14ac:dyDescent="0.4">
      <c r="A994" s="493">
        <v>55405</v>
      </c>
      <c r="B994" s="105" t="s">
        <v>329</v>
      </c>
      <c r="C994" s="493" t="s">
        <v>330</v>
      </c>
      <c r="D994" s="105" t="s">
        <v>1128</v>
      </c>
      <c r="E994" s="105" t="s">
        <v>1129</v>
      </c>
      <c r="F994" s="493">
        <v>32173</v>
      </c>
      <c r="G994" s="105" t="s">
        <v>52</v>
      </c>
      <c r="H994" s="105" t="s">
        <v>333</v>
      </c>
      <c r="I994" s="105" t="s">
        <v>334</v>
      </c>
      <c r="J994" s="493">
        <v>22</v>
      </c>
      <c r="K994" s="493">
        <v>2</v>
      </c>
      <c r="L994" s="105" t="s">
        <v>343</v>
      </c>
      <c r="M994" s="105" t="s">
        <v>380</v>
      </c>
      <c r="N994" s="105" t="s">
        <v>228</v>
      </c>
      <c r="O994" s="105" t="s">
        <v>228</v>
      </c>
      <c r="P994" s="105" t="s">
        <v>356</v>
      </c>
      <c r="Q994" s="494">
        <v>0</v>
      </c>
      <c r="R994" s="494">
        <v>0</v>
      </c>
      <c r="S994" s="494">
        <v>0</v>
      </c>
      <c r="T994" s="494">
        <v>0</v>
      </c>
      <c r="U994" s="494">
        <v>1394595</v>
      </c>
      <c r="V994" s="493">
        <v>2024</v>
      </c>
      <c r="W994" s="495" t="s">
        <v>355</v>
      </c>
      <c r="X994" s="496" t="str">
        <f t="shared" si="64"/>
        <v/>
      </c>
      <c r="Y994" s="497" t="str">
        <f t="shared" si="65"/>
        <v/>
      </c>
      <c r="Z994" s="497" t="str">
        <f t="shared" si="65"/>
        <v/>
      </c>
    </row>
    <row r="995" spans="1:26" s="82" customFormat="1" ht="32" x14ac:dyDescent="0.4">
      <c r="A995" s="493">
        <v>55405</v>
      </c>
      <c r="B995" s="105" t="s">
        <v>329</v>
      </c>
      <c r="C995" s="493" t="s">
        <v>330</v>
      </c>
      <c r="D995" s="105" t="s">
        <v>1128</v>
      </c>
      <c r="E995" s="105" t="s">
        <v>1129</v>
      </c>
      <c r="F995" s="493">
        <v>32173</v>
      </c>
      <c r="G995" s="105" t="s">
        <v>52</v>
      </c>
      <c r="H995" s="105" t="s">
        <v>333</v>
      </c>
      <c r="I995" s="105" t="s">
        <v>334</v>
      </c>
      <c r="J995" s="493">
        <v>22</v>
      </c>
      <c r="K995" s="493">
        <v>2</v>
      </c>
      <c r="L995" s="105" t="s">
        <v>343</v>
      </c>
      <c r="M995" s="105" t="s">
        <v>37</v>
      </c>
      <c r="N995" s="105" t="s">
        <v>226</v>
      </c>
      <c r="O995" s="105" t="s">
        <v>226</v>
      </c>
      <c r="P995" s="105" t="s">
        <v>350</v>
      </c>
      <c r="Q995" s="494">
        <v>0</v>
      </c>
      <c r="R995" s="494">
        <v>0</v>
      </c>
      <c r="S995" s="494">
        <v>0</v>
      </c>
      <c r="T995" s="494">
        <v>0</v>
      </c>
      <c r="U995" s="494">
        <v>0</v>
      </c>
      <c r="V995" s="493">
        <v>2024</v>
      </c>
      <c r="W995" s="495" t="s">
        <v>355</v>
      </c>
      <c r="X995" s="496" t="str">
        <f t="shared" si="64"/>
        <v/>
      </c>
      <c r="Y995" s="497" t="str">
        <f t="shared" si="65"/>
        <v/>
      </c>
      <c r="Z995" s="497" t="str">
        <f t="shared" si="65"/>
        <v/>
      </c>
    </row>
    <row r="996" spans="1:26" s="82" customFormat="1" ht="32" x14ac:dyDescent="0.4">
      <c r="A996" s="493">
        <v>55405</v>
      </c>
      <c r="B996" s="105" t="s">
        <v>329</v>
      </c>
      <c r="C996" s="493" t="s">
        <v>330</v>
      </c>
      <c r="D996" s="105" t="s">
        <v>1128</v>
      </c>
      <c r="E996" s="105" t="s">
        <v>1129</v>
      </c>
      <c r="F996" s="493">
        <v>32173</v>
      </c>
      <c r="G996" s="105" t="s">
        <v>52</v>
      </c>
      <c r="H996" s="105" t="s">
        <v>333</v>
      </c>
      <c r="I996" s="105" t="s">
        <v>334</v>
      </c>
      <c r="J996" s="493">
        <v>22</v>
      </c>
      <c r="K996" s="493">
        <v>2</v>
      </c>
      <c r="L996" s="105" t="s">
        <v>343</v>
      </c>
      <c r="M996" s="105" t="s">
        <v>37</v>
      </c>
      <c r="N996" s="105" t="s">
        <v>228</v>
      </c>
      <c r="O996" s="105" t="s">
        <v>228</v>
      </c>
      <c r="P996" s="105" t="s">
        <v>356</v>
      </c>
      <c r="Q996" s="494">
        <v>27722311</v>
      </c>
      <c r="R996" s="494">
        <v>27722311</v>
      </c>
      <c r="S996" s="494">
        <v>28794250</v>
      </c>
      <c r="T996" s="494">
        <v>28794250</v>
      </c>
      <c r="U996" s="494">
        <v>2575530</v>
      </c>
      <c r="V996" s="493">
        <v>2024</v>
      </c>
      <c r="W996" s="495" t="s">
        <v>355</v>
      </c>
      <c r="X996" s="496">
        <f t="shared" si="64"/>
        <v>11.179931897512356</v>
      </c>
      <c r="Y996" s="497" t="str">
        <f t="shared" si="65"/>
        <v/>
      </c>
      <c r="Z996" s="497" t="str">
        <f t="shared" si="65"/>
        <v/>
      </c>
    </row>
    <row r="997" spans="1:26" s="82" customFormat="1" x14ac:dyDescent="0.4">
      <c r="A997" s="493">
        <v>55517</v>
      </c>
      <c r="B997" s="105" t="s">
        <v>329</v>
      </c>
      <c r="C997" s="493" t="s">
        <v>330</v>
      </c>
      <c r="D997" s="105" t="s">
        <v>1130</v>
      </c>
      <c r="E997" s="105" t="s">
        <v>1131</v>
      </c>
      <c r="F997" s="493">
        <v>56927</v>
      </c>
      <c r="G997" s="105" t="s">
        <v>37</v>
      </c>
      <c r="H997" s="105" t="s">
        <v>342</v>
      </c>
      <c r="I997" s="105" t="s">
        <v>334</v>
      </c>
      <c r="J997" s="493">
        <v>22</v>
      </c>
      <c r="K997" s="493">
        <v>2</v>
      </c>
      <c r="L997" s="105" t="s">
        <v>343</v>
      </c>
      <c r="M997" s="105" t="s">
        <v>295</v>
      </c>
      <c r="N997" s="105" t="s">
        <v>228</v>
      </c>
      <c r="O997" s="105" t="s">
        <v>228</v>
      </c>
      <c r="P997" s="105" t="s">
        <v>356</v>
      </c>
      <c r="Q997" s="494">
        <v>877472</v>
      </c>
      <c r="R997" s="494">
        <v>877472</v>
      </c>
      <c r="S997" s="494">
        <v>901164</v>
      </c>
      <c r="T997" s="494">
        <v>901164</v>
      </c>
      <c r="U997" s="494">
        <v>87775.001000000004</v>
      </c>
      <c r="V997" s="493">
        <v>2024</v>
      </c>
      <c r="W997" s="495" t="s">
        <v>355</v>
      </c>
      <c r="X997" s="496">
        <f t="shared" si="64"/>
        <v>10.266750096647677</v>
      </c>
      <c r="Y997" s="497" t="str">
        <f t="shared" si="65"/>
        <v/>
      </c>
      <c r="Z997" s="497" t="str">
        <f t="shared" si="65"/>
        <v/>
      </c>
    </row>
    <row r="998" spans="1:26" s="82" customFormat="1" ht="32" x14ac:dyDescent="0.4">
      <c r="A998" s="493">
        <v>55661</v>
      </c>
      <c r="B998" s="105" t="s">
        <v>329</v>
      </c>
      <c r="C998" s="493" t="s">
        <v>330</v>
      </c>
      <c r="D998" s="105" t="s">
        <v>1132</v>
      </c>
      <c r="E998" s="105" t="s">
        <v>1133</v>
      </c>
      <c r="F998" s="493">
        <v>13538</v>
      </c>
      <c r="G998" s="105" t="s">
        <v>35</v>
      </c>
      <c r="H998" s="105" t="s">
        <v>342</v>
      </c>
      <c r="I998" s="105" t="s">
        <v>334</v>
      </c>
      <c r="J998" s="493">
        <v>22</v>
      </c>
      <c r="K998" s="493">
        <v>2</v>
      </c>
      <c r="L998" s="105" t="s">
        <v>343</v>
      </c>
      <c r="M998" s="105" t="s">
        <v>380</v>
      </c>
      <c r="N998" s="105" t="s">
        <v>226</v>
      </c>
      <c r="O998" s="105" t="s">
        <v>226</v>
      </c>
      <c r="P998" s="105" t="s">
        <v>350</v>
      </c>
      <c r="Q998" s="494">
        <v>0</v>
      </c>
      <c r="R998" s="494">
        <v>0</v>
      </c>
      <c r="S998" s="494">
        <v>0</v>
      </c>
      <c r="T998" s="494">
        <v>0</v>
      </c>
      <c r="U998" s="494">
        <v>9559.06</v>
      </c>
      <c r="V998" s="493">
        <v>2024</v>
      </c>
      <c r="W998" s="495" t="s">
        <v>355</v>
      </c>
      <c r="X998" s="496" t="str">
        <f t="shared" si="64"/>
        <v/>
      </c>
      <c r="Y998" s="497" t="str">
        <f t="shared" si="65"/>
        <v/>
      </c>
      <c r="Z998" s="497" t="str">
        <f t="shared" si="65"/>
        <v/>
      </c>
    </row>
    <row r="999" spans="1:26" s="82" customFormat="1" ht="32" x14ac:dyDescent="0.4">
      <c r="A999" s="493">
        <v>55661</v>
      </c>
      <c r="B999" s="105" t="s">
        <v>329</v>
      </c>
      <c r="C999" s="493" t="s">
        <v>330</v>
      </c>
      <c r="D999" s="105" t="s">
        <v>1132</v>
      </c>
      <c r="E999" s="105" t="s">
        <v>1133</v>
      </c>
      <c r="F999" s="493">
        <v>13538</v>
      </c>
      <c r="G999" s="105" t="s">
        <v>35</v>
      </c>
      <c r="H999" s="105" t="s">
        <v>342</v>
      </c>
      <c r="I999" s="105" t="s">
        <v>334</v>
      </c>
      <c r="J999" s="493">
        <v>22</v>
      </c>
      <c r="K999" s="493">
        <v>2</v>
      </c>
      <c r="L999" s="105" t="s">
        <v>343</v>
      </c>
      <c r="M999" s="105" t="s">
        <v>380</v>
      </c>
      <c r="N999" s="105" t="s">
        <v>228</v>
      </c>
      <c r="O999" s="105" t="s">
        <v>228</v>
      </c>
      <c r="P999" s="105" t="s">
        <v>356</v>
      </c>
      <c r="Q999" s="494">
        <v>299809</v>
      </c>
      <c r="R999" s="494">
        <v>299809</v>
      </c>
      <c r="S999" s="494">
        <v>311304</v>
      </c>
      <c r="T999" s="494">
        <v>311304</v>
      </c>
      <c r="U999" s="494">
        <v>445077.94</v>
      </c>
      <c r="V999" s="493">
        <v>2024</v>
      </c>
      <c r="W999" s="495" t="s">
        <v>355</v>
      </c>
      <c r="X999" s="496">
        <f t="shared" si="64"/>
        <v>0.69943704691362596</v>
      </c>
      <c r="Y999" s="497" t="str">
        <f t="shared" si="65"/>
        <v/>
      </c>
      <c r="Z999" s="497" t="str">
        <f t="shared" si="65"/>
        <v/>
      </c>
    </row>
    <row r="1000" spans="1:26" s="82" customFormat="1" ht="32" x14ac:dyDescent="0.4">
      <c r="A1000" s="493">
        <v>55661</v>
      </c>
      <c r="B1000" s="105" t="s">
        <v>329</v>
      </c>
      <c r="C1000" s="493" t="s">
        <v>330</v>
      </c>
      <c r="D1000" s="105" t="s">
        <v>1132</v>
      </c>
      <c r="E1000" s="105" t="s">
        <v>1133</v>
      </c>
      <c r="F1000" s="493">
        <v>13538</v>
      </c>
      <c r="G1000" s="105" t="s">
        <v>35</v>
      </c>
      <c r="H1000" s="105" t="s">
        <v>342</v>
      </c>
      <c r="I1000" s="105" t="s">
        <v>334</v>
      </c>
      <c r="J1000" s="493">
        <v>22</v>
      </c>
      <c r="K1000" s="493">
        <v>2</v>
      </c>
      <c r="L1000" s="105" t="s">
        <v>343</v>
      </c>
      <c r="M1000" s="105" t="s">
        <v>37</v>
      </c>
      <c r="N1000" s="105" t="s">
        <v>226</v>
      </c>
      <c r="O1000" s="105" t="s">
        <v>226</v>
      </c>
      <c r="P1000" s="105" t="s">
        <v>350</v>
      </c>
      <c r="Q1000" s="494">
        <v>35869</v>
      </c>
      <c r="R1000" s="494">
        <v>35869</v>
      </c>
      <c r="S1000" s="494">
        <v>207173</v>
      </c>
      <c r="T1000" s="494">
        <v>207173</v>
      </c>
      <c r="U1000" s="494">
        <v>17358.133999999998</v>
      </c>
      <c r="V1000" s="493">
        <v>2024</v>
      </c>
      <c r="W1000" s="495" t="s">
        <v>355</v>
      </c>
      <c r="X1000" s="496">
        <f t="shared" si="64"/>
        <v>11.935211469159071</v>
      </c>
      <c r="Y1000" s="497" t="str">
        <f t="shared" si="65"/>
        <v/>
      </c>
      <c r="Z1000" s="497" t="str">
        <f t="shared" si="65"/>
        <v/>
      </c>
    </row>
    <row r="1001" spans="1:26" s="82" customFormat="1" ht="32" x14ac:dyDescent="0.4">
      <c r="A1001" s="493">
        <v>55661</v>
      </c>
      <c r="B1001" s="105" t="s">
        <v>329</v>
      </c>
      <c r="C1001" s="493" t="s">
        <v>330</v>
      </c>
      <c r="D1001" s="105" t="s">
        <v>1132</v>
      </c>
      <c r="E1001" s="105" t="s">
        <v>1133</v>
      </c>
      <c r="F1001" s="493">
        <v>13538</v>
      </c>
      <c r="G1001" s="105" t="s">
        <v>35</v>
      </c>
      <c r="H1001" s="105" t="s">
        <v>342</v>
      </c>
      <c r="I1001" s="105" t="s">
        <v>334</v>
      </c>
      <c r="J1001" s="493">
        <v>22</v>
      </c>
      <c r="K1001" s="493">
        <v>2</v>
      </c>
      <c r="L1001" s="105" t="s">
        <v>343</v>
      </c>
      <c r="M1001" s="105" t="s">
        <v>37</v>
      </c>
      <c r="N1001" s="105" t="s">
        <v>228</v>
      </c>
      <c r="O1001" s="105" t="s">
        <v>228</v>
      </c>
      <c r="P1001" s="105" t="s">
        <v>356</v>
      </c>
      <c r="Q1001" s="494">
        <v>8225005</v>
      </c>
      <c r="R1001" s="494">
        <v>8225005</v>
      </c>
      <c r="S1001" s="494">
        <v>8542065</v>
      </c>
      <c r="T1001" s="494">
        <v>8542065</v>
      </c>
      <c r="U1001" s="494">
        <v>750177.87</v>
      </c>
      <c r="V1001" s="493">
        <v>2024</v>
      </c>
      <c r="W1001" s="495"/>
      <c r="X1001" s="496">
        <f t="shared" si="64"/>
        <v>11.386719525597309</v>
      </c>
      <c r="Y1001" s="497" t="str">
        <f t="shared" si="65"/>
        <v/>
      </c>
      <c r="Z1001" s="497" t="str">
        <f t="shared" si="65"/>
        <v/>
      </c>
    </row>
    <row r="1002" spans="1:26" s="82" customFormat="1" ht="32" x14ac:dyDescent="0.4">
      <c r="A1002" s="493">
        <v>55699</v>
      </c>
      <c r="B1002" s="105" t="s">
        <v>329</v>
      </c>
      <c r="C1002" s="493" t="s">
        <v>330</v>
      </c>
      <c r="D1002" s="105" t="s">
        <v>1134</v>
      </c>
      <c r="E1002" s="105" t="s">
        <v>1134</v>
      </c>
      <c r="F1002" s="493">
        <v>1268</v>
      </c>
      <c r="G1002" s="105" t="s">
        <v>52</v>
      </c>
      <c r="H1002" s="105" t="s">
        <v>333</v>
      </c>
      <c r="I1002" s="105" t="s">
        <v>334</v>
      </c>
      <c r="J1002" s="493">
        <v>22</v>
      </c>
      <c r="K1002" s="493">
        <v>2</v>
      </c>
      <c r="L1002" s="105" t="s">
        <v>343</v>
      </c>
      <c r="M1002" s="105" t="s">
        <v>295</v>
      </c>
      <c r="N1002" s="105" t="s">
        <v>228</v>
      </c>
      <c r="O1002" s="105" t="s">
        <v>228</v>
      </c>
      <c r="P1002" s="105" t="s">
        <v>356</v>
      </c>
      <c r="Q1002" s="494">
        <v>515437</v>
      </c>
      <c r="R1002" s="494">
        <v>515437</v>
      </c>
      <c r="S1002" s="494">
        <v>530384</v>
      </c>
      <c r="T1002" s="494">
        <v>530384</v>
      </c>
      <c r="U1002" s="494">
        <v>42500</v>
      </c>
      <c r="V1002" s="493">
        <v>2024</v>
      </c>
      <c r="W1002" s="495" t="s">
        <v>355</v>
      </c>
      <c r="X1002" s="496">
        <f t="shared" si="64"/>
        <v>12.479623529411764</v>
      </c>
      <c r="Y1002" s="497" t="str">
        <f t="shared" si="65"/>
        <v/>
      </c>
      <c r="Z1002" s="497" t="str">
        <f t="shared" si="65"/>
        <v/>
      </c>
    </row>
    <row r="1003" spans="1:26" s="82" customFormat="1" x14ac:dyDescent="0.4">
      <c r="A1003" s="493">
        <v>55757</v>
      </c>
      <c r="B1003" s="105" t="s">
        <v>329</v>
      </c>
      <c r="C1003" s="493" t="s">
        <v>330</v>
      </c>
      <c r="D1003" s="105" t="s">
        <v>1135</v>
      </c>
      <c r="E1003" s="105" t="s">
        <v>1136</v>
      </c>
      <c r="F1003" s="493">
        <v>12758</v>
      </c>
      <c r="G1003" s="105" t="s">
        <v>52</v>
      </c>
      <c r="H1003" s="105" t="s">
        <v>333</v>
      </c>
      <c r="I1003" s="105" t="s">
        <v>334</v>
      </c>
      <c r="J1003" s="493">
        <v>22</v>
      </c>
      <c r="K1003" s="493">
        <v>2</v>
      </c>
      <c r="L1003" s="105" t="s">
        <v>343</v>
      </c>
      <c r="M1003" s="105" t="s">
        <v>359</v>
      </c>
      <c r="N1003" s="105" t="s">
        <v>252</v>
      </c>
      <c r="O1003" s="105" t="s">
        <v>688</v>
      </c>
      <c r="P1003" s="105" t="s">
        <v>356</v>
      </c>
      <c r="Q1003" s="494">
        <v>717902</v>
      </c>
      <c r="R1003" s="494">
        <v>717902</v>
      </c>
      <c r="S1003" s="494">
        <v>393411</v>
      </c>
      <c r="T1003" s="494">
        <v>393411</v>
      </c>
      <c r="U1003" s="494">
        <v>30134</v>
      </c>
      <c r="V1003" s="493">
        <v>2024</v>
      </c>
      <c r="W1003" s="495"/>
      <c r="X1003" s="496">
        <f t="shared" si="64"/>
        <v>13.055385942788876</v>
      </c>
      <c r="Y1003" s="497" t="str">
        <f t="shared" si="65"/>
        <v/>
      </c>
      <c r="Z1003" s="497" t="str">
        <f t="shared" si="65"/>
        <v/>
      </c>
    </row>
    <row r="1004" spans="1:26" s="82" customFormat="1" ht="32" x14ac:dyDescent="0.4">
      <c r="A1004" s="493">
        <v>55769</v>
      </c>
      <c r="B1004" s="105" t="s">
        <v>329</v>
      </c>
      <c r="C1004" s="493" t="s">
        <v>330</v>
      </c>
      <c r="D1004" s="105" t="s">
        <v>1137</v>
      </c>
      <c r="E1004" s="105" t="s">
        <v>1137</v>
      </c>
      <c r="F1004" s="493">
        <v>49880</v>
      </c>
      <c r="G1004" s="105" t="s">
        <v>52</v>
      </c>
      <c r="H1004" s="105" t="s">
        <v>333</v>
      </c>
      <c r="I1004" s="105" t="s">
        <v>334</v>
      </c>
      <c r="J1004" s="493">
        <v>22</v>
      </c>
      <c r="K1004" s="493">
        <v>2</v>
      </c>
      <c r="L1004" s="105" t="s">
        <v>343</v>
      </c>
      <c r="M1004" s="105" t="s">
        <v>695</v>
      </c>
      <c r="N1004" s="105" t="s">
        <v>696</v>
      </c>
      <c r="O1004" s="105" t="s">
        <v>696</v>
      </c>
      <c r="P1004" s="105" t="s">
        <v>339</v>
      </c>
      <c r="Q1004" s="494">
        <v>0</v>
      </c>
      <c r="R1004" s="494">
        <v>0</v>
      </c>
      <c r="S1004" s="494">
        <v>25607</v>
      </c>
      <c r="T1004" s="494">
        <v>25607</v>
      </c>
      <c r="U1004" s="494">
        <v>7505</v>
      </c>
      <c r="V1004" s="493">
        <v>2024</v>
      </c>
      <c r="W1004" s="495"/>
      <c r="X1004" s="496">
        <f t="shared" si="64"/>
        <v>3.4119920053297803</v>
      </c>
      <c r="Y1004" s="497" t="str">
        <f t="shared" si="65"/>
        <v/>
      </c>
      <c r="Z1004" s="497" t="str">
        <f t="shared" si="65"/>
        <v/>
      </c>
    </row>
    <row r="1005" spans="1:26" s="82" customFormat="1" x14ac:dyDescent="0.4">
      <c r="A1005" s="493">
        <v>55786</v>
      </c>
      <c r="B1005" s="105" t="s">
        <v>329</v>
      </c>
      <c r="C1005" s="493" t="s">
        <v>330</v>
      </c>
      <c r="D1005" s="105" t="s">
        <v>1138</v>
      </c>
      <c r="E1005" s="105" t="s">
        <v>1139</v>
      </c>
      <c r="F1005" s="493">
        <v>66974</v>
      </c>
      <c r="G1005" s="105" t="s">
        <v>52</v>
      </c>
      <c r="H1005" s="105" t="s">
        <v>333</v>
      </c>
      <c r="I1005" s="105" t="s">
        <v>334</v>
      </c>
      <c r="J1005" s="493">
        <v>22</v>
      </c>
      <c r="K1005" s="493">
        <v>2</v>
      </c>
      <c r="L1005" s="105" t="s">
        <v>343</v>
      </c>
      <c r="M1005" s="105" t="s">
        <v>295</v>
      </c>
      <c r="N1005" s="105" t="s">
        <v>228</v>
      </c>
      <c r="O1005" s="105" t="s">
        <v>228</v>
      </c>
      <c r="P1005" s="105" t="s">
        <v>356</v>
      </c>
      <c r="Q1005" s="494">
        <v>409520</v>
      </c>
      <c r="R1005" s="494">
        <v>409520</v>
      </c>
      <c r="S1005" s="494">
        <v>422625</v>
      </c>
      <c r="T1005" s="494">
        <v>422625</v>
      </c>
      <c r="U1005" s="494">
        <v>39874.002</v>
      </c>
      <c r="V1005" s="493">
        <v>2024</v>
      </c>
      <c r="W1005" s="495" t="s">
        <v>355</v>
      </c>
      <c r="X1005" s="496">
        <f t="shared" si="64"/>
        <v>10.599011355820267</v>
      </c>
      <c r="Y1005" s="497" t="str">
        <f t="shared" si="65"/>
        <v/>
      </c>
      <c r="Z1005" s="497" t="str">
        <f t="shared" si="65"/>
        <v/>
      </c>
    </row>
    <row r="1006" spans="1:26" s="82" customFormat="1" x14ac:dyDescent="0.4">
      <c r="A1006" s="493">
        <v>55787</v>
      </c>
      <c r="B1006" s="105" t="s">
        <v>329</v>
      </c>
      <c r="C1006" s="493" t="s">
        <v>330</v>
      </c>
      <c r="D1006" s="105" t="s">
        <v>1140</v>
      </c>
      <c r="E1006" s="105" t="s">
        <v>1139</v>
      </c>
      <c r="F1006" s="493">
        <v>66974</v>
      </c>
      <c r="G1006" s="105" t="s">
        <v>52</v>
      </c>
      <c r="H1006" s="105" t="s">
        <v>333</v>
      </c>
      <c r="I1006" s="105" t="s">
        <v>334</v>
      </c>
      <c r="J1006" s="493">
        <v>22</v>
      </c>
      <c r="K1006" s="493">
        <v>2</v>
      </c>
      <c r="L1006" s="105" t="s">
        <v>343</v>
      </c>
      <c r="M1006" s="105" t="s">
        <v>295</v>
      </c>
      <c r="N1006" s="105" t="s">
        <v>226</v>
      </c>
      <c r="O1006" s="105" t="s">
        <v>226</v>
      </c>
      <c r="P1006" s="105" t="s">
        <v>350</v>
      </c>
      <c r="Q1006" s="494">
        <v>0</v>
      </c>
      <c r="R1006" s="494">
        <v>0</v>
      </c>
      <c r="S1006" s="494">
        <v>0</v>
      </c>
      <c r="T1006" s="494">
        <v>0</v>
      </c>
      <c r="U1006" s="494">
        <v>0</v>
      </c>
      <c r="V1006" s="493">
        <v>2024</v>
      </c>
      <c r="W1006" s="495" t="s">
        <v>355</v>
      </c>
      <c r="X1006" s="496" t="str">
        <f t="shared" si="64"/>
        <v/>
      </c>
      <c r="Y1006" s="497" t="str">
        <f t="shared" si="65"/>
        <v/>
      </c>
      <c r="Z1006" s="497" t="str">
        <f t="shared" si="65"/>
        <v/>
      </c>
    </row>
    <row r="1007" spans="1:26" s="82" customFormat="1" x14ac:dyDescent="0.4">
      <c r="A1007" s="493">
        <v>55787</v>
      </c>
      <c r="B1007" s="105" t="s">
        <v>329</v>
      </c>
      <c r="C1007" s="493" t="s">
        <v>330</v>
      </c>
      <c r="D1007" s="105" t="s">
        <v>1140</v>
      </c>
      <c r="E1007" s="105" t="s">
        <v>1139</v>
      </c>
      <c r="F1007" s="493">
        <v>66974</v>
      </c>
      <c r="G1007" s="105" t="s">
        <v>52</v>
      </c>
      <c r="H1007" s="105" t="s">
        <v>333</v>
      </c>
      <c r="I1007" s="105" t="s">
        <v>334</v>
      </c>
      <c r="J1007" s="493">
        <v>22</v>
      </c>
      <c r="K1007" s="493">
        <v>2</v>
      </c>
      <c r="L1007" s="105" t="s">
        <v>343</v>
      </c>
      <c r="M1007" s="105" t="s">
        <v>295</v>
      </c>
      <c r="N1007" s="105" t="s">
        <v>242</v>
      </c>
      <c r="O1007" s="105" t="s">
        <v>349</v>
      </c>
      <c r="P1007" s="105" t="s">
        <v>350</v>
      </c>
      <c r="Q1007" s="494">
        <v>2624</v>
      </c>
      <c r="R1007" s="494">
        <v>2624</v>
      </c>
      <c r="S1007" s="494">
        <v>14800</v>
      </c>
      <c r="T1007" s="494">
        <v>14800</v>
      </c>
      <c r="U1007" s="494">
        <v>1463</v>
      </c>
      <c r="V1007" s="493">
        <v>2024</v>
      </c>
      <c r="W1007" s="495" t="s">
        <v>355</v>
      </c>
      <c r="X1007" s="496">
        <f t="shared" si="64"/>
        <v>10.1161995898838</v>
      </c>
      <c r="Y1007" s="497" t="str">
        <f t="shared" si="65"/>
        <v/>
      </c>
      <c r="Z1007" s="497" t="str">
        <f t="shared" si="65"/>
        <v/>
      </c>
    </row>
    <row r="1008" spans="1:26" s="82" customFormat="1" x14ac:dyDescent="0.4">
      <c r="A1008" s="493">
        <v>55790</v>
      </c>
      <c r="B1008" s="105" t="s">
        <v>329</v>
      </c>
      <c r="C1008" s="493" t="s">
        <v>330</v>
      </c>
      <c r="D1008" s="105" t="s">
        <v>1141</v>
      </c>
      <c r="E1008" s="105" t="s">
        <v>1142</v>
      </c>
      <c r="F1008" s="493">
        <v>34688</v>
      </c>
      <c r="G1008" s="105" t="s">
        <v>52</v>
      </c>
      <c r="H1008" s="105" t="s">
        <v>333</v>
      </c>
      <c r="I1008" s="105" t="s">
        <v>334</v>
      </c>
      <c r="J1008" s="493">
        <v>22</v>
      </c>
      <c r="K1008" s="493">
        <v>2</v>
      </c>
      <c r="L1008" s="105" t="s">
        <v>343</v>
      </c>
      <c r="M1008" s="105" t="s">
        <v>695</v>
      </c>
      <c r="N1008" s="105" t="s">
        <v>696</v>
      </c>
      <c r="O1008" s="105" t="s">
        <v>696</v>
      </c>
      <c r="P1008" s="105" t="s">
        <v>339</v>
      </c>
      <c r="Q1008" s="494">
        <v>0</v>
      </c>
      <c r="R1008" s="494">
        <v>0</v>
      </c>
      <c r="S1008" s="494">
        <v>219599</v>
      </c>
      <c r="T1008" s="494">
        <v>219599</v>
      </c>
      <c r="U1008" s="494">
        <v>64361</v>
      </c>
      <c r="V1008" s="493">
        <v>2024</v>
      </c>
      <c r="W1008" s="495"/>
      <c r="X1008" s="496">
        <f t="shared" si="64"/>
        <v>3.4119886266527866</v>
      </c>
      <c r="Y1008" s="497" t="str">
        <f t="shared" ref="Y1008:Z1027" si="66">IF(AND($M1008=$Y$2,$N1008=$Y$3,NOT($Q1008=$R1008),NOT($U1008=0)),IF($K1008=5,$S1008/($U1008+(8/5)*$U1008),IF($K1008=7,$S1008/($U1008+(29/25)*$U1008),"")),"")</f>
        <v/>
      </c>
      <c r="Z1008" s="497" t="str">
        <f t="shared" si="66"/>
        <v/>
      </c>
    </row>
    <row r="1009" spans="1:26" s="82" customFormat="1" ht="32" x14ac:dyDescent="0.4">
      <c r="A1009" s="493">
        <v>55860</v>
      </c>
      <c r="B1009" s="105" t="s">
        <v>329</v>
      </c>
      <c r="C1009" s="493" t="s">
        <v>330</v>
      </c>
      <c r="D1009" s="105" t="s">
        <v>1143</v>
      </c>
      <c r="E1009" s="105" t="s">
        <v>1144</v>
      </c>
      <c r="F1009" s="493">
        <v>25771</v>
      </c>
      <c r="G1009" s="105" t="s">
        <v>37</v>
      </c>
      <c r="H1009" s="105" t="s">
        <v>342</v>
      </c>
      <c r="I1009" s="105" t="s">
        <v>334</v>
      </c>
      <c r="J1009" s="493">
        <v>22</v>
      </c>
      <c r="K1009" s="493">
        <v>2</v>
      </c>
      <c r="L1009" s="105" t="s">
        <v>343</v>
      </c>
      <c r="M1009" s="105" t="s">
        <v>336</v>
      </c>
      <c r="N1009" s="105" t="s">
        <v>337</v>
      </c>
      <c r="O1009" s="105" t="s">
        <v>338</v>
      </c>
      <c r="P1009" s="105" t="s">
        <v>339</v>
      </c>
      <c r="Q1009" s="494">
        <v>0</v>
      </c>
      <c r="R1009" s="494">
        <v>0</v>
      </c>
      <c r="S1009" s="494">
        <v>21848</v>
      </c>
      <c r="T1009" s="494">
        <v>21848</v>
      </c>
      <c r="U1009" s="494">
        <v>6400</v>
      </c>
      <c r="V1009" s="493">
        <v>2024</v>
      </c>
      <c r="W1009" s="495"/>
      <c r="X1009" s="496">
        <f t="shared" si="64"/>
        <v>3.4137499999999998</v>
      </c>
      <c r="Y1009" s="497" t="str">
        <f t="shared" si="66"/>
        <v/>
      </c>
      <c r="Z1009" s="497" t="str">
        <f t="shared" si="66"/>
        <v/>
      </c>
    </row>
    <row r="1010" spans="1:26" s="82" customFormat="1" ht="32" x14ac:dyDescent="0.4">
      <c r="A1010" s="493">
        <v>55969</v>
      </c>
      <c r="B1010" s="105" t="s">
        <v>329</v>
      </c>
      <c r="C1010" s="493" t="s">
        <v>330</v>
      </c>
      <c r="D1010" s="105" t="s">
        <v>1145</v>
      </c>
      <c r="E1010" s="105" t="s">
        <v>1145</v>
      </c>
      <c r="F1010" s="493">
        <v>7308</v>
      </c>
      <c r="G1010" s="105" t="s">
        <v>52</v>
      </c>
      <c r="H1010" s="105" t="s">
        <v>333</v>
      </c>
      <c r="I1010" s="105" t="s">
        <v>334</v>
      </c>
      <c r="J1010" s="493">
        <v>22</v>
      </c>
      <c r="K1010" s="493">
        <v>2</v>
      </c>
      <c r="L1010" s="105" t="s">
        <v>343</v>
      </c>
      <c r="M1010" s="105" t="s">
        <v>295</v>
      </c>
      <c r="N1010" s="105" t="s">
        <v>226</v>
      </c>
      <c r="O1010" s="105" t="s">
        <v>226</v>
      </c>
      <c r="P1010" s="105" t="s">
        <v>350</v>
      </c>
      <c r="Q1010" s="494">
        <v>0</v>
      </c>
      <c r="R1010" s="494">
        <v>0</v>
      </c>
      <c r="S1010" s="494">
        <v>0</v>
      </c>
      <c r="T1010" s="494">
        <v>0</v>
      </c>
      <c r="U1010" s="494">
        <v>0</v>
      </c>
      <c r="V1010" s="493">
        <v>2024</v>
      </c>
      <c r="W1010" s="495" t="s">
        <v>355</v>
      </c>
      <c r="X1010" s="496" t="str">
        <f t="shared" si="64"/>
        <v/>
      </c>
      <c r="Y1010" s="497" t="str">
        <f t="shared" si="66"/>
        <v/>
      </c>
      <c r="Z1010" s="497" t="str">
        <f t="shared" si="66"/>
        <v/>
      </c>
    </row>
    <row r="1011" spans="1:26" s="82" customFormat="1" ht="32" x14ac:dyDescent="0.4">
      <c r="A1011" s="493">
        <v>55969</v>
      </c>
      <c r="B1011" s="105" t="s">
        <v>329</v>
      </c>
      <c r="C1011" s="493" t="s">
        <v>330</v>
      </c>
      <c r="D1011" s="105" t="s">
        <v>1145</v>
      </c>
      <c r="E1011" s="105" t="s">
        <v>1145</v>
      </c>
      <c r="F1011" s="493">
        <v>7308</v>
      </c>
      <c r="G1011" s="105" t="s">
        <v>52</v>
      </c>
      <c r="H1011" s="105" t="s">
        <v>333</v>
      </c>
      <c r="I1011" s="105" t="s">
        <v>334</v>
      </c>
      <c r="J1011" s="493">
        <v>22</v>
      </c>
      <c r="K1011" s="493">
        <v>2</v>
      </c>
      <c r="L1011" s="105" t="s">
        <v>343</v>
      </c>
      <c r="M1011" s="105" t="s">
        <v>295</v>
      </c>
      <c r="N1011" s="105" t="s">
        <v>242</v>
      </c>
      <c r="O1011" s="105" t="s">
        <v>349</v>
      </c>
      <c r="P1011" s="105" t="s">
        <v>350</v>
      </c>
      <c r="Q1011" s="494">
        <v>46450</v>
      </c>
      <c r="R1011" s="494">
        <v>46450</v>
      </c>
      <c r="S1011" s="494">
        <v>276843</v>
      </c>
      <c r="T1011" s="494">
        <v>276843</v>
      </c>
      <c r="U1011" s="494">
        <v>24819</v>
      </c>
      <c r="V1011" s="493">
        <v>2024</v>
      </c>
      <c r="W1011" s="495"/>
      <c r="X1011" s="496">
        <f t="shared" si="64"/>
        <v>11.154478423788227</v>
      </c>
      <c r="Y1011" s="497" t="str">
        <f t="shared" si="66"/>
        <v/>
      </c>
      <c r="Z1011" s="497" t="str">
        <f t="shared" si="66"/>
        <v/>
      </c>
    </row>
    <row r="1012" spans="1:26" s="82" customFormat="1" x14ac:dyDescent="0.4">
      <c r="A1012" s="493">
        <v>56032</v>
      </c>
      <c r="B1012" s="105" t="s">
        <v>329</v>
      </c>
      <c r="C1012" s="493" t="s">
        <v>330</v>
      </c>
      <c r="D1012" s="105" t="s">
        <v>1146</v>
      </c>
      <c r="E1012" s="105" t="s">
        <v>1147</v>
      </c>
      <c r="F1012" s="493">
        <v>49845</v>
      </c>
      <c r="G1012" s="105" t="s">
        <v>52</v>
      </c>
      <c r="H1012" s="105" t="s">
        <v>333</v>
      </c>
      <c r="I1012" s="105" t="s">
        <v>334</v>
      </c>
      <c r="J1012" s="493">
        <v>22</v>
      </c>
      <c r="K1012" s="493">
        <v>2</v>
      </c>
      <c r="L1012" s="105" t="s">
        <v>343</v>
      </c>
      <c r="M1012" s="105" t="s">
        <v>295</v>
      </c>
      <c r="N1012" s="105" t="s">
        <v>242</v>
      </c>
      <c r="O1012" s="105" t="s">
        <v>349</v>
      </c>
      <c r="P1012" s="105" t="s">
        <v>350</v>
      </c>
      <c r="Q1012" s="494">
        <v>917</v>
      </c>
      <c r="R1012" s="494">
        <v>917</v>
      </c>
      <c r="S1012" s="494">
        <v>5135</v>
      </c>
      <c r="T1012" s="494">
        <v>5135</v>
      </c>
      <c r="U1012" s="494">
        <v>6855.3</v>
      </c>
      <c r="V1012" s="493">
        <v>2024</v>
      </c>
      <c r="W1012" s="495" t="s">
        <v>355</v>
      </c>
      <c r="X1012" s="496">
        <f t="shared" si="64"/>
        <v>0.74905547532566041</v>
      </c>
      <c r="Y1012" s="497" t="str">
        <f t="shared" si="66"/>
        <v/>
      </c>
      <c r="Z1012" s="497" t="str">
        <f t="shared" si="66"/>
        <v/>
      </c>
    </row>
    <row r="1013" spans="1:26" s="82" customFormat="1" x14ac:dyDescent="0.4">
      <c r="A1013" s="493">
        <v>56032</v>
      </c>
      <c r="B1013" s="105" t="s">
        <v>329</v>
      </c>
      <c r="C1013" s="493" t="s">
        <v>330</v>
      </c>
      <c r="D1013" s="105" t="s">
        <v>1146</v>
      </c>
      <c r="E1013" s="105" t="s">
        <v>1147</v>
      </c>
      <c r="F1013" s="493">
        <v>49845</v>
      </c>
      <c r="G1013" s="105" t="s">
        <v>52</v>
      </c>
      <c r="H1013" s="105" t="s">
        <v>333</v>
      </c>
      <c r="I1013" s="105" t="s">
        <v>334</v>
      </c>
      <c r="J1013" s="493">
        <v>22</v>
      </c>
      <c r="K1013" s="493">
        <v>2</v>
      </c>
      <c r="L1013" s="105" t="s">
        <v>343</v>
      </c>
      <c r="M1013" s="105" t="s">
        <v>295</v>
      </c>
      <c r="N1013" s="105" t="s">
        <v>228</v>
      </c>
      <c r="O1013" s="105" t="s">
        <v>228</v>
      </c>
      <c r="P1013" s="105" t="s">
        <v>356</v>
      </c>
      <c r="Q1013" s="494">
        <v>28009</v>
      </c>
      <c r="R1013" s="494">
        <v>28009</v>
      </c>
      <c r="S1013" s="494">
        <v>28851</v>
      </c>
      <c r="T1013" s="494">
        <v>28851</v>
      </c>
      <c r="U1013" s="494">
        <v>38512.699999999997</v>
      </c>
      <c r="V1013" s="493">
        <v>2024</v>
      </c>
      <c r="W1013" s="495" t="s">
        <v>355</v>
      </c>
      <c r="X1013" s="496">
        <f t="shared" si="64"/>
        <v>0.74912950792855348</v>
      </c>
      <c r="Y1013" s="497" t="str">
        <f t="shared" si="66"/>
        <v/>
      </c>
      <c r="Z1013" s="497" t="str">
        <f t="shared" si="66"/>
        <v/>
      </c>
    </row>
    <row r="1014" spans="1:26" s="82" customFormat="1" x14ac:dyDescent="0.4">
      <c r="A1014" s="493">
        <v>56047</v>
      </c>
      <c r="B1014" s="105" t="s">
        <v>329</v>
      </c>
      <c r="C1014" s="493" t="s">
        <v>330</v>
      </c>
      <c r="D1014" s="105" t="s">
        <v>1148</v>
      </c>
      <c r="E1014" s="105" t="s">
        <v>1149</v>
      </c>
      <c r="F1014" s="493">
        <v>19002</v>
      </c>
      <c r="G1014" s="105" t="s">
        <v>37</v>
      </c>
      <c r="H1014" s="105" t="s">
        <v>342</v>
      </c>
      <c r="I1014" s="105" t="s">
        <v>334</v>
      </c>
      <c r="J1014" s="493">
        <v>22</v>
      </c>
      <c r="K1014" s="493">
        <v>2</v>
      </c>
      <c r="L1014" s="105" t="s">
        <v>343</v>
      </c>
      <c r="M1014" s="105" t="s">
        <v>380</v>
      </c>
      <c r="N1014" s="105" t="s">
        <v>226</v>
      </c>
      <c r="O1014" s="105" t="s">
        <v>226</v>
      </c>
      <c r="P1014" s="105" t="s">
        <v>350</v>
      </c>
      <c r="Q1014" s="494">
        <v>0</v>
      </c>
      <c r="R1014" s="494">
        <v>0</v>
      </c>
      <c r="S1014" s="494">
        <v>0</v>
      </c>
      <c r="T1014" s="494">
        <v>0</v>
      </c>
      <c r="U1014" s="494">
        <v>326.87099999999998</v>
      </c>
      <c r="V1014" s="493">
        <v>2024</v>
      </c>
      <c r="W1014" s="495" t="s">
        <v>355</v>
      </c>
      <c r="X1014" s="496" t="str">
        <f t="shared" si="64"/>
        <v/>
      </c>
      <c r="Y1014" s="497" t="str">
        <f t="shared" si="66"/>
        <v/>
      </c>
      <c r="Z1014" s="497" t="str">
        <f t="shared" si="66"/>
        <v/>
      </c>
    </row>
    <row r="1015" spans="1:26" s="82" customFormat="1" x14ac:dyDescent="0.4">
      <c r="A1015" s="493">
        <v>56047</v>
      </c>
      <c r="B1015" s="105" t="s">
        <v>329</v>
      </c>
      <c r="C1015" s="493" t="s">
        <v>330</v>
      </c>
      <c r="D1015" s="105" t="s">
        <v>1148</v>
      </c>
      <c r="E1015" s="105" t="s">
        <v>1149</v>
      </c>
      <c r="F1015" s="493">
        <v>19002</v>
      </c>
      <c r="G1015" s="105" t="s">
        <v>37</v>
      </c>
      <c r="H1015" s="105" t="s">
        <v>342</v>
      </c>
      <c r="I1015" s="105" t="s">
        <v>334</v>
      </c>
      <c r="J1015" s="493">
        <v>22</v>
      </c>
      <c r="K1015" s="493">
        <v>2</v>
      </c>
      <c r="L1015" s="105" t="s">
        <v>343</v>
      </c>
      <c r="M1015" s="105" t="s">
        <v>380</v>
      </c>
      <c r="N1015" s="105" t="s">
        <v>228</v>
      </c>
      <c r="O1015" s="105" t="s">
        <v>228</v>
      </c>
      <c r="P1015" s="105" t="s">
        <v>356</v>
      </c>
      <c r="Q1015" s="494">
        <v>575558</v>
      </c>
      <c r="R1015" s="494">
        <v>575558</v>
      </c>
      <c r="S1015" s="494">
        <v>590815</v>
      </c>
      <c r="T1015" s="494">
        <v>590815</v>
      </c>
      <c r="U1015" s="494">
        <v>1816403.1</v>
      </c>
      <c r="V1015" s="493">
        <v>2024</v>
      </c>
      <c r="W1015" s="495" t="s">
        <v>355</v>
      </c>
      <c r="X1015" s="496">
        <f t="shared" si="64"/>
        <v>0.32526645654810871</v>
      </c>
      <c r="Y1015" s="497" t="str">
        <f t="shared" si="66"/>
        <v/>
      </c>
      <c r="Z1015" s="497" t="str">
        <f t="shared" si="66"/>
        <v/>
      </c>
    </row>
    <row r="1016" spans="1:26" s="82" customFormat="1" x14ac:dyDescent="0.4">
      <c r="A1016" s="493">
        <v>56047</v>
      </c>
      <c r="B1016" s="105" t="s">
        <v>329</v>
      </c>
      <c r="C1016" s="493" t="s">
        <v>330</v>
      </c>
      <c r="D1016" s="105" t="s">
        <v>1148</v>
      </c>
      <c r="E1016" s="105" t="s">
        <v>1149</v>
      </c>
      <c r="F1016" s="493">
        <v>19002</v>
      </c>
      <c r="G1016" s="105" t="s">
        <v>37</v>
      </c>
      <c r="H1016" s="105" t="s">
        <v>342</v>
      </c>
      <c r="I1016" s="105" t="s">
        <v>334</v>
      </c>
      <c r="J1016" s="493">
        <v>22</v>
      </c>
      <c r="K1016" s="493">
        <v>2</v>
      </c>
      <c r="L1016" s="105" t="s">
        <v>343</v>
      </c>
      <c r="M1016" s="105" t="s">
        <v>37</v>
      </c>
      <c r="N1016" s="105" t="s">
        <v>226</v>
      </c>
      <c r="O1016" s="105" t="s">
        <v>226</v>
      </c>
      <c r="P1016" s="105" t="s">
        <v>350</v>
      </c>
      <c r="Q1016" s="494">
        <v>1153</v>
      </c>
      <c r="R1016" s="494">
        <v>1153</v>
      </c>
      <c r="S1016" s="494">
        <v>6641</v>
      </c>
      <c r="T1016" s="494">
        <v>6641</v>
      </c>
      <c r="U1016" s="494">
        <v>699.56899999999996</v>
      </c>
      <c r="V1016" s="493">
        <v>2024</v>
      </c>
      <c r="W1016" s="495" t="s">
        <v>355</v>
      </c>
      <c r="X1016" s="496">
        <f t="shared" si="64"/>
        <v>9.4929878253610447</v>
      </c>
      <c r="Y1016" s="497" t="str">
        <f t="shared" si="66"/>
        <v/>
      </c>
      <c r="Z1016" s="497" t="str">
        <f t="shared" si="66"/>
        <v/>
      </c>
    </row>
    <row r="1017" spans="1:26" s="82" customFormat="1" x14ac:dyDescent="0.4">
      <c r="A1017" s="493">
        <v>56047</v>
      </c>
      <c r="B1017" s="105" t="s">
        <v>329</v>
      </c>
      <c r="C1017" s="493" t="s">
        <v>330</v>
      </c>
      <c r="D1017" s="105" t="s">
        <v>1148</v>
      </c>
      <c r="E1017" s="105" t="s">
        <v>1149</v>
      </c>
      <c r="F1017" s="493">
        <v>19002</v>
      </c>
      <c r="G1017" s="105" t="s">
        <v>37</v>
      </c>
      <c r="H1017" s="105" t="s">
        <v>342</v>
      </c>
      <c r="I1017" s="105" t="s">
        <v>334</v>
      </c>
      <c r="J1017" s="493">
        <v>22</v>
      </c>
      <c r="K1017" s="493">
        <v>2</v>
      </c>
      <c r="L1017" s="105" t="s">
        <v>343</v>
      </c>
      <c r="M1017" s="105" t="s">
        <v>37</v>
      </c>
      <c r="N1017" s="105" t="s">
        <v>228</v>
      </c>
      <c r="O1017" s="105" t="s">
        <v>228</v>
      </c>
      <c r="P1017" s="105" t="s">
        <v>356</v>
      </c>
      <c r="Q1017" s="494">
        <v>35437001</v>
      </c>
      <c r="R1017" s="494">
        <v>35437001</v>
      </c>
      <c r="S1017" s="494">
        <v>36365148</v>
      </c>
      <c r="T1017" s="494">
        <v>36365148</v>
      </c>
      <c r="U1017" s="494">
        <v>3763807.4</v>
      </c>
      <c r="V1017" s="493">
        <v>2024</v>
      </c>
      <c r="W1017" s="495" t="s">
        <v>355</v>
      </c>
      <c r="X1017" s="496">
        <f t="shared" si="64"/>
        <v>9.6617983162475323</v>
      </c>
      <c r="Y1017" s="497" t="str">
        <f t="shared" si="66"/>
        <v/>
      </c>
      <c r="Z1017" s="497" t="str">
        <f t="shared" si="66"/>
        <v/>
      </c>
    </row>
    <row r="1018" spans="1:26" s="82" customFormat="1" ht="32" x14ac:dyDescent="0.4">
      <c r="A1018" s="493">
        <v>56141</v>
      </c>
      <c r="B1018" s="105" t="s">
        <v>329</v>
      </c>
      <c r="C1018" s="493" t="s">
        <v>330</v>
      </c>
      <c r="D1018" s="105" t="s">
        <v>1150</v>
      </c>
      <c r="E1018" s="105" t="s">
        <v>1151</v>
      </c>
      <c r="F1018" s="493">
        <v>49786</v>
      </c>
      <c r="G1018" s="105" t="s">
        <v>52</v>
      </c>
      <c r="H1018" s="105" t="s">
        <v>333</v>
      </c>
      <c r="I1018" s="105" t="s">
        <v>334</v>
      </c>
      <c r="J1018" s="493">
        <v>22</v>
      </c>
      <c r="K1018" s="493">
        <v>2</v>
      </c>
      <c r="L1018" s="105" t="s">
        <v>343</v>
      </c>
      <c r="M1018" s="105" t="s">
        <v>295</v>
      </c>
      <c r="N1018" s="105" t="s">
        <v>242</v>
      </c>
      <c r="O1018" s="105" t="s">
        <v>349</v>
      </c>
      <c r="P1018" s="105" t="s">
        <v>350</v>
      </c>
      <c r="Q1018" s="494">
        <v>550</v>
      </c>
      <c r="R1018" s="494">
        <v>550</v>
      </c>
      <c r="S1018" s="494">
        <v>3081</v>
      </c>
      <c r="T1018" s="494">
        <v>3081</v>
      </c>
      <c r="U1018" s="494">
        <v>12702.252</v>
      </c>
      <c r="V1018" s="493">
        <v>2024</v>
      </c>
      <c r="W1018" s="495"/>
      <c r="X1018" s="496">
        <f t="shared" si="64"/>
        <v>0.24255541458317784</v>
      </c>
      <c r="Y1018" s="497" t="str">
        <f t="shared" si="66"/>
        <v/>
      </c>
      <c r="Z1018" s="497" t="str">
        <f t="shared" si="66"/>
        <v/>
      </c>
    </row>
    <row r="1019" spans="1:26" s="82" customFormat="1" ht="32" x14ac:dyDescent="0.4">
      <c r="A1019" s="493">
        <v>56141</v>
      </c>
      <c r="B1019" s="105" t="s">
        <v>329</v>
      </c>
      <c r="C1019" s="493" t="s">
        <v>330</v>
      </c>
      <c r="D1019" s="105" t="s">
        <v>1150</v>
      </c>
      <c r="E1019" s="105" t="s">
        <v>1151</v>
      </c>
      <c r="F1019" s="493">
        <v>49786</v>
      </c>
      <c r="G1019" s="105" t="s">
        <v>52</v>
      </c>
      <c r="H1019" s="105" t="s">
        <v>333</v>
      </c>
      <c r="I1019" s="105" t="s">
        <v>334</v>
      </c>
      <c r="J1019" s="493">
        <v>22</v>
      </c>
      <c r="K1019" s="493">
        <v>2</v>
      </c>
      <c r="L1019" s="105" t="s">
        <v>343</v>
      </c>
      <c r="M1019" s="105" t="s">
        <v>295</v>
      </c>
      <c r="N1019" s="105" t="s">
        <v>228</v>
      </c>
      <c r="O1019" s="105" t="s">
        <v>228</v>
      </c>
      <c r="P1019" s="105" t="s">
        <v>356</v>
      </c>
      <c r="Q1019" s="494">
        <v>2781</v>
      </c>
      <c r="R1019" s="494">
        <v>2781</v>
      </c>
      <c r="S1019" s="494">
        <v>2861</v>
      </c>
      <c r="T1019" s="494">
        <v>2861</v>
      </c>
      <c r="U1019" s="494">
        <v>11801.748</v>
      </c>
      <c r="V1019" s="493">
        <v>2024</v>
      </c>
      <c r="W1019" s="495"/>
      <c r="X1019" s="496">
        <f t="shared" si="64"/>
        <v>0.24242171583395952</v>
      </c>
      <c r="Y1019" s="497" t="str">
        <f t="shared" si="66"/>
        <v/>
      </c>
      <c r="Z1019" s="497" t="str">
        <f t="shared" si="66"/>
        <v/>
      </c>
    </row>
    <row r="1020" spans="1:26" s="82" customFormat="1" x14ac:dyDescent="0.4">
      <c r="A1020" s="493">
        <v>56188</v>
      </c>
      <c r="B1020" s="105" t="s">
        <v>329</v>
      </c>
      <c r="C1020" s="493" t="s">
        <v>330</v>
      </c>
      <c r="D1020" s="105" t="s">
        <v>1152</v>
      </c>
      <c r="E1020" s="105" t="s">
        <v>1152</v>
      </c>
      <c r="F1020" s="493">
        <v>49837</v>
      </c>
      <c r="G1020" s="105" t="s">
        <v>52</v>
      </c>
      <c r="H1020" s="105" t="s">
        <v>333</v>
      </c>
      <c r="I1020" s="105" t="s">
        <v>334</v>
      </c>
      <c r="J1020" s="493">
        <v>22</v>
      </c>
      <c r="K1020" s="493">
        <v>2</v>
      </c>
      <c r="L1020" s="105" t="s">
        <v>343</v>
      </c>
      <c r="M1020" s="105" t="s">
        <v>380</v>
      </c>
      <c r="N1020" s="105" t="s">
        <v>242</v>
      </c>
      <c r="O1020" s="105" t="s">
        <v>349</v>
      </c>
      <c r="P1020" s="105" t="s">
        <v>350</v>
      </c>
      <c r="Q1020" s="494">
        <v>0</v>
      </c>
      <c r="R1020" s="494">
        <v>0</v>
      </c>
      <c r="S1020" s="494">
        <v>0</v>
      </c>
      <c r="T1020" s="494">
        <v>0</v>
      </c>
      <c r="U1020" s="494">
        <v>0</v>
      </c>
      <c r="V1020" s="493">
        <v>2024</v>
      </c>
      <c r="W1020" s="495" t="s">
        <v>355</v>
      </c>
      <c r="X1020" s="496" t="str">
        <f t="shared" si="64"/>
        <v/>
      </c>
      <c r="Y1020" s="497" t="str">
        <f t="shared" si="66"/>
        <v/>
      </c>
      <c r="Z1020" s="497" t="str">
        <f t="shared" si="66"/>
        <v/>
      </c>
    </row>
    <row r="1021" spans="1:26" s="82" customFormat="1" x14ac:dyDescent="0.4">
      <c r="A1021" s="493">
        <v>56188</v>
      </c>
      <c r="B1021" s="105" t="s">
        <v>329</v>
      </c>
      <c r="C1021" s="493" t="s">
        <v>330</v>
      </c>
      <c r="D1021" s="105" t="s">
        <v>1152</v>
      </c>
      <c r="E1021" s="105" t="s">
        <v>1152</v>
      </c>
      <c r="F1021" s="493">
        <v>49837</v>
      </c>
      <c r="G1021" s="105" t="s">
        <v>52</v>
      </c>
      <c r="H1021" s="105" t="s">
        <v>333</v>
      </c>
      <c r="I1021" s="105" t="s">
        <v>334</v>
      </c>
      <c r="J1021" s="493">
        <v>22</v>
      </c>
      <c r="K1021" s="493">
        <v>2</v>
      </c>
      <c r="L1021" s="105" t="s">
        <v>343</v>
      </c>
      <c r="M1021" s="105" t="s">
        <v>380</v>
      </c>
      <c r="N1021" s="105" t="s">
        <v>228</v>
      </c>
      <c r="O1021" s="105" t="s">
        <v>228</v>
      </c>
      <c r="P1021" s="105" t="s">
        <v>356</v>
      </c>
      <c r="Q1021" s="494">
        <v>85782</v>
      </c>
      <c r="R1021" s="494">
        <v>85782</v>
      </c>
      <c r="S1021" s="494">
        <v>88356</v>
      </c>
      <c r="T1021" s="494">
        <v>88356</v>
      </c>
      <c r="U1021" s="494">
        <v>21067</v>
      </c>
      <c r="V1021" s="493">
        <v>2024</v>
      </c>
      <c r="W1021" s="495" t="s">
        <v>355</v>
      </c>
      <c r="X1021" s="496">
        <f t="shared" si="64"/>
        <v>4.1940475625385671</v>
      </c>
      <c r="Y1021" s="497" t="str">
        <f t="shared" si="66"/>
        <v/>
      </c>
      <c r="Z1021" s="497" t="str">
        <f t="shared" si="66"/>
        <v/>
      </c>
    </row>
    <row r="1022" spans="1:26" s="82" customFormat="1" x14ac:dyDescent="0.4">
      <c r="A1022" s="493">
        <v>56188</v>
      </c>
      <c r="B1022" s="105" t="s">
        <v>329</v>
      </c>
      <c r="C1022" s="493" t="s">
        <v>330</v>
      </c>
      <c r="D1022" s="105" t="s">
        <v>1152</v>
      </c>
      <c r="E1022" s="105" t="s">
        <v>1152</v>
      </c>
      <c r="F1022" s="493">
        <v>49837</v>
      </c>
      <c r="G1022" s="105" t="s">
        <v>52</v>
      </c>
      <c r="H1022" s="105" t="s">
        <v>333</v>
      </c>
      <c r="I1022" s="105" t="s">
        <v>334</v>
      </c>
      <c r="J1022" s="493">
        <v>22</v>
      </c>
      <c r="K1022" s="493">
        <v>2</v>
      </c>
      <c r="L1022" s="105" t="s">
        <v>343</v>
      </c>
      <c r="M1022" s="105" t="s">
        <v>37</v>
      </c>
      <c r="N1022" s="105" t="s">
        <v>242</v>
      </c>
      <c r="O1022" s="105" t="s">
        <v>349</v>
      </c>
      <c r="P1022" s="105" t="s">
        <v>350</v>
      </c>
      <c r="Q1022" s="494">
        <v>0</v>
      </c>
      <c r="R1022" s="494">
        <v>0</v>
      </c>
      <c r="S1022" s="494">
        <v>0</v>
      </c>
      <c r="T1022" s="494">
        <v>0</v>
      </c>
      <c r="U1022" s="494">
        <v>0</v>
      </c>
      <c r="V1022" s="493">
        <v>2024</v>
      </c>
      <c r="W1022" s="495" t="s">
        <v>355</v>
      </c>
      <c r="X1022" s="496" t="str">
        <f t="shared" si="64"/>
        <v/>
      </c>
      <c r="Y1022" s="497" t="str">
        <f t="shared" si="66"/>
        <v/>
      </c>
      <c r="Z1022" s="497" t="str">
        <f t="shared" si="66"/>
        <v/>
      </c>
    </row>
    <row r="1023" spans="1:26" s="82" customFormat="1" x14ac:dyDescent="0.4">
      <c r="A1023" s="493">
        <v>56188</v>
      </c>
      <c r="B1023" s="105" t="s">
        <v>329</v>
      </c>
      <c r="C1023" s="493" t="s">
        <v>330</v>
      </c>
      <c r="D1023" s="105" t="s">
        <v>1152</v>
      </c>
      <c r="E1023" s="105" t="s">
        <v>1152</v>
      </c>
      <c r="F1023" s="493">
        <v>49837</v>
      </c>
      <c r="G1023" s="105" t="s">
        <v>52</v>
      </c>
      <c r="H1023" s="105" t="s">
        <v>333</v>
      </c>
      <c r="I1023" s="105" t="s">
        <v>334</v>
      </c>
      <c r="J1023" s="493">
        <v>22</v>
      </c>
      <c r="K1023" s="493">
        <v>2</v>
      </c>
      <c r="L1023" s="105" t="s">
        <v>343</v>
      </c>
      <c r="M1023" s="105" t="s">
        <v>37</v>
      </c>
      <c r="N1023" s="105" t="s">
        <v>228</v>
      </c>
      <c r="O1023" s="105" t="s">
        <v>228</v>
      </c>
      <c r="P1023" s="105" t="s">
        <v>356</v>
      </c>
      <c r="Q1023" s="494">
        <v>623235</v>
      </c>
      <c r="R1023" s="494">
        <v>623235</v>
      </c>
      <c r="S1023" s="494">
        <v>641932</v>
      </c>
      <c r="T1023" s="494">
        <v>641932</v>
      </c>
      <c r="U1023" s="494">
        <v>55582</v>
      </c>
      <c r="V1023" s="493">
        <v>2024</v>
      </c>
      <c r="W1023" s="495" t="s">
        <v>355</v>
      </c>
      <c r="X1023" s="496">
        <f t="shared" si="64"/>
        <v>11.549278543413335</v>
      </c>
      <c r="Y1023" s="497" t="str">
        <f t="shared" si="66"/>
        <v/>
      </c>
      <c r="Z1023" s="497" t="str">
        <f t="shared" si="66"/>
        <v/>
      </c>
    </row>
    <row r="1024" spans="1:26" s="82" customFormat="1" x14ac:dyDescent="0.4">
      <c r="A1024" s="493">
        <v>56189</v>
      </c>
      <c r="B1024" s="105" t="s">
        <v>329</v>
      </c>
      <c r="C1024" s="493" t="s">
        <v>330</v>
      </c>
      <c r="D1024" s="105" t="s">
        <v>1153</v>
      </c>
      <c r="E1024" s="105" t="s">
        <v>1153</v>
      </c>
      <c r="F1024" s="493">
        <v>49840</v>
      </c>
      <c r="G1024" s="105" t="s">
        <v>37</v>
      </c>
      <c r="H1024" s="105" t="s">
        <v>342</v>
      </c>
      <c r="I1024" s="105" t="s">
        <v>334</v>
      </c>
      <c r="J1024" s="493">
        <v>22</v>
      </c>
      <c r="K1024" s="493">
        <v>2</v>
      </c>
      <c r="L1024" s="105" t="s">
        <v>343</v>
      </c>
      <c r="M1024" s="105" t="s">
        <v>295</v>
      </c>
      <c r="N1024" s="105" t="s">
        <v>226</v>
      </c>
      <c r="O1024" s="105" t="s">
        <v>226</v>
      </c>
      <c r="P1024" s="105" t="s">
        <v>350</v>
      </c>
      <c r="Q1024" s="494">
        <v>4264</v>
      </c>
      <c r="R1024" s="494">
        <v>4264</v>
      </c>
      <c r="S1024" s="494">
        <v>24668</v>
      </c>
      <c r="T1024" s="494">
        <v>24668</v>
      </c>
      <c r="U1024" s="494">
        <v>2136</v>
      </c>
      <c r="V1024" s="493">
        <v>2024</v>
      </c>
      <c r="W1024" s="495"/>
      <c r="X1024" s="496">
        <f t="shared" si="64"/>
        <v>11.54868913857678</v>
      </c>
      <c r="Y1024" s="497" t="str">
        <f t="shared" si="66"/>
        <v/>
      </c>
      <c r="Z1024" s="497" t="str">
        <f t="shared" si="66"/>
        <v/>
      </c>
    </row>
    <row r="1025" spans="1:26" s="82" customFormat="1" ht="32" x14ac:dyDescent="0.4">
      <c r="A1025" s="493">
        <v>56196</v>
      </c>
      <c r="B1025" s="105" t="s">
        <v>329</v>
      </c>
      <c r="C1025" s="493" t="s">
        <v>330</v>
      </c>
      <c r="D1025" s="105" t="s">
        <v>1154</v>
      </c>
      <c r="E1025" s="105" t="s">
        <v>332</v>
      </c>
      <c r="F1025" s="493">
        <v>15296</v>
      </c>
      <c r="G1025" s="105" t="s">
        <v>52</v>
      </c>
      <c r="H1025" s="105" t="s">
        <v>333</v>
      </c>
      <c r="I1025" s="105" t="s">
        <v>334</v>
      </c>
      <c r="J1025" s="493">
        <v>22</v>
      </c>
      <c r="K1025" s="493">
        <v>1</v>
      </c>
      <c r="L1025" s="105" t="s">
        <v>335</v>
      </c>
      <c r="M1025" s="105" t="s">
        <v>380</v>
      </c>
      <c r="N1025" s="105" t="s">
        <v>226</v>
      </c>
      <c r="O1025" s="105" t="s">
        <v>226</v>
      </c>
      <c r="P1025" s="105" t="s">
        <v>350</v>
      </c>
      <c r="Q1025" s="494">
        <v>0</v>
      </c>
      <c r="R1025" s="494">
        <v>0</v>
      </c>
      <c r="S1025" s="494">
        <v>0</v>
      </c>
      <c r="T1025" s="494">
        <v>0</v>
      </c>
      <c r="U1025" s="494">
        <v>0</v>
      </c>
      <c r="V1025" s="493">
        <v>2024</v>
      </c>
      <c r="W1025" s="495" t="s">
        <v>355</v>
      </c>
      <c r="X1025" s="496" t="str">
        <f t="shared" si="64"/>
        <v/>
      </c>
      <c r="Y1025" s="497" t="str">
        <f t="shared" si="66"/>
        <v/>
      </c>
      <c r="Z1025" s="497" t="str">
        <f t="shared" si="66"/>
        <v/>
      </c>
    </row>
    <row r="1026" spans="1:26" s="82" customFormat="1" ht="32" x14ac:dyDescent="0.4">
      <c r="A1026" s="493">
        <v>56196</v>
      </c>
      <c r="B1026" s="105" t="s">
        <v>329</v>
      </c>
      <c r="C1026" s="493" t="s">
        <v>330</v>
      </c>
      <c r="D1026" s="105" t="s">
        <v>1154</v>
      </c>
      <c r="E1026" s="105" t="s">
        <v>332</v>
      </c>
      <c r="F1026" s="493">
        <v>15296</v>
      </c>
      <c r="G1026" s="105" t="s">
        <v>52</v>
      </c>
      <c r="H1026" s="105" t="s">
        <v>333</v>
      </c>
      <c r="I1026" s="105" t="s">
        <v>334</v>
      </c>
      <c r="J1026" s="493">
        <v>22</v>
      </c>
      <c r="K1026" s="493">
        <v>1</v>
      </c>
      <c r="L1026" s="105" t="s">
        <v>335</v>
      </c>
      <c r="M1026" s="105" t="s">
        <v>380</v>
      </c>
      <c r="N1026" s="105" t="s">
        <v>228</v>
      </c>
      <c r="O1026" s="105" t="s">
        <v>228</v>
      </c>
      <c r="P1026" s="105" t="s">
        <v>356</v>
      </c>
      <c r="Q1026" s="494">
        <v>0</v>
      </c>
      <c r="R1026" s="494">
        <v>0</v>
      </c>
      <c r="S1026" s="494">
        <v>0</v>
      </c>
      <c r="T1026" s="494">
        <v>0</v>
      </c>
      <c r="U1026" s="494">
        <v>1294882</v>
      </c>
      <c r="V1026" s="493">
        <v>2024</v>
      </c>
      <c r="W1026" s="495" t="s">
        <v>355</v>
      </c>
      <c r="X1026" s="496" t="str">
        <f t="shared" si="64"/>
        <v/>
      </c>
      <c r="Y1026" s="497" t="str">
        <f t="shared" si="66"/>
        <v/>
      </c>
      <c r="Z1026" s="497" t="str">
        <f t="shared" si="66"/>
        <v/>
      </c>
    </row>
    <row r="1027" spans="1:26" s="82" customFormat="1" ht="32" x14ac:dyDescent="0.4">
      <c r="A1027" s="493">
        <v>56196</v>
      </c>
      <c r="B1027" s="105" t="s">
        <v>329</v>
      </c>
      <c r="C1027" s="493" t="s">
        <v>330</v>
      </c>
      <c r="D1027" s="105" t="s">
        <v>1154</v>
      </c>
      <c r="E1027" s="105" t="s">
        <v>332</v>
      </c>
      <c r="F1027" s="493">
        <v>15296</v>
      </c>
      <c r="G1027" s="105" t="s">
        <v>52</v>
      </c>
      <c r="H1027" s="105" t="s">
        <v>333</v>
      </c>
      <c r="I1027" s="105" t="s">
        <v>334</v>
      </c>
      <c r="J1027" s="493">
        <v>22</v>
      </c>
      <c r="K1027" s="493">
        <v>1</v>
      </c>
      <c r="L1027" s="105" t="s">
        <v>335</v>
      </c>
      <c r="M1027" s="105" t="s">
        <v>37</v>
      </c>
      <c r="N1027" s="105" t="s">
        <v>226</v>
      </c>
      <c r="O1027" s="105" t="s">
        <v>226</v>
      </c>
      <c r="P1027" s="105" t="s">
        <v>350</v>
      </c>
      <c r="Q1027" s="494">
        <v>0</v>
      </c>
      <c r="R1027" s="494">
        <v>0</v>
      </c>
      <c r="S1027" s="494">
        <v>0</v>
      </c>
      <c r="T1027" s="494">
        <v>0</v>
      </c>
      <c r="U1027" s="494">
        <v>0</v>
      </c>
      <c r="V1027" s="493">
        <v>2024</v>
      </c>
      <c r="W1027" s="495" t="s">
        <v>355</v>
      </c>
      <c r="X1027" s="496" t="str">
        <f t="shared" si="64"/>
        <v/>
      </c>
      <c r="Y1027" s="497" t="str">
        <f t="shared" si="66"/>
        <v/>
      </c>
      <c r="Z1027" s="497" t="str">
        <f t="shared" si="66"/>
        <v/>
      </c>
    </row>
    <row r="1028" spans="1:26" s="82" customFormat="1" ht="32" x14ac:dyDescent="0.4">
      <c r="A1028" s="493">
        <v>56196</v>
      </c>
      <c r="B1028" s="105" t="s">
        <v>329</v>
      </c>
      <c r="C1028" s="493" t="s">
        <v>330</v>
      </c>
      <c r="D1028" s="105" t="s">
        <v>1154</v>
      </c>
      <c r="E1028" s="105" t="s">
        <v>332</v>
      </c>
      <c r="F1028" s="493">
        <v>15296</v>
      </c>
      <c r="G1028" s="105" t="s">
        <v>52</v>
      </c>
      <c r="H1028" s="105" t="s">
        <v>333</v>
      </c>
      <c r="I1028" s="105" t="s">
        <v>334</v>
      </c>
      <c r="J1028" s="493">
        <v>22</v>
      </c>
      <c r="K1028" s="493">
        <v>1</v>
      </c>
      <c r="L1028" s="105" t="s">
        <v>335</v>
      </c>
      <c r="M1028" s="105" t="s">
        <v>37</v>
      </c>
      <c r="N1028" s="105" t="s">
        <v>228</v>
      </c>
      <c r="O1028" s="105" t="s">
        <v>228</v>
      </c>
      <c r="P1028" s="105" t="s">
        <v>356</v>
      </c>
      <c r="Q1028" s="494">
        <v>25472307</v>
      </c>
      <c r="R1028" s="494">
        <v>25472307</v>
      </c>
      <c r="S1028" s="494">
        <v>26202376</v>
      </c>
      <c r="T1028" s="494">
        <v>26202376</v>
      </c>
      <c r="U1028" s="494">
        <v>2386370</v>
      </c>
      <c r="V1028" s="493">
        <v>2024</v>
      </c>
      <c r="W1028" s="495" t="s">
        <v>355</v>
      </c>
      <c r="X1028" s="496">
        <f t="shared" si="64"/>
        <v>10.980013996153152</v>
      </c>
      <c r="Y1028" s="497" t="str">
        <f t="shared" ref="Y1028:Z1047" si="67">IF(AND($M1028=$Y$2,$N1028=$Y$3,NOT($Q1028=$R1028),NOT($U1028=0)),IF($K1028=5,$S1028/($U1028+(8/5)*$U1028),IF($K1028=7,$S1028/($U1028+(29/25)*$U1028),"")),"")</f>
        <v/>
      </c>
      <c r="Z1028" s="497" t="str">
        <f t="shared" si="67"/>
        <v/>
      </c>
    </row>
    <row r="1029" spans="1:26" s="82" customFormat="1" ht="32" x14ac:dyDescent="0.4">
      <c r="A1029" s="493">
        <v>56234</v>
      </c>
      <c r="B1029" s="105" t="s">
        <v>329</v>
      </c>
      <c r="C1029" s="493" t="s">
        <v>330</v>
      </c>
      <c r="D1029" s="105" t="s">
        <v>1155</v>
      </c>
      <c r="E1029" s="105" t="s">
        <v>1156</v>
      </c>
      <c r="F1029" s="493">
        <v>49950</v>
      </c>
      <c r="G1029" s="105" t="s">
        <v>52</v>
      </c>
      <c r="H1029" s="105" t="s">
        <v>333</v>
      </c>
      <c r="I1029" s="105" t="s">
        <v>334</v>
      </c>
      <c r="J1029" s="493">
        <v>22</v>
      </c>
      <c r="K1029" s="493">
        <v>2</v>
      </c>
      <c r="L1029" s="105" t="s">
        <v>343</v>
      </c>
      <c r="M1029" s="105" t="s">
        <v>380</v>
      </c>
      <c r="N1029" s="105" t="s">
        <v>226</v>
      </c>
      <c r="O1029" s="105" t="s">
        <v>226</v>
      </c>
      <c r="P1029" s="105" t="s">
        <v>350</v>
      </c>
      <c r="Q1029" s="494">
        <v>0</v>
      </c>
      <c r="R1029" s="494">
        <v>0</v>
      </c>
      <c r="S1029" s="494">
        <v>0</v>
      </c>
      <c r="T1029" s="494">
        <v>0</v>
      </c>
      <c r="U1029" s="494">
        <v>112.155</v>
      </c>
      <c r="V1029" s="493">
        <v>2024</v>
      </c>
      <c r="W1029" s="495" t="s">
        <v>355</v>
      </c>
      <c r="X1029" s="496" t="str">
        <f t="shared" si="64"/>
        <v/>
      </c>
      <c r="Y1029" s="497" t="str">
        <f t="shared" si="67"/>
        <v/>
      </c>
      <c r="Z1029" s="497" t="str">
        <f t="shared" si="67"/>
        <v/>
      </c>
    </row>
    <row r="1030" spans="1:26" s="82" customFormat="1" ht="32" x14ac:dyDescent="0.4">
      <c r="A1030" s="493">
        <v>56234</v>
      </c>
      <c r="B1030" s="105" t="s">
        <v>329</v>
      </c>
      <c r="C1030" s="493" t="s">
        <v>330</v>
      </c>
      <c r="D1030" s="105" t="s">
        <v>1155</v>
      </c>
      <c r="E1030" s="105" t="s">
        <v>1156</v>
      </c>
      <c r="F1030" s="493">
        <v>49950</v>
      </c>
      <c r="G1030" s="105" t="s">
        <v>52</v>
      </c>
      <c r="H1030" s="105" t="s">
        <v>333</v>
      </c>
      <c r="I1030" s="105" t="s">
        <v>334</v>
      </c>
      <c r="J1030" s="493">
        <v>22</v>
      </c>
      <c r="K1030" s="493">
        <v>2</v>
      </c>
      <c r="L1030" s="105" t="s">
        <v>343</v>
      </c>
      <c r="M1030" s="105" t="s">
        <v>380</v>
      </c>
      <c r="N1030" s="105" t="s">
        <v>228</v>
      </c>
      <c r="O1030" s="105" t="s">
        <v>228</v>
      </c>
      <c r="P1030" s="105" t="s">
        <v>356</v>
      </c>
      <c r="Q1030" s="494">
        <v>960479</v>
      </c>
      <c r="R1030" s="494">
        <v>960479</v>
      </c>
      <c r="S1030" s="494">
        <v>993768</v>
      </c>
      <c r="T1030" s="494">
        <v>993768</v>
      </c>
      <c r="U1030" s="494">
        <v>727789.85</v>
      </c>
      <c r="V1030" s="493">
        <v>2024</v>
      </c>
      <c r="W1030" s="495" t="s">
        <v>355</v>
      </c>
      <c r="X1030" s="496">
        <f t="shared" si="64"/>
        <v>1.3654600981313494</v>
      </c>
      <c r="Y1030" s="497" t="str">
        <f t="shared" si="67"/>
        <v/>
      </c>
      <c r="Z1030" s="497" t="str">
        <f t="shared" si="67"/>
        <v/>
      </c>
    </row>
    <row r="1031" spans="1:26" s="82" customFormat="1" ht="32" x14ac:dyDescent="0.4">
      <c r="A1031" s="493">
        <v>56234</v>
      </c>
      <c r="B1031" s="105" t="s">
        <v>329</v>
      </c>
      <c r="C1031" s="493" t="s">
        <v>330</v>
      </c>
      <c r="D1031" s="105" t="s">
        <v>1155</v>
      </c>
      <c r="E1031" s="105" t="s">
        <v>1156</v>
      </c>
      <c r="F1031" s="493">
        <v>49950</v>
      </c>
      <c r="G1031" s="105" t="s">
        <v>52</v>
      </c>
      <c r="H1031" s="105" t="s">
        <v>333</v>
      </c>
      <c r="I1031" s="105" t="s">
        <v>334</v>
      </c>
      <c r="J1031" s="493">
        <v>22</v>
      </c>
      <c r="K1031" s="493">
        <v>2</v>
      </c>
      <c r="L1031" s="105" t="s">
        <v>343</v>
      </c>
      <c r="M1031" s="105" t="s">
        <v>37</v>
      </c>
      <c r="N1031" s="105" t="s">
        <v>226</v>
      </c>
      <c r="O1031" s="105" t="s">
        <v>226</v>
      </c>
      <c r="P1031" s="105" t="s">
        <v>350</v>
      </c>
      <c r="Q1031" s="494">
        <v>354</v>
      </c>
      <c r="R1031" s="494">
        <v>354</v>
      </c>
      <c r="S1031" s="494">
        <v>2081</v>
      </c>
      <c r="T1031" s="494">
        <v>2081</v>
      </c>
      <c r="U1031" s="494">
        <v>187.56</v>
      </c>
      <c r="V1031" s="493">
        <v>2024</v>
      </c>
      <c r="W1031" s="495" t="s">
        <v>355</v>
      </c>
      <c r="X1031" s="496">
        <f t="shared" si="64"/>
        <v>11.095116229473236</v>
      </c>
      <c r="Y1031" s="497" t="str">
        <f t="shared" si="67"/>
        <v/>
      </c>
      <c r="Z1031" s="497" t="str">
        <f t="shared" si="67"/>
        <v/>
      </c>
    </row>
    <row r="1032" spans="1:26" s="82" customFormat="1" ht="32" x14ac:dyDescent="0.4">
      <c r="A1032" s="493">
        <v>56234</v>
      </c>
      <c r="B1032" s="105" t="s">
        <v>329</v>
      </c>
      <c r="C1032" s="493" t="s">
        <v>330</v>
      </c>
      <c r="D1032" s="105" t="s">
        <v>1155</v>
      </c>
      <c r="E1032" s="105" t="s">
        <v>1156</v>
      </c>
      <c r="F1032" s="493">
        <v>49950</v>
      </c>
      <c r="G1032" s="105" t="s">
        <v>52</v>
      </c>
      <c r="H1032" s="105" t="s">
        <v>333</v>
      </c>
      <c r="I1032" s="105" t="s">
        <v>334</v>
      </c>
      <c r="J1032" s="493">
        <v>22</v>
      </c>
      <c r="K1032" s="493">
        <v>2</v>
      </c>
      <c r="L1032" s="105" t="s">
        <v>343</v>
      </c>
      <c r="M1032" s="105" t="s">
        <v>37</v>
      </c>
      <c r="N1032" s="105" t="s">
        <v>228</v>
      </c>
      <c r="O1032" s="105" t="s">
        <v>228</v>
      </c>
      <c r="P1032" s="105" t="s">
        <v>356</v>
      </c>
      <c r="Q1032" s="494">
        <v>12215102</v>
      </c>
      <c r="R1032" s="494">
        <v>12215102</v>
      </c>
      <c r="S1032" s="494">
        <v>12633317</v>
      </c>
      <c r="T1032" s="494">
        <v>12633317</v>
      </c>
      <c r="U1032" s="494">
        <v>1125031.3999999999</v>
      </c>
      <c r="V1032" s="493">
        <v>2024</v>
      </c>
      <c r="W1032" s="495" t="s">
        <v>355</v>
      </c>
      <c r="X1032" s="496">
        <f t="shared" si="64"/>
        <v>11.229301688823975</v>
      </c>
      <c r="Y1032" s="497" t="str">
        <f t="shared" si="67"/>
        <v/>
      </c>
      <c r="Z1032" s="497" t="str">
        <f t="shared" si="67"/>
        <v/>
      </c>
    </row>
    <row r="1033" spans="1:26" s="82" customFormat="1" x14ac:dyDescent="0.4">
      <c r="A1033" s="493">
        <v>56250</v>
      </c>
      <c r="B1033" s="105" t="s">
        <v>329</v>
      </c>
      <c r="C1033" s="493" t="s">
        <v>330</v>
      </c>
      <c r="D1033" s="105" t="s">
        <v>1157</v>
      </c>
      <c r="E1033" s="105" t="s">
        <v>1065</v>
      </c>
      <c r="F1033" s="493">
        <v>17283</v>
      </c>
      <c r="G1033" s="105" t="s">
        <v>52</v>
      </c>
      <c r="H1033" s="105" t="s">
        <v>333</v>
      </c>
      <c r="I1033" s="105" t="s">
        <v>334</v>
      </c>
      <c r="J1033" s="493">
        <v>22</v>
      </c>
      <c r="K1033" s="493">
        <v>2</v>
      </c>
      <c r="L1033" s="105" t="s">
        <v>343</v>
      </c>
      <c r="M1033" s="105" t="s">
        <v>359</v>
      </c>
      <c r="N1033" s="105" t="s">
        <v>252</v>
      </c>
      <c r="O1033" s="105" t="s">
        <v>688</v>
      </c>
      <c r="P1033" s="105" t="s">
        <v>356</v>
      </c>
      <c r="Q1033" s="494">
        <v>2006626</v>
      </c>
      <c r="R1033" s="494">
        <v>2006626</v>
      </c>
      <c r="S1033" s="494">
        <v>919034</v>
      </c>
      <c r="T1033" s="494">
        <v>919034</v>
      </c>
      <c r="U1033" s="494">
        <v>68535</v>
      </c>
      <c r="V1033" s="493">
        <v>2024</v>
      </c>
      <c r="W1033" s="495"/>
      <c r="X1033" s="496">
        <f t="shared" ref="X1033:X1096" si="68">IF(OR(K1033&gt;3,T1033=0,NOT(U1033&gt;0)),"",T1033/U1033)</f>
        <v>13.40970307142336</v>
      </c>
      <c r="Y1033" s="497" t="str">
        <f t="shared" si="67"/>
        <v/>
      </c>
      <c r="Z1033" s="497" t="str">
        <f t="shared" si="67"/>
        <v/>
      </c>
    </row>
    <row r="1034" spans="1:26" s="82" customFormat="1" ht="32" x14ac:dyDescent="0.4">
      <c r="A1034" s="493">
        <v>56259</v>
      </c>
      <c r="B1034" s="105" t="s">
        <v>433</v>
      </c>
      <c r="C1034" s="493" t="s">
        <v>330</v>
      </c>
      <c r="D1034" s="105" t="s">
        <v>1158</v>
      </c>
      <c r="E1034" s="105" t="s">
        <v>1158</v>
      </c>
      <c r="F1034" s="493">
        <v>56480</v>
      </c>
      <c r="G1034" s="105" t="s">
        <v>52</v>
      </c>
      <c r="H1034" s="105" t="s">
        <v>333</v>
      </c>
      <c r="I1034" s="105" t="s">
        <v>334</v>
      </c>
      <c r="J1034" s="493">
        <v>22</v>
      </c>
      <c r="K1034" s="493">
        <v>3</v>
      </c>
      <c r="L1034" s="105" t="s">
        <v>436</v>
      </c>
      <c r="M1034" s="105" t="s">
        <v>380</v>
      </c>
      <c r="N1034" s="105" t="s">
        <v>226</v>
      </c>
      <c r="O1034" s="105" t="s">
        <v>226</v>
      </c>
      <c r="P1034" s="105" t="s">
        <v>350</v>
      </c>
      <c r="Q1034" s="494">
        <v>0</v>
      </c>
      <c r="R1034" s="494">
        <v>0</v>
      </c>
      <c r="S1034" s="494">
        <v>0</v>
      </c>
      <c r="T1034" s="494">
        <v>0</v>
      </c>
      <c r="U1034" s="494">
        <v>457.00700000000001</v>
      </c>
      <c r="V1034" s="493">
        <v>2024</v>
      </c>
      <c r="W1034" s="495"/>
      <c r="X1034" s="496" t="str">
        <f t="shared" si="68"/>
        <v/>
      </c>
      <c r="Y1034" s="497" t="str">
        <f t="shared" si="67"/>
        <v/>
      </c>
      <c r="Z1034" s="497" t="str">
        <f t="shared" si="67"/>
        <v/>
      </c>
    </row>
    <row r="1035" spans="1:26" s="82" customFormat="1" ht="32" x14ac:dyDescent="0.4">
      <c r="A1035" s="493">
        <v>56259</v>
      </c>
      <c r="B1035" s="105" t="s">
        <v>433</v>
      </c>
      <c r="C1035" s="493" t="s">
        <v>330</v>
      </c>
      <c r="D1035" s="105" t="s">
        <v>1158</v>
      </c>
      <c r="E1035" s="105" t="s">
        <v>1158</v>
      </c>
      <c r="F1035" s="493">
        <v>56480</v>
      </c>
      <c r="G1035" s="105" t="s">
        <v>52</v>
      </c>
      <c r="H1035" s="105" t="s">
        <v>333</v>
      </c>
      <c r="I1035" s="105" t="s">
        <v>334</v>
      </c>
      <c r="J1035" s="493">
        <v>22</v>
      </c>
      <c r="K1035" s="493">
        <v>3</v>
      </c>
      <c r="L1035" s="105" t="s">
        <v>436</v>
      </c>
      <c r="M1035" s="105" t="s">
        <v>380</v>
      </c>
      <c r="N1035" s="105" t="s">
        <v>228</v>
      </c>
      <c r="O1035" s="105" t="s">
        <v>228</v>
      </c>
      <c r="P1035" s="105" t="s">
        <v>356</v>
      </c>
      <c r="Q1035" s="494">
        <v>1303004</v>
      </c>
      <c r="R1035" s="494">
        <v>1303004</v>
      </c>
      <c r="S1035" s="494">
        <v>1342333</v>
      </c>
      <c r="T1035" s="494">
        <v>1342333</v>
      </c>
      <c r="U1035" s="494">
        <v>1138161</v>
      </c>
      <c r="V1035" s="493">
        <v>2024</v>
      </c>
      <c r="W1035" s="495"/>
      <c r="X1035" s="496">
        <f t="shared" si="68"/>
        <v>1.1793876261794245</v>
      </c>
      <c r="Y1035" s="497" t="str">
        <f t="shared" si="67"/>
        <v/>
      </c>
      <c r="Z1035" s="497" t="str">
        <f t="shared" si="67"/>
        <v/>
      </c>
    </row>
    <row r="1036" spans="1:26" s="82" customFormat="1" ht="32" x14ac:dyDescent="0.4">
      <c r="A1036" s="493">
        <v>56259</v>
      </c>
      <c r="B1036" s="105" t="s">
        <v>433</v>
      </c>
      <c r="C1036" s="493" t="s">
        <v>330</v>
      </c>
      <c r="D1036" s="105" t="s">
        <v>1158</v>
      </c>
      <c r="E1036" s="105" t="s">
        <v>1158</v>
      </c>
      <c r="F1036" s="493">
        <v>56480</v>
      </c>
      <c r="G1036" s="105" t="s">
        <v>52</v>
      </c>
      <c r="H1036" s="105" t="s">
        <v>333</v>
      </c>
      <c r="I1036" s="105" t="s">
        <v>334</v>
      </c>
      <c r="J1036" s="493">
        <v>22</v>
      </c>
      <c r="K1036" s="493">
        <v>3</v>
      </c>
      <c r="L1036" s="105" t="s">
        <v>436</v>
      </c>
      <c r="M1036" s="105" t="s">
        <v>37</v>
      </c>
      <c r="N1036" s="105" t="s">
        <v>226</v>
      </c>
      <c r="O1036" s="105" t="s">
        <v>226</v>
      </c>
      <c r="P1036" s="105" t="s">
        <v>350</v>
      </c>
      <c r="Q1036" s="494">
        <v>2026</v>
      </c>
      <c r="R1036" s="494">
        <v>1819</v>
      </c>
      <c r="S1036" s="494">
        <v>11700</v>
      </c>
      <c r="T1036" s="494">
        <v>10506</v>
      </c>
      <c r="U1036" s="494">
        <v>919.49300000000005</v>
      </c>
      <c r="V1036" s="493">
        <v>2024</v>
      </c>
      <c r="W1036" s="495"/>
      <c r="X1036" s="496">
        <f t="shared" si="68"/>
        <v>11.425861860829826</v>
      </c>
      <c r="Y1036" s="497" t="str">
        <f t="shared" si="67"/>
        <v/>
      </c>
      <c r="Z1036" s="497" t="str">
        <f t="shared" si="67"/>
        <v/>
      </c>
    </row>
    <row r="1037" spans="1:26" s="82" customFormat="1" ht="32" x14ac:dyDescent="0.4">
      <c r="A1037" s="493">
        <v>56259</v>
      </c>
      <c r="B1037" s="105" t="s">
        <v>433</v>
      </c>
      <c r="C1037" s="493" t="s">
        <v>330</v>
      </c>
      <c r="D1037" s="105" t="s">
        <v>1158</v>
      </c>
      <c r="E1037" s="105" t="s">
        <v>1158</v>
      </c>
      <c r="F1037" s="493">
        <v>56480</v>
      </c>
      <c r="G1037" s="105" t="s">
        <v>52</v>
      </c>
      <c r="H1037" s="105" t="s">
        <v>333</v>
      </c>
      <c r="I1037" s="105" t="s">
        <v>334</v>
      </c>
      <c r="J1037" s="493">
        <v>22</v>
      </c>
      <c r="K1037" s="493">
        <v>3</v>
      </c>
      <c r="L1037" s="105" t="s">
        <v>436</v>
      </c>
      <c r="M1037" s="105" t="s">
        <v>37</v>
      </c>
      <c r="N1037" s="105" t="s">
        <v>228</v>
      </c>
      <c r="O1037" s="105" t="s">
        <v>228</v>
      </c>
      <c r="P1037" s="105" t="s">
        <v>356</v>
      </c>
      <c r="Q1037" s="494">
        <v>19594232</v>
      </c>
      <c r="R1037" s="494">
        <v>19594232</v>
      </c>
      <c r="S1037" s="494">
        <v>20187433</v>
      </c>
      <c r="T1037" s="494">
        <v>20187433</v>
      </c>
      <c r="U1037" s="494">
        <v>1751934.5</v>
      </c>
      <c r="V1037" s="493">
        <v>2024</v>
      </c>
      <c r="W1037" s="495"/>
      <c r="X1037" s="496">
        <f t="shared" si="68"/>
        <v>11.522938214870477</v>
      </c>
      <c r="Y1037" s="497" t="str">
        <f t="shared" si="67"/>
        <v/>
      </c>
      <c r="Z1037" s="497" t="str">
        <f t="shared" si="67"/>
        <v/>
      </c>
    </row>
    <row r="1038" spans="1:26" s="82" customFormat="1" ht="32" x14ac:dyDescent="0.4">
      <c r="A1038" s="493">
        <v>56290</v>
      </c>
      <c r="B1038" s="105" t="s">
        <v>329</v>
      </c>
      <c r="C1038" s="493" t="s">
        <v>330</v>
      </c>
      <c r="D1038" s="105" t="s">
        <v>1159</v>
      </c>
      <c r="E1038" s="105" t="s">
        <v>1160</v>
      </c>
      <c r="F1038" s="493">
        <v>54684</v>
      </c>
      <c r="G1038" s="105" t="s">
        <v>52</v>
      </c>
      <c r="H1038" s="105" t="s">
        <v>333</v>
      </c>
      <c r="I1038" s="105" t="s">
        <v>334</v>
      </c>
      <c r="J1038" s="493">
        <v>22</v>
      </c>
      <c r="K1038" s="493">
        <v>2</v>
      </c>
      <c r="L1038" s="105" t="s">
        <v>343</v>
      </c>
      <c r="M1038" s="105" t="s">
        <v>695</v>
      </c>
      <c r="N1038" s="105" t="s">
        <v>696</v>
      </c>
      <c r="O1038" s="105" t="s">
        <v>696</v>
      </c>
      <c r="P1038" s="105" t="s">
        <v>339</v>
      </c>
      <c r="Q1038" s="494">
        <v>0</v>
      </c>
      <c r="R1038" s="494">
        <v>0</v>
      </c>
      <c r="S1038" s="494">
        <v>2171922</v>
      </c>
      <c r="T1038" s="494">
        <v>2171922</v>
      </c>
      <c r="U1038" s="494">
        <v>636554</v>
      </c>
      <c r="V1038" s="493">
        <v>2024</v>
      </c>
      <c r="W1038" s="495"/>
      <c r="X1038" s="496">
        <f t="shared" si="68"/>
        <v>3.4119996104022596</v>
      </c>
      <c r="Y1038" s="497" t="str">
        <f t="shared" si="67"/>
        <v/>
      </c>
      <c r="Z1038" s="497" t="str">
        <f t="shared" si="67"/>
        <v/>
      </c>
    </row>
    <row r="1039" spans="1:26" s="82" customFormat="1" ht="32" x14ac:dyDescent="0.4">
      <c r="A1039" s="493">
        <v>56323</v>
      </c>
      <c r="B1039" s="105" t="s">
        <v>329</v>
      </c>
      <c r="C1039" s="493" t="s">
        <v>330</v>
      </c>
      <c r="D1039" s="105" t="s">
        <v>1161</v>
      </c>
      <c r="E1039" s="105" t="s">
        <v>1162</v>
      </c>
      <c r="F1039" s="493">
        <v>50158</v>
      </c>
      <c r="G1039" s="105" t="s">
        <v>52</v>
      </c>
      <c r="H1039" s="105" t="s">
        <v>333</v>
      </c>
      <c r="I1039" s="105" t="s">
        <v>334</v>
      </c>
      <c r="J1039" s="493">
        <v>22</v>
      </c>
      <c r="K1039" s="493">
        <v>2</v>
      </c>
      <c r="L1039" s="105" t="s">
        <v>343</v>
      </c>
      <c r="M1039" s="105" t="s">
        <v>359</v>
      </c>
      <c r="N1039" s="105" t="s">
        <v>252</v>
      </c>
      <c r="O1039" s="105" t="s">
        <v>688</v>
      </c>
      <c r="P1039" s="105" t="s">
        <v>356</v>
      </c>
      <c r="Q1039" s="494">
        <v>671545</v>
      </c>
      <c r="R1039" s="494">
        <v>671545</v>
      </c>
      <c r="S1039" s="494">
        <v>359949</v>
      </c>
      <c r="T1039" s="494">
        <v>359949</v>
      </c>
      <c r="U1039" s="494">
        <v>32288</v>
      </c>
      <c r="V1039" s="493">
        <v>2024</v>
      </c>
      <c r="W1039" s="495"/>
      <c r="X1039" s="496">
        <f t="shared" si="68"/>
        <v>11.148073587710604</v>
      </c>
      <c r="Y1039" s="497" t="str">
        <f t="shared" si="67"/>
        <v/>
      </c>
      <c r="Z1039" s="497" t="str">
        <f t="shared" si="67"/>
        <v/>
      </c>
    </row>
    <row r="1040" spans="1:26" s="82" customFormat="1" ht="32" x14ac:dyDescent="0.4">
      <c r="A1040" s="493">
        <v>56324</v>
      </c>
      <c r="B1040" s="105" t="s">
        <v>329</v>
      </c>
      <c r="C1040" s="493" t="s">
        <v>330</v>
      </c>
      <c r="D1040" s="105" t="s">
        <v>1163</v>
      </c>
      <c r="E1040" s="105" t="s">
        <v>1162</v>
      </c>
      <c r="F1040" s="493">
        <v>50158</v>
      </c>
      <c r="G1040" s="105" t="s">
        <v>52</v>
      </c>
      <c r="H1040" s="105" t="s">
        <v>333</v>
      </c>
      <c r="I1040" s="105" t="s">
        <v>334</v>
      </c>
      <c r="J1040" s="493">
        <v>22</v>
      </c>
      <c r="K1040" s="493">
        <v>2</v>
      </c>
      <c r="L1040" s="105" t="s">
        <v>343</v>
      </c>
      <c r="M1040" s="105" t="s">
        <v>359</v>
      </c>
      <c r="N1040" s="105" t="s">
        <v>252</v>
      </c>
      <c r="O1040" s="105" t="s">
        <v>688</v>
      </c>
      <c r="P1040" s="105" t="s">
        <v>356</v>
      </c>
      <c r="Q1040" s="494">
        <v>831236</v>
      </c>
      <c r="R1040" s="494">
        <v>831236</v>
      </c>
      <c r="S1040" s="494">
        <v>443049</v>
      </c>
      <c r="T1040" s="494">
        <v>443049</v>
      </c>
      <c r="U1040" s="494">
        <v>40892</v>
      </c>
      <c r="V1040" s="493">
        <v>2024</v>
      </c>
      <c r="W1040" s="495"/>
      <c r="X1040" s="496">
        <f t="shared" si="68"/>
        <v>10.834613127262056</v>
      </c>
      <c r="Y1040" s="497" t="str">
        <f t="shared" si="67"/>
        <v/>
      </c>
      <c r="Z1040" s="497" t="str">
        <f t="shared" si="67"/>
        <v/>
      </c>
    </row>
    <row r="1041" spans="1:26" s="82" customFormat="1" x14ac:dyDescent="0.4">
      <c r="A1041" s="493">
        <v>56399</v>
      </c>
      <c r="B1041" s="105" t="s">
        <v>329</v>
      </c>
      <c r="C1041" s="493" t="s">
        <v>330</v>
      </c>
      <c r="D1041" s="105" t="s">
        <v>1164</v>
      </c>
      <c r="E1041" s="105" t="s">
        <v>1165</v>
      </c>
      <c r="F1041" s="493">
        <v>15399</v>
      </c>
      <c r="G1041" s="105" t="s">
        <v>35</v>
      </c>
      <c r="H1041" s="105" t="s">
        <v>342</v>
      </c>
      <c r="I1041" s="105" t="s">
        <v>334</v>
      </c>
      <c r="J1041" s="493">
        <v>22</v>
      </c>
      <c r="K1041" s="493">
        <v>2</v>
      </c>
      <c r="L1041" s="105" t="s">
        <v>343</v>
      </c>
      <c r="M1041" s="105" t="s">
        <v>695</v>
      </c>
      <c r="N1041" s="105" t="s">
        <v>696</v>
      </c>
      <c r="O1041" s="105" t="s">
        <v>696</v>
      </c>
      <c r="P1041" s="105" t="s">
        <v>339</v>
      </c>
      <c r="Q1041" s="494">
        <v>0</v>
      </c>
      <c r="R1041" s="494">
        <v>0</v>
      </c>
      <c r="S1041" s="494">
        <v>209519</v>
      </c>
      <c r="T1041" s="494">
        <v>209519</v>
      </c>
      <c r="U1041" s="494">
        <v>61406</v>
      </c>
      <c r="V1041" s="493">
        <v>2024</v>
      </c>
      <c r="W1041" s="495"/>
      <c r="X1041" s="496">
        <f t="shared" si="68"/>
        <v>3.4120281405725823</v>
      </c>
      <c r="Y1041" s="497" t="str">
        <f t="shared" si="67"/>
        <v/>
      </c>
      <c r="Z1041" s="497" t="str">
        <f t="shared" si="67"/>
        <v/>
      </c>
    </row>
    <row r="1042" spans="1:26" s="82" customFormat="1" ht="32" x14ac:dyDescent="0.4">
      <c r="A1042" s="493">
        <v>56426</v>
      </c>
      <c r="B1042" s="105" t="s">
        <v>329</v>
      </c>
      <c r="C1042" s="493" t="s">
        <v>330</v>
      </c>
      <c r="D1042" s="105" t="s">
        <v>1166</v>
      </c>
      <c r="E1042" s="105" t="s">
        <v>1167</v>
      </c>
      <c r="F1042" s="493">
        <v>54812</v>
      </c>
      <c r="G1042" s="105" t="s">
        <v>33</v>
      </c>
      <c r="H1042" s="105" t="s">
        <v>342</v>
      </c>
      <c r="I1042" s="105" t="s">
        <v>334</v>
      </c>
      <c r="J1042" s="493">
        <v>22</v>
      </c>
      <c r="K1042" s="493">
        <v>2</v>
      </c>
      <c r="L1042" s="105" t="s">
        <v>343</v>
      </c>
      <c r="M1042" s="105" t="s">
        <v>359</v>
      </c>
      <c r="N1042" s="105" t="s">
        <v>252</v>
      </c>
      <c r="O1042" s="105" t="s">
        <v>688</v>
      </c>
      <c r="P1042" s="105" t="s">
        <v>356</v>
      </c>
      <c r="Q1042" s="494">
        <v>235634</v>
      </c>
      <c r="R1042" s="494">
        <v>235634</v>
      </c>
      <c r="S1042" s="494">
        <v>110042</v>
      </c>
      <c r="T1042" s="494">
        <v>110042</v>
      </c>
      <c r="U1042" s="494">
        <v>9472</v>
      </c>
      <c r="V1042" s="493">
        <v>2024</v>
      </c>
      <c r="W1042" s="495"/>
      <c r="X1042" s="496">
        <f t="shared" si="68"/>
        <v>11.617609797297296</v>
      </c>
      <c r="Y1042" s="497" t="str">
        <f t="shared" si="67"/>
        <v/>
      </c>
      <c r="Z1042" s="497" t="str">
        <f t="shared" si="67"/>
        <v/>
      </c>
    </row>
    <row r="1043" spans="1:26" s="82" customFormat="1" x14ac:dyDescent="0.4">
      <c r="A1043" s="493">
        <v>56448</v>
      </c>
      <c r="B1043" s="105" t="s">
        <v>329</v>
      </c>
      <c r="C1043" s="493" t="s">
        <v>330</v>
      </c>
      <c r="D1043" s="105" t="s">
        <v>1168</v>
      </c>
      <c r="E1043" s="105" t="s">
        <v>1169</v>
      </c>
      <c r="F1043" s="493">
        <v>59155</v>
      </c>
      <c r="G1043" s="105" t="s">
        <v>34</v>
      </c>
      <c r="H1043" s="105" t="s">
        <v>342</v>
      </c>
      <c r="I1043" s="105" t="s">
        <v>334</v>
      </c>
      <c r="J1043" s="493">
        <v>22</v>
      </c>
      <c r="K1043" s="493">
        <v>2</v>
      </c>
      <c r="L1043" s="105" t="s">
        <v>343</v>
      </c>
      <c r="M1043" s="105" t="s">
        <v>695</v>
      </c>
      <c r="N1043" s="105" t="s">
        <v>696</v>
      </c>
      <c r="O1043" s="105" t="s">
        <v>696</v>
      </c>
      <c r="P1043" s="105" t="s">
        <v>339</v>
      </c>
      <c r="Q1043" s="494">
        <v>0</v>
      </c>
      <c r="R1043" s="494">
        <v>0</v>
      </c>
      <c r="S1043" s="494">
        <v>405576</v>
      </c>
      <c r="T1043" s="494">
        <v>405576</v>
      </c>
      <c r="U1043" s="494">
        <v>118868</v>
      </c>
      <c r="V1043" s="493">
        <v>2024</v>
      </c>
      <c r="W1043" s="495"/>
      <c r="X1043" s="496">
        <f t="shared" si="68"/>
        <v>3.4119864050879967</v>
      </c>
      <c r="Y1043" s="497" t="str">
        <f t="shared" si="67"/>
        <v/>
      </c>
      <c r="Z1043" s="497" t="str">
        <f t="shared" si="67"/>
        <v/>
      </c>
    </row>
    <row r="1044" spans="1:26" s="82" customFormat="1" ht="32" x14ac:dyDescent="0.4">
      <c r="A1044" s="493">
        <v>56526</v>
      </c>
      <c r="B1044" s="105" t="s">
        <v>329</v>
      </c>
      <c r="C1044" s="493" t="s">
        <v>330</v>
      </c>
      <c r="D1044" s="105" t="s">
        <v>1170</v>
      </c>
      <c r="E1044" s="105" t="s">
        <v>937</v>
      </c>
      <c r="F1044" s="493">
        <v>54842</v>
      </c>
      <c r="G1044" s="105" t="s">
        <v>52</v>
      </c>
      <c r="H1044" s="105" t="s">
        <v>333</v>
      </c>
      <c r="I1044" s="105" t="s">
        <v>334</v>
      </c>
      <c r="J1044" s="493">
        <v>22</v>
      </c>
      <c r="K1044" s="493">
        <v>2</v>
      </c>
      <c r="L1044" s="105" t="s">
        <v>343</v>
      </c>
      <c r="M1044" s="105" t="s">
        <v>359</v>
      </c>
      <c r="N1044" s="105" t="s">
        <v>252</v>
      </c>
      <c r="O1044" s="105" t="s">
        <v>688</v>
      </c>
      <c r="P1044" s="105" t="s">
        <v>356</v>
      </c>
      <c r="Q1044" s="494">
        <v>1145187</v>
      </c>
      <c r="R1044" s="494">
        <v>1145187</v>
      </c>
      <c r="S1044" s="494">
        <v>572598</v>
      </c>
      <c r="T1044" s="494">
        <v>572598</v>
      </c>
      <c r="U1044" s="494">
        <v>48361</v>
      </c>
      <c r="V1044" s="493">
        <v>2024</v>
      </c>
      <c r="W1044" s="495"/>
      <c r="X1044" s="496">
        <f t="shared" si="68"/>
        <v>11.840077748599077</v>
      </c>
      <c r="Y1044" s="497" t="str">
        <f t="shared" si="67"/>
        <v/>
      </c>
      <c r="Z1044" s="497" t="str">
        <f t="shared" si="67"/>
        <v/>
      </c>
    </row>
    <row r="1045" spans="1:26" s="82" customFormat="1" ht="32" x14ac:dyDescent="0.4">
      <c r="A1045" s="493">
        <v>56527</v>
      </c>
      <c r="B1045" s="105" t="s">
        <v>329</v>
      </c>
      <c r="C1045" s="493" t="s">
        <v>330</v>
      </c>
      <c r="D1045" s="105" t="s">
        <v>1171</v>
      </c>
      <c r="E1045" s="105" t="s">
        <v>937</v>
      </c>
      <c r="F1045" s="493">
        <v>54842</v>
      </c>
      <c r="G1045" s="105" t="s">
        <v>33</v>
      </c>
      <c r="H1045" s="105" t="s">
        <v>342</v>
      </c>
      <c r="I1045" s="105" t="s">
        <v>334</v>
      </c>
      <c r="J1045" s="493">
        <v>22</v>
      </c>
      <c r="K1045" s="493">
        <v>2</v>
      </c>
      <c r="L1045" s="105" t="s">
        <v>343</v>
      </c>
      <c r="M1045" s="105" t="s">
        <v>359</v>
      </c>
      <c r="N1045" s="105" t="s">
        <v>252</v>
      </c>
      <c r="O1045" s="105" t="s">
        <v>688</v>
      </c>
      <c r="P1045" s="105" t="s">
        <v>356</v>
      </c>
      <c r="Q1045" s="494">
        <v>717562</v>
      </c>
      <c r="R1045" s="494">
        <v>717562</v>
      </c>
      <c r="S1045" s="494">
        <v>358784</v>
      </c>
      <c r="T1045" s="494">
        <v>358784</v>
      </c>
      <c r="U1045" s="494">
        <v>32306</v>
      </c>
      <c r="V1045" s="493">
        <v>2024</v>
      </c>
      <c r="W1045" s="495"/>
      <c r="X1045" s="496">
        <f t="shared" si="68"/>
        <v>11.105800780040859</v>
      </c>
      <c r="Y1045" s="497" t="str">
        <f t="shared" si="67"/>
        <v/>
      </c>
      <c r="Z1045" s="497" t="str">
        <f t="shared" si="67"/>
        <v/>
      </c>
    </row>
    <row r="1046" spans="1:26" s="82" customFormat="1" x14ac:dyDescent="0.4">
      <c r="A1046" s="493">
        <v>56575</v>
      </c>
      <c r="B1046" s="105" t="s">
        <v>329</v>
      </c>
      <c r="C1046" s="493" t="s">
        <v>330</v>
      </c>
      <c r="D1046" s="105" t="s">
        <v>1172</v>
      </c>
      <c r="E1046" s="105" t="s">
        <v>1169</v>
      </c>
      <c r="F1046" s="493">
        <v>59155</v>
      </c>
      <c r="G1046" s="105" t="s">
        <v>52</v>
      </c>
      <c r="H1046" s="105" t="s">
        <v>333</v>
      </c>
      <c r="I1046" s="105" t="s">
        <v>334</v>
      </c>
      <c r="J1046" s="493">
        <v>22</v>
      </c>
      <c r="K1046" s="493">
        <v>2</v>
      </c>
      <c r="L1046" s="105" t="s">
        <v>343</v>
      </c>
      <c r="M1046" s="105" t="s">
        <v>695</v>
      </c>
      <c r="N1046" s="105" t="s">
        <v>696</v>
      </c>
      <c r="O1046" s="105" t="s">
        <v>696</v>
      </c>
      <c r="P1046" s="105" t="s">
        <v>339</v>
      </c>
      <c r="Q1046" s="494">
        <v>0</v>
      </c>
      <c r="R1046" s="494">
        <v>0</v>
      </c>
      <c r="S1046" s="494">
        <v>187365</v>
      </c>
      <c r="T1046" s="494">
        <v>187365</v>
      </c>
      <c r="U1046" s="494">
        <v>54913</v>
      </c>
      <c r="V1046" s="493">
        <v>2024</v>
      </c>
      <c r="W1046" s="495"/>
      <c r="X1046" s="496">
        <f t="shared" si="68"/>
        <v>3.4120335803908</v>
      </c>
      <c r="Y1046" s="497" t="str">
        <f t="shared" si="67"/>
        <v/>
      </c>
      <c r="Z1046" s="497" t="str">
        <f t="shared" si="67"/>
        <v/>
      </c>
    </row>
    <row r="1047" spans="1:26" s="82" customFormat="1" x14ac:dyDescent="0.4">
      <c r="A1047" s="493">
        <v>56594</v>
      </c>
      <c r="B1047" s="105" t="s">
        <v>329</v>
      </c>
      <c r="C1047" s="493" t="s">
        <v>330</v>
      </c>
      <c r="D1047" s="105" t="s">
        <v>1173</v>
      </c>
      <c r="E1047" s="105" t="s">
        <v>1174</v>
      </c>
      <c r="F1047" s="493">
        <v>56215</v>
      </c>
      <c r="G1047" s="105" t="s">
        <v>52</v>
      </c>
      <c r="H1047" s="105" t="s">
        <v>333</v>
      </c>
      <c r="I1047" s="105" t="s">
        <v>334</v>
      </c>
      <c r="J1047" s="493">
        <v>22</v>
      </c>
      <c r="K1047" s="493">
        <v>2</v>
      </c>
      <c r="L1047" s="105" t="s">
        <v>343</v>
      </c>
      <c r="M1047" s="105" t="s">
        <v>695</v>
      </c>
      <c r="N1047" s="105" t="s">
        <v>696</v>
      </c>
      <c r="O1047" s="105" t="s">
        <v>696</v>
      </c>
      <c r="P1047" s="105" t="s">
        <v>339</v>
      </c>
      <c r="Q1047" s="494">
        <v>0</v>
      </c>
      <c r="R1047" s="494">
        <v>0</v>
      </c>
      <c r="S1047" s="494">
        <v>279692</v>
      </c>
      <c r="T1047" s="494">
        <v>279692</v>
      </c>
      <c r="U1047" s="494">
        <v>81973</v>
      </c>
      <c r="V1047" s="493">
        <v>2024</v>
      </c>
      <c r="W1047" s="495"/>
      <c r="X1047" s="496">
        <f t="shared" si="68"/>
        <v>3.412001512693204</v>
      </c>
      <c r="Y1047" s="497" t="str">
        <f t="shared" si="67"/>
        <v/>
      </c>
      <c r="Z1047" s="497" t="str">
        <f t="shared" si="67"/>
        <v/>
      </c>
    </row>
    <row r="1048" spans="1:26" s="82" customFormat="1" ht="32" x14ac:dyDescent="0.4">
      <c r="A1048" s="493">
        <v>56618</v>
      </c>
      <c r="B1048" s="105" t="s">
        <v>329</v>
      </c>
      <c r="C1048" s="493" t="s">
        <v>330</v>
      </c>
      <c r="D1048" s="105" t="s">
        <v>1175</v>
      </c>
      <c r="E1048" s="105" t="s">
        <v>1176</v>
      </c>
      <c r="F1048" s="493">
        <v>63858</v>
      </c>
      <c r="G1048" s="105" t="s">
        <v>52</v>
      </c>
      <c r="H1048" s="105" t="s">
        <v>333</v>
      </c>
      <c r="I1048" s="105" t="s">
        <v>334</v>
      </c>
      <c r="J1048" s="493">
        <v>22</v>
      </c>
      <c r="K1048" s="493">
        <v>2</v>
      </c>
      <c r="L1048" s="105" t="s">
        <v>343</v>
      </c>
      <c r="M1048" s="105" t="s">
        <v>695</v>
      </c>
      <c r="N1048" s="105" t="s">
        <v>696</v>
      </c>
      <c r="O1048" s="105" t="s">
        <v>696</v>
      </c>
      <c r="P1048" s="105" t="s">
        <v>339</v>
      </c>
      <c r="Q1048" s="494">
        <v>0</v>
      </c>
      <c r="R1048" s="494">
        <v>0</v>
      </c>
      <c r="S1048" s="494">
        <v>507715</v>
      </c>
      <c r="T1048" s="494">
        <v>507715</v>
      </c>
      <c r="U1048" s="494">
        <v>148803</v>
      </c>
      <c r="V1048" s="493">
        <v>2024</v>
      </c>
      <c r="W1048" s="495"/>
      <c r="X1048" s="496">
        <f t="shared" si="68"/>
        <v>3.4119943818336997</v>
      </c>
      <c r="Y1048" s="497" t="str">
        <f t="shared" ref="Y1048:Z1067" si="69">IF(AND($M1048=$Y$2,$N1048=$Y$3,NOT($Q1048=$R1048),NOT($U1048=0)),IF($K1048=5,$S1048/($U1048+(8/5)*$U1048),IF($K1048=7,$S1048/($U1048+(29/25)*$U1048),"")),"")</f>
        <v/>
      </c>
      <c r="Z1048" s="497" t="str">
        <f t="shared" si="69"/>
        <v/>
      </c>
    </row>
    <row r="1049" spans="1:26" s="82" customFormat="1" ht="32" x14ac:dyDescent="0.4">
      <c r="A1049" s="493">
        <v>56619</v>
      </c>
      <c r="B1049" s="105" t="s">
        <v>329</v>
      </c>
      <c r="C1049" s="493" t="s">
        <v>330</v>
      </c>
      <c r="D1049" s="105" t="s">
        <v>1177</v>
      </c>
      <c r="E1049" s="105" t="s">
        <v>1176</v>
      </c>
      <c r="F1049" s="493">
        <v>63858</v>
      </c>
      <c r="G1049" s="105" t="s">
        <v>52</v>
      </c>
      <c r="H1049" s="105" t="s">
        <v>333</v>
      </c>
      <c r="I1049" s="105" t="s">
        <v>334</v>
      </c>
      <c r="J1049" s="493">
        <v>22</v>
      </c>
      <c r="K1049" s="493">
        <v>2</v>
      </c>
      <c r="L1049" s="105" t="s">
        <v>343</v>
      </c>
      <c r="M1049" s="105" t="s">
        <v>695</v>
      </c>
      <c r="N1049" s="105" t="s">
        <v>696</v>
      </c>
      <c r="O1049" s="105" t="s">
        <v>696</v>
      </c>
      <c r="P1049" s="105" t="s">
        <v>339</v>
      </c>
      <c r="Q1049" s="494">
        <v>0</v>
      </c>
      <c r="R1049" s="494">
        <v>0</v>
      </c>
      <c r="S1049" s="494">
        <v>488144</v>
      </c>
      <c r="T1049" s="494">
        <v>488144</v>
      </c>
      <c r="U1049" s="494">
        <v>143067</v>
      </c>
      <c r="V1049" s="493">
        <v>2024</v>
      </c>
      <c r="W1049" s="495"/>
      <c r="X1049" s="496">
        <f t="shared" si="68"/>
        <v>3.4119957782018213</v>
      </c>
      <c r="Y1049" s="497" t="str">
        <f t="shared" si="69"/>
        <v/>
      </c>
      <c r="Z1049" s="497" t="str">
        <f t="shared" si="69"/>
        <v/>
      </c>
    </row>
    <row r="1050" spans="1:26" s="82" customFormat="1" ht="32" x14ac:dyDescent="0.4">
      <c r="A1050" s="493">
        <v>56620</v>
      </c>
      <c r="B1050" s="105" t="s">
        <v>329</v>
      </c>
      <c r="C1050" s="493" t="s">
        <v>330</v>
      </c>
      <c r="D1050" s="105" t="s">
        <v>1178</v>
      </c>
      <c r="E1050" s="105" t="s">
        <v>1176</v>
      </c>
      <c r="F1050" s="493">
        <v>63858</v>
      </c>
      <c r="G1050" s="105" t="s">
        <v>52</v>
      </c>
      <c r="H1050" s="105" t="s">
        <v>333</v>
      </c>
      <c r="I1050" s="105" t="s">
        <v>334</v>
      </c>
      <c r="J1050" s="493">
        <v>22</v>
      </c>
      <c r="K1050" s="493">
        <v>2</v>
      </c>
      <c r="L1050" s="105" t="s">
        <v>343</v>
      </c>
      <c r="M1050" s="105" t="s">
        <v>695</v>
      </c>
      <c r="N1050" s="105" t="s">
        <v>696</v>
      </c>
      <c r="O1050" s="105" t="s">
        <v>696</v>
      </c>
      <c r="P1050" s="105" t="s">
        <v>339</v>
      </c>
      <c r="Q1050" s="494">
        <v>0</v>
      </c>
      <c r="R1050" s="494">
        <v>0</v>
      </c>
      <c r="S1050" s="494">
        <v>582482</v>
      </c>
      <c r="T1050" s="494">
        <v>582482</v>
      </c>
      <c r="U1050" s="494">
        <v>170716</v>
      </c>
      <c r="V1050" s="493">
        <v>2024</v>
      </c>
      <c r="W1050" s="495"/>
      <c r="X1050" s="496">
        <f t="shared" si="68"/>
        <v>3.4119941891796901</v>
      </c>
      <c r="Y1050" s="497" t="str">
        <f t="shared" si="69"/>
        <v/>
      </c>
      <c r="Z1050" s="497" t="str">
        <f t="shared" si="69"/>
        <v/>
      </c>
    </row>
    <row r="1051" spans="1:26" s="82" customFormat="1" x14ac:dyDescent="0.4">
      <c r="A1051" s="493">
        <v>56629</v>
      </c>
      <c r="B1051" s="105" t="s">
        <v>329</v>
      </c>
      <c r="C1051" s="493" t="s">
        <v>330</v>
      </c>
      <c r="D1051" s="105" t="s">
        <v>1179</v>
      </c>
      <c r="E1051" s="105" t="s">
        <v>1180</v>
      </c>
      <c r="F1051" s="493">
        <v>56201</v>
      </c>
      <c r="G1051" s="105" t="s">
        <v>37</v>
      </c>
      <c r="H1051" s="105" t="s">
        <v>342</v>
      </c>
      <c r="I1051" s="105" t="s">
        <v>334</v>
      </c>
      <c r="J1051" s="493">
        <v>22</v>
      </c>
      <c r="K1051" s="493">
        <v>2</v>
      </c>
      <c r="L1051" s="105" t="s">
        <v>343</v>
      </c>
      <c r="M1051" s="105" t="s">
        <v>295</v>
      </c>
      <c r="N1051" s="105" t="s">
        <v>226</v>
      </c>
      <c r="O1051" s="105" t="s">
        <v>226</v>
      </c>
      <c r="P1051" s="105" t="s">
        <v>350</v>
      </c>
      <c r="Q1051" s="494">
        <v>0</v>
      </c>
      <c r="R1051" s="494">
        <v>0</v>
      </c>
      <c r="S1051" s="494">
        <v>0</v>
      </c>
      <c r="T1051" s="494">
        <v>0</v>
      </c>
      <c r="U1051" s="494">
        <v>0</v>
      </c>
      <c r="V1051" s="493">
        <v>2024</v>
      </c>
      <c r="W1051" s="495" t="s">
        <v>355</v>
      </c>
      <c r="X1051" s="496" t="str">
        <f t="shared" si="68"/>
        <v/>
      </c>
      <c r="Y1051" s="497" t="str">
        <f t="shared" si="69"/>
        <v/>
      </c>
      <c r="Z1051" s="497" t="str">
        <f t="shared" si="69"/>
        <v/>
      </c>
    </row>
    <row r="1052" spans="1:26" s="82" customFormat="1" x14ac:dyDescent="0.4">
      <c r="A1052" s="493">
        <v>56629</v>
      </c>
      <c r="B1052" s="105" t="s">
        <v>329</v>
      </c>
      <c r="C1052" s="493" t="s">
        <v>330</v>
      </c>
      <c r="D1052" s="105" t="s">
        <v>1179</v>
      </c>
      <c r="E1052" s="105" t="s">
        <v>1180</v>
      </c>
      <c r="F1052" s="493">
        <v>56201</v>
      </c>
      <c r="G1052" s="105" t="s">
        <v>37</v>
      </c>
      <c r="H1052" s="105" t="s">
        <v>342</v>
      </c>
      <c r="I1052" s="105" t="s">
        <v>334</v>
      </c>
      <c r="J1052" s="493">
        <v>22</v>
      </c>
      <c r="K1052" s="493">
        <v>2</v>
      </c>
      <c r="L1052" s="105" t="s">
        <v>343</v>
      </c>
      <c r="M1052" s="105" t="s">
        <v>295</v>
      </c>
      <c r="N1052" s="105" t="s">
        <v>242</v>
      </c>
      <c r="O1052" s="105" t="s">
        <v>349</v>
      </c>
      <c r="P1052" s="105" t="s">
        <v>350</v>
      </c>
      <c r="Q1052" s="494">
        <v>154</v>
      </c>
      <c r="R1052" s="494">
        <v>154</v>
      </c>
      <c r="S1052" s="494">
        <v>897</v>
      </c>
      <c r="T1052" s="494">
        <v>897</v>
      </c>
      <c r="U1052" s="494">
        <v>93.186000000000007</v>
      </c>
      <c r="V1052" s="493">
        <v>2024</v>
      </c>
      <c r="W1052" s="495" t="s">
        <v>355</v>
      </c>
      <c r="X1052" s="496">
        <f t="shared" si="68"/>
        <v>9.6259094713798206</v>
      </c>
      <c r="Y1052" s="497" t="str">
        <f t="shared" si="69"/>
        <v/>
      </c>
      <c r="Z1052" s="497" t="str">
        <f t="shared" si="69"/>
        <v/>
      </c>
    </row>
    <row r="1053" spans="1:26" s="82" customFormat="1" x14ac:dyDescent="0.4">
      <c r="A1053" s="493">
        <v>56629</v>
      </c>
      <c r="B1053" s="105" t="s">
        <v>329</v>
      </c>
      <c r="C1053" s="493" t="s">
        <v>330</v>
      </c>
      <c r="D1053" s="105" t="s">
        <v>1179</v>
      </c>
      <c r="E1053" s="105" t="s">
        <v>1180</v>
      </c>
      <c r="F1053" s="493">
        <v>56201</v>
      </c>
      <c r="G1053" s="105" t="s">
        <v>37</v>
      </c>
      <c r="H1053" s="105" t="s">
        <v>342</v>
      </c>
      <c r="I1053" s="105" t="s">
        <v>334</v>
      </c>
      <c r="J1053" s="493">
        <v>22</v>
      </c>
      <c r="K1053" s="493">
        <v>2</v>
      </c>
      <c r="L1053" s="105" t="s">
        <v>343</v>
      </c>
      <c r="M1053" s="105" t="s">
        <v>295</v>
      </c>
      <c r="N1053" s="105" t="s">
        <v>228</v>
      </c>
      <c r="O1053" s="105" t="s">
        <v>228</v>
      </c>
      <c r="P1053" s="105" t="s">
        <v>356</v>
      </c>
      <c r="Q1053" s="494">
        <v>411332</v>
      </c>
      <c r="R1053" s="494">
        <v>411332</v>
      </c>
      <c r="S1053" s="494">
        <v>423262</v>
      </c>
      <c r="T1053" s="494">
        <v>423262</v>
      </c>
      <c r="U1053" s="494">
        <v>43684.813999999998</v>
      </c>
      <c r="V1053" s="493">
        <v>2024</v>
      </c>
      <c r="W1053" s="495" t="s">
        <v>355</v>
      </c>
      <c r="X1053" s="496">
        <f t="shared" si="68"/>
        <v>9.6889962722514973</v>
      </c>
      <c r="Y1053" s="497" t="str">
        <f t="shared" si="69"/>
        <v/>
      </c>
      <c r="Z1053" s="497" t="str">
        <f t="shared" si="69"/>
        <v/>
      </c>
    </row>
    <row r="1054" spans="1:26" s="82" customFormat="1" x14ac:dyDescent="0.4">
      <c r="A1054" s="493">
        <v>56633</v>
      </c>
      <c r="B1054" s="105" t="s">
        <v>329</v>
      </c>
      <c r="C1054" s="493" t="s">
        <v>330</v>
      </c>
      <c r="D1054" s="105" t="s">
        <v>1181</v>
      </c>
      <c r="E1054" s="105" t="s">
        <v>1169</v>
      </c>
      <c r="F1054" s="493">
        <v>59155</v>
      </c>
      <c r="G1054" s="105" t="s">
        <v>52</v>
      </c>
      <c r="H1054" s="105" t="s">
        <v>333</v>
      </c>
      <c r="I1054" s="105" t="s">
        <v>334</v>
      </c>
      <c r="J1054" s="493">
        <v>22</v>
      </c>
      <c r="K1054" s="493">
        <v>2</v>
      </c>
      <c r="L1054" s="105" t="s">
        <v>343</v>
      </c>
      <c r="M1054" s="105" t="s">
        <v>695</v>
      </c>
      <c r="N1054" s="105" t="s">
        <v>696</v>
      </c>
      <c r="O1054" s="105" t="s">
        <v>696</v>
      </c>
      <c r="P1054" s="105" t="s">
        <v>339</v>
      </c>
      <c r="Q1054" s="494">
        <v>0</v>
      </c>
      <c r="R1054" s="494">
        <v>0</v>
      </c>
      <c r="S1054" s="494">
        <v>297617</v>
      </c>
      <c r="T1054" s="494">
        <v>297617</v>
      </c>
      <c r="U1054" s="494">
        <v>87227</v>
      </c>
      <c r="V1054" s="493">
        <v>2024</v>
      </c>
      <c r="W1054" s="495"/>
      <c r="X1054" s="496">
        <f t="shared" si="68"/>
        <v>3.4119825283455811</v>
      </c>
      <c r="Y1054" s="497" t="str">
        <f t="shared" si="69"/>
        <v/>
      </c>
      <c r="Z1054" s="497" t="str">
        <f t="shared" si="69"/>
        <v/>
      </c>
    </row>
    <row r="1055" spans="1:26" s="82" customFormat="1" x14ac:dyDescent="0.4">
      <c r="A1055" s="493">
        <v>56634</v>
      </c>
      <c r="B1055" s="105" t="s">
        <v>329</v>
      </c>
      <c r="C1055" s="493" t="s">
        <v>330</v>
      </c>
      <c r="D1055" s="105" t="s">
        <v>1182</v>
      </c>
      <c r="E1055" s="105" t="s">
        <v>1169</v>
      </c>
      <c r="F1055" s="493">
        <v>59155</v>
      </c>
      <c r="G1055" s="105" t="s">
        <v>52</v>
      </c>
      <c r="H1055" s="105" t="s">
        <v>333</v>
      </c>
      <c r="I1055" s="105" t="s">
        <v>334</v>
      </c>
      <c r="J1055" s="493">
        <v>22</v>
      </c>
      <c r="K1055" s="493">
        <v>2</v>
      </c>
      <c r="L1055" s="105" t="s">
        <v>343</v>
      </c>
      <c r="M1055" s="105" t="s">
        <v>695</v>
      </c>
      <c r="N1055" s="105" t="s">
        <v>696</v>
      </c>
      <c r="O1055" s="105" t="s">
        <v>696</v>
      </c>
      <c r="P1055" s="105" t="s">
        <v>339</v>
      </c>
      <c r="Q1055" s="494">
        <v>0</v>
      </c>
      <c r="R1055" s="494">
        <v>0</v>
      </c>
      <c r="S1055" s="494">
        <v>694444</v>
      </c>
      <c r="T1055" s="494">
        <v>694444</v>
      </c>
      <c r="U1055" s="494">
        <v>203530</v>
      </c>
      <c r="V1055" s="493">
        <v>2024</v>
      </c>
      <c r="W1055" s="495"/>
      <c r="X1055" s="496">
        <f t="shared" si="68"/>
        <v>3.4119982312189849</v>
      </c>
      <c r="Y1055" s="497" t="str">
        <f t="shared" si="69"/>
        <v/>
      </c>
      <c r="Z1055" s="497" t="str">
        <f t="shared" si="69"/>
        <v/>
      </c>
    </row>
    <row r="1056" spans="1:26" s="82" customFormat="1" ht="32" x14ac:dyDescent="0.4">
      <c r="A1056" s="493">
        <v>56703</v>
      </c>
      <c r="B1056" s="105" t="s">
        <v>329</v>
      </c>
      <c r="C1056" s="493" t="s">
        <v>330</v>
      </c>
      <c r="D1056" s="105" t="s">
        <v>1183</v>
      </c>
      <c r="E1056" s="105" t="s">
        <v>1184</v>
      </c>
      <c r="F1056" s="493">
        <v>55941</v>
      </c>
      <c r="G1056" s="105" t="s">
        <v>52</v>
      </c>
      <c r="H1056" s="105" t="s">
        <v>333</v>
      </c>
      <c r="I1056" s="105" t="s">
        <v>334</v>
      </c>
      <c r="J1056" s="493">
        <v>22</v>
      </c>
      <c r="K1056" s="493">
        <v>2</v>
      </c>
      <c r="L1056" s="105" t="s">
        <v>343</v>
      </c>
      <c r="M1056" s="105" t="s">
        <v>336</v>
      </c>
      <c r="N1056" s="105" t="s">
        <v>337</v>
      </c>
      <c r="O1056" s="105" t="s">
        <v>338</v>
      </c>
      <c r="P1056" s="105" t="s">
        <v>339</v>
      </c>
      <c r="Q1056" s="494">
        <v>0</v>
      </c>
      <c r="R1056" s="494">
        <v>0</v>
      </c>
      <c r="S1056" s="494">
        <v>95761</v>
      </c>
      <c r="T1056" s="494">
        <v>95761</v>
      </c>
      <c r="U1056" s="494">
        <v>28066</v>
      </c>
      <c r="V1056" s="493">
        <v>2024</v>
      </c>
      <c r="W1056" s="495"/>
      <c r="X1056" s="496">
        <f t="shared" si="68"/>
        <v>3.4119931589823986</v>
      </c>
      <c r="Y1056" s="497" t="str">
        <f t="shared" si="69"/>
        <v/>
      </c>
      <c r="Z1056" s="497" t="str">
        <f t="shared" si="69"/>
        <v/>
      </c>
    </row>
    <row r="1057" spans="1:26" s="82" customFormat="1" ht="32" x14ac:dyDescent="0.4">
      <c r="A1057" s="493">
        <v>56704</v>
      </c>
      <c r="B1057" s="105" t="s">
        <v>329</v>
      </c>
      <c r="C1057" s="493" t="s">
        <v>330</v>
      </c>
      <c r="D1057" s="105" t="s">
        <v>1185</v>
      </c>
      <c r="E1057" s="105" t="s">
        <v>1184</v>
      </c>
      <c r="F1057" s="493">
        <v>55941</v>
      </c>
      <c r="G1057" s="105" t="s">
        <v>52</v>
      </c>
      <c r="H1057" s="105" t="s">
        <v>333</v>
      </c>
      <c r="I1057" s="105" t="s">
        <v>334</v>
      </c>
      <c r="J1057" s="493">
        <v>22</v>
      </c>
      <c r="K1057" s="493">
        <v>2</v>
      </c>
      <c r="L1057" s="105" t="s">
        <v>343</v>
      </c>
      <c r="M1057" s="105" t="s">
        <v>336</v>
      </c>
      <c r="N1057" s="105" t="s">
        <v>337</v>
      </c>
      <c r="O1057" s="105" t="s">
        <v>338</v>
      </c>
      <c r="P1057" s="105" t="s">
        <v>339</v>
      </c>
      <c r="Q1057" s="494">
        <v>0</v>
      </c>
      <c r="R1057" s="494">
        <v>0</v>
      </c>
      <c r="S1057" s="494">
        <v>6476</v>
      </c>
      <c r="T1057" s="494">
        <v>6476</v>
      </c>
      <c r="U1057" s="494">
        <v>1898</v>
      </c>
      <c r="V1057" s="493">
        <v>2024</v>
      </c>
      <c r="W1057" s="495"/>
      <c r="X1057" s="496">
        <f t="shared" si="68"/>
        <v>3.4120126448893573</v>
      </c>
      <c r="Y1057" s="497" t="str">
        <f t="shared" si="69"/>
        <v/>
      </c>
      <c r="Z1057" s="497" t="str">
        <f t="shared" si="69"/>
        <v/>
      </c>
    </row>
    <row r="1058" spans="1:26" s="82" customFormat="1" ht="32" x14ac:dyDescent="0.4">
      <c r="A1058" s="493">
        <v>56705</v>
      </c>
      <c r="B1058" s="105" t="s">
        <v>329</v>
      </c>
      <c r="C1058" s="493" t="s">
        <v>330</v>
      </c>
      <c r="D1058" s="105" t="s">
        <v>1186</v>
      </c>
      <c r="E1058" s="105" t="s">
        <v>1184</v>
      </c>
      <c r="F1058" s="493">
        <v>55941</v>
      </c>
      <c r="G1058" s="105" t="s">
        <v>52</v>
      </c>
      <c r="H1058" s="105" t="s">
        <v>333</v>
      </c>
      <c r="I1058" s="105" t="s">
        <v>334</v>
      </c>
      <c r="J1058" s="493">
        <v>22</v>
      </c>
      <c r="K1058" s="493">
        <v>2</v>
      </c>
      <c r="L1058" s="105" t="s">
        <v>343</v>
      </c>
      <c r="M1058" s="105" t="s">
        <v>336</v>
      </c>
      <c r="N1058" s="105" t="s">
        <v>337</v>
      </c>
      <c r="O1058" s="105" t="s">
        <v>338</v>
      </c>
      <c r="P1058" s="105" t="s">
        <v>339</v>
      </c>
      <c r="Q1058" s="494">
        <v>0</v>
      </c>
      <c r="R1058" s="494">
        <v>0</v>
      </c>
      <c r="S1058" s="494">
        <v>7837</v>
      </c>
      <c r="T1058" s="494">
        <v>7837</v>
      </c>
      <c r="U1058" s="494">
        <v>2297</v>
      </c>
      <c r="V1058" s="493">
        <v>2024</v>
      </c>
      <c r="W1058" s="495"/>
      <c r="X1058" s="496">
        <f t="shared" si="68"/>
        <v>3.4118415324336091</v>
      </c>
      <c r="Y1058" s="497" t="str">
        <f t="shared" si="69"/>
        <v/>
      </c>
      <c r="Z1058" s="497" t="str">
        <f t="shared" si="69"/>
        <v/>
      </c>
    </row>
    <row r="1059" spans="1:26" s="82" customFormat="1" ht="32" x14ac:dyDescent="0.4">
      <c r="A1059" s="493">
        <v>56798</v>
      </c>
      <c r="B1059" s="105" t="s">
        <v>329</v>
      </c>
      <c r="C1059" s="493" t="s">
        <v>330</v>
      </c>
      <c r="D1059" s="105" t="s">
        <v>1187</v>
      </c>
      <c r="E1059" s="105" t="s">
        <v>1188</v>
      </c>
      <c r="F1059" s="493">
        <v>55993</v>
      </c>
      <c r="G1059" s="105" t="s">
        <v>37</v>
      </c>
      <c r="H1059" s="105" t="s">
        <v>342</v>
      </c>
      <c r="I1059" s="105" t="s">
        <v>334</v>
      </c>
      <c r="J1059" s="493">
        <v>22</v>
      </c>
      <c r="K1059" s="493">
        <v>2</v>
      </c>
      <c r="L1059" s="105" t="s">
        <v>343</v>
      </c>
      <c r="M1059" s="105" t="s">
        <v>380</v>
      </c>
      <c r="N1059" s="105" t="s">
        <v>226</v>
      </c>
      <c r="O1059" s="105" t="s">
        <v>226</v>
      </c>
      <c r="P1059" s="105" t="s">
        <v>350</v>
      </c>
      <c r="Q1059" s="494">
        <v>0</v>
      </c>
      <c r="R1059" s="494">
        <v>0</v>
      </c>
      <c r="S1059" s="494">
        <v>0</v>
      </c>
      <c r="T1059" s="494">
        <v>0</v>
      </c>
      <c r="U1059" s="494">
        <v>5580.0720000000001</v>
      </c>
      <c r="V1059" s="493">
        <v>2024</v>
      </c>
      <c r="W1059" s="495" t="s">
        <v>355</v>
      </c>
      <c r="X1059" s="496" t="str">
        <f t="shared" si="68"/>
        <v/>
      </c>
      <c r="Y1059" s="497" t="str">
        <f t="shared" si="69"/>
        <v/>
      </c>
      <c r="Z1059" s="497" t="str">
        <f t="shared" si="69"/>
        <v/>
      </c>
    </row>
    <row r="1060" spans="1:26" s="82" customFormat="1" ht="32" x14ac:dyDescent="0.4">
      <c r="A1060" s="493">
        <v>56798</v>
      </c>
      <c r="B1060" s="105" t="s">
        <v>329</v>
      </c>
      <c r="C1060" s="493" t="s">
        <v>330</v>
      </c>
      <c r="D1060" s="105" t="s">
        <v>1187</v>
      </c>
      <c r="E1060" s="105" t="s">
        <v>1188</v>
      </c>
      <c r="F1060" s="493">
        <v>55993</v>
      </c>
      <c r="G1060" s="105" t="s">
        <v>37</v>
      </c>
      <c r="H1060" s="105" t="s">
        <v>342</v>
      </c>
      <c r="I1060" s="105" t="s">
        <v>334</v>
      </c>
      <c r="J1060" s="493">
        <v>22</v>
      </c>
      <c r="K1060" s="493">
        <v>2</v>
      </c>
      <c r="L1060" s="105" t="s">
        <v>343</v>
      </c>
      <c r="M1060" s="105" t="s">
        <v>380</v>
      </c>
      <c r="N1060" s="105" t="s">
        <v>228</v>
      </c>
      <c r="O1060" s="105" t="s">
        <v>228</v>
      </c>
      <c r="P1060" s="105" t="s">
        <v>356</v>
      </c>
      <c r="Q1060" s="494">
        <v>831411</v>
      </c>
      <c r="R1060" s="494">
        <v>831411</v>
      </c>
      <c r="S1060" s="494">
        <v>854195</v>
      </c>
      <c r="T1060" s="494">
        <v>854195</v>
      </c>
      <c r="U1060" s="494">
        <v>1083859.8999999999</v>
      </c>
      <c r="V1060" s="493">
        <v>2024</v>
      </c>
      <c r="W1060" s="495" t="s">
        <v>355</v>
      </c>
      <c r="X1060" s="496">
        <f t="shared" si="68"/>
        <v>0.78810462496121503</v>
      </c>
      <c r="Y1060" s="497" t="str">
        <f t="shared" si="69"/>
        <v/>
      </c>
      <c r="Z1060" s="497" t="str">
        <f t="shared" si="69"/>
        <v/>
      </c>
    </row>
    <row r="1061" spans="1:26" s="82" customFormat="1" ht="32" x14ac:dyDescent="0.4">
      <c r="A1061" s="493">
        <v>56798</v>
      </c>
      <c r="B1061" s="105" t="s">
        <v>329</v>
      </c>
      <c r="C1061" s="493" t="s">
        <v>330</v>
      </c>
      <c r="D1061" s="105" t="s">
        <v>1187</v>
      </c>
      <c r="E1061" s="105" t="s">
        <v>1188</v>
      </c>
      <c r="F1061" s="493">
        <v>55993</v>
      </c>
      <c r="G1061" s="105" t="s">
        <v>37</v>
      </c>
      <c r="H1061" s="105" t="s">
        <v>342</v>
      </c>
      <c r="I1061" s="105" t="s">
        <v>334</v>
      </c>
      <c r="J1061" s="493">
        <v>22</v>
      </c>
      <c r="K1061" s="493">
        <v>2</v>
      </c>
      <c r="L1061" s="105" t="s">
        <v>343</v>
      </c>
      <c r="M1061" s="105" t="s">
        <v>37</v>
      </c>
      <c r="N1061" s="105" t="s">
        <v>226</v>
      </c>
      <c r="O1061" s="105" t="s">
        <v>226</v>
      </c>
      <c r="P1061" s="105" t="s">
        <v>350</v>
      </c>
      <c r="Q1061" s="494">
        <v>18923</v>
      </c>
      <c r="R1061" s="494">
        <v>18923</v>
      </c>
      <c r="S1061" s="494">
        <v>110473</v>
      </c>
      <c r="T1061" s="494">
        <v>110473</v>
      </c>
      <c r="U1061" s="494">
        <v>9797.7999999999993</v>
      </c>
      <c r="V1061" s="493">
        <v>2024</v>
      </c>
      <c r="W1061" s="495" t="s">
        <v>355</v>
      </c>
      <c r="X1061" s="496">
        <f t="shared" si="68"/>
        <v>11.275286288758702</v>
      </c>
      <c r="Y1061" s="497" t="str">
        <f t="shared" si="69"/>
        <v/>
      </c>
      <c r="Z1061" s="497" t="str">
        <f t="shared" si="69"/>
        <v/>
      </c>
    </row>
    <row r="1062" spans="1:26" s="82" customFormat="1" ht="32" x14ac:dyDescent="0.4">
      <c r="A1062" s="493">
        <v>56798</v>
      </c>
      <c r="B1062" s="105" t="s">
        <v>329</v>
      </c>
      <c r="C1062" s="493" t="s">
        <v>330</v>
      </c>
      <c r="D1062" s="105" t="s">
        <v>1187</v>
      </c>
      <c r="E1062" s="105" t="s">
        <v>1188</v>
      </c>
      <c r="F1062" s="493">
        <v>55993</v>
      </c>
      <c r="G1062" s="105" t="s">
        <v>37</v>
      </c>
      <c r="H1062" s="105" t="s">
        <v>342</v>
      </c>
      <c r="I1062" s="105" t="s">
        <v>334</v>
      </c>
      <c r="J1062" s="493">
        <v>22</v>
      </c>
      <c r="K1062" s="493">
        <v>2</v>
      </c>
      <c r="L1062" s="105" t="s">
        <v>343</v>
      </c>
      <c r="M1062" s="105" t="s">
        <v>37</v>
      </c>
      <c r="N1062" s="105" t="s">
        <v>228</v>
      </c>
      <c r="O1062" s="105" t="s">
        <v>228</v>
      </c>
      <c r="P1062" s="105" t="s">
        <v>356</v>
      </c>
      <c r="Q1062" s="494">
        <v>19116286</v>
      </c>
      <c r="R1062" s="494">
        <v>19116286</v>
      </c>
      <c r="S1062" s="494">
        <v>19642409</v>
      </c>
      <c r="T1062" s="494">
        <v>19642409</v>
      </c>
      <c r="U1062" s="494">
        <v>1813276.2</v>
      </c>
      <c r="V1062" s="493">
        <v>2024</v>
      </c>
      <c r="W1062" s="495" t="s">
        <v>355</v>
      </c>
      <c r="X1062" s="496">
        <f t="shared" si="68"/>
        <v>10.832552150632099</v>
      </c>
      <c r="Y1062" s="497" t="str">
        <f t="shared" si="69"/>
        <v/>
      </c>
      <c r="Z1062" s="497" t="str">
        <f t="shared" si="69"/>
        <v/>
      </c>
    </row>
    <row r="1063" spans="1:26" s="82" customFormat="1" ht="32" x14ac:dyDescent="0.4">
      <c r="A1063" s="493">
        <v>56800</v>
      </c>
      <c r="B1063" s="105" t="s">
        <v>329</v>
      </c>
      <c r="C1063" s="493" t="s">
        <v>330</v>
      </c>
      <c r="D1063" s="105" t="s">
        <v>1189</v>
      </c>
      <c r="E1063" s="105" t="s">
        <v>1190</v>
      </c>
      <c r="F1063" s="493">
        <v>8797</v>
      </c>
      <c r="G1063" s="105" t="s">
        <v>33</v>
      </c>
      <c r="H1063" s="105" t="s">
        <v>342</v>
      </c>
      <c r="I1063" s="105" t="s">
        <v>334</v>
      </c>
      <c r="J1063" s="493">
        <v>22</v>
      </c>
      <c r="K1063" s="493">
        <v>1</v>
      </c>
      <c r="L1063" s="105" t="s">
        <v>335</v>
      </c>
      <c r="M1063" s="105" t="s">
        <v>695</v>
      </c>
      <c r="N1063" s="105" t="s">
        <v>696</v>
      </c>
      <c r="O1063" s="105" t="s">
        <v>696</v>
      </c>
      <c r="P1063" s="105" t="s">
        <v>339</v>
      </c>
      <c r="Q1063" s="494">
        <v>0</v>
      </c>
      <c r="R1063" s="494">
        <v>0</v>
      </c>
      <c r="S1063" s="494">
        <v>0</v>
      </c>
      <c r="T1063" s="494">
        <v>0</v>
      </c>
      <c r="U1063" s="494">
        <v>0</v>
      </c>
      <c r="V1063" s="493">
        <v>2024</v>
      </c>
      <c r="W1063" s="495"/>
      <c r="X1063" s="496" t="str">
        <f t="shared" si="68"/>
        <v/>
      </c>
      <c r="Y1063" s="497" t="str">
        <f t="shared" si="69"/>
        <v/>
      </c>
      <c r="Z1063" s="497" t="str">
        <f t="shared" si="69"/>
        <v/>
      </c>
    </row>
    <row r="1064" spans="1:26" s="82" customFormat="1" ht="32" x14ac:dyDescent="0.4">
      <c r="A1064" s="493">
        <v>56829</v>
      </c>
      <c r="B1064" s="105" t="s">
        <v>329</v>
      </c>
      <c r="C1064" s="493" t="s">
        <v>330</v>
      </c>
      <c r="D1064" s="105" t="s">
        <v>1191</v>
      </c>
      <c r="E1064" s="105" t="s">
        <v>1192</v>
      </c>
      <c r="F1064" s="493">
        <v>61191</v>
      </c>
      <c r="G1064" s="105" t="s">
        <v>34</v>
      </c>
      <c r="H1064" s="105" t="s">
        <v>342</v>
      </c>
      <c r="I1064" s="105" t="s">
        <v>334</v>
      </c>
      <c r="J1064" s="493">
        <v>22</v>
      </c>
      <c r="K1064" s="493">
        <v>2</v>
      </c>
      <c r="L1064" s="105" t="s">
        <v>343</v>
      </c>
      <c r="M1064" s="105" t="s">
        <v>695</v>
      </c>
      <c r="N1064" s="105" t="s">
        <v>696</v>
      </c>
      <c r="O1064" s="105" t="s">
        <v>696</v>
      </c>
      <c r="P1064" s="105" t="s">
        <v>339</v>
      </c>
      <c r="Q1064" s="494">
        <v>0</v>
      </c>
      <c r="R1064" s="494">
        <v>0</v>
      </c>
      <c r="S1064" s="494">
        <v>879715</v>
      </c>
      <c r="T1064" s="494">
        <v>879715</v>
      </c>
      <c r="U1064" s="494">
        <v>257830</v>
      </c>
      <c r="V1064" s="493">
        <v>2024</v>
      </c>
      <c r="W1064" s="495"/>
      <c r="X1064" s="496">
        <f t="shared" si="68"/>
        <v>3.4119962766163749</v>
      </c>
      <c r="Y1064" s="497" t="str">
        <f t="shared" si="69"/>
        <v/>
      </c>
      <c r="Z1064" s="497" t="str">
        <f t="shared" si="69"/>
        <v/>
      </c>
    </row>
    <row r="1065" spans="1:26" s="82" customFormat="1" ht="32" x14ac:dyDescent="0.4">
      <c r="A1065" s="493">
        <v>56847</v>
      </c>
      <c r="B1065" s="105" t="s">
        <v>329</v>
      </c>
      <c r="C1065" s="493" t="s">
        <v>330</v>
      </c>
      <c r="D1065" s="105" t="s">
        <v>1193</v>
      </c>
      <c r="E1065" s="105" t="s">
        <v>1194</v>
      </c>
      <c r="F1065" s="493">
        <v>56067</v>
      </c>
      <c r="G1065" s="105" t="s">
        <v>37</v>
      </c>
      <c r="H1065" s="105" t="s">
        <v>342</v>
      </c>
      <c r="I1065" s="105" t="s">
        <v>334</v>
      </c>
      <c r="J1065" s="493">
        <v>22</v>
      </c>
      <c r="K1065" s="493">
        <v>2</v>
      </c>
      <c r="L1065" s="105" t="s">
        <v>343</v>
      </c>
      <c r="M1065" s="105" t="s">
        <v>360</v>
      </c>
      <c r="N1065" s="105" t="s">
        <v>264</v>
      </c>
      <c r="O1065" s="105" t="s">
        <v>481</v>
      </c>
      <c r="P1065" s="105" t="s">
        <v>350</v>
      </c>
      <c r="Q1065" s="494">
        <v>2916</v>
      </c>
      <c r="R1065" s="494">
        <v>2916</v>
      </c>
      <c r="S1065" s="494">
        <v>15747</v>
      </c>
      <c r="T1065" s="494">
        <v>15747</v>
      </c>
      <c r="U1065" s="494">
        <v>1064.7650000000001</v>
      </c>
      <c r="V1065" s="493">
        <v>2024</v>
      </c>
      <c r="W1065" s="495"/>
      <c r="X1065" s="496">
        <f t="shared" si="68"/>
        <v>14.789178832888007</v>
      </c>
      <c r="Y1065" s="497" t="str">
        <f t="shared" si="69"/>
        <v/>
      </c>
      <c r="Z1065" s="497" t="str">
        <f t="shared" si="69"/>
        <v/>
      </c>
    </row>
    <row r="1066" spans="1:26" s="82" customFormat="1" ht="32" x14ac:dyDescent="0.4">
      <c r="A1066" s="493">
        <v>56847</v>
      </c>
      <c r="B1066" s="105" t="s">
        <v>329</v>
      </c>
      <c r="C1066" s="493" t="s">
        <v>330</v>
      </c>
      <c r="D1066" s="105" t="s">
        <v>1193</v>
      </c>
      <c r="E1066" s="105" t="s">
        <v>1194</v>
      </c>
      <c r="F1066" s="493">
        <v>56067</v>
      </c>
      <c r="G1066" s="105" t="s">
        <v>37</v>
      </c>
      <c r="H1066" s="105" t="s">
        <v>342</v>
      </c>
      <c r="I1066" s="105" t="s">
        <v>334</v>
      </c>
      <c r="J1066" s="493">
        <v>22</v>
      </c>
      <c r="K1066" s="493">
        <v>2</v>
      </c>
      <c r="L1066" s="105" t="s">
        <v>343</v>
      </c>
      <c r="M1066" s="105" t="s">
        <v>360</v>
      </c>
      <c r="N1066" s="105" t="s">
        <v>258</v>
      </c>
      <c r="O1066" s="105" t="s">
        <v>387</v>
      </c>
      <c r="P1066" s="105" t="s">
        <v>388</v>
      </c>
      <c r="Q1066" s="494">
        <v>269389</v>
      </c>
      <c r="R1066" s="494">
        <v>269389</v>
      </c>
      <c r="S1066" s="494">
        <v>2478379</v>
      </c>
      <c r="T1066" s="494">
        <v>2478379</v>
      </c>
      <c r="U1066" s="494">
        <v>198080.24</v>
      </c>
      <c r="V1066" s="493">
        <v>2024</v>
      </c>
      <c r="W1066" s="495"/>
      <c r="X1066" s="496">
        <f t="shared" si="68"/>
        <v>12.511995138939655</v>
      </c>
      <c r="Y1066" s="497" t="str">
        <f t="shared" si="69"/>
        <v/>
      </c>
      <c r="Z1066" s="497" t="str">
        <f t="shared" si="69"/>
        <v/>
      </c>
    </row>
    <row r="1067" spans="1:26" s="82" customFormat="1" x14ac:dyDescent="0.4">
      <c r="A1067" s="493">
        <v>56857</v>
      </c>
      <c r="B1067" s="105" t="s">
        <v>329</v>
      </c>
      <c r="C1067" s="493" t="s">
        <v>330</v>
      </c>
      <c r="D1067" s="105" t="s">
        <v>1195</v>
      </c>
      <c r="E1067" s="105" t="s">
        <v>1196</v>
      </c>
      <c r="F1067" s="493">
        <v>56072</v>
      </c>
      <c r="G1067" s="105" t="s">
        <v>52</v>
      </c>
      <c r="H1067" s="105" t="s">
        <v>333</v>
      </c>
      <c r="I1067" s="105" t="s">
        <v>334</v>
      </c>
      <c r="J1067" s="493">
        <v>22</v>
      </c>
      <c r="K1067" s="493">
        <v>2</v>
      </c>
      <c r="L1067" s="105" t="s">
        <v>343</v>
      </c>
      <c r="M1067" s="105" t="s">
        <v>695</v>
      </c>
      <c r="N1067" s="105" t="s">
        <v>696</v>
      </c>
      <c r="O1067" s="105" t="s">
        <v>696</v>
      </c>
      <c r="P1067" s="105" t="s">
        <v>339</v>
      </c>
      <c r="Q1067" s="494">
        <v>0</v>
      </c>
      <c r="R1067" s="494">
        <v>0</v>
      </c>
      <c r="S1067" s="494">
        <v>1318062</v>
      </c>
      <c r="T1067" s="494">
        <v>1318062</v>
      </c>
      <c r="U1067" s="494">
        <v>386302</v>
      </c>
      <c r="V1067" s="493">
        <v>2024</v>
      </c>
      <c r="W1067" s="495"/>
      <c r="X1067" s="496">
        <f t="shared" si="68"/>
        <v>3.4119989024131381</v>
      </c>
      <c r="Y1067" s="497" t="str">
        <f t="shared" si="69"/>
        <v/>
      </c>
      <c r="Z1067" s="497" t="str">
        <f t="shared" si="69"/>
        <v/>
      </c>
    </row>
    <row r="1068" spans="1:26" s="82" customFormat="1" ht="32" x14ac:dyDescent="0.4">
      <c r="A1068" s="493">
        <v>56901</v>
      </c>
      <c r="B1068" s="105" t="s">
        <v>329</v>
      </c>
      <c r="C1068" s="493" t="s">
        <v>330</v>
      </c>
      <c r="D1068" s="105" t="s">
        <v>1197</v>
      </c>
      <c r="E1068" s="105" t="s">
        <v>1176</v>
      </c>
      <c r="F1068" s="493">
        <v>63858</v>
      </c>
      <c r="G1068" s="105" t="s">
        <v>52</v>
      </c>
      <c r="H1068" s="105" t="s">
        <v>333</v>
      </c>
      <c r="I1068" s="105" t="s">
        <v>334</v>
      </c>
      <c r="J1068" s="493">
        <v>22</v>
      </c>
      <c r="K1068" s="493">
        <v>2</v>
      </c>
      <c r="L1068" s="105" t="s">
        <v>343</v>
      </c>
      <c r="M1068" s="105" t="s">
        <v>695</v>
      </c>
      <c r="N1068" s="105" t="s">
        <v>696</v>
      </c>
      <c r="O1068" s="105" t="s">
        <v>696</v>
      </c>
      <c r="P1068" s="105" t="s">
        <v>339</v>
      </c>
      <c r="Q1068" s="494">
        <v>0</v>
      </c>
      <c r="R1068" s="494">
        <v>0</v>
      </c>
      <c r="S1068" s="494">
        <v>538888</v>
      </c>
      <c r="T1068" s="494">
        <v>538888</v>
      </c>
      <c r="U1068" s="494">
        <v>157939</v>
      </c>
      <c r="V1068" s="493">
        <v>2024</v>
      </c>
      <c r="W1068" s="495"/>
      <c r="X1068" s="496">
        <f t="shared" si="68"/>
        <v>3.4120008357657072</v>
      </c>
      <c r="Y1068" s="497" t="str">
        <f t="shared" ref="Y1068:Z1087" si="70">IF(AND($M1068=$Y$2,$N1068=$Y$3,NOT($Q1068=$R1068),NOT($U1068=0)),IF($K1068=5,$S1068/($U1068+(8/5)*$U1068),IF($K1068=7,$S1068/($U1068+(29/25)*$U1068),"")),"")</f>
        <v/>
      </c>
      <c r="Z1068" s="497" t="str">
        <f t="shared" si="70"/>
        <v/>
      </c>
    </row>
    <row r="1069" spans="1:26" s="82" customFormat="1" ht="32" x14ac:dyDescent="0.4">
      <c r="A1069" s="493">
        <v>56902</v>
      </c>
      <c r="B1069" s="105" t="s">
        <v>329</v>
      </c>
      <c r="C1069" s="493" t="s">
        <v>330</v>
      </c>
      <c r="D1069" s="105" t="s">
        <v>1198</v>
      </c>
      <c r="E1069" s="105" t="s">
        <v>1176</v>
      </c>
      <c r="F1069" s="493">
        <v>63858</v>
      </c>
      <c r="G1069" s="105" t="s">
        <v>52</v>
      </c>
      <c r="H1069" s="105" t="s">
        <v>333</v>
      </c>
      <c r="I1069" s="105" t="s">
        <v>334</v>
      </c>
      <c r="J1069" s="493">
        <v>22</v>
      </c>
      <c r="K1069" s="493">
        <v>2</v>
      </c>
      <c r="L1069" s="105" t="s">
        <v>343</v>
      </c>
      <c r="M1069" s="105" t="s">
        <v>695</v>
      </c>
      <c r="N1069" s="105" t="s">
        <v>696</v>
      </c>
      <c r="O1069" s="105" t="s">
        <v>696</v>
      </c>
      <c r="P1069" s="105" t="s">
        <v>339</v>
      </c>
      <c r="Q1069" s="494">
        <v>0</v>
      </c>
      <c r="R1069" s="494">
        <v>0</v>
      </c>
      <c r="S1069" s="494">
        <v>745609</v>
      </c>
      <c r="T1069" s="494">
        <v>745609</v>
      </c>
      <c r="U1069" s="494">
        <v>218525</v>
      </c>
      <c r="V1069" s="493">
        <v>2024</v>
      </c>
      <c r="W1069" s="495"/>
      <c r="X1069" s="496">
        <f t="shared" si="68"/>
        <v>3.412007779430271</v>
      </c>
      <c r="Y1069" s="497" t="str">
        <f t="shared" si="70"/>
        <v/>
      </c>
      <c r="Z1069" s="497" t="str">
        <f t="shared" si="70"/>
        <v/>
      </c>
    </row>
    <row r="1070" spans="1:26" s="82" customFormat="1" ht="32" x14ac:dyDescent="0.4">
      <c r="A1070" s="493">
        <v>56904</v>
      </c>
      <c r="B1070" s="105" t="s">
        <v>329</v>
      </c>
      <c r="C1070" s="493" t="s">
        <v>330</v>
      </c>
      <c r="D1070" s="105" t="s">
        <v>1199</v>
      </c>
      <c r="E1070" s="105" t="s">
        <v>1176</v>
      </c>
      <c r="F1070" s="493">
        <v>63858</v>
      </c>
      <c r="G1070" s="105" t="s">
        <v>52</v>
      </c>
      <c r="H1070" s="105" t="s">
        <v>333</v>
      </c>
      <c r="I1070" s="105" t="s">
        <v>334</v>
      </c>
      <c r="J1070" s="493">
        <v>22</v>
      </c>
      <c r="K1070" s="493">
        <v>2</v>
      </c>
      <c r="L1070" s="105" t="s">
        <v>343</v>
      </c>
      <c r="M1070" s="105" t="s">
        <v>695</v>
      </c>
      <c r="N1070" s="105" t="s">
        <v>696</v>
      </c>
      <c r="O1070" s="105" t="s">
        <v>696</v>
      </c>
      <c r="P1070" s="105" t="s">
        <v>339</v>
      </c>
      <c r="Q1070" s="494">
        <v>0</v>
      </c>
      <c r="R1070" s="494">
        <v>0</v>
      </c>
      <c r="S1070" s="494">
        <v>581686</v>
      </c>
      <c r="T1070" s="494">
        <v>581686</v>
      </c>
      <c r="U1070" s="494">
        <v>170482</v>
      </c>
      <c r="V1070" s="493">
        <v>2024</v>
      </c>
      <c r="W1070" s="495"/>
      <c r="X1070" s="496">
        <f t="shared" si="68"/>
        <v>3.4120083058622024</v>
      </c>
      <c r="Y1070" s="497" t="str">
        <f t="shared" si="70"/>
        <v/>
      </c>
      <c r="Z1070" s="497" t="str">
        <f t="shared" si="70"/>
        <v/>
      </c>
    </row>
    <row r="1071" spans="1:26" s="82" customFormat="1" ht="32" x14ac:dyDescent="0.4">
      <c r="A1071" s="493">
        <v>56928</v>
      </c>
      <c r="B1071" s="105" t="s">
        <v>433</v>
      </c>
      <c r="C1071" s="493" t="s">
        <v>330</v>
      </c>
      <c r="D1071" s="105" t="s">
        <v>1200</v>
      </c>
      <c r="E1071" s="105" t="s">
        <v>1201</v>
      </c>
      <c r="F1071" s="493">
        <v>56143</v>
      </c>
      <c r="G1071" s="105" t="s">
        <v>37</v>
      </c>
      <c r="H1071" s="105" t="s">
        <v>342</v>
      </c>
      <c r="I1071" s="105" t="s">
        <v>334</v>
      </c>
      <c r="J1071" s="493">
        <v>611</v>
      </c>
      <c r="K1071" s="493">
        <v>5</v>
      </c>
      <c r="L1071" s="105" t="s">
        <v>771</v>
      </c>
      <c r="M1071" s="105" t="s">
        <v>295</v>
      </c>
      <c r="N1071" s="105" t="s">
        <v>228</v>
      </c>
      <c r="O1071" s="105" t="s">
        <v>228</v>
      </c>
      <c r="P1071" s="105" t="s">
        <v>356</v>
      </c>
      <c r="Q1071" s="494">
        <v>244829</v>
      </c>
      <c r="R1071" s="494">
        <v>171315</v>
      </c>
      <c r="S1071" s="494">
        <v>251930</v>
      </c>
      <c r="T1071" s="494">
        <v>176284</v>
      </c>
      <c r="U1071" s="494">
        <v>26109</v>
      </c>
      <c r="V1071" s="493">
        <v>2024</v>
      </c>
      <c r="W1071" s="495"/>
      <c r="X1071" s="496" t="str">
        <f t="shared" si="68"/>
        <v/>
      </c>
      <c r="Y1071" s="497">
        <f t="shared" si="70"/>
        <v>3.7112165860873207</v>
      </c>
      <c r="Z1071" s="497">
        <f t="shared" si="70"/>
        <v>3.7112165860873207</v>
      </c>
    </row>
    <row r="1072" spans="1:26" s="82" customFormat="1" ht="32" x14ac:dyDescent="0.4">
      <c r="A1072" s="493">
        <v>56936</v>
      </c>
      <c r="B1072" s="105" t="s">
        <v>329</v>
      </c>
      <c r="C1072" s="493" t="s">
        <v>330</v>
      </c>
      <c r="D1072" s="105" t="s">
        <v>1202</v>
      </c>
      <c r="E1072" s="105" t="s">
        <v>520</v>
      </c>
      <c r="F1072" s="493">
        <v>5914</v>
      </c>
      <c r="G1072" s="105" t="s">
        <v>52</v>
      </c>
      <c r="H1072" s="105" t="s">
        <v>333</v>
      </c>
      <c r="I1072" s="105" t="s">
        <v>334</v>
      </c>
      <c r="J1072" s="493">
        <v>322122</v>
      </c>
      <c r="K1072" s="493">
        <v>6</v>
      </c>
      <c r="L1072" s="105" t="s">
        <v>729</v>
      </c>
      <c r="M1072" s="105" t="s">
        <v>336</v>
      </c>
      <c r="N1072" s="105" t="s">
        <v>337</v>
      </c>
      <c r="O1072" s="105" t="s">
        <v>338</v>
      </c>
      <c r="P1072" s="105" t="s">
        <v>339</v>
      </c>
      <c r="Q1072" s="494">
        <v>0</v>
      </c>
      <c r="R1072" s="494">
        <v>0</v>
      </c>
      <c r="S1072" s="494">
        <v>165582</v>
      </c>
      <c r="T1072" s="494">
        <v>165582</v>
      </c>
      <c r="U1072" s="494">
        <v>48529</v>
      </c>
      <c r="V1072" s="493">
        <v>2024</v>
      </c>
      <c r="W1072" s="495"/>
      <c r="X1072" s="496" t="str">
        <f t="shared" si="68"/>
        <v/>
      </c>
      <c r="Y1072" s="497" t="str">
        <f t="shared" si="70"/>
        <v/>
      </c>
      <c r="Z1072" s="497" t="str">
        <f t="shared" si="70"/>
        <v/>
      </c>
    </row>
    <row r="1073" spans="1:26" s="82" customFormat="1" x14ac:dyDescent="0.4">
      <c r="A1073" s="493">
        <v>56940</v>
      </c>
      <c r="B1073" s="105" t="s">
        <v>329</v>
      </c>
      <c r="C1073" s="493" t="s">
        <v>330</v>
      </c>
      <c r="D1073" s="105" t="s">
        <v>1203</v>
      </c>
      <c r="E1073" s="105" t="s">
        <v>1204</v>
      </c>
      <c r="F1073" s="493">
        <v>56204</v>
      </c>
      <c r="G1073" s="105" t="s">
        <v>52</v>
      </c>
      <c r="H1073" s="105" t="s">
        <v>333</v>
      </c>
      <c r="I1073" s="105" t="s">
        <v>334</v>
      </c>
      <c r="J1073" s="493">
        <v>22</v>
      </c>
      <c r="K1073" s="493">
        <v>2</v>
      </c>
      <c r="L1073" s="105" t="s">
        <v>343</v>
      </c>
      <c r="M1073" s="105" t="s">
        <v>380</v>
      </c>
      <c r="N1073" s="105" t="s">
        <v>226</v>
      </c>
      <c r="O1073" s="105" t="s">
        <v>226</v>
      </c>
      <c r="P1073" s="105" t="s">
        <v>350</v>
      </c>
      <c r="Q1073" s="494">
        <v>0</v>
      </c>
      <c r="R1073" s="494">
        <v>0</v>
      </c>
      <c r="S1073" s="494">
        <v>0</v>
      </c>
      <c r="T1073" s="494">
        <v>0</v>
      </c>
      <c r="U1073" s="494">
        <v>0</v>
      </c>
      <c r="V1073" s="493">
        <v>2024</v>
      </c>
      <c r="W1073" s="495" t="s">
        <v>355</v>
      </c>
      <c r="X1073" s="496" t="str">
        <f t="shared" si="68"/>
        <v/>
      </c>
      <c r="Y1073" s="497" t="str">
        <f t="shared" si="70"/>
        <v/>
      </c>
      <c r="Z1073" s="497" t="str">
        <f t="shared" si="70"/>
        <v/>
      </c>
    </row>
    <row r="1074" spans="1:26" s="82" customFormat="1" x14ac:dyDescent="0.4">
      <c r="A1074" s="493">
        <v>56940</v>
      </c>
      <c r="B1074" s="105" t="s">
        <v>329</v>
      </c>
      <c r="C1074" s="493" t="s">
        <v>330</v>
      </c>
      <c r="D1074" s="105" t="s">
        <v>1203</v>
      </c>
      <c r="E1074" s="105" t="s">
        <v>1204</v>
      </c>
      <c r="F1074" s="493">
        <v>56204</v>
      </c>
      <c r="G1074" s="105" t="s">
        <v>52</v>
      </c>
      <c r="H1074" s="105" t="s">
        <v>333</v>
      </c>
      <c r="I1074" s="105" t="s">
        <v>334</v>
      </c>
      <c r="J1074" s="493">
        <v>22</v>
      </c>
      <c r="K1074" s="493">
        <v>2</v>
      </c>
      <c r="L1074" s="105" t="s">
        <v>343</v>
      </c>
      <c r="M1074" s="105" t="s">
        <v>380</v>
      </c>
      <c r="N1074" s="105" t="s">
        <v>228</v>
      </c>
      <c r="O1074" s="105" t="s">
        <v>228</v>
      </c>
      <c r="P1074" s="105" t="s">
        <v>356</v>
      </c>
      <c r="Q1074" s="494">
        <v>2556296</v>
      </c>
      <c r="R1074" s="494">
        <v>2556296</v>
      </c>
      <c r="S1074" s="494">
        <v>2625012</v>
      </c>
      <c r="T1074" s="494">
        <v>2625012</v>
      </c>
      <c r="U1074" s="494">
        <v>1979255</v>
      </c>
      <c r="V1074" s="493">
        <v>2024</v>
      </c>
      <c r="W1074" s="495" t="s">
        <v>355</v>
      </c>
      <c r="X1074" s="496">
        <f t="shared" si="68"/>
        <v>1.3262626594349893</v>
      </c>
      <c r="Y1074" s="497" t="str">
        <f t="shared" si="70"/>
        <v/>
      </c>
      <c r="Z1074" s="497" t="str">
        <f t="shared" si="70"/>
        <v/>
      </c>
    </row>
    <row r="1075" spans="1:26" s="82" customFormat="1" x14ac:dyDescent="0.4">
      <c r="A1075" s="493">
        <v>56940</v>
      </c>
      <c r="B1075" s="105" t="s">
        <v>329</v>
      </c>
      <c r="C1075" s="493" t="s">
        <v>330</v>
      </c>
      <c r="D1075" s="105" t="s">
        <v>1203</v>
      </c>
      <c r="E1075" s="105" t="s">
        <v>1204</v>
      </c>
      <c r="F1075" s="493">
        <v>56204</v>
      </c>
      <c r="G1075" s="105" t="s">
        <v>52</v>
      </c>
      <c r="H1075" s="105" t="s">
        <v>333</v>
      </c>
      <c r="I1075" s="105" t="s">
        <v>334</v>
      </c>
      <c r="J1075" s="493">
        <v>22</v>
      </c>
      <c r="K1075" s="493">
        <v>2</v>
      </c>
      <c r="L1075" s="105" t="s">
        <v>343</v>
      </c>
      <c r="M1075" s="105" t="s">
        <v>37</v>
      </c>
      <c r="N1075" s="105" t="s">
        <v>226</v>
      </c>
      <c r="O1075" s="105" t="s">
        <v>226</v>
      </c>
      <c r="P1075" s="105" t="s">
        <v>350</v>
      </c>
      <c r="Q1075" s="494">
        <v>0</v>
      </c>
      <c r="R1075" s="494">
        <v>0</v>
      </c>
      <c r="S1075" s="494">
        <v>0</v>
      </c>
      <c r="T1075" s="494">
        <v>0</v>
      </c>
      <c r="U1075" s="494">
        <v>0</v>
      </c>
      <c r="V1075" s="493">
        <v>2024</v>
      </c>
      <c r="W1075" s="495" t="s">
        <v>355</v>
      </c>
      <c r="X1075" s="496" t="str">
        <f t="shared" si="68"/>
        <v/>
      </c>
      <c r="Y1075" s="497" t="str">
        <f t="shared" si="70"/>
        <v/>
      </c>
      <c r="Z1075" s="497" t="str">
        <f t="shared" si="70"/>
        <v/>
      </c>
    </row>
    <row r="1076" spans="1:26" s="82" customFormat="1" x14ac:dyDescent="0.4">
      <c r="A1076" s="493">
        <v>56940</v>
      </c>
      <c r="B1076" s="105" t="s">
        <v>329</v>
      </c>
      <c r="C1076" s="493" t="s">
        <v>330</v>
      </c>
      <c r="D1076" s="105" t="s">
        <v>1203</v>
      </c>
      <c r="E1076" s="105" t="s">
        <v>1204</v>
      </c>
      <c r="F1076" s="493">
        <v>56204</v>
      </c>
      <c r="G1076" s="105" t="s">
        <v>52</v>
      </c>
      <c r="H1076" s="105" t="s">
        <v>333</v>
      </c>
      <c r="I1076" s="105" t="s">
        <v>334</v>
      </c>
      <c r="J1076" s="493">
        <v>22</v>
      </c>
      <c r="K1076" s="493">
        <v>2</v>
      </c>
      <c r="L1076" s="105" t="s">
        <v>343</v>
      </c>
      <c r="M1076" s="105" t="s">
        <v>37</v>
      </c>
      <c r="N1076" s="105" t="s">
        <v>228</v>
      </c>
      <c r="O1076" s="105" t="s">
        <v>228</v>
      </c>
      <c r="P1076" s="105" t="s">
        <v>356</v>
      </c>
      <c r="Q1076" s="494">
        <v>31767764</v>
      </c>
      <c r="R1076" s="494">
        <v>31767764</v>
      </c>
      <c r="S1076" s="494">
        <v>32619723</v>
      </c>
      <c r="T1076" s="494">
        <v>32619723</v>
      </c>
      <c r="U1076" s="494">
        <v>3022653</v>
      </c>
      <c r="V1076" s="493">
        <v>2024</v>
      </c>
      <c r="W1076" s="495" t="s">
        <v>355</v>
      </c>
      <c r="X1076" s="496">
        <f t="shared" si="68"/>
        <v>10.791752477045828</v>
      </c>
      <c r="Y1076" s="497" t="str">
        <f t="shared" si="70"/>
        <v/>
      </c>
      <c r="Z1076" s="497" t="str">
        <f t="shared" si="70"/>
        <v/>
      </c>
    </row>
    <row r="1077" spans="1:26" s="82" customFormat="1" x14ac:dyDescent="0.4">
      <c r="A1077" s="493">
        <v>56953</v>
      </c>
      <c r="B1077" s="105" t="s">
        <v>329</v>
      </c>
      <c r="C1077" s="493" t="s">
        <v>330</v>
      </c>
      <c r="D1077" s="105" t="s">
        <v>1205</v>
      </c>
      <c r="E1077" s="105" t="s">
        <v>1206</v>
      </c>
      <c r="F1077" s="493">
        <v>49893</v>
      </c>
      <c r="G1077" s="105" t="s">
        <v>52</v>
      </c>
      <c r="H1077" s="105" t="s">
        <v>333</v>
      </c>
      <c r="I1077" s="105" t="s">
        <v>334</v>
      </c>
      <c r="J1077" s="493">
        <v>22</v>
      </c>
      <c r="K1077" s="493">
        <v>2</v>
      </c>
      <c r="L1077" s="105" t="s">
        <v>343</v>
      </c>
      <c r="M1077" s="105" t="s">
        <v>695</v>
      </c>
      <c r="N1077" s="105" t="s">
        <v>696</v>
      </c>
      <c r="O1077" s="105" t="s">
        <v>696</v>
      </c>
      <c r="P1077" s="105" t="s">
        <v>339</v>
      </c>
      <c r="Q1077" s="494">
        <v>0</v>
      </c>
      <c r="R1077" s="494">
        <v>0</v>
      </c>
      <c r="S1077" s="494">
        <v>687190</v>
      </c>
      <c r="T1077" s="494">
        <v>687190</v>
      </c>
      <c r="U1077" s="494">
        <v>201404</v>
      </c>
      <c r="V1077" s="493">
        <v>2024</v>
      </c>
      <c r="W1077" s="495"/>
      <c r="X1077" s="496">
        <f t="shared" si="68"/>
        <v>3.4119977756151814</v>
      </c>
      <c r="Y1077" s="497" t="str">
        <f t="shared" si="70"/>
        <v/>
      </c>
      <c r="Z1077" s="497" t="str">
        <f t="shared" si="70"/>
        <v/>
      </c>
    </row>
    <row r="1078" spans="1:26" s="82" customFormat="1" ht="32" x14ac:dyDescent="0.4">
      <c r="A1078" s="493">
        <v>56958</v>
      </c>
      <c r="B1078" s="105" t="s">
        <v>329</v>
      </c>
      <c r="C1078" s="493" t="s">
        <v>330</v>
      </c>
      <c r="D1078" s="105" t="s">
        <v>1207</v>
      </c>
      <c r="E1078" s="105" t="s">
        <v>1162</v>
      </c>
      <c r="F1078" s="493">
        <v>50158</v>
      </c>
      <c r="G1078" s="105" t="s">
        <v>52</v>
      </c>
      <c r="H1078" s="105" t="s">
        <v>333</v>
      </c>
      <c r="I1078" s="105" t="s">
        <v>334</v>
      </c>
      <c r="J1078" s="493">
        <v>22</v>
      </c>
      <c r="K1078" s="493">
        <v>2</v>
      </c>
      <c r="L1078" s="105" t="s">
        <v>343</v>
      </c>
      <c r="M1078" s="105" t="s">
        <v>359</v>
      </c>
      <c r="N1078" s="105" t="s">
        <v>252</v>
      </c>
      <c r="O1078" s="105" t="s">
        <v>688</v>
      </c>
      <c r="P1078" s="105" t="s">
        <v>356</v>
      </c>
      <c r="Q1078" s="494">
        <v>579474</v>
      </c>
      <c r="R1078" s="494">
        <v>579474</v>
      </c>
      <c r="S1078" s="494">
        <v>303066</v>
      </c>
      <c r="T1078" s="494">
        <v>303066</v>
      </c>
      <c r="U1078" s="494">
        <v>25910</v>
      </c>
      <c r="V1078" s="493">
        <v>2024</v>
      </c>
      <c r="W1078" s="495"/>
      <c r="X1078" s="496">
        <f t="shared" si="68"/>
        <v>11.696873793901968</v>
      </c>
      <c r="Y1078" s="497" t="str">
        <f t="shared" si="70"/>
        <v/>
      </c>
      <c r="Z1078" s="497" t="str">
        <f t="shared" si="70"/>
        <v/>
      </c>
    </row>
    <row r="1079" spans="1:26" s="82" customFormat="1" ht="32" x14ac:dyDescent="0.4">
      <c r="A1079" s="493">
        <v>56986</v>
      </c>
      <c r="B1079" s="105" t="s">
        <v>329</v>
      </c>
      <c r="C1079" s="493" t="s">
        <v>330</v>
      </c>
      <c r="D1079" s="105" t="s">
        <v>1208</v>
      </c>
      <c r="E1079" s="105" t="s">
        <v>1162</v>
      </c>
      <c r="F1079" s="493">
        <v>50158</v>
      </c>
      <c r="G1079" s="105" t="s">
        <v>52</v>
      </c>
      <c r="H1079" s="105" t="s">
        <v>333</v>
      </c>
      <c r="I1079" s="105" t="s">
        <v>334</v>
      </c>
      <c r="J1079" s="493">
        <v>22</v>
      </c>
      <c r="K1079" s="493">
        <v>2</v>
      </c>
      <c r="L1079" s="105" t="s">
        <v>343</v>
      </c>
      <c r="M1079" s="105" t="s">
        <v>359</v>
      </c>
      <c r="N1079" s="105" t="s">
        <v>252</v>
      </c>
      <c r="O1079" s="105" t="s">
        <v>688</v>
      </c>
      <c r="P1079" s="105" t="s">
        <v>356</v>
      </c>
      <c r="Q1079" s="494">
        <v>1119904</v>
      </c>
      <c r="R1079" s="494">
        <v>1119904</v>
      </c>
      <c r="S1079" s="494">
        <v>521876</v>
      </c>
      <c r="T1079" s="494">
        <v>521876</v>
      </c>
      <c r="U1079" s="494">
        <v>47828</v>
      </c>
      <c r="V1079" s="493">
        <v>2024</v>
      </c>
      <c r="W1079" s="495"/>
      <c r="X1079" s="496">
        <f t="shared" si="68"/>
        <v>10.911516266622062</v>
      </c>
      <c r="Y1079" s="497" t="str">
        <f t="shared" si="70"/>
        <v/>
      </c>
      <c r="Z1079" s="497" t="str">
        <f t="shared" si="70"/>
        <v/>
      </c>
    </row>
    <row r="1080" spans="1:26" s="82" customFormat="1" ht="32" x14ac:dyDescent="0.4">
      <c r="A1080" s="493">
        <v>56987</v>
      </c>
      <c r="B1080" s="105" t="s">
        <v>329</v>
      </c>
      <c r="C1080" s="493" t="s">
        <v>330</v>
      </c>
      <c r="D1080" s="105" t="s">
        <v>1209</v>
      </c>
      <c r="E1080" s="105" t="s">
        <v>1162</v>
      </c>
      <c r="F1080" s="493">
        <v>50158</v>
      </c>
      <c r="G1080" s="105" t="s">
        <v>52</v>
      </c>
      <c r="H1080" s="105" t="s">
        <v>333</v>
      </c>
      <c r="I1080" s="105" t="s">
        <v>334</v>
      </c>
      <c r="J1080" s="493">
        <v>22</v>
      </c>
      <c r="K1080" s="493">
        <v>2</v>
      </c>
      <c r="L1080" s="105" t="s">
        <v>343</v>
      </c>
      <c r="M1080" s="105" t="s">
        <v>359</v>
      </c>
      <c r="N1080" s="105" t="s">
        <v>252</v>
      </c>
      <c r="O1080" s="105" t="s">
        <v>688</v>
      </c>
      <c r="P1080" s="105" t="s">
        <v>356</v>
      </c>
      <c r="Q1080" s="494">
        <v>831614</v>
      </c>
      <c r="R1080" s="494">
        <v>831614</v>
      </c>
      <c r="S1080" s="494">
        <v>360921</v>
      </c>
      <c r="T1080" s="494">
        <v>360921</v>
      </c>
      <c r="U1080" s="494">
        <v>33340</v>
      </c>
      <c r="V1080" s="493">
        <v>2024</v>
      </c>
      <c r="W1080" s="495"/>
      <c r="X1080" s="496">
        <f t="shared" si="68"/>
        <v>10.825464907018596</v>
      </c>
      <c r="Y1080" s="497" t="str">
        <f t="shared" si="70"/>
        <v/>
      </c>
      <c r="Z1080" s="497" t="str">
        <f t="shared" si="70"/>
        <v/>
      </c>
    </row>
    <row r="1081" spans="1:26" s="82" customFormat="1" x14ac:dyDescent="0.4">
      <c r="A1081" s="493">
        <v>56989</v>
      </c>
      <c r="B1081" s="105" t="s">
        <v>329</v>
      </c>
      <c r="C1081" s="493" t="s">
        <v>330</v>
      </c>
      <c r="D1081" s="105" t="s">
        <v>1210</v>
      </c>
      <c r="E1081" s="105" t="s">
        <v>1169</v>
      </c>
      <c r="F1081" s="493">
        <v>59155</v>
      </c>
      <c r="G1081" s="105" t="s">
        <v>34</v>
      </c>
      <c r="H1081" s="105" t="s">
        <v>342</v>
      </c>
      <c r="I1081" s="105" t="s">
        <v>334</v>
      </c>
      <c r="J1081" s="493">
        <v>22</v>
      </c>
      <c r="K1081" s="493">
        <v>2</v>
      </c>
      <c r="L1081" s="105" t="s">
        <v>343</v>
      </c>
      <c r="M1081" s="105" t="s">
        <v>695</v>
      </c>
      <c r="N1081" s="105" t="s">
        <v>696</v>
      </c>
      <c r="O1081" s="105" t="s">
        <v>696</v>
      </c>
      <c r="P1081" s="105" t="s">
        <v>339</v>
      </c>
      <c r="Q1081" s="494">
        <v>0</v>
      </c>
      <c r="R1081" s="494">
        <v>0</v>
      </c>
      <c r="S1081" s="494">
        <v>411729</v>
      </c>
      <c r="T1081" s="494">
        <v>411729</v>
      </c>
      <c r="U1081" s="494">
        <v>120671</v>
      </c>
      <c r="V1081" s="493">
        <v>2024</v>
      </c>
      <c r="W1081" s="495"/>
      <c r="X1081" s="496">
        <f t="shared" si="68"/>
        <v>3.4119962542781614</v>
      </c>
      <c r="Y1081" s="497" t="str">
        <f t="shared" si="70"/>
        <v/>
      </c>
      <c r="Z1081" s="497" t="str">
        <f t="shared" si="70"/>
        <v/>
      </c>
    </row>
    <row r="1082" spans="1:26" s="82" customFormat="1" x14ac:dyDescent="0.4">
      <c r="A1082" s="493">
        <v>56990</v>
      </c>
      <c r="B1082" s="105" t="s">
        <v>329</v>
      </c>
      <c r="C1082" s="493" t="s">
        <v>330</v>
      </c>
      <c r="D1082" s="105" t="s">
        <v>1211</v>
      </c>
      <c r="E1082" s="105" t="s">
        <v>1169</v>
      </c>
      <c r="F1082" s="493">
        <v>59155</v>
      </c>
      <c r="G1082" s="105" t="s">
        <v>34</v>
      </c>
      <c r="H1082" s="105" t="s">
        <v>342</v>
      </c>
      <c r="I1082" s="105" t="s">
        <v>334</v>
      </c>
      <c r="J1082" s="493">
        <v>22</v>
      </c>
      <c r="K1082" s="493">
        <v>2</v>
      </c>
      <c r="L1082" s="105" t="s">
        <v>343</v>
      </c>
      <c r="M1082" s="105" t="s">
        <v>695</v>
      </c>
      <c r="N1082" s="105" t="s">
        <v>696</v>
      </c>
      <c r="O1082" s="105" t="s">
        <v>696</v>
      </c>
      <c r="P1082" s="105" t="s">
        <v>339</v>
      </c>
      <c r="Q1082" s="494">
        <v>0</v>
      </c>
      <c r="R1082" s="494">
        <v>0</v>
      </c>
      <c r="S1082" s="494">
        <v>464202</v>
      </c>
      <c r="T1082" s="494">
        <v>464202</v>
      </c>
      <c r="U1082" s="494">
        <v>136050</v>
      </c>
      <c r="V1082" s="493">
        <v>2024</v>
      </c>
      <c r="W1082" s="495"/>
      <c r="X1082" s="496">
        <f t="shared" si="68"/>
        <v>3.4119955898566703</v>
      </c>
      <c r="Y1082" s="497" t="str">
        <f t="shared" si="70"/>
        <v/>
      </c>
      <c r="Z1082" s="497" t="str">
        <f t="shared" si="70"/>
        <v/>
      </c>
    </row>
    <row r="1083" spans="1:26" s="82" customFormat="1" x14ac:dyDescent="0.4">
      <c r="A1083" s="493">
        <v>56991</v>
      </c>
      <c r="B1083" s="105" t="s">
        <v>329</v>
      </c>
      <c r="C1083" s="493" t="s">
        <v>330</v>
      </c>
      <c r="D1083" s="105" t="s">
        <v>1212</v>
      </c>
      <c r="E1083" s="105" t="s">
        <v>1169</v>
      </c>
      <c r="F1083" s="493">
        <v>59155</v>
      </c>
      <c r="G1083" s="105" t="s">
        <v>34</v>
      </c>
      <c r="H1083" s="105" t="s">
        <v>342</v>
      </c>
      <c r="I1083" s="105" t="s">
        <v>334</v>
      </c>
      <c r="J1083" s="493">
        <v>22</v>
      </c>
      <c r="K1083" s="493">
        <v>2</v>
      </c>
      <c r="L1083" s="105" t="s">
        <v>343</v>
      </c>
      <c r="M1083" s="105" t="s">
        <v>695</v>
      </c>
      <c r="N1083" s="105" t="s">
        <v>696</v>
      </c>
      <c r="O1083" s="105" t="s">
        <v>696</v>
      </c>
      <c r="P1083" s="105" t="s">
        <v>339</v>
      </c>
      <c r="Q1083" s="494">
        <v>0</v>
      </c>
      <c r="R1083" s="494">
        <v>0</v>
      </c>
      <c r="S1083" s="494">
        <v>169424</v>
      </c>
      <c r="T1083" s="494">
        <v>169424</v>
      </c>
      <c r="U1083" s="494">
        <v>49655</v>
      </c>
      <c r="V1083" s="493">
        <v>2024</v>
      </c>
      <c r="W1083" s="495"/>
      <c r="X1083" s="496">
        <f t="shared" si="68"/>
        <v>3.4120229584130501</v>
      </c>
      <c r="Y1083" s="497" t="str">
        <f t="shared" si="70"/>
        <v/>
      </c>
      <c r="Z1083" s="497" t="str">
        <f t="shared" si="70"/>
        <v/>
      </c>
    </row>
    <row r="1084" spans="1:26" s="82" customFormat="1" x14ac:dyDescent="0.4">
      <c r="A1084" s="493">
        <v>57002</v>
      </c>
      <c r="B1084" s="105" t="s">
        <v>329</v>
      </c>
      <c r="C1084" s="493" t="s">
        <v>330</v>
      </c>
      <c r="D1084" s="105" t="s">
        <v>1213</v>
      </c>
      <c r="E1084" s="105" t="s">
        <v>1214</v>
      </c>
      <c r="F1084" s="493">
        <v>60453</v>
      </c>
      <c r="G1084" s="105" t="s">
        <v>34</v>
      </c>
      <c r="H1084" s="105" t="s">
        <v>342</v>
      </c>
      <c r="I1084" s="105" t="s">
        <v>334</v>
      </c>
      <c r="J1084" s="493">
        <v>22</v>
      </c>
      <c r="K1084" s="493">
        <v>2</v>
      </c>
      <c r="L1084" s="105" t="s">
        <v>343</v>
      </c>
      <c r="M1084" s="105" t="s">
        <v>695</v>
      </c>
      <c r="N1084" s="105" t="s">
        <v>696</v>
      </c>
      <c r="O1084" s="105" t="s">
        <v>696</v>
      </c>
      <c r="P1084" s="105" t="s">
        <v>339</v>
      </c>
      <c r="Q1084" s="494">
        <v>0</v>
      </c>
      <c r="R1084" s="494">
        <v>0</v>
      </c>
      <c r="S1084" s="494">
        <v>1187916</v>
      </c>
      <c r="T1084" s="494">
        <v>1187916</v>
      </c>
      <c r="U1084" s="494">
        <v>348158</v>
      </c>
      <c r="V1084" s="493">
        <v>2024</v>
      </c>
      <c r="W1084" s="495"/>
      <c r="X1084" s="496">
        <f t="shared" si="68"/>
        <v>3.4120025965222687</v>
      </c>
      <c r="Y1084" s="497" t="str">
        <f t="shared" si="70"/>
        <v/>
      </c>
      <c r="Z1084" s="497" t="str">
        <f t="shared" si="70"/>
        <v/>
      </c>
    </row>
    <row r="1085" spans="1:26" s="82" customFormat="1" ht="32" x14ac:dyDescent="0.4">
      <c r="A1085" s="493">
        <v>57003</v>
      </c>
      <c r="B1085" s="105" t="s">
        <v>329</v>
      </c>
      <c r="C1085" s="493" t="s">
        <v>330</v>
      </c>
      <c r="D1085" s="105" t="s">
        <v>1215</v>
      </c>
      <c r="E1085" s="105" t="s">
        <v>1162</v>
      </c>
      <c r="F1085" s="493">
        <v>50158</v>
      </c>
      <c r="G1085" s="105" t="s">
        <v>52</v>
      </c>
      <c r="H1085" s="105" t="s">
        <v>333</v>
      </c>
      <c r="I1085" s="105" t="s">
        <v>334</v>
      </c>
      <c r="J1085" s="493">
        <v>22</v>
      </c>
      <c r="K1085" s="493">
        <v>2</v>
      </c>
      <c r="L1085" s="105" t="s">
        <v>343</v>
      </c>
      <c r="M1085" s="105" t="s">
        <v>359</v>
      </c>
      <c r="N1085" s="105" t="s">
        <v>252</v>
      </c>
      <c r="O1085" s="105" t="s">
        <v>688</v>
      </c>
      <c r="P1085" s="105" t="s">
        <v>356</v>
      </c>
      <c r="Q1085" s="494">
        <v>386087</v>
      </c>
      <c r="R1085" s="494">
        <v>386087</v>
      </c>
      <c r="S1085" s="494">
        <v>200380</v>
      </c>
      <c r="T1085" s="494">
        <v>200380</v>
      </c>
      <c r="U1085" s="494">
        <v>17212</v>
      </c>
      <c r="V1085" s="493">
        <v>2024</v>
      </c>
      <c r="W1085" s="495"/>
      <c r="X1085" s="496">
        <f t="shared" si="68"/>
        <v>11.641877759702533</v>
      </c>
      <c r="Y1085" s="497" t="str">
        <f t="shared" si="70"/>
        <v/>
      </c>
      <c r="Z1085" s="497" t="str">
        <f t="shared" si="70"/>
        <v/>
      </c>
    </row>
    <row r="1086" spans="1:26" s="82" customFormat="1" ht="32" x14ac:dyDescent="0.4">
      <c r="A1086" s="493">
        <v>57016</v>
      </c>
      <c r="B1086" s="105" t="s">
        <v>329</v>
      </c>
      <c r="C1086" s="493" t="s">
        <v>330</v>
      </c>
      <c r="D1086" s="105" t="s">
        <v>1216</v>
      </c>
      <c r="E1086" s="105" t="s">
        <v>937</v>
      </c>
      <c r="F1086" s="493">
        <v>54842</v>
      </c>
      <c r="G1086" s="105" t="s">
        <v>34</v>
      </c>
      <c r="H1086" s="105" t="s">
        <v>342</v>
      </c>
      <c r="I1086" s="105" t="s">
        <v>334</v>
      </c>
      <c r="J1086" s="493">
        <v>22</v>
      </c>
      <c r="K1086" s="493">
        <v>2</v>
      </c>
      <c r="L1086" s="105" t="s">
        <v>343</v>
      </c>
      <c r="M1086" s="105" t="s">
        <v>359</v>
      </c>
      <c r="N1086" s="105" t="s">
        <v>252</v>
      </c>
      <c r="O1086" s="105" t="s">
        <v>688</v>
      </c>
      <c r="P1086" s="105" t="s">
        <v>356</v>
      </c>
      <c r="Q1086" s="494">
        <v>408149</v>
      </c>
      <c r="R1086" s="494">
        <v>408149</v>
      </c>
      <c r="S1086" s="494">
        <v>208155</v>
      </c>
      <c r="T1086" s="494">
        <v>208155</v>
      </c>
      <c r="U1086" s="494">
        <v>18403</v>
      </c>
      <c r="V1086" s="493">
        <v>2024</v>
      </c>
      <c r="W1086" s="495"/>
      <c r="X1086" s="496">
        <f t="shared" si="68"/>
        <v>11.310927566157691</v>
      </c>
      <c r="Y1086" s="497" t="str">
        <f t="shared" si="70"/>
        <v/>
      </c>
      <c r="Z1086" s="497" t="str">
        <f t="shared" si="70"/>
        <v/>
      </c>
    </row>
    <row r="1087" spans="1:26" s="82" customFormat="1" ht="32" x14ac:dyDescent="0.4">
      <c r="A1087" s="493">
        <v>57068</v>
      </c>
      <c r="B1087" s="105" t="s">
        <v>329</v>
      </c>
      <c r="C1087" s="493" t="s">
        <v>330</v>
      </c>
      <c r="D1087" s="105" t="s">
        <v>1217</v>
      </c>
      <c r="E1087" s="105" t="s">
        <v>1217</v>
      </c>
      <c r="F1087" s="493">
        <v>56354</v>
      </c>
      <c r="G1087" s="105" t="s">
        <v>37</v>
      </c>
      <c r="H1087" s="105" t="s">
        <v>342</v>
      </c>
      <c r="I1087" s="105" t="s">
        <v>334</v>
      </c>
      <c r="J1087" s="493">
        <v>22</v>
      </c>
      <c r="K1087" s="493">
        <v>2</v>
      </c>
      <c r="L1087" s="105" t="s">
        <v>343</v>
      </c>
      <c r="M1087" s="105" t="s">
        <v>295</v>
      </c>
      <c r="N1087" s="105" t="s">
        <v>226</v>
      </c>
      <c r="O1087" s="105" t="s">
        <v>226</v>
      </c>
      <c r="P1087" s="105" t="s">
        <v>350</v>
      </c>
      <c r="Q1087" s="494">
        <v>0</v>
      </c>
      <c r="R1087" s="494">
        <v>0</v>
      </c>
      <c r="S1087" s="494">
        <v>0</v>
      </c>
      <c r="T1087" s="494">
        <v>0</v>
      </c>
      <c r="U1087" s="494">
        <v>0</v>
      </c>
      <c r="V1087" s="493">
        <v>2024</v>
      </c>
      <c r="W1087" s="495"/>
      <c r="X1087" s="496" t="str">
        <f t="shared" si="68"/>
        <v/>
      </c>
      <c r="Y1087" s="497" t="str">
        <f t="shared" si="70"/>
        <v/>
      </c>
      <c r="Z1087" s="497" t="str">
        <f t="shared" si="70"/>
        <v/>
      </c>
    </row>
    <row r="1088" spans="1:26" s="82" customFormat="1" ht="32" x14ac:dyDescent="0.4">
      <c r="A1088" s="493">
        <v>57068</v>
      </c>
      <c r="B1088" s="105" t="s">
        <v>329</v>
      </c>
      <c r="C1088" s="493" t="s">
        <v>330</v>
      </c>
      <c r="D1088" s="105" t="s">
        <v>1217</v>
      </c>
      <c r="E1088" s="105" t="s">
        <v>1217</v>
      </c>
      <c r="F1088" s="493">
        <v>56354</v>
      </c>
      <c r="G1088" s="105" t="s">
        <v>37</v>
      </c>
      <c r="H1088" s="105" t="s">
        <v>342</v>
      </c>
      <c r="I1088" s="105" t="s">
        <v>334</v>
      </c>
      <c r="J1088" s="493">
        <v>22</v>
      </c>
      <c r="K1088" s="493">
        <v>2</v>
      </c>
      <c r="L1088" s="105" t="s">
        <v>343</v>
      </c>
      <c r="M1088" s="105" t="s">
        <v>295</v>
      </c>
      <c r="N1088" s="105" t="s">
        <v>242</v>
      </c>
      <c r="O1088" s="105" t="s">
        <v>349</v>
      </c>
      <c r="P1088" s="105" t="s">
        <v>350</v>
      </c>
      <c r="Q1088" s="494">
        <v>3719</v>
      </c>
      <c r="R1088" s="494">
        <v>3719</v>
      </c>
      <c r="S1088" s="494">
        <v>20828</v>
      </c>
      <c r="T1088" s="494">
        <v>20828</v>
      </c>
      <c r="U1088" s="494">
        <v>3407.078</v>
      </c>
      <c r="V1088" s="493">
        <v>2024</v>
      </c>
      <c r="W1088" s="495"/>
      <c r="X1088" s="496">
        <f t="shared" si="68"/>
        <v>6.1131562001222166</v>
      </c>
      <c r="Y1088" s="497" t="str">
        <f t="shared" ref="Y1088:Z1107" si="71">IF(AND($M1088=$Y$2,$N1088=$Y$3,NOT($Q1088=$R1088),NOT($U1088=0)),IF($K1088=5,$S1088/($U1088+(8/5)*$U1088),IF($K1088=7,$S1088/($U1088+(29/25)*$U1088),"")),"")</f>
        <v/>
      </c>
      <c r="Z1088" s="497" t="str">
        <f t="shared" si="71"/>
        <v/>
      </c>
    </row>
    <row r="1089" spans="1:26" s="82" customFormat="1" ht="32" x14ac:dyDescent="0.4">
      <c r="A1089" s="493">
        <v>57068</v>
      </c>
      <c r="B1089" s="105" t="s">
        <v>329</v>
      </c>
      <c r="C1089" s="493" t="s">
        <v>330</v>
      </c>
      <c r="D1089" s="105" t="s">
        <v>1217</v>
      </c>
      <c r="E1089" s="105" t="s">
        <v>1217</v>
      </c>
      <c r="F1089" s="493">
        <v>56354</v>
      </c>
      <c r="G1089" s="105" t="s">
        <v>37</v>
      </c>
      <c r="H1089" s="105" t="s">
        <v>342</v>
      </c>
      <c r="I1089" s="105" t="s">
        <v>334</v>
      </c>
      <c r="J1089" s="493">
        <v>22</v>
      </c>
      <c r="K1089" s="493">
        <v>2</v>
      </c>
      <c r="L1089" s="105" t="s">
        <v>343</v>
      </c>
      <c r="M1089" s="105" t="s">
        <v>295</v>
      </c>
      <c r="N1089" s="105" t="s">
        <v>228</v>
      </c>
      <c r="O1089" s="105" t="s">
        <v>228</v>
      </c>
      <c r="P1089" s="105" t="s">
        <v>356</v>
      </c>
      <c r="Q1089" s="494">
        <v>15032</v>
      </c>
      <c r="R1089" s="494">
        <v>15032</v>
      </c>
      <c r="S1089" s="494">
        <v>15485</v>
      </c>
      <c r="T1089" s="494">
        <v>15485</v>
      </c>
      <c r="U1089" s="494">
        <v>2532.922</v>
      </c>
      <c r="V1089" s="493">
        <v>2024</v>
      </c>
      <c r="W1089" s="495"/>
      <c r="X1089" s="496">
        <f t="shared" si="68"/>
        <v>6.1134926381467727</v>
      </c>
      <c r="Y1089" s="497" t="str">
        <f t="shared" si="71"/>
        <v/>
      </c>
      <c r="Z1089" s="497" t="str">
        <f t="shared" si="71"/>
        <v/>
      </c>
    </row>
    <row r="1090" spans="1:26" s="82" customFormat="1" x14ac:dyDescent="0.4">
      <c r="A1090" s="493">
        <v>57070</v>
      </c>
      <c r="B1090" s="105" t="s">
        <v>329</v>
      </c>
      <c r="C1090" s="493" t="s">
        <v>330</v>
      </c>
      <c r="D1090" s="105" t="s">
        <v>1218</v>
      </c>
      <c r="E1090" s="105" t="s">
        <v>1218</v>
      </c>
      <c r="F1090" s="493">
        <v>56352</v>
      </c>
      <c r="G1090" s="105" t="s">
        <v>37</v>
      </c>
      <c r="H1090" s="105" t="s">
        <v>342</v>
      </c>
      <c r="I1090" s="105" t="s">
        <v>334</v>
      </c>
      <c r="J1090" s="493">
        <v>22</v>
      </c>
      <c r="K1090" s="493">
        <v>2</v>
      </c>
      <c r="L1090" s="105" t="s">
        <v>343</v>
      </c>
      <c r="M1090" s="105" t="s">
        <v>295</v>
      </c>
      <c r="N1090" s="105" t="s">
        <v>222</v>
      </c>
      <c r="O1090" s="105" t="s">
        <v>479</v>
      </c>
      <c r="P1090" s="105" t="s">
        <v>388</v>
      </c>
      <c r="Q1090" s="494">
        <v>0</v>
      </c>
      <c r="R1090" s="494">
        <v>0</v>
      </c>
      <c r="S1090" s="494">
        <v>0</v>
      </c>
      <c r="T1090" s="494">
        <v>0</v>
      </c>
      <c r="U1090" s="494">
        <v>0</v>
      </c>
      <c r="V1090" s="493">
        <v>2024</v>
      </c>
      <c r="W1090" s="495"/>
      <c r="X1090" s="496" t="str">
        <f t="shared" si="68"/>
        <v/>
      </c>
      <c r="Y1090" s="497" t="str">
        <f t="shared" si="71"/>
        <v/>
      </c>
      <c r="Z1090" s="497" t="str">
        <f t="shared" si="71"/>
        <v/>
      </c>
    </row>
    <row r="1091" spans="1:26" s="82" customFormat="1" x14ac:dyDescent="0.4">
      <c r="A1091" s="493">
        <v>57070</v>
      </c>
      <c r="B1091" s="105" t="s">
        <v>329</v>
      </c>
      <c r="C1091" s="493" t="s">
        <v>330</v>
      </c>
      <c r="D1091" s="105" t="s">
        <v>1218</v>
      </c>
      <c r="E1091" s="105" t="s">
        <v>1218</v>
      </c>
      <c r="F1091" s="493">
        <v>56352</v>
      </c>
      <c r="G1091" s="105" t="s">
        <v>37</v>
      </c>
      <c r="H1091" s="105" t="s">
        <v>342</v>
      </c>
      <c r="I1091" s="105" t="s">
        <v>334</v>
      </c>
      <c r="J1091" s="493">
        <v>22</v>
      </c>
      <c r="K1091" s="493">
        <v>2</v>
      </c>
      <c r="L1091" s="105" t="s">
        <v>343</v>
      </c>
      <c r="M1091" s="105" t="s">
        <v>295</v>
      </c>
      <c r="N1091" s="105" t="s">
        <v>226</v>
      </c>
      <c r="O1091" s="105" t="s">
        <v>226</v>
      </c>
      <c r="P1091" s="105" t="s">
        <v>350</v>
      </c>
      <c r="Q1091" s="494">
        <v>0</v>
      </c>
      <c r="R1091" s="494">
        <v>0</v>
      </c>
      <c r="S1091" s="494">
        <v>0</v>
      </c>
      <c r="T1091" s="494">
        <v>0</v>
      </c>
      <c r="U1091" s="494">
        <v>0</v>
      </c>
      <c r="V1091" s="493">
        <v>2024</v>
      </c>
      <c r="W1091" s="495"/>
      <c r="X1091" s="496" t="str">
        <f t="shared" si="68"/>
        <v/>
      </c>
      <c r="Y1091" s="497" t="str">
        <f t="shared" si="71"/>
        <v/>
      </c>
      <c r="Z1091" s="497" t="str">
        <f t="shared" si="71"/>
        <v/>
      </c>
    </row>
    <row r="1092" spans="1:26" s="82" customFormat="1" x14ac:dyDescent="0.4">
      <c r="A1092" s="493">
        <v>57070</v>
      </c>
      <c r="B1092" s="105" t="s">
        <v>329</v>
      </c>
      <c r="C1092" s="493" t="s">
        <v>330</v>
      </c>
      <c r="D1092" s="105" t="s">
        <v>1218</v>
      </c>
      <c r="E1092" s="105" t="s">
        <v>1218</v>
      </c>
      <c r="F1092" s="493">
        <v>56352</v>
      </c>
      <c r="G1092" s="105" t="s">
        <v>37</v>
      </c>
      <c r="H1092" s="105" t="s">
        <v>342</v>
      </c>
      <c r="I1092" s="105" t="s">
        <v>334</v>
      </c>
      <c r="J1092" s="493">
        <v>22</v>
      </c>
      <c r="K1092" s="493">
        <v>2</v>
      </c>
      <c r="L1092" s="105" t="s">
        <v>343</v>
      </c>
      <c r="M1092" s="105" t="s">
        <v>295</v>
      </c>
      <c r="N1092" s="105" t="s">
        <v>242</v>
      </c>
      <c r="O1092" s="105" t="s">
        <v>349</v>
      </c>
      <c r="P1092" s="105" t="s">
        <v>350</v>
      </c>
      <c r="Q1092" s="494">
        <v>7478</v>
      </c>
      <c r="R1092" s="494">
        <v>7478</v>
      </c>
      <c r="S1092" s="494">
        <v>41874</v>
      </c>
      <c r="T1092" s="494">
        <v>41874</v>
      </c>
      <c r="U1092" s="494">
        <v>3915.18</v>
      </c>
      <c r="V1092" s="493">
        <v>2024</v>
      </c>
      <c r="W1092" s="495"/>
      <c r="X1092" s="496">
        <f t="shared" si="68"/>
        <v>10.695293702971512</v>
      </c>
      <c r="Y1092" s="497" t="str">
        <f t="shared" si="71"/>
        <v/>
      </c>
      <c r="Z1092" s="497" t="str">
        <f t="shared" si="71"/>
        <v/>
      </c>
    </row>
    <row r="1093" spans="1:26" s="82" customFormat="1" x14ac:dyDescent="0.4">
      <c r="A1093" s="493">
        <v>57070</v>
      </c>
      <c r="B1093" s="105" t="s">
        <v>329</v>
      </c>
      <c r="C1093" s="493" t="s">
        <v>330</v>
      </c>
      <c r="D1093" s="105" t="s">
        <v>1218</v>
      </c>
      <c r="E1093" s="105" t="s">
        <v>1218</v>
      </c>
      <c r="F1093" s="493">
        <v>56352</v>
      </c>
      <c r="G1093" s="105" t="s">
        <v>37</v>
      </c>
      <c r="H1093" s="105" t="s">
        <v>342</v>
      </c>
      <c r="I1093" s="105" t="s">
        <v>334</v>
      </c>
      <c r="J1093" s="493">
        <v>22</v>
      </c>
      <c r="K1093" s="493">
        <v>2</v>
      </c>
      <c r="L1093" s="105" t="s">
        <v>343</v>
      </c>
      <c r="M1093" s="105" t="s">
        <v>295</v>
      </c>
      <c r="N1093" s="105" t="s">
        <v>228</v>
      </c>
      <c r="O1093" s="105" t="s">
        <v>228</v>
      </c>
      <c r="P1093" s="105" t="s">
        <v>356</v>
      </c>
      <c r="Q1093" s="494">
        <v>4370</v>
      </c>
      <c r="R1093" s="494">
        <v>4370</v>
      </c>
      <c r="S1093" s="494">
        <v>4502</v>
      </c>
      <c r="T1093" s="494">
        <v>4502</v>
      </c>
      <c r="U1093" s="494">
        <v>420.82</v>
      </c>
      <c r="V1093" s="493">
        <v>2024</v>
      </c>
      <c r="W1093" s="495"/>
      <c r="X1093" s="496">
        <f t="shared" si="68"/>
        <v>10.698160733805429</v>
      </c>
      <c r="Y1093" s="497" t="str">
        <f t="shared" si="71"/>
        <v/>
      </c>
      <c r="Z1093" s="497" t="str">
        <f t="shared" si="71"/>
        <v/>
      </c>
    </row>
    <row r="1094" spans="1:26" s="82" customFormat="1" x14ac:dyDescent="0.4">
      <c r="A1094" s="493">
        <v>57078</v>
      </c>
      <c r="B1094" s="105" t="s">
        <v>329</v>
      </c>
      <c r="C1094" s="493" t="s">
        <v>330</v>
      </c>
      <c r="D1094" s="105" t="s">
        <v>1219</v>
      </c>
      <c r="E1094" s="105" t="s">
        <v>1169</v>
      </c>
      <c r="F1094" s="493">
        <v>59155</v>
      </c>
      <c r="G1094" s="105" t="s">
        <v>52</v>
      </c>
      <c r="H1094" s="105" t="s">
        <v>333</v>
      </c>
      <c r="I1094" s="105" t="s">
        <v>334</v>
      </c>
      <c r="J1094" s="493">
        <v>22</v>
      </c>
      <c r="K1094" s="493">
        <v>2</v>
      </c>
      <c r="L1094" s="105" t="s">
        <v>343</v>
      </c>
      <c r="M1094" s="105" t="s">
        <v>695</v>
      </c>
      <c r="N1094" s="105" t="s">
        <v>696</v>
      </c>
      <c r="O1094" s="105" t="s">
        <v>696</v>
      </c>
      <c r="P1094" s="105" t="s">
        <v>339</v>
      </c>
      <c r="Q1094" s="494">
        <v>0</v>
      </c>
      <c r="R1094" s="494">
        <v>0</v>
      </c>
      <c r="S1094" s="494">
        <v>140837</v>
      </c>
      <c r="T1094" s="494">
        <v>140837</v>
      </c>
      <c r="U1094" s="494">
        <v>41277</v>
      </c>
      <c r="V1094" s="493">
        <v>2024</v>
      </c>
      <c r="W1094" s="495"/>
      <c r="X1094" s="496">
        <f t="shared" si="68"/>
        <v>3.4119969959057102</v>
      </c>
      <c r="Y1094" s="497" t="str">
        <f t="shared" si="71"/>
        <v/>
      </c>
      <c r="Z1094" s="497" t="str">
        <f t="shared" si="71"/>
        <v/>
      </c>
    </row>
    <row r="1095" spans="1:26" s="82" customFormat="1" x14ac:dyDescent="0.4">
      <c r="A1095" s="493">
        <v>57080</v>
      </c>
      <c r="B1095" s="105" t="s">
        <v>329</v>
      </c>
      <c r="C1095" s="493" t="s">
        <v>330</v>
      </c>
      <c r="D1095" s="105" t="s">
        <v>1220</v>
      </c>
      <c r="E1095" s="105" t="s">
        <v>1169</v>
      </c>
      <c r="F1095" s="493">
        <v>59155</v>
      </c>
      <c r="G1095" s="105" t="s">
        <v>36</v>
      </c>
      <c r="H1095" s="105" t="s">
        <v>342</v>
      </c>
      <c r="I1095" s="105" t="s">
        <v>334</v>
      </c>
      <c r="J1095" s="493">
        <v>22</v>
      </c>
      <c r="K1095" s="493">
        <v>2</v>
      </c>
      <c r="L1095" s="105" t="s">
        <v>343</v>
      </c>
      <c r="M1095" s="105" t="s">
        <v>695</v>
      </c>
      <c r="N1095" s="105" t="s">
        <v>696</v>
      </c>
      <c r="O1095" s="105" t="s">
        <v>696</v>
      </c>
      <c r="P1095" s="105" t="s">
        <v>339</v>
      </c>
      <c r="Q1095" s="494">
        <v>0</v>
      </c>
      <c r="R1095" s="494">
        <v>0</v>
      </c>
      <c r="S1095" s="494">
        <v>239734</v>
      </c>
      <c r="T1095" s="494">
        <v>239734</v>
      </c>
      <c r="U1095" s="494">
        <v>70262</v>
      </c>
      <c r="V1095" s="493">
        <v>2024</v>
      </c>
      <c r="W1095" s="495"/>
      <c r="X1095" s="496">
        <f t="shared" si="68"/>
        <v>3.4120007970168795</v>
      </c>
      <c r="Y1095" s="497" t="str">
        <f t="shared" si="71"/>
        <v/>
      </c>
      <c r="Z1095" s="497" t="str">
        <f t="shared" si="71"/>
        <v/>
      </c>
    </row>
    <row r="1096" spans="1:26" s="82" customFormat="1" x14ac:dyDescent="0.4">
      <c r="A1096" s="493">
        <v>57083</v>
      </c>
      <c r="B1096" s="105" t="s">
        <v>329</v>
      </c>
      <c r="C1096" s="493" t="s">
        <v>330</v>
      </c>
      <c r="D1096" s="105" t="s">
        <v>1221</v>
      </c>
      <c r="E1096" s="105" t="s">
        <v>1169</v>
      </c>
      <c r="F1096" s="493">
        <v>59155</v>
      </c>
      <c r="G1096" s="105" t="s">
        <v>34</v>
      </c>
      <c r="H1096" s="105" t="s">
        <v>342</v>
      </c>
      <c r="I1096" s="105" t="s">
        <v>334</v>
      </c>
      <c r="J1096" s="493">
        <v>22</v>
      </c>
      <c r="K1096" s="493">
        <v>2</v>
      </c>
      <c r="L1096" s="105" t="s">
        <v>343</v>
      </c>
      <c r="M1096" s="105" t="s">
        <v>695</v>
      </c>
      <c r="N1096" s="105" t="s">
        <v>696</v>
      </c>
      <c r="O1096" s="105" t="s">
        <v>696</v>
      </c>
      <c r="P1096" s="105" t="s">
        <v>339</v>
      </c>
      <c r="Q1096" s="494">
        <v>0</v>
      </c>
      <c r="R1096" s="494">
        <v>0</v>
      </c>
      <c r="S1096" s="494">
        <v>252611</v>
      </c>
      <c r="T1096" s="494">
        <v>252611</v>
      </c>
      <c r="U1096" s="494">
        <v>74036</v>
      </c>
      <c r="V1096" s="493">
        <v>2024</v>
      </c>
      <c r="W1096" s="495"/>
      <c r="X1096" s="496">
        <f t="shared" si="68"/>
        <v>3.4120022691663516</v>
      </c>
      <c r="Y1096" s="497" t="str">
        <f t="shared" si="71"/>
        <v/>
      </c>
      <c r="Z1096" s="497" t="str">
        <f t="shared" si="71"/>
        <v/>
      </c>
    </row>
    <row r="1097" spans="1:26" s="82" customFormat="1" ht="32" x14ac:dyDescent="0.4">
      <c r="A1097" s="493">
        <v>57130</v>
      </c>
      <c r="B1097" s="105" t="s">
        <v>329</v>
      </c>
      <c r="C1097" s="493" t="s">
        <v>330</v>
      </c>
      <c r="D1097" s="105" t="s">
        <v>1222</v>
      </c>
      <c r="E1097" s="105" t="s">
        <v>1223</v>
      </c>
      <c r="F1097" s="493">
        <v>56439</v>
      </c>
      <c r="G1097" s="105" t="s">
        <v>34</v>
      </c>
      <c r="H1097" s="105" t="s">
        <v>342</v>
      </c>
      <c r="I1097" s="105" t="s">
        <v>334</v>
      </c>
      <c r="J1097" s="493">
        <v>22</v>
      </c>
      <c r="K1097" s="493">
        <v>2</v>
      </c>
      <c r="L1097" s="105" t="s">
        <v>343</v>
      </c>
      <c r="M1097" s="105" t="s">
        <v>695</v>
      </c>
      <c r="N1097" s="105" t="s">
        <v>696</v>
      </c>
      <c r="O1097" s="105" t="s">
        <v>696</v>
      </c>
      <c r="P1097" s="105" t="s">
        <v>339</v>
      </c>
      <c r="Q1097" s="494">
        <v>0</v>
      </c>
      <c r="R1097" s="494">
        <v>0</v>
      </c>
      <c r="S1097" s="494">
        <v>35354</v>
      </c>
      <c r="T1097" s="494">
        <v>35354</v>
      </c>
      <c r="U1097" s="494">
        <v>10362</v>
      </c>
      <c r="V1097" s="493">
        <v>2024</v>
      </c>
      <c r="W1097" s="495"/>
      <c r="X1097" s="496">
        <f t="shared" ref="X1097:X1160" si="72">IF(OR(K1097&gt;3,T1097=0,NOT(U1097&gt;0)),"",T1097/U1097)</f>
        <v>3.4118895966029723</v>
      </c>
      <c r="Y1097" s="497" t="str">
        <f t="shared" si="71"/>
        <v/>
      </c>
      <c r="Z1097" s="497" t="str">
        <f t="shared" si="71"/>
        <v/>
      </c>
    </row>
    <row r="1098" spans="1:26" s="82" customFormat="1" ht="32" x14ac:dyDescent="0.4">
      <c r="A1098" s="493">
        <v>57179</v>
      </c>
      <c r="B1098" s="105" t="s">
        <v>433</v>
      </c>
      <c r="C1098" s="493" t="s">
        <v>330</v>
      </c>
      <c r="D1098" s="105" t="s">
        <v>1224</v>
      </c>
      <c r="E1098" s="105" t="s">
        <v>989</v>
      </c>
      <c r="F1098" s="493">
        <v>65384</v>
      </c>
      <c r="G1098" s="105" t="s">
        <v>37</v>
      </c>
      <c r="H1098" s="105" t="s">
        <v>342</v>
      </c>
      <c r="I1098" s="105" t="s">
        <v>334</v>
      </c>
      <c r="J1098" s="493">
        <v>622</v>
      </c>
      <c r="K1098" s="493">
        <v>5</v>
      </c>
      <c r="L1098" s="105" t="s">
        <v>771</v>
      </c>
      <c r="M1098" s="105" t="s">
        <v>295</v>
      </c>
      <c r="N1098" s="105" t="s">
        <v>228</v>
      </c>
      <c r="O1098" s="105" t="s">
        <v>228</v>
      </c>
      <c r="P1098" s="105" t="s">
        <v>356</v>
      </c>
      <c r="Q1098" s="494">
        <v>362510</v>
      </c>
      <c r="R1098" s="494">
        <v>123141</v>
      </c>
      <c r="S1098" s="494">
        <v>372298</v>
      </c>
      <c r="T1098" s="494">
        <v>126468</v>
      </c>
      <c r="U1098" s="494">
        <v>27334</v>
      </c>
      <c r="V1098" s="493">
        <v>2024</v>
      </c>
      <c r="W1098" s="495"/>
      <c r="X1098" s="496" t="str">
        <f t="shared" si="72"/>
        <v/>
      </c>
      <c r="Y1098" s="497">
        <f t="shared" si="71"/>
        <v>5.2385870513477162</v>
      </c>
      <c r="Z1098" s="497">
        <f t="shared" si="71"/>
        <v>5.2385870513477162</v>
      </c>
    </row>
    <row r="1099" spans="1:26" s="82" customFormat="1" ht="32" x14ac:dyDescent="0.4">
      <c r="A1099" s="493">
        <v>57184</v>
      </c>
      <c r="B1099" s="105" t="s">
        <v>329</v>
      </c>
      <c r="C1099" s="493" t="s">
        <v>330</v>
      </c>
      <c r="D1099" s="105" t="s">
        <v>1225</v>
      </c>
      <c r="E1099" s="105" t="s">
        <v>399</v>
      </c>
      <c r="F1099" s="493">
        <v>59178</v>
      </c>
      <c r="G1099" s="105" t="s">
        <v>34</v>
      </c>
      <c r="H1099" s="105" t="s">
        <v>342</v>
      </c>
      <c r="I1099" s="105" t="s">
        <v>334</v>
      </c>
      <c r="J1099" s="493">
        <v>22</v>
      </c>
      <c r="K1099" s="493">
        <v>2</v>
      </c>
      <c r="L1099" s="105" t="s">
        <v>343</v>
      </c>
      <c r="M1099" s="105" t="s">
        <v>336</v>
      </c>
      <c r="N1099" s="105" t="s">
        <v>337</v>
      </c>
      <c r="O1099" s="105" t="s">
        <v>338</v>
      </c>
      <c r="P1099" s="105" t="s">
        <v>339</v>
      </c>
      <c r="Q1099" s="494">
        <v>0</v>
      </c>
      <c r="R1099" s="494">
        <v>0</v>
      </c>
      <c r="S1099" s="494">
        <v>19794</v>
      </c>
      <c r="T1099" s="494">
        <v>19794</v>
      </c>
      <c r="U1099" s="494">
        <v>5801</v>
      </c>
      <c r="V1099" s="493">
        <v>2024</v>
      </c>
      <c r="W1099" s="495"/>
      <c r="X1099" s="496">
        <f t="shared" si="72"/>
        <v>3.4121703154628511</v>
      </c>
      <c r="Y1099" s="497" t="str">
        <f t="shared" si="71"/>
        <v/>
      </c>
      <c r="Z1099" s="497" t="str">
        <f t="shared" si="71"/>
        <v/>
      </c>
    </row>
    <row r="1100" spans="1:26" s="82" customFormat="1" ht="32" x14ac:dyDescent="0.4">
      <c r="A1100" s="493">
        <v>57185</v>
      </c>
      <c r="B1100" s="105" t="s">
        <v>329</v>
      </c>
      <c r="C1100" s="493" t="s">
        <v>330</v>
      </c>
      <c r="D1100" s="105" t="s">
        <v>1226</v>
      </c>
      <c r="E1100" s="105" t="s">
        <v>1227</v>
      </c>
      <c r="F1100" s="493">
        <v>56534</v>
      </c>
      <c r="G1100" s="105" t="s">
        <v>52</v>
      </c>
      <c r="H1100" s="105" t="s">
        <v>333</v>
      </c>
      <c r="I1100" s="105" t="s">
        <v>334</v>
      </c>
      <c r="J1100" s="493">
        <v>22</v>
      </c>
      <c r="K1100" s="493">
        <v>2</v>
      </c>
      <c r="L1100" s="105" t="s">
        <v>343</v>
      </c>
      <c r="M1100" s="105" t="s">
        <v>380</v>
      </c>
      <c r="N1100" s="105" t="s">
        <v>228</v>
      </c>
      <c r="O1100" s="105" t="s">
        <v>228</v>
      </c>
      <c r="P1100" s="105" t="s">
        <v>356</v>
      </c>
      <c r="Q1100" s="494">
        <v>419142</v>
      </c>
      <c r="R1100" s="494">
        <v>419142</v>
      </c>
      <c r="S1100" s="494">
        <v>435865</v>
      </c>
      <c r="T1100" s="494">
        <v>435865</v>
      </c>
      <c r="U1100" s="494">
        <v>1464880</v>
      </c>
      <c r="V1100" s="493">
        <v>2024</v>
      </c>
      <c r="W1100" s="495" t="s">
        <v>355</v>
      </c>
      <c r="X1100" s="496">
        <f t="shared" si="72"/>
        <v>0.2975431434656764</v>
      </c>
      <c r="Y1100" s="497" t="str">
        <f t="shared" si="71"/>
        <v/>
      </c>
      <c r="Z1100" s="497" t="str">
        <f t="shared" si="71"/>
        <v/>
      </c>
    </row>
    <row r="1101" spans="1:26" s="82" customFormat="1" ht="32" x14ac:dyDescent="0.4">
      <c r="A1101" s="493">
        <v>57185</v>
      </c>
      <c r="B1101" s="105" t="s">
        <v>329</v>
      </c>
      <c r="C1101" s="493" t="s">
        <v>330</v>
      </c>
      <c r="D1101" s="105" t="s">
        <v>1226</v>
      </c>
      <c r="E1101" s="105" t="s">
        <v>1227</v>
      </c>
      <c r="F1101" s="493">
        <v>56534</v>
      </c>
      <c r="G1101" s="105" t="s">
        <v>52</v>
      </c>
      <c r="H1101" s="105" t="s">
        <v>333</v>
      </c>
      <c r="I1101" s="105" t="s">
        <v>334</v>
      </c>
      <c r="J1101" s="493">
        <v>22</v>
      </c>
      <c r="K1101" s="493">
        <v>2</v>
      </c>
      <c r="L1101" s="105" t="s">
        <v>343</v>
      </c>
      <c r="M1101" s="105" t="s">
        <v>37</v>
      </c>
      <c r="N1101" s="105" t="s">
        <v>228</v>
      </c>
      <c r="O1101" s="105" t="s">
        <v>228</v>
      </c>
      <c r="P1101" s="105" t="s">
        <v>356</v>
      </c>
      <c r="Q1101" s="494">
        <v>27821215</v>
      </c>
      <c r="R1101" s="494">
        <v>27821215</v>
      </c>
      <c r="S1101" s="494">
        <v>28878353</v>
      </c>
      <c r="T1101" s="494">
        <v>28878353</v>
      </c>
      <c r="U1101" s="494">
        <v>2696272</v>
      </c>
      <c r="V1101" s="493">
        <v>2024</v>
      </c>
      <c r="W1101" s="495" t="s">
        <v>355</v>
      </c>
      <c r="X1101" s="496">
        <f t="shared" si="72"/>
        <v>10.710474685046613</v>
      </c>
      <c r="Y1101" s="497" t="str">
        <f t="shared" si="71"/>
        <v/>
      </c>
      <c r="Z1101" s="497" t="str">
        <f t="shared" si="71"/>
        <v/>
      </c>
    </row>
    <row r="1102" spans="1:26" s="82" customFormat="1" ht="32" x14ac:dyDescent="0.4">
      <c r="A1102" s="493">
        <v>57186</v>
      </c>
      <c r="B1102" s="105" t="s">
        <v>329</v>
      </c>
      <c r="C1102" s="493" t="s">
        <v>330</v>
      </c>
      <c r="D1102" s="105" t="s">
        <v>1228</v>
      </c>
      <c r="E1102" s="105" t="s">
        <v>1229</v>
      </c>
      <c r="F1102" s="493">
        <v>64137</v>
      </c>
      <c r="G1102" s="105" t="s">
        <v>52</v>
      </c>
      <c r="H1102" s="105" t="s">
        <v>333</v>
      </c>
      <c r="I1102" s="105" t="s">
        <v>334</v>
      </c>
      <c r="J1102" s="493">
        <v>22</v>
      </c>
      <c r="K1102" s="493">
        <v>2</v>
      </c>
      <c r="L1102" s="105" t="s">
        <v>343</v>
      </c>
      <c r="M1102" s="105" t="s">
        <v>359</v>
      </c>
      <c r="N1102" s="105" t="s">
        <v>252</v>
      </c>
      <c r="O1102" s="105" t="s">
        <v>688</v>
      </c>
      <c r="P1102" s="105" t="s">
        <v>356</v>
      </c>
      <c r="Q1102" s="494">
        <v>4186</v>
      </c>
      <c r="R1102" s="494">
        <v>4186</v>
      </c>
      <c r="S1102" s="494">
        <v>1921</v>
      </c>
      <c r="T1102" s="494">
        <v>1921</v>
      </c>
      <c r="U1102" s="494">
        <v>0</v>
      </c>
      <c r="V1102" s="493">
        <v>2024</v>
      </c>
      <c r="W1102" s="495"/>
      <c r="X1102" s="496" t="str">
        <f t="shared" si="72"/>
        <v/>
      </c>
      <c r="Y1102" s="497" t="str">
        <f t="shared" si="71"/>
        <v/>
      </c>
      <c r="Z1102" s="497" t="str">
        <f t="shared" si="71"/>
        <v/>
      </c>
    </row>
    <row r="1103" spans="1:26" s="82" customFormat="1" ht="32" x14ac:dyDescent="0.4">
      <c r="A1103" s="493">
        <v>57253</v>
      </c>
      <c r="B1103" s="105" t="s">
        <v>329</v>
      </c>
      <c r="C1103" s="493" t="s">
        <v>330</v>
      </c>
      <c r="D1103" s="105" t="s">
        <v>1230</v>
      </c>
      <c r="E1103" s="105" t="s">
        <v>1231</v>
      </c>
      <c r="F1103" s="493">
        <v>56619</v>
      </c>
      <c r="G1103" s="105" t="s">
        <v>33</v>
      </c>
      <c r="H1103" s="105" t="s">
        <v>342</v>
      </c>
      <c r="I1103" s="105" t="s">
        <v>334</v>
      </c>
      <c r="J1103" s="493">
        <v>22</v>
      </c>
      <c r="K1103" s="493">
        <v>2</v>
      </c>
      <c r="L1103" s="105" t="s">
        <v>343</v>
      </c>
      <c r="M1103" s="105" t="s">
        <v>695</v>
      </c>
      <c r="N1103" s="105" t="s">
        <v>696</v>
      </c>
      <c r="O1103" s="105" t="s">
        <v>696</v>
      </c>
      <c r="P1103" s="105" t="s">
        <v>339</v>
      </c>
      <c r="Q1103" s="494">
        <v>0</v>
      </c>
      <c r="R1103" s="494">
        <v>0</v>
      </c>
      <c r="S1103" s="494">
        <v>33073</v>
      </c>
      <c r="T1103" s="494">
        <v>33073</v>
      </c>
      <c r="U1103" s="494">
        <v>9693</v>
      </c>
      <c r="V1103" s="493">
        <v>2024</v>
      </c>
      <c r="W1103" s="495"/>
      <c r="X1103" s="496">
        <f t="shared" si="72"/>
        <v>3.4120499329412977</v>
      </c>
      <c r="Y1103" s="497" t="str">
        <f t="shared" si="71"/>
        <v/>
      </c>
      <c r="Z1103" s="497" t="str">
        <f t="shared" si="71"/>
        <v/>
      </c>
    </row>
    <row r="1104" spans="1:26" s="82" customFormat="1" ht="32" x14ac:dyDescent="0.4">
      <c r="A1104" s="493">
        <v>57265</v>
      </c>
      <c r="B1104" s="105" t="s">
        <v>329</v>
      </c>
      <c r="C1104" s="493" t="s">
        <v>330</v>
      </c>
      <c r="D1104" s="105" t="s">
        <v>1232</v>
      </c>
      <c r="E1104" s="105" t="s">
        <v>1233</v>
      </c>
      <c r="F1104" s="493">
        <v>11804</v>
      </c>
      <c r="G1104" s="105" t="s">
        <v>33</v>
      </c>
      <c r="H1104" s="105" t="s">
        <v>342</v>
      </c>
      <c r="I1104" s="105" t="s">
        <v>334</v>
      </c>
      <c r="J1104" s="493">
        <v>22</v>
      </c>
      <c r="K1104" s="493">
        <v>1</v>
      </c>
      <c r="L1104" s="105" t="s">
        <v>335</v>
      </c>
      <c r="M1104" s="105" t="s">
        <v>655</v>
      </c>
      <c r="N1104" s="105" t="s">
        <v>656</v>
      </c>
      <c r="O1104" s="105" t="s">
        <v>656</v>
      </c>
      <c r="P1104" s="105" t="s">
        <v>339</v>
      </c>
      <c r="Q1104" s="494">
        <v>0</v>
      </c>
      <c r="R1104" s="494">
        <v>0</v>
      </c>
      <c r="S1104" s="494">
        <v>5224</v>
      </c>
      <c r="T1104" s="494">
        <v>5224</v>
      </c>
      <c r="U1104" s="494">
        <v>1531</v>
      </c>
      <c r="V1104" s="493">
        <v>2024</v>
      </c>
      <c r="W1104" s="495"/>
      <c r="X1104" s="496">
        <f t="shared" si="72"/>
        <v>3.4121489222730244</v>
      </c>
      <c r="Y1104" s="497" t="str">
        <f t="shared" si="71"/>
        <v/>
      </c>
      <c r="Z1104" s="497" t="str">
        <f t="shared" si="71"/>
        <v/>
      </c>
    </row>
    <row r="1105" spans="1:26" s="82" customFormat="1" ht="32" x14ac:dyDescent="0.4">
      <c r="A1105" s="493">
        <v>57269</v>
      </c>
      <c r="B1105" s="105" t="s">
        <v>329</v>
      </c>
      <c r="C1105" s="493" t="s">
        <v>330</v>
      </c>
      <c r="D1105" s="105" t="s">
        <v>1234</v>
      </c>
      <c r="E1105" s="105" t="s">
        <v>1233</v>
      </c>
      <c r="F1105" s="493">
        <v>11804</v>
      </c>
      <c r="G1105" s="105" t="s">
        <v>33</v>
      </c>
      <c r="H1105" s="105" t="s">
        <v>342</v>
      </c>
      <c r="I1105" s="105" t="s">
        <v>334</v>
      </c>
      <c r="J1105" s="493">
        <v>22</v>
      </c>
      <c r="K1105" s="493">
        <v>1</v>
      </c>
      <c r="L1105" s="105" t="s">
        <v>335</v>
      </c>
      <c r="M1105" s="105" t="s">
        <v>655</v>
      </c>
      <c r="N1105" s="105" t="s">
        <v>656</v>
      </c>
      <c r="O1105" s="105" t="s">
        <v>656</v>
      </c>
      <c r="P1105" s="105" t="s">
        <v>339</v>
      </c>
      <c r="Q1105" s="494">
        <v>0</v>
      </c>
      <c r="R1105" s="494">
        <v>0</v>
      </c>
      <c r="S1105" s="494">
        <v>3965</v>
      </c>
      <c r="T1105" s="494">
        <v>3965</v>
      </c>
      <c r="U1105" s="494">
        <v>1162</v>
      </c>
      <c r="V1105" s="493">
        <v>2024</v>
      </c>
      <c r="W1105" s="495"/>
      <c r="X1105" s="496">
        <f t="shared" si="72"/>
        <v>3.4122203098106714</v>
      </c>
      <c r="Y1105" s="497" t="str">
        <f t="shared" si="71"/>
        <v/>
      </c>
      <c r="Z1105" s="497" t="str">
        <f t="shared" si="71"/>
        <v/>
      </c>
    </row>
    <row r="1106" spans="1:26" s="82" customFormat="1" ht="32" x14ac:dyDescent="0.4">
      <c r="A1106" s="493">
        <v>57270</v>
      </c>
      <c r="B1106" s="105" t="s">
        <v>329</v>
      </c>
      <c r="C1106" s="493" t="s">
        <v>330</v>
      </c>
      <c r="D1106" s="105" t="s">
        <v>1235</v>
      </c>
      <c r="E1106" s="105" t="s">
        <v>1233</v>
      </c>
      <c r="F1106" s="493">
        <v>11804</v>
      </c>
      <c r="G1106" s="105" t="s">
        <v>33</v>
      </c>
      <c r="H1106" s="105" t="s">
        <v>342</v>
      </c>
      <c r="I1106" s="105" t="s">
        <v>334</v>
      </c>
      <c r="J1106" s="493">
        <v>22</v>
      </c>
      <c r="K1106" s="493">
        <v>1</v>
      </c>
      <c r="L1106" s="105" t="s">
        <v>335</v>
      </c>
      <c r="M1106" s="105" t="s">
        <v>655</v>
      </c>
      <c r="N1106" s="105" t="s">
        <v>656</v>
      </c>
      <c r="O1106" s="105" t="s">
        <v>656</v>
      </c>
      <c r="P1106" s="105" t="s">
        <v>339</v>
      </c>
      <c r="Q1106" s="494">
        <v>0</v>
      </c>
      <c r="R1106" s="494">
        <v>0</v>
      </c>
      <c r="S1106" s="494">
        <v>3338</v>
      </c>
      <c r="T1106" s="494">
        <v>3338</v>
      </c>
      <c r="U1106" s="494">
        <v>979</v>
      </c>
      <c r="V1106" s="493">
        <v>2024</v>
      </c>
      <c r="W1106" s="495"/>
      <c r="X1106" s="496">
        <f t="shared" si="72"/>
        <v>3.4096016343207354</v>
      </c>
      <c r="Y1106" s="497" t="str">
        <f t="shared" si="71"/>
        <v/>
      </c>
      <c r="Z1106" s="497" t="str">
        <f t="shared" si="71"/>
        <v/>
      </c>
    </row>
    <row r="1107" spans="1:26" s="82" customFormat="1" x14ac:dyDescent="0.4">
      <c r="A1107" s="493">
        <v>57287</v>
      </c>
      <c r="B1107" s="105" t="s">
        <v>329</v>
      </c>
      <c r="C1107" s="493" t="s">
        <v>330</v>
      </c>
      <c r="D1107" s="105" t="s">
        <v>1236</v>
      </c>
      <c r="E1107" s="105" t="s">
        <v>1165</v>
      </c>
      <c r="F1107" s="493">
        <v>15399</v>
      </c>
      <c r="G1107" s="105" t="s">
        <v>52</v>
      </c>
      <c r="H1107" s="105" t="s">
        <v>333</v>
      </c>
      <c r="I1107" s="105" t="s">
        <v>334</v>
      </c>
      <c r="J1107" s="493">
        <v>22</v>
      </c>
      <c r="K1107" s="493">
        <v>2</v>
      </c>
      <c r="L1107" s="105" t="s">
        <v>343</v>
      </c>
      <c r="M1107" s="105" t="s">
        <v>695</v>
      </c>
      <c r="N1107" s="105" t="s">
        <v>696</v>
      </c>
      <c r="O1107" s="105" t="s">
        <v>696</v>
      </c>
      <c r="P1107" s="105" t="s">
        <v>339</v>
      </c>
      <c r="Q1107" s="494">
        <v>0</v>
      </c>
      <c r="R1107" s="494">
        <v>0</v>
      </c>
      <c r="S1107" s="494">
        <v>558822</v>
      </c>
      <c r="T1107" s="494">
        <v>558822</v>
      </c>
      <c r="U1107" s="494">
        <v>163781</v>
      </c>
      <c r="V1107" s="493">
        <v>2024</v>
      </c>
      <c r="W1107" s="495"/>
      <c r="X1107" s="496">
        <f t="shared" si="72"/>
        <v>3.412007497817207</v>
      </c>
      <c r="Y1107" s="497" t="str">
        <f t="shared" si="71"/>
        <v/>
      </c>
      <c r="Z1107" s="497" t="str">
        <f t="shared" si="71"/>
        <v/>
      </c>
    </row>
    <row r="1108" spans="1:26" s="82" customFormat="1" x14ac:dyDescent="0.4">
      <c r="A1108" s="493">
        <v>57354</v>
      </c>
      <c r="B1108" s="105" t="s">
        <v>329</v>
      </c>
      <c r="C1108" s="493" t="s">
        <v>330</v>
      </c>
      <c r="D1108" s="105" t="s">
        <v>1237</v>
      </c>
      <c r="E1108" s="105" t="s">
        <v>1237</v>
      </c>
      <c r="F1108" s="493">
        <v>56693</v>
      </c>
      <c r="G1108" s="105" t="s">
        <v>34</v>
      </c>
      <c r="H1108" s="105" t="s">
        <v>342</v>
      </c>
      <c r="I1108" s="105" t="s">
        <v>334</v>
      </c>
      <c r="J1108" s="493">
        <v>22</v>
      </c>
      <c r="K1108" s="493">
        <v>2</v>
      </c>
      <c r="L1108" s="105" t="s">
        <v>343</v>
      </c>
      <c r="M1108" s="105" t="s">
        <v>695</v>
      </c>
      <c r="N1108" s="105" t="s">
        <v>696</v>
      </c>
      <c r="O1108" s="105" t="s">
        <v>696</v>
      </c>
      <c r="P1108" s="105" t="s">
        <v>339</v>
      </c>
      <c r="Q1108" s="494">
        <v>0</v>
      </c>
      <c r="R1108" s="494">
        <v>0</v>
      </c>
      <c r="S1108" s="494">
        <v>26067</v>
      </c>
      <c r="T1108" s="494">
        <v>26067</v>
      </c>
      <c r="U1108" s="494">
        <v>7640</v>
      </c>
      <c r="V1108" s="493">
        <v>2024</v>
      </c>
      <c r="W1108" s="495"/>
      <c r="X1108" s="496">
        <f t="shared" si="72"/>
        <v>3.4119109947643977</v>
      </c>
      <c r="Y1108" s="497" t="str">
        <f t="shared" ref="Y1108:Z1127" si="73">IF(AND($M1108=$Y$2,$N1108=$Y$3,NOT($Q1108=$R1108),NOT($U1108=0)),IF($K1108=5,$S1108/($U1108+(8/5)*$U1108),IF($K1108=7,$S1108/($U1108+(29/25)*$U1108),"")),"")</f>
        <v/>
      </c>
      <c r="Z1108" s="497" t="str">
        <f t="shared" si="73"/>
        <v/>
      </c>
    </row>
    <row r="1109" spans="1:26" s="82" customFormat="1" x14ac:dyDescent="0.4">
      <c r="A1109" s="493">
        <v>57380</v>
      </c>
      <c r="B1109" s="105" t="s">
        <v>329</v>
      </c>
      <c r="C1109" s="493" t="s">
        <v>330</v>
      </c>
      <c r="D1109" s="105" t="s">
        <v>1238</v>
      </c>
      <c r="E1109" s="105" t="s">
        <v>1165</v>
      </c>
      <c r="F1109" s="493">
        <v>15399</v>
      </c>
      <c r="G1109" s="105" t="s">
        <v>33</v>
      </c>
      <c r="H1109" s="105" t="s">
        <v>342</v>
      </c>
      <c r="I1109" s="105" t="s">
        <v>334</v>
      </c>
      <c r="J1109" s="493">
        <v>22</v>
      </c>
      <c r="K1109" s="493">
        <v>2</v>
      </c>
      <c r="L1109" s="105" t="s">
        <v>343</v>
      </c>
      <c r="M1109" s="105" t="s">
        <v>695</v>
      </c>
      <c r="N1109" s="105" t="s">
        <v>696</v>
      </c>
      <c r="O1109" s="105" t="s">
        <v>696</v>
      </c>
      <c r="P1109" s="105" t="s">
        <v>339</v>
      </c>
      <c r="Q1109" s="494">
        <v>0</v>
      </c>
      <c r="R1109" s="494">
        <v>0</v>
      </c>
      <c r="S1109" s="494">
        <v>219262</v>
      </c>
      <c r="T1109" s="494">
        <v>219262</v>
      </c>
      <c r="U1109" s="494">
        <v>64262</v>
      </c>
      <c r="V1109" s="493">
        <v>2024</v>
      </c>
      <c r="W1109" s="495"/>
      <c r="X1109" s="496">
        <f t="shared" si="72"/>
        <v>3.4120008714325727</v>
      </c>
      <c r="Y1109" s="497" t="str">
        <f t="shared" si="73"/>
        <v/>
      </c>
      <c r="Z1109" s="497" t="str">
        <f t="shared" si="73"/>
        <v/>
      </c>
    </row>
    <row r="1110" spans="1:26" s="82" customFormat="1" ht="32" x14ac:dyDescent="0.4">
      <c r="A1110" s="493">
        <v>57404</v>
      </c>
      <c r="B1110" s="105" t="s">
        <v>329</v>
      </c>
      <c r="C1110" s="493" t="s">
        <v>330</v>
      </c>
      <c r="D1110" s="105" t="s">
        <v>1239</v>
      </c>
      <c r="E1110" s="105" t="s">
        <v>937</v>
      </c>
      <c r="F1110" s="493">
        <v>54842</v>
      </c>
      <c r="G1110" s="105" t="s">
        <v>52</v>
      </c>
      <c r="H1110" s="105" t="s">
        <v>333</v>
      </c>
      <c r="I1110" s="105" t="s">
        <v>334</v>
      </c>
      <c r="J1110" s="493">
        <v>22</v>
      </c>
      <c r="K1110" s="493">
        <v>2</v>
      </c>
      <c r="L1110" s="105" t="s">
        <v>343</v>
      </c>
      <c r="M1110" s="105" t="s">
        <v>359</v>
      </c>
      <c r="N1110" s="105" t="s">
        <v>252</v>
      </c>
      <c r="O1110" s="105" t="s">
        <v>688</v>
      </c>
      <c r="P1110" s="105" t="s">
        <v>356</v>
      </c>
      <c r="Q1110" s="494">
        <v>552979</v>
      </c>
      <c r="R1110" s="494">
        <v>552979</v>
      </c>
      <c r="S1110" s="494">
        <v>270960</v>
      </c>
      <c r="T1110" s="494">
        <v>270960</v>
      </c>
      <c r="U1110" s="494">
        <v>25328</v>
      </c>
      <c r="V1110" s="493">
        <v>2024</v>
      </c>
      <c r="W1110" s="495"/>
      <c r="X1110" s="496">
        <f t="shared" si="72"/>
        <v>10.698041692987998</v>
      </c>
      <c r="Y1110" s="497" t="str">
        <f t="shared" si="73"/>
        <v/>
      </c>
      <c r="Z1110" s="497" t="str">
        <f t="shared" si="73"/>
        <v/>
      </c>
    </row>
    <row r="1111" spans="1:26" s="82" customFormat="1" x14ac:dyDescent="0.4">
      <c r="A1111" s="493">
        <v>57414</v>
      </c>
      <c r="B1111" s="105" t="s">
        <v>329</v>
      </c>
      <c r="C1111" s="493" t="s">
        <v>330</v>
      </c>
      <c r="D1111" s="105" t="s">
        <v>1240</v>
      </c>
      <c r="E1111" s="105" t="s">
        <v>1241</v>
      </c>
      <c r="F1111" s="493">
        <v>56742</v>
      </c>
      <c r="G1111" s="105" t="s">
        <v>33</v>
      </c>
      <c r="H1111" s="105" t="s">
        <v>342</v>
      </c>
      <c r="I1111" s="105" t="s">
        <v>334</v>
      </c>
      <c r="J1111" s="493">
        <v>22</v>
      </c>
      <c r="K1111" s="493">
        <v>2</v>
      </c>
      <c r="L1111" s="105" t="s">
        <v>343</v>
      </c>
      <c r="M1111" s="105" t="s">
        <v>695</v>
      </c>
      <c r="N1111" s="105" t="s">
        <v>696</v>
      </c>
      <c r="O1111" s="105" t="s">
        <v>696</v>
      </c>
      <c r="P1111" s="105" t="s">
        <v>339</v>
      </c>
      <c r="Q1111" s="494">
        <v>0</v>
      </c>
      <c r="R1111" s="494">
        <v>0</v>
      </c>
      <c r="S1111" s="494">
        <v>14547</v>
      </c>
      <c r="T1111" s="494">
        <v>14547</v>
      </c>
      <c r="U1111" s="494">
        <v>4263</v>
      </c>
      <c r="V1111" s="493">
        <v>2024</v>
      </c>
      <c r="W1111" s="495"/>
      <c r="X1111" s="496">
        <f t="shared" si="72"/>
        <v>3.4123856439127374</v>
      </c>
      <c r="Y1111" s="497" t="str">
        <f t="shared" si="73"/>
        <v/>
      </c>
      <c r="Z1111" s="497" t="str">
        <f t="shared" si="73"/>
        <v/>
      </c>
    </row>
    <row r="1112" spans="1:26" s="82" customFormat="1" ht="32" x14ac:dyDescent="0.4">
      <c r="A1112" s="493">
        <v>57473</v>
      </c>
      <c r="B1112" s="105" t="s">
        <v>329</v>
      </c>
      <c r="C1112" s="493" t="s">
        <v>330</v>
      </c>
      <c r="D1112" s="105" t="s">
        <v>1242</v>
      </c>
      <c r="E1112" s="105" t="s">
        <v>1243</v>
      </c>
      <c r="F1112" s="493">
        <v>56769</v>
      </c>
      <c r="G1112" s="105" t="s">
        <v>33</v>
      </c>
      <c r="H1112" s="105" t="s">
        <v>342</v>
      </c>
      <c r="I1112" s="105" t="s">
        <v>334</v>
      </c>
      <c r="J1112" s="493">
        <v>22</v>
      </c>
      <c r="K1112" s="493">
        <v>2</v>
      </c>
      <c r="L1112" s="105" t="s">
        <v>343</v>
      </c>
      <c r="M1112" s="105" t="s">
        <v>655</v>
      </c>
      <c r="N1112" s="105" t="s">
        <v>656</v>
      </c>
      <c r="O1112" s="105" t="s">
        <v>656</v>
      </c>
      <c r="P1112" s="105" t="s">
        <v>339</v>
      </c>
      <c r="Q1112" s="494">
        <v>0</v>
      </c>
      <c r="R1112" s="494">
        <v>0</v>
      </c>
      <c r="S1112" s="494">
        <v>6929</v>
      </c>
      <c r="T1112" s="494">
        <v>6929</v>
      </c>
      <c r="U1112" s="494">
        <v>2031</v>
      </c>
      <c r="V1112" s="493">
        <v>2024</v>
      </c>
      <c r="W1112" s="495"/>
      <c r="X1112" s="496">
        <f t="shared" si="72"/>
        <v>3.4116198916789759</v>
      </c>
      <c r="Y1112" s="497" t="str">
        <f t="shared" si="73"/>
        <v/>
      </c>
      <c r="Z1112" s="497" t="str">
        <f t="shared" si="73"/>
        <v/>
      </c>
    </row>
    <row r="1113" spans="1:26" s="82" customFormat="1" ht="32" x14ac:dyDescent="0.4">
      <c r="A1113" s="493">
        <v>57481</v>
      </c>
      <c r="B1113" s="105" t="s">
        <v>329</v>
      </c>
      <c r="C1113" s="493" t="s">
        <v>330</v>
      </c>
      <c r="D1113" s="105" t="s">
        <v>1244</v>
      </c>
      <c r="E1113" s="105" t="s">
        <v>1245</v>
      </c>
      <c r="F1113" s="493">
        <v>56795</v>
      </c>
      <c r="G1113" s="105" t="s">
        <v>36</v>
      </c>
      <c r="H1113" s="105" t="s">
        <v>342</v>
      </c>
      <c r="I1113" s="105" t="s">
        <v>334</v>
      </c>
      <c r="J1113" s="493">
        <v>22</v>
      </c>
      <c r="K1113" s="493">
        <v>2</v>
      </c>
      <c r="L1113" s="105" t="s">
        <v>343</v>
      </c>
      <c r="M1113" s="105" t="s">
        <v>655</v>
      </c>
      <c r="N1113" s="105" t="s">
        <v>656</v>
      </c>
      <c r="O1113" s="105" t="s">
        <v>656</v>
      </c>
      <c r="P1113" s="105" t="s">
        <v>339</v>
      </c>
      <c r="Q1113" s="494">
        <v>0</v>
      </c>
      <c r="R1113" s="494">
        <v>0</v>
      </c>
      <c r="S1113" s="494">
        <v>9733</v>
      </c>
      <c r="T1113" s="494">
        <v>9733</v>
      </c>
      <c r="U1113" s="494">
        <v>2853</v>
      </c>
      <c r="V1113" s="493">
        <v>2024</v>
      </c>
      <c r="W1113" s="495"/>
      <c r="X1113" s="496">
        <f t="shared" si="72"/>
        <v>3.4114966701717488</v>
      </c>
      <c r="Y1113" s="497" t="str">
        <f t="shared" si="73"/>
        <v/>
      </c>
      <c r="Z1113" s="497" t="str">
        <f t="shared" si="73"/>
        <v/>
      </c>
    </row>
    <row r="1114" spans="1:26" s="82" customFormat="1" x14ac:dyDescent="0.4">
      <c r="A1114" s="493">
        <v>57531</v>
      </c>
      <c r="B1114" s="105" t="s">
        <v>329</v>
      </c>
      <c r="C1114" s="493" t="s">
        <v>330</v>
      </c>
      <c r="D1114" s="105" t="s">
        <v>1246</v>
      </c>
      <c r="E1114" s="105" t="s">
        <v>1214</v>
      </c>
      <c r="F1114" s="493">
        <v>60453</v>
      </c>
      <c r="G1114" s="105" t="s">
        <v>34</v>
      </c>
      <c r="H1114" s="105" t="s">
        <v>342</v>
      </c>
      <c r="I1114" s="105" t="s">
        <v>334</v>
      </c>
      <c r="J1114" s="493">
        <v>22</v>
      </c>
      <c r="K1114" s="493">
        <v>2</v>
      </c>
      <c r="L1114" s="105" t="s">
        <v>343</v>
      </c>
      <c r="M1114" s="105" t="s">
        <v>695</v>
      </c>
      <c r="N1114" s="105" t="s">
        <v>696</v>
      </c>
      <c r="O1114" s="105" t="s">
        <v>696</v>
      </c>
      <c r="P1114" s="105" t="s">
        <v>339</v>
      </c>
      <c r="Q1114" s="494">
        <v>0</v>
      </c>
      <c r="R1114" s="494">
        <v>0</v>
      </c>
      <c r="S1114" s="494">
        <v>1529323</v>
      </c>
      <c r="T1114" s="494">
        <v>1529323</v>
      </c>
      <c r="U1114" s="494">
        <v>448219</v>
      </c>
      <c r="V1114" s="493">
        <v>2024</v>
      </c>
      <c r="W1114" s="495"/>
      <c r="X1114" s="496">
        <f t="shared" si="72"/>
        <v>3.4119994913200915</v>
      </c>
      <c r="Y1114" s="497" t="str">
        <f t="shared" si="73"/>
        <v/>
      </c>
      <c r="Z1114" s="497" t="str">
        <f t="shared" si="73"/>
        <v/>
      </c>
    </row>
    <row r="1115" spans="1:26" s="82" customFormat="1" x14ac:dyDescent="0.4">
      <c r="A1115" s="493">
        <v>57568</v>
      </c>
      <c r="B1115" s="105" t="s">
        <v>329</v>
      </c>
      <c r="C1115" s="493" t="s">
        <v>330</v>
      </c>
      <c r="D1115" s="105" t="s">
        <v>1247</v>
      </c>
      <c r="E1115" s="105" t="s">
        <v>1248</v>
      </c>
      <c r="F1115" s="493">
        <v>56909</v>
      </c>
      <c r="G1115" s="105" t="s">
        <v>34</v>
      </c>
      <c r="H1115" s="105" t="s">
        <v>342</v>
      </c>
      <c r="I1115" s="105" t="s">
        <v>334</v>
      </c>
      <c r="J1115" s="493">
        <v>22</v>
      </c>
      <c r="K1115" s="493">
        <v>2</v>
      </c>
      <c r="L1115" s="105" t="s">
        <v>343</v>
      </c>
      <c r="M1115" s="105" t="s">
        <v>695</v>
      </c>
      <c r="N1115" s="105" t="s">
        <v>696</v>
      </c>
      <c r="O1115" s="105" t="s">
        <v>696</v>
      </c>
      <c r="P1115" s="105" t="s">
        <v>339</v>
      </c>
      <c r="Q1115" s="494">
        <v>0</v>
      </c>
      <c r="R1115" s="494">
        <v>0</v>
      </c>
      <c r="S1115" s="494">
        <v>392302</v>
      </c>
      <c r="T1115" s="494">
        <v>392302</v>
      </c>
      <c r="U1115" s="494">
        <v>114977</v>
      </c>
      <c r="V1115" s="493">
        <v>2024</v>
      </c>
      <c r="W1115" s="495"/>
      <c r="X1115" s="496">
        <f t="shared" si="72"/>
        <v>3.4120041399584267</v>
      </c>
      <c r="Y1115" s="497" t="str">
        <f t="shared" si="73"/>
        <v/>
      </c>
      <c r="Z1115" s="497" t="str">
        <f t="shared" si="73"/>
        <v/>
      </c>
    </row>
    <row r="1116" spans="1:26" s="82" customFormat="1" ht="32" x14ac:dyDescent="0.4">
      <c r="A1116" s="493">
        <v>57589</v>
      </c>
      <c r="B1116" s="105" t="s">
        <v>329</v>
      </c>
      <c r="C1116" s="493" t="s">
        <v>330</v>
      </c>
      <c r="D1116" s="105" t="s">
        <v>1249</v>
      </c>
      <c r="E1116" s="105" t="s">
        <v>1249</v>
      </c>
      <c r="F1116" s="493">
        <v>56924</v>
      </c>
      <c r="G1116" s="105" t="s">
        <v>52</v>
      </c>
      <c r="H1116" s="105" t="s">
        <v>333</v>
      </c>
      <c r="I1116" s="105" t="s">
        <v>334</v>
      </c>
      <c r="J1116" s="493">
        <v>22</v>
      </c>
      <c r="K1116" s="493">
        <v>2</v>
      </c>
      <c r="L1116" s="105" t="s">
        <v>343</v>
      </c>
      <c r="M1116" s="105" t="s">
        <v>655</v>
      </c>
      <c r="N1116" s="105" t="s">
        <v>656</v>
      </c>
      <c r="O1116" s="105" t="s">
        <v>656</v>
      </c>
      <c r="P1116" s="105" t="s">
        <v>339</v>
      </c>
      <c r="Q1116" s="494">
        <v>0</v>
      </c>
      <c r="R1116" s="494">
        <v>0</v>
      </c>
      <c r="S1116" s="494">
        <v>163359</v>
      </c>
      <c r="T1116" s="494">
        <v>163359</v>
      </c>
      <c r="U1116" s="494">
        <v>47878</v>
      </c>
      <c r="V1116" s="493">
        <v>2024</v>
      </c>
      <c r="W1116" s="495"/>
      <c r="X1116" s="496">
        <f t="shared" si="72"/>
        <v>3.4119846275951375</v>
      </c>
      <c r="Y1116" s="497" t="str">
        <f t="shared" si="73"/>
        <v/>
      </c>
      <c r="Z1116" s="497" t="str">
        <f t="shared" si="73"/>
        <v/>
      </c>
    </row>
    <row r="1117" spans="1:26" s="82" customFormat="1" ht="32" x14ac:dyDescent="0.4">
      <c r="A1117" s="493">
        <v>57598</v>
      </c>
      <c r="B1117" s="105" t="s">
        <v>329</v>
      </c>
      <c r="C1117" s="493" t="s">
        <v>330</v>
      </c>
      <c r="D1117" s="105" t="s">
        <v>1250</v>
      </c>
      <c r="E1117" s="105" t="s">
        <v>1251</v>
      </c>
      <c r="F1117" s="493">
        <v>4180</v>
      </c>
      <c r="G1117" s="105" t="s">
        <v>37</v>
      </c>
      <c r="H1117" s="105" t="s">
        <v>342</v>
      </c>
      <c r="I1117" s="105" t="s">
        <v>334</v>
      </c>
      <c r="J1117" s="493">
        <v>22</v>
      </c>
      <c r="K1117" s="493">
        <v>1</v>
      </c>
      <c r="L1117" s="105" t="s">
        <v>335</v>
      </c>
      <c r="M1117" s="105" t="s">
        <v>359</v>
      </c>
      <c r="N1117" s="105" t="s">
        <v>226</v>
      </c>
      <c r="O1117" s="105" t="s">
        <v>226</v>
      </c>
      <c r="P1117" s="105" t="s">
        <v>350</v>
      </c>
      <c r="Q1117" s="494">
        <v>855</v>
      </c>
      <c r="R1117" s="494">
        <v>855</v>
      </c>
      <c r="S1117" s="494">
        <v>4975</v>
      </c>
      <c r="T1117" s="494">
        <v>4975</v>
      </c>
      <c r="U1117" s="494">
        <v>458</v>
      </c>
      <c r="V1117" s="493">
        <v>2024</v>
      </c>
      <c r="W1117" s="495"/>
      <c r="X1117" s="496">
        <f t="shared" si="72"/>
        <v>10.862445414847162</v>
      </c>
      <c r="Y1117" s="497" t="str">
        <f t="shared" si="73"/>
        <v/>
      </c>
      <c r="Z1117" s="497" t="str">
        <f t="shared" si="73"/>
        <v/>
      </c>
    </row>
    <row r="1118" spans="1:26" s="82" customFormat="1" ht="32" x14ac:dyDescent="0.4">
      <c r="A1118" s="493">
        <v>57598</v>
      </c>
      <c r="B1118" s="105" t="s">
        <v>329</v>
      </c>
      <c r="C1118" s="493" t="s">
        <v>330</v>
      </c>
      <c r="D1118" s="105" t="s">
        <v>1250</v>
      </c>
      <c r="E1118" s="105" t="s">
        <v>1251</v>
      </c>
      <c r="F1118" s="493">
        <v>4180</v>
      </c>
      <c r="G1118" s="105" t="s">
        <v>37</v>
      </c>
      <c r="H1118" s="105" t="s">
        <v>342</v>
      </c>
      <c r="I1118" s="105" t="s">
        <v>334</v>
      </c>
      <c r="J1118" s="493">
        <v>22</v>
      </c>
      <c r="K1118" s="493">
        <v>1</v>
      </c>
      <c r="L1118" s="105" t="s">
        <v>335</v>
      </c>
      <c r="M1118" s="105" t="s">
        <v>359</v>
      </c>
      <c r="N1118" s="105" t="s">
        <v>238</v>
      </c>
      <c r="O1118" s="105" t="s">
        <v>238</v>
      </c>
      <c r="P1118" s="105" t="s">
        <v>350</v>
      </c>
      <c r="Q1118" s="494">
        <v>0</v>
      </c>
      <c r="R1118" s="494">
        <v>0</v>
      </c>
      <c r="S1118" s="494">
        <v>0</v>
      </c>
      <c r="T1118" s="494">
        <v>0</v>
      </c>
      <c r="U1118" s="494">
        <v>0</v>
      </c>
      <c r="V1118" s="493">
        <v>2024</v>
      </c>
      <c r="W1118" s="495"/>
      <c r="X1118" s="496" t="str">
        <f t="shared" si="72"/>
        <v/>
      </c>
      <c r="Y1118" s="497" t="str">
        <f t="shared" si="73"/>
        <v/>
      </c>
      <c r="Z1118" s="497" t="str">
        <f t="shared" si="73"/>
        <v/>
      </c>
    </row>
    <row r="1119" spans="1:26" s="82" customFormat="1" ht="32" x14ac:dyDescent="0.4">
      <c r="A1119" s="493">
        <v>57599</v>
      </c>
      <c r="B1119" s="105" t="s">
        <v>329</v>
      </c>
      <c r="C1119" s="493" t="s">
        <v>330</v>
      </c>
      <c r="D1119" s="105" t="s">
        <v>1252</v>
      </c>
      <c r="E1119" s="105" t="s">
        <v>1251</v>
      </c>
      <c r="F1119" s="493">
        <v>4180</v>
      </c>
      <c r="G1119" s="105" t="s">
        <v>37</v>
      </c>
      <c r="H1119" s="105" t="s">
        <v>342</v>
      </c>
      <c r="I1119" s="105" t="s">
        <v>334</v>
      </c>
      <c r="J1119" s="493">
        <v>22</v>
      </c>
      <c r="K1119" s="493">
        <v>1</v>
      </c>
      <c r="L1119" s="105" t="s">
        <v>335</v>
      </c>
      <c r="M1119" s="105" t="s">
        <v>359</v>
      </c>
      <c r="N1119" s="105" t="s">
        <v>226</v>
      </c>
      <c r="O1119" s="105" t="s">
        <v>226</v>
      </c>
      <c r="P1119" s="105" t="s">
        <v>350</v>
      </c>
      <c r="Q1119" s="494">
        <v>1037</v>
      </c>
      <c r="R1119" s="494">
        <v>1037</v>
      </c>
      <c r="S1119" s="494">
        <v>6035</v>
      </c>
      <c r="T1119" s="494">
        <v>6035</v>
      </c>
      <c r="U1119" s="494">
        <v>572</v>
      </c>
      <c r="V1119" s="493">
        <v>2024</v>
      </c>
      <c r="W1119" s="495"/>
      <c r="X1119" s="496">
        <f t="shared" si="72"/>
        <v>10.5506993006993</v>
      </c>
      <c r="Y1119" s="497" t="str">
        <f t="shared" si="73"/>
        <v/>
      </c>
      <c r="Z1119" s="497" t="str">
        <f t="shared" si="73"/>
        <v/>
      </c>
    </row>
    <row r="1120" spans="1:26" s="82" customFormat="1" ht="32" x14ac:dyDescent="0.4">
      <c r="A1120" s="493">
        <v>57600</v>
      </c>
      <c r="B1120" s="105" t="s">
        <v>329</v>
      </c>
      <c r="C1120" s="493" t="s">
        <v>330</v>
      </c>
      <c r="D1120" s="105" t="s">
        <v>1253</v>
      </c>
      <c r="E1120" s="105" t="s">
        <v>1251</v>
      </c>
      <c r="F1120" s="493">
        <v>4180</v>
      </c>
      <c r="G1120" s="105" t="s">
        <v>52</v>
      </c>
      <c r="H1120" s="105" t="s">
        <v>333</v>
      </c>
      <c r="I1120" s="105" t="s">
        <v>334</v>
      </c>
      <c r="J1120" s="493">
        <v>22</v>
      </c>
      <c r="K1120" s="493">
        <v>1</v>
      </c>
      <c r="L1120" s="105" t="s">
        <v>335</v>
      </c>
      <c r="M1120" s="105" t="s">
        <v>359</v>
      </c>
      <c r="N1120" s="105" t="s">
        <v>226</v>
      </c>
      <c r="O1120" s="105" t="s">
        <v>226</v>
      </c>
      <c r="P1120" s="105" t="s">
        <v>350</v>
      </c>
      <c r="Q1120" s="494">
        <v>274</v>
      </c>
      <c r="R1120" s="494">
        <v>274</v>
      </c>
      <c r="S1120" s="494">
        <v>1594</v>
      </c>
      <c r="T1120" s="494">
        <v>1594</v>
      </c>
      <c r="U1120" s="494">
        <v>151</v>
      </c>
      <c r="V1120" s="493">
        <v>2024</v>
      </c>
      <c r="W1120" s="495"/>
      <c r="X1120" s="496">
        <f t="shared" si="72"/>
        <v>10.556291390728477</v>
      </c>
      <c r="Y1120" s="497" t="str">
        <f t="shared" si="73"/>
        <v/>
      </c>
      <c r="Z1120" s="497" t="str">
        <f t="shared" si="73"/>
        <v/>
      </c>
    </row>
    <row r="1121" spans="1:26" s="82" customFormat="1" ht="32" x14ac:dyDescent="0.4">
      <c r="A1121" s="493">
        <v>57601</v>
      </c>
      <c r="B1121" s="105" t="s">
        <v>329</v>
      </c>
      <c r="C1121" s="493" t="s">
        <v>330</v>
      </c>
      <c r="D1121" s="105" t="s">
        <v>1254</v>
      </c>
      <c r="E1121" s="105" t="s">
        <v>1251</v>
      </c>
      <c r="F1121" s="493">
        <v>4180</v>
      </c>
      <c r="G1121" s="105" t="s">
        <v>37</v>
      </c>
      <c r="H1121" s="105" t="s">
        <v>342</v>
      </c>
      <c r="I1121" s="105" t="s">
        <v>334</v>
      </c>
      <c r="J1121" s="493">
        <v>22</v>
      </c>
      <c r="K1121" s="493">
        <v>1</v>
      </c>
      <c r="L1121" s="105" t="s">
        <v>335</v>
      </c>
      <c r="M1121" s="105" t="s">
        <v>359</v>
      </c>
      <c r="N1121" s="105" t="s">
        <v>226</v>
      </c>
      <c r="O1121" s="105" t="s">
        <v>226</v>
      </c>
      <c r="P1121" s="105" t="s">
        <v>350</v>
      </c>
      <c r="Q1121" s="494">
        <v>725</v>
      </c>
      <c r="R1121" s="494">
        <v>725</v>
      </c>
      <c r="S1121" s="494">
        <v>4221</v>
      </c>
      <c r="T1121" s="494">
        <v>4221</v>
      </c>
      <c r="U1121" s="494">
        <v>422</v>
      </c>
      <c r="V1121" s="493">
        <v>2024</v>
      </c>
      <c r="W1121" s="495"/>
      <c r="X1121" s="496">
        <f t="shared" si="72"/>
        <v>10.002369668246445</v>
      </c>
      <c r="Y1121" s="497" t="str">
        <f t="shared" si="73"/>
        <v/>
      </c>
      <c r="Z1121" s="497" t="str">
        <f t="shared" si="73"/>
        <v/>
      </c>
    </row>
    <row r="1122" spans="1:26" s="82" customFormat="1" ht="32" x14ac:dyDescent="0.4">
      <c r="A1122" s="493">
        <v>57602</v>
      </c>
      <c r="B1122" s="105" t="s">
        <v>329</v>
      </c>
      <c r="C1122" s="493" t="s">
        <v>330</v>
      </c>
      <c r="D1122" s="105" t="s">
        <v>1255</v>
      </c>
      <c r="E1122" s="105" t="s">
        <v>1251</v>
      </c>
      <c r="F1122" s="493">
        <v>4180</v>
      </c>
      <c r="G1122" s="105" t="s">
        <v>37</v>
      </c>
      <c r="H1122" s="105" t="s">
        <v>342</v>
      </c>
      <c r="I1122" s="105" t="s">
        <v>334</v>
      </c>
      <c r="J1122" s="493">
        <v>22</v>
      </c>
      <c r="K1122" s="493">
        <v>1</v>
      </c>
      <c r="L1122" s="105" t="s">
        <v>335</v>
      </c>
      <c r="M1122" s="105" t="s">
        <v>359</v>
      </c>
      <c r="N1122" s="105" t="s">
        <v>226</v>
      </c>
      <c r="O1122" s="105" t="s">
        <v>226</v>
      </c>
      <c r="P1122" s="105" t="s">
        <v>350</v>
      </c>
      <c r="Q1122" s="494">
        <v>305</v>
      </c>
      <c r="R1122" s="494">
        <v>305</v>
      </c>
      <c r="S1122" s="494">
        <v>1774</v>
      </c>
      <c r="T1122" s="494">
        <v>1774</v>
      </c>
      <c r="U1122" s="494">
        <v>205</v>
      </c>
      <c r="V1122" s="493">
        <v>2024</v>
      </c>
      <c r="W1122" s="495"/>
      <c r="X1122" s="496">
        <f t="shared" si="72"/>
        <v>8.6536585365853664</v>
      </c>
      <c r="Y1122" s="497" t="str">
        <f t="shared" si="73"/>
        <v/>
      </c>
      <c r="Z1122" s="497" t="str">
        <f t="shared" si="73"/>
        <v/>
      </c>
    </row>
    <row r="1123" spans="1:26" s="82" customFormat="1" ht="32" x14ac:dyDescent="0.4">
      <c r="A1123" s="493">
        <v>57603</v>
      </c>
      <c r="B1123" s="105" t="s">
        <v>329</v>
      </c>
      <c r="C1123" s="493" t="s">
        <v>330</v>
      </c>
      <c r="D1123" s="105" t="s">
        <v>1256</v>
      </c>
      <c r="E1123" s="105" t="s">
        <v>1251</v>
      </c>
      <c r="F1123" s="493">
        <v>4180</v>
      </c>
      <c r="G1123" s="105" t="s">
        <v>37</v>
      </c>
      <c r="H1123" s="105" t="s">
        <v>342</v>
      </c>
      <c r="I1123" s="105" t="s">
        <v>334</v>
      </c>
      <c r="J1123" s="493">
        <v>22</v>
      </c>
      <c r="K1123" s="493">
        <v>1</v>
      </c>
      <c r="L1123" s="105" t="s">
        <v>335</v>
      </c>
      <c r="M1123" s="105" t="s">
        <v>359</v>
      </c>
      <c r="N1123" s="105" t="s">
        <v>226</v>
      </c>
      <c r="O1123" s="105" t="s">
        <v>226</v>
      </c>
      <c r="P1123" s="105" t="s">
        <v>350</v>
      </c>
      <c r="Q1123" s="494">
        <v>845</v>
      </c>
      <c r="R1123" s="494">
        <v>845</v>
      </c>
      <c r="S1123" s="494">
        <v>4916</v>
      </c>
      <c r="T1123" s="494">
        <v>4916</v>
      </c>
      <c r="U1123" s="494">
        <v>494</v>
      </c>
      <c r="V1123" s="493">
        <v>2024</v>
      </c>
      <c r="W1123" s="495"/>
      <c r="X1123" s="496">
        <f t="shared" si="72"/>
        <v>9.951417004048583</v>
      </c>
      <c r="Y1123" s="497" t="str">
        <f t="shared" si="73"/>
        <v/>
      </c>
      <c r="Z1123" s="497" t="str">
        <f t="shared" si="73"/>
        <v/>
      </c>
    </row>
    <row r="1124" spans="1:26" s="82" customFormat="1" ht="32" x14ac:dyDescent="0.4">
      <c r="A1124" s="493">
        <v>57604</v>
      </c>
      <c r="B1124" s="105" t="s">
        <v>329</v>
      </c>
      <c r="C1124" s="493" t="s">
        <v>330</v>
      </c>
      <c r="D1124" s="105" t="s">
        <v>1257</v>
      </c>
      <c r="E1124" s="105" t="s">
        <v>1251</v>
      </c>
      <c r="F1124" s="493">
        <v>4180</v>
      </c>
      <c r="G1124" s="105" t="s">
        <v>37</v>
      </c>
      <c r="H1124" s="105" t="s">
        <v>342</v>
      </c>
      <c r="I1124" s="105" t="s">
        <v>334</v>
      </c>
      <c r="J1124" s="493">
        <v>22</v>
      </c>
      <c r="K1124" s="493">
        <v>1</v>
      </c>
      <c r="L1124" s="105" t="s">
        <v>335</v>
      </c>
      <c r="M1124" s="105" t="s">
        <v>359</v>
      </c>
      <c r="N1124" s="105" t="s">
        <v>226</v>
      </c>
      <c r="O1124" s="105" t="s">
        <v>226</v>
      </c>
      <c r="P1124" s="105" t="s">
        <v>350</v>
      </c>
      <c r="Q1124" s="494">
        <v>847</v>
      </c>
      <c r="R1124" s="494">
        <v>847</v>
      </c>
      <c r="S1124" s="494">
        <v>4928</v>
      </c>
      <c r="T1124" s="494">
        <v>4928</v>
      </c>
      <c r="U1124" s="494">
        <v>471</v>
      </c>
      <c r="V1124" s="493">
        <v>2024</v>
      </c>
      <c r="W1124" s="495"/>
      <c r="X1124" s="496">
        <f t="shared" si="72"/>
        <v>10.462845010615711</v>
      </c>
      <c r="Y1124" s="497" t="str">
        <f t="shared" si="73"/>
        <v/>
      </c>
      <c r="Z1124" s="497" t="str">
        <f t="shared" si="73"/>
        <v/>
      </c>
    </row>
    <row r="1125" spans="1:26" s="82" customFormat="1" ht="32" x14ac:dyDescent="0.4">
      <c r="A1125" s="493">
        <v>57605</v>
      </c>
      <c r="B1125" s="105" t="s">
        <v>329</v>
      </c>
      <c r="C1125" s="493" t="s">
        <v>330</v>
      </c>
      <c r="D1125" s="105" t="s">
        <v>1258</v>
      </c>
      <c r="E1125" s="105" t="s">
        <v>1251</v>
      </c>
      <c r="F1125" s="493">
        <v>4180</v>
      </c>
      <c r="G1125" s="105" t="s">
        <v>37</v>
      </c>
      <c r="H1125" s="105" t="s">
        <v>342</v>
      </c>
      <c r="I1125" s="105" t="s">
        <v>334</v>
      </c>
      <c r="J1125" s="493">
        <v>22</v>
      </c>
      <c r="K1125" s="493">
        <v>1</v>
      </c>
      <c r="L1125" s="105" t="s">
        <v>335</v>
      </c>
      <c r="M1125" s="105" t="s">
        <v>359</v>
      </c>
      <c r="N1125" s="105" t="s">
        <v>226</v>
      </c>
      <c r="O1125" s="105" t="s">
        <v>226</v>
      </c>
      <c r="P1125" s="105" t="s">
        <v>350</v>
      </c>
      <c r="Q1125" s="494">
        <v>573</v>
      </c>
      <c r="R1125" s="494">
        <v>573</v>
      </c>
      <c r="S1125" s="494">
        <v>3335</v>
      </c>
      <c r="T1125" s="494">
        <v>3335</v>
      </c>
      <c r="U1125" s="494">
        <v>335</v>
      </c>
      <c r="V1125" s="493">
        <v>2024</v>
      </c>
      <c r="W1125" s="495"/>
      <c r="X1125" s="496">
        <f t="shared" si="72"/>
        <v>9.9552238805970141</v>
      </c>
      <c r="Y1125" s="497" t="str">
        <f t="shared" si="73"/>
        <v/>
      </c>
      <c r="Z1125" s="497" t="str">
        <f t="shared" si="73"/>
        <v/>
      </c>
    </row>
    <row r="1126" spans="1:26" s="82" customFormat="1" ht="32" x14ac:dyDescent="0.4">
      <c r="A1126" s="493">
        <v>57624</v>
      </c>
      <c r="B1126" s="105" t="s">
        <v>329</v>
      </c>
      <c r="C1126" s="493" t="s">
        <v>330</v>
      </c>
      <c r="D1126" s="105" t="s">
        <v>1259</v>
      </c>
      <c r="E1126" s="105" t="s">
        <v>384</v>
      </c>
      <c r="F1126" s="493">
        <v>13831</v>
      </c>
      <c r="G1126" s="105" t="s">
        <v>37</v>
      </c>
      <c r="H1126" s="105" t="s">
        <v>342</v>
      </c>
      <c r="I1126" s="105" t="s">
        <v>334</v>
      </c>
      <c r="J1126" s="493">
        <v>22132</v>
      </c>
      <c r="K1126" s="493">
        <v>4</v>
      </c>
      <c r="L1126" s="105" t="s">
        <v>766</v>
      </c>
      <c r="M1126" s="105" t="s">
        <v>359</v>
      </c>
      <c r="N1126" s="105" t="s">
        <v>226</v>
      </c>
      <c r="O1126" s="105" t="s">
        <v>226</v>
      </c>
      <c r="P1126" s="105" t="s">
        <v>350</v>
      </c>
      <c r="Q1126" s="494">
        <v>6</v>
      </c>
      <c r="R1126" s="494">
        <v>6</v>
      </c>
      <c r="S1126" s="494">
        <v>35</v>
      </c>
      <c r="T1126" s="494">
        <v>35</v>
      </c>
      <c r="U1126" s="494">
        <v>1</v>
      </c>
      <c r="V1126" s="493">
        <v>2024</v>
      </c>
      <c r="W1126" s="495"/>
      <c r="X1126" s="496" t="str">
        <f t="shared" si="72"/>
        <v/>
      </c>
      <c r="Y1126" s="497" t="str">
        <f t="shared" si="73"/>
        <v/>
      </c>
      <c r="Z1126" s="497" t="str">
        <f t="shared" si="73"/>
        <v/>
      </c>
    </row>
    <row r="1127" spans="1:26" s="82" customFormat="1" ht="32" x14ac:dyDescent="0.4">
      <c r="A1127" s="493">
        <v>57648</v>
      </c>
      <c r="B1127" s="105" t="s">
        <v>329</v>
      </c>
      <c r="C1127" s="493" t="s">
        <v>330</v>
      </c>
      <c r="D1127" s="105" t="s">
        <v>1260</v>
      </c>
      <c r="E1127" s="105" t="s">
        <v>1260</v>
      </c>
      <c r="F1127" s="493">
        <v>56977</v>
      </c>
      <c r="G1127" s="105" t="s">
        <v>52</v>
      </c>
      <c r="H1127" s="105" t="s">
        <v>333</v>
      </c>
      <c r="I1127" s="105" t="s">
        <v>334</v>
      </c>
      <c r="J1127" s="493">
        <v>339</v>
      </c>
      <c r="K1127" s="493">
        <v>6</v>
      </c>
      <c r="L1127" s="105" t="s">
        <v>729</v>
      </c>
      <c r="M1127" s="105" t="s">
        <v>695</v>
      </c>
      <c r="N1127" s="105" t="s">
        <v>696</v>
      </c>
      <c r="O1127" s="105" t="s">
        <v>696</v>
      </c>
      <c r="P1127" s="105" t="s">
        <v>339</v>
      </c>
      <c r="Q1127" s="494">
        <v>0</v>
      </c>
      <c r="R1127" s="494">
        <v>0</v>
      </c>
      <c r="S1127" s="494">
        <v>6397</v>
      </c>
      <c r="T1127" s="494">
        <v>6397</v>
      </c>
      <c r="U1127" s="494">
        <v>1875</v>
      </c>
      <c r="V1127" s="493">
        <v>2024</v>
      </c>
      <c r="W1127" s="495"/>
      <c r="X1127" s="496" t="str">
        <f t="shared" si="72"/>
        <v/>
      </c>
      <c r="Y1127" s="497" t="str">
        <f t="shared" si="73"/>
        <v/>
      </c>
      <c r="Z1127" s="497" t="str">
        <f t="shared" si="73"/>
        <v/>
      </c>
    </row>
    <row r="1128" spans="1:26" s="82" customFormat="1" x14ac:dyDescent="0.4">
      <c r="A1128" s="493">
        <v>57664</v>
      </c>
      <c r="B1128" s="105" t="s">
        <v>329</v>
      </c>
      <c r="C1128" s="493" t="s">
        <v>330</v>
      </c>
      <c r="D1128" s="105" t="s">
        <v>1261</v>
      </c>
      <c r="E1128" s="105" t="s">
        <v>1262</v>
      </c>
      <c r="F1128" s="493">
        <v>56991</v>
      </c>
      <c r="G1128" s="105" t="s">
        <v>52</v>
      </c>
      <c r="H1128" s="105" t="s">
        <v>333</v>
      </c>
      <c r="I1128" s="105" t="s">
        <v>334</v>
      </c>
      <c r="J1128" s="493">
        <v>22</v>
      </c>
      <c r="K1128" s="493">
        <v>2</v>
      </c>
      <c r="L1128" s="105" t="s">
        <v>343</v>
      </c>
      <c r="M1128" s="105" t="s">
        <v>380</v>
      </c>
      <c r="N1128" s="105" t="s">
        <v>226</v>
      </c>
      <c r="O1128" s="105" t="s">
        <v>226</v>
      </c>
      <c r="P1128" s="105" t="s">
        <v>350</v>
      </c>
      <c r="Q1128" s="494">
        <v>0</v>
      </c>
      <c r="R1128" s="494">
        <v>0</v>
      </c>
      <c r="S1128" s="494">
        <v>0</v>
      </c>
      <c r="T1128" s="494">
        <v>0</v>
      </c>
      <c r="U1128" s="494">
        <v>5525.8950000000004</v>
      </c>
      <c r="V1128" s="493">
        <v>2024</v>
      </c>
      <c r="W1128" s="495"/>
      <c r="X1128" s="496" t="str">
        <f t="shared" si="72"/>
        <v/>
      </c>
      <c r="Y1128" s="497" t="str">
        <f t="shared" ref="Y1128:Z1147" si="74">IF(AND($M1128=$Y$2,$N1128=$Y$3,NOT($Q1128=$R1128),NOT($U1128=0)),IF($K1128=5,$S1128/($U1128+(8/5)*$U1128),IF($K1128=7,$S1128/($U1128+(29/25)*$U1128),"")),"")</f>
        <v/>
      </c>
      <c r="Z1128" s="497" t="str">
        <f t="shared" si="74"/>
        <v/>
      </c>
    </row>
    <row r="1129" spans="1:26" s="82" customFormat="1" x14ac:dyDescent="0.4">
      <c r="A1129" s="493">
        <v>57664</v>
      </c>
      <c r="B1129" s="105" t="s">
        <v>329</v>
      </c>
      <c r="C1129" s="493" t="s">
        <v>330</v>
      </c>
      <c r="D1129" s="105" t="s">
        <v>1261</v>
      </c>
      <c r="E1129" s="105" t="s">
        <v>1262</v>
      </c>
      <c r="F1129" s="493">
        <v>56991</v>
      </c>
      <c r="G1129" s="105" t="s">
        <v>52</v>
      </c>
      <c r="H1129" s="105" t="s">
        <v>333</v>
      </c>
      <c r="I1129" s="105" t="s">
        <v>334</v>
      </c>
      <c r="J1129" s="493">
        <v>22</v>
      </c>
      <c r="K1129" s="493">
        <v>2</v>
      </c>
      <c r="L1129" s="105" t="s">
        <v>343</v>
      </c>
      <c r="M1129" s="105" t="s">
        <v>380</v>
      </c>
      <c r="N1129" s="105" t="s">
        <v>228</v>
      </c>
      <c r="O1129" s="105" t="s">
        <v>228</v>
      </c>
      <c r="P1129" s="105" t="s">
        <v>356</v>
      </c>
      <c r="Q1129" s="494">
        <v>2383774</v>
      </c>
      <c r="R1129" s="494">
        <v>2383774</v>
      </c>
      <c r="S1129" s="494">
        <v>2455987</v>
      </c>
      <c r="T1129" s="494">
        <v>2455987</v>
      </c>
      <c r="U1129" s="494">
        <v>1557641.1</v>
      </c>
      <c r="V1129" s="493">
        <v>2024</v>
      </c>
      <c r="W1129" s="495"/>
      <c r="X1129" s="496">
        <f t="shared" si="72"/>
        <v>1.5767348460438029</v>
      </c>
      <c r="Y1129" s="497" t="str">
        <f t="shared" si="74"/>
        <v/>
      </c>
      <c r="Z1129" s="497" t="str">
        <f t="shared" si="74"/>
        <v/>
      </c>
    </row>
    <row r="1130" spans="1:26" s="82" customFormat="1" x14ac:dyDescent="0.4">
      <c r="A1130" s="493">
        <v>57664</v>
      </c>
      <c r="B1130" s="105" t="s">
        <v>329</v>
      </c>
      <c r="C1130" s="493" t="s">
        <v>330</v>
      </c>
      <c r="D1130" s="105" t="s">
        <v>1261</v>
      </c>
      <c r="E1130" s="105" t="s">
        <v>1262</v>
      </c>
      <c r="F1130" s="493">
        <v>56991</v>
      </c>
      <c r="G1130" s="105" t="s">
        <v>52</v>
      </c>
      <c r="H1130" s="105" t="s">
        <v>333</v>
      </c>
      <c r="I1130" s="105" t="s">
        <v>334</v>
      </c>
      <c r="J1130" s="493">
        <v>22</v>
      </c>
      <c r="K1130" s="493">
        <v>2</v>
      </c>
      <c r="L1130" s="105" t="s">
        <v>343</v>
      </c>
      <c r="M1130" s="105" t="s">
        <v>37</v>
      </c>
      <c r="N1130" s="105" t="s">
        <v>226</v>
      </c>
      <c r="O1130" s="105" t="s">
        <v>226</v>
      </c>
      <c r="P1130" s="105" t="s">
        <v>350</v>
      </c>
      <c r="Q1130" s="494">
        <v>18653</v>
      </c>
      <c r="R1130" s="494">
        <v>18653</v>
      </c>
      <c r="S1130" s="494">
        <v>108113</v>
      </c>
      <c r="T1130" s="494">
        <v>108113</v>
      </c>
      <c r="U1130" s="494">
        <v>10075.598</v>
      </c>
      <c r="V1130" s="493">
        <v>2024</v>
      </c>
      <c r="W1130" s="495"/>
      <c r="X1130" s="496">
        <f t="shared" si="72"/>
        <v>10.730181970340618</v>
      </c>
      <c r="Y1130" s="497" t="str">
        <f t="shared" si="74"/>
        <v/>
      </c>
      <c r="Z1130" s="497" t="str">
        <f t="shared" si="74"/>
        <v/>
      </c>
    </row>
    <row r="1131" spans="1:26" s="82" customFormat="1" x14ac:dyDescent="0.4">
      <c r="A1131" s="493">
        <v>57664</v>
      </c>
      <c r="B1131" s="105" t="s">
        <v>329</v>
      </c>
      <c r="C1131" s="493" t="s">
        <v>330</v>
      </c>
      <c r="D1131" s="105" t="s">
        <v>1261</v>
      </c>
      <c r="E1131" s="105" t="s">
        <v>1262</v>
      </c>
      <c r="F1131" s="493">
        <v>56991</v>
      </c>
      <c r="G1131" s="105" t="s">
        <v>52</v>
      </c>
      <c r="H1131" s="105" t="s">
        <v>333</v>
      </c>
      <c r="I1131" s="105" t="s">
        <v>334</v>
      </c>
      <c r="J1131" s="493">
        <v>22</v>
      </c>
      <c r="K1131" s="493">
        <v>2</v>
      </c>
      <c r="L1131" s="105" t="s">
        <v>343</v>
      </c>
      <c r="M1131" s="105" t="s">
        <v>37</v>
      </c>
      <c r="N1131" s="105" t="s">
        <v>228</v>
      </c>
      <c r="O1131" s="105" t="s">
        <v>228</v>
      </c>
      <c r="P1131" s="105" t="s">
        <v>356</v>
      </c>
      <c r="Q1131" s="494">
        <v>25752095</v>
      </c>
      <c r="R1131" s="494">
        <v>25752095</v>
      </c>
      <c r="S1131" s="494">
        <v>26545009</v>
      </c>
      <c r="T1131" s="494">
        <v>26545009</v>
      </c>
      <c r="U1131" s="494">
        <v>2432083.4</v>
      </c>
      <c r="V1131" s="493">
        <v>2024</v>
      </c>
      <c r="W1131" s="495"/>
      <c r="X1131" s="496">
        <f t="shared" si="72"/>
        <v>10.914514280225752</v>
      </c>
      <c r="Y1131" s="497" t="str">
        <f t="shared" si="74"/>
        <v/>
      </c>
      <c r="Z1131" s="497" t="str">
        <f t="shared" si="74"/>
        <v/>
      </c>
    </row>
    <row r="1132" spans="1:26" s="82" customFormat="1" ht="32" x14ac:dyDescent="0.4">
      <c r="A1132" s="493">
        <v>57666</v>
      </c>
      <c r="B1132" s="105" t="s">
        <v>433</v>
      </c>
      <c r="C1132" s="493" t="s">
        <v>330</v>
      </c>
      <c r="D1132" s="105" t="s">
        <v>1263</v>
      </c>
      <c r="E1132" s="105" t="s">
        <v>1264</v>
      </c>
      <c r="F1132" s="493">
        <v>56992</v>
      </c>
      <c r="G1132" s="105" t="s">
        <v>37</v>
      </c>
      <c r="H1132" s="105" t="s">
        <v>342</v>
      </c>
      <c r="I1132" s="105" t="s">
        <v>334</v>
      </c>
      <c r="J1132" s="493">
        <v>713</v>
      </c>
      <c r="K1132" s="493">
        <v>5</v>
      </c>
      <c r="L1132" s="105" t="s">
        <v>771</v>
      </c>
      <c r="M1132" s="105" t="s">
        <v>380</v>
      </c>
      <c r="N1132" s="105" t="s">
        <v>228</v>
      </c>
      <c r="O1132" s="105" t="s">
        <v>228</v>
      </c>
      <c r="P1132" s="105" t="s">
        <v>356</v>
      </c>
      <c r="Q1132" s="494">
        <v>0</v>
      </c>
      <c r="R1132" s="494">
        <v>0</v>
      </c>
      <c r="S1132" s="494">
        <v>0</v>
      </c>
      <c r="T1132" s="494">
        <v>0</v>
      </c>
      <c r="U1132" s="494">
        <v>224</v>
      </c>
      <c r="V1132" s="493">
        <v>2024</v>
      </c>
      <c r="W1132" s="495"/>
      <c r="X1132" s="496" t="str">
        <f t="shared" si="72"/>
        <v/>
      </c>
      <c r="Y1132" s="497" t="str">
        <f t="shared" si="74"/>
        <v/>
      </c>
      <c r="Z1132" s="497" t="str">
        <f t="shared" si="74"/>
        <v/>
      </c>
    </row>
    <row r="1133" spans="1:26" s="82" customFormat="1" ht="32" x14ac:dyDescent="0.4">
      <c r="A1133" s="493">
        <v>57666</v>
      </c>
      <c r="B1133" s="105" t="s">
        <v>433</v>
      </c>
      <c r="C1133" s="493" t="s">
        <v>330</v>
      </c>
      <c r="D1133" s="105" t="s">
        <v>1263</v>
      </c>
      <c r="E1133" s="105" t="s">
        <v>1264</v>
      </c>
      <c r="F1133" s="493">
        <v>56992</v>
      </c>
      <c r="G1133" s="105" t="s">
        <v>37</v>
      </c>
      <c r="H1133" s="105" t="s">
        <v>342</v>
      </c>
      <c r="I1133" s="105" t="s">
        <v>334</v>
      </c>
      <c r="J1133" s="493">
        <v>713</v>
      </c>
      <c r="K1133" s="493">
        <v>5</v>
      </c>
      <c r="L1133" s="105" t="s">
        <v>771</v>
      </c>
      <c r="M1133" s="105" t="s">
        <v>37</v>
      </c>
      <c r="N1133" s="105" t="s">
        <v>228</v>
      </c>
      <c r="O1133" s="105" t="s">
        <v>228</v>
      </c>
      <c r="P1133" s="105" t="s">
        <v>356</v>
      </c>
      <c r="Q1133" s="494">
        <v>111101</v>
      </c>
      <c r="R1133" s="494">
        <v>55144</v>
      </c>
      <c r="S1133" s="494">
        <v>114432</v>
      </c>
      <c r="T1133" s="494">
        <v>56798</v>
      </c>
      <c r="U1133" s="494">
        <v>10596</v>
      </c>
      <c r="V1133" s="493">
        <v>2024</v>
      </c>
      <c r="W1133" s="495"/>
      <c r="X1133" s="496" t="str">
        <f t="shared" si="72"/>
        <v/>
      </c>
      <c r="Y1133" s="497" t="str">
        <f t="shared" si="74"/>
        <v/>
      </c>
      <c r="Z1133" s="497" t="str">
        <f t="shared" si="74"/>
        <v/>
      </c>
    </row>
    <row r="1134" spans="1:26" s="82" customFormat="1" ht="32" x14ac:dyDescent="0.4">
      <c r="A1134" s="493">
        <v>57674</v>
      </c>
      <c r="B1134" s="105" t="s">
        <v>329</v>
      </c>
      <c r="C1134" s="493" t="s">
        <v>330</v>
      </c>
      <c r="D1134" s="105" t="s">
        <v>1265</v>
      </c>
      <c r="E1134" s="105" t="s">
        <v>1266</v>
      </c>
      <c r="F1134" s="493">
        <v>56999</v>
      </c>
      <c r="G1134" s="105" t="s">
        <v>33</v>
      </c>
      <c r="H1134" s="105" t="s">
        <v>342</v>
      </c>
      <c r="I1134" s="105" t="s">
        <v>334</v>
      </c>
      <c r="J1134" s="493">
        <v>22</v>
      </c>
      <c r="K1134" s="493">
        <v>1</v>
      </c>
      <c r="L1134" s="105" t="s">
        <v>335</v>
      </c>
      <c r="M1134" s="105" t="s">
        <v>655</v>
      </c>
      <c r="N1134" s="105" t="s">
        <v>656</v>
      </c>
      <c r="O1134" s="105" t="s">
        <v>656</v>
      </c>
      <c r="P1134" s="105" t="s">
        <v>339</v>
      </c>
      <c r="Q1134" s="494">
        <v>0</v>
      </c>
      <c r="R1134" s="494">
        <v>0</v>
      </c>
      <c r="S1134" s="494">
        <v>8569</v>
      </c>
      <c r="T1134" s="494">
        <v>8569</v>
      </c>
      <c r="U1134" s="494">
        <v>2511</v>
      </c>
      <c r="V1134" s="493">
        <v>2024</v>
      </c>
      <c r="W1134" s="495"/>
      <c r="X1134" s="496">
        <f t="shared" si="72"/>
        <v>3.4125846276383909</v>
      </c>
      <c r="Y1134" s="497" t="str">
        <f t="shared" si="74"/>
        <v/>
      </c>
      <c r="Z1134" s="497" t="str">
        <f t="shared" si="74"/>
        <v/>
      </c>
    </row>
    <row r="1135" spans="1:26" s="82" customFormat="1" ht="32" x14ac:dyDescent="0.4">
      <c r="A1135" s="493">
        <v>57676</v>
      </c>
      <c r="B1135" s="105" t="s">
        <v>329</v>
      </c>
      <c r="C1135" s="493" t="s">
        <v>330</v>
      </c>
      <c r="D1135" s="105" t="s">
        <v>1267</v>
      </c>
      <c r="E1135" s="105" t="s">
        <v>1266</v>
      </c>
      <c r="F1135" s="493">
        <v>56999</v>
      </c>
      <c r="G1135" s="105" t="s">
        <v>33</v>
      </c>
      <c r="H1135" s="105" t="s">
        <v>342</v>
      </c>
      <c r="I1135" s="105" t="s">
        <v>334</v>
      </c>
      <c r="J1135" s="493">
        <v>22</v>
      </c>
      <c r="K1135" s="493">
        <v>1</v>
      </c>
      <c r="L1135" s="105" t="s">
        <v>335</v>
      </c>
      <c r="M1135" s="105" t="s">
        <v>655</v>
      </c>
      <c r="N1135" s="105" t="s">
        <v>656</v>
      </c>
      <c r="O1135" s="105" t="s">
        <v>656</v>
      </c>
      <c r="P1135" s="105" t="s">
        <v>339</v>
      </c>
      <c r="Q1135" s="494">
        <v>0</v>
      </c>
      <c r="R1135" s="494">
        <v>0</v>
      </c>
      <c r="S1135" s="494">
        <v>2747</v>
      </c>
      <c r="T1135" s="494">
        <v>2747</v>
      </c>
      <c r="U1135" s="494">
        <v>805</v>
      </c>
      <c r="V1135" s="493">
        <v>2024</v>
      </c>
      <c r="W1135" s="495"/>
      <c r="X1135" s="496">
        <f t="shared" si="72"/>
        <v>3.4124223602484474</v>
      </c>
      <c r="Y1135" s="497" t="str">
        <f t="shared" si="74"/>
        <v/>
      </c>
      <c r="Z1135" s="497" t="str">
        <f t="shared" si="74"/>
        <v/>
      </c>
    </row>
    <row r="1136" spans="1:26" s="82" customFormat="1" ht="32" x14ac:dyDescent="0.4">
      <c r="A1136" s="493">
        <v>57689</v>
      </c>
      <c r="B1136" s="105" t="s">
        <v>329</v>
      </c>
      <c r="C1136" s="493" t="s">
        <v>330</v>
      </c>
      <c r="D1136" s="105" t="s">
        <v>1268</v>
      </c>
      <c r="E1136" s="105" t="s">
        <v>1269</v>
      </c>
      <c r="F1136" s="493">
        <v>57015</v>
      </c>
      <c r="G1136" s="105" t="s">
        <v>37</v>
      </c>
      <c r="H1136" s="105" t="s">
        <v>342</v>
      </c>
      <c r="I1136" s="105" t="s">
        <v>334</v>
      </c>
      <c r="J1136" s="493">
        <v>22</v>
      </c>
      <c r="K1136" s="493">
        <v>1</v>
      </c>
      <c r="L1136" s="105" t="s">
        <v>335</v>
      </c>
      <c r="M1136" s="105" t="s">
        <v>359</v>
      </c>
      <c r="N1136" s="105" t="s">
        <v>226</v>
      </c>
      <c r="O1136" s="105" t="s">
        <v>226</v>
      </c>
      <c r="P1136" s="105" t="s">
        <v>350</v>
      </c>
      <c r="Q1136" s="494">
        <v>0</v>
      </c>
      <c r="R1136" s="494">
        <v>0</v>
      </c>
      <c r="S1136" s="494">
        <v>0</v>
      </c>
      <c r="T1136" s="494">
        <v>0</v>
      </c>
      <c r="U1136" s="494">
        <v>0</v>
      </c>
      <c r="V1136" s="493">
        <v>2024</v>
      </c>
      <c r="W1136" s="495"/>
      <c r="X1136" s="496" t="str">
        <f t="shared" si="72"/>
        <v/>
      </c>
      <c r="Y1136" s="497" t="str">
        <f t="shared" si="74"/>
        <v/>
      </c>
      <c r="Z1136" s="497" t="str">
        <f t="shared" si="74"/>
        <v/>
      </c>
    </row>
    <row r="1137" spans="1:26" s="82" customFormat="1" ht="32" x14ac:dyDescent="0.4">
      <c r="A1137" s="493">
        <v>57710</v>
      </c>
      <c r="B1137" s="105" t="s">
        <v>329</v>
      </c>
      <c r="C1137" s="493" t="s">
        <v>330</v>
      </c>
      <c r="D1137" s="105" t="s">
        <v>1270</v>
      </c>
      <c r="E1137" s="105" t="s">
        <v>1271</v>
      </c>
      <c r="F1137" s="493">
        <v>61978</v>
      </c>
      <c r="G1137" s="105" t="s">
        <v>52</v>
      </c>
      <c r="H1137" s="105" t="s">
        <v>333</v>
      </c>
      <c r="I1137" s="105" t="s">
        <v>334</v>
      </c>
      <c r="J1137" s="493">
        <v>22</v>
      </c>
      <c r="K1137" s="493">
        <v>2</v>
      </c>
      <c r="L1137" s="105" t="s">
        <v>343</v>
      </c>
      <c r="M1137" s="105" t="s">
        <v>1272</v>
      </c>
      <c r="N1137" s="105" t="s">
        <v>404</v>
      </c>
      <c r="O1137" s="105" t="s">
        <v>232</v>
      </c>
      <c r="P1137" s="105" t="s">
        <v>346</v>
      </c>
      <c r="Q1137" s="494">
        <v>8752</v>
      </c>
      <c r="R1137" s="494">
        <v>8752</v>
      </c>
      <c r="S1137" s="494">
        <v>0</v>
      </c>
      <c r="T1137" s="494">
        <v>0</v>
      </c>
      <c r="U1137" s="494">
        <v>-3550</v>
      </c>
      <c r="V1137" s="493">
        <v>2024</v>
      </c>
      <c r="W1137" s="495"/>
      <c r="X1137" s="496" t="str">
        <f t="shared" si="72"/>
        <v/>
      </c>
      <c r="Y1137" s="497" t="str">
        <f t="shared" si="74"/>
        <v/>
      </c>
      <c r="Z1137" s="497" t="str">
        <f t="shared" si="74"/>
        <v/>
      </c>
    </row>
    <row r="1138" spans="1:26" s="82" customFormat="1" ht="32" x14ac:dyDescent="0.4">
      <c r="A1138" s="493">
        <v>57721</v>
      </c>
      <c r="B1138" s="105" t="s">
        <v>329</v>
      </c>
      <c r="C1138" s="493" t="s">
        <v>330</v>
      </c>
      <c r="D1138" s="105" t="s">
        <v>1273</v>
      </c>
      <c r="E1138" s="105" t="s">
        <v>654</v>
      </c>
      <c r="F1138" s="493">
        <v>11806</v>
      </c>
      <c r="G1138" s="105" t="s">
        <v>33</v>
      </c>
      <c r="H1138" s="105" t="s">
        <v>342</v>
      </c>
      <c r="I1138" s="105" t="s">
        <v>334</v>
      </c>
      <c r="J1138" s="493">
        <v>22</v>
      </c>
      <c r="K1138" s="493">
        <v>1</v>
      </c>
      <c r="L1138" s="105" t="s">
        <v>335</v>
      </c>
      <c r="M1138" s="105" t="s">
        <v>695</v>
      </c>
      <c r="N1138" s="105" t="s">
        <v>696</v>
      </c>
      <c r="O1138" s="105" t="s">
        <v>696</v>
      </c>
      <c r="P1138" s="105" t="s">
        <v>339</v>
      </c>
      <c r="Q1138" s="494">
        <v>0</v>
      </c>
      <c r="R1138" s="494">
        <v>0</v>
      </c>
      <c r="S1138" s="494">
        <v>92783</v>
      </c>
      <c r="T1138" s="494">
        <v>92783</v>
      </c>
      <c r="U1138" s="494">
        <v>27193</v>
      </c>
      <c r="V1138" s="493">
        <v>2024</v>
      </c>
      <c r="W1138" s="495"/>
      <c r="X1138" s="496">
        <f t="shared" si="72"/>
        <v>3.4120177986981943</v>
      </c>
      <c r="Y1138" s="497" t="str">
        <f t="shared" si="74"/>
        <v/>
      </c>
      <c r="Z1138" s="497" t="str">
        <f t="shared" si="74"/>
        <v/>
      </c>
    </row>
    <row r="1139" spans="1:26" s="82" customFormat="1" ht="32" x14ac:dyDescent="0.4">
      <c r="A1139" s="493">
        <v>57789</v>
      </c>
      <c r="B1139" s="105" t="s">
        <v>433</v>
      </c>
      <c r="C1139" s="493" t="s">
        <v>330</v>
      </c>
      <c r="D1139" s="105" t="s">
        <v>1274</v>
      </c>
      <c r="E1139" s="105" t="s">
        <v>1275</v>
      </c>
      <c r="F1139" s="493">
        <v>57106</v>
      </c>
      <c r="G1139" s="105" t="s">
        <v>52</v>
      </c>
      <c r="H1139" s="105" t="s">
        <v>333</v>
      </c>
      <c r="I1139" s="105" t="s">
        <v>334</v>
      </c>
      <c r="J1139" s="493">
        <v>53</v>
      </c>
      <c r="K1139" s="493">
        <v>5</v>
      </c>
      <c r="L1139" s="105" t="s">
        <v>771</v>
      </c>
      <c r="M1139" s="105" t="s">
        <v>359</v>
      </c>
      <c r="N1139" s="105" t="s">
        <v>228</v>
      </c>
      <c r="O1139" s="105" t="s">
        <v>228</v>
      </c>
      <c r="P1139" s="105" t="s">
        <v>356</v>
      </c>
      <c r="Q1139" s="494">
        <v>259385</v>
      </c>
      <c r="R1139" s="494">
        <v>127108</v>
      </c>
      <c r="S1139" s="494">
        <v>266908</v>
      </c>
      <c r="T1139" s="494">
        <v>130795</v>
      </c>
      <c r="U1139" s="494">
        <v>24141</v>
      </c>
      <c r="V1139" s="493">
        <v>2024</v>
      </c>
      <c r="W1139" s="495"/>
      <c r="X1139" s="496" t="str">
        <f t="shared" si="72"/>
        <v/>
      </c>
      <c r="Y1139" s="497" t="str">
        <f t="shared" si="74"/>
        <v/>
      </c>
      <c r="Z1139" s="497" t="str">
        <f t="shared" si="74"/>
        <v/>
      </c>
    </row>
    <row r="1140" spans="1:26" s="82" customFormat="1" ht="32" x14ac:dyDescent="0.4">
      <c r="A1140" s="493">
        <v>57798</v>
      </c>
      <c r="B1140" s="105" t="s">
        <v>433</v>
      </c>
      <c r="C1140" s="493" t="s">
        <v>330</v>
      </c>
      <c r="D1140" s="105" t="s">
        <v>1276</v>
      </c>
      <c r="E1140" s="105" t="s">
        <v>1277</v>
      </c>
      <c r="F1140" s="493">
        <v>57120</v>
      </c>
      <c r="G1140" s="105" t="s">
        <v>52</v>
      </c>
      <c r="H1140" s="105" t="s">
        <v>333</v>
      </c>
      <c r="I1140" s="105" t="s">
        <v>334</v>
      </c>
      <c r="J1140" s="493">
        <v>53</v>
      </c>
      <c r="K1140" s="493">
        <v>5</v>
      </c>
      <c r="L1140" s="105" t="s">
        <v>771</v>
      </c>
      <c r="M1140" s="105" t="s">
        <v>295</v>
      </c>
      <c r="N1140" s="105" t="s">
        <v>228</v>
      </c>
      <c r="O1140" s="105" t="s">
        <v>228</v>
      </c>
      <c r="P1140" s="105" t="s">
        <v>356</v>
      </c>
      <c r="Q1140" s="494">
        <v>2461</v>
      </c>
      <c r="R1140" s="494">
        <v>0</v>
      </c>
      <c r="S1140" s="494">
        <v>2536</v>
      </c>
      <c r="T1140" s="494">
        <v>0</v>
      </c>
      <c r="U1140" s="494">
        <v>-397062</v>
      </c>
      <c r="V1140" s="493">
        <v>2024</v>
      </c>
      <c r="W1140" s="495"/>
      <c r="X1140" s="496" t="str">
        <f t="shared" si="72"/>
        <v/>
      </c>
      <c r="Y1140" s="497">
        <f t="shared" si="74"/>
        <v>-2.4565045644877005E-3</v>
      </c>
      <c r="Z1140" s="497">
        <f t="shared" si="74"/>
        <v>-2.4565045644877005E-3</v>
      </c>
    </row>
    <row r="1141" spans="1:26" s="82" customFormat="1" ht="32" x14ac:dyDescent="0.4">
      <c r="A1141" s="493">
        <v>57804</v>
      </c>
      <c r="B1141" s="105" t="s">
        <v>433</v>
      </c>
      <c r="C1141" s="493" t="s">
        <v>330</v>
      </c>
      <c r="D1141" s="105" t="s">
        <v>1278</v>
      </c>
      <c r="E1141" s="105" t="s">
        <v>1279</v>
      </c>
      <c r="F1141" s="493">
        <v>57123</v>
      </c>
      <c r="G1141" s="105" t="s">
        <v>36</v>
      </c>
      <c r="H1141" s="105" t="s">
        <v>342</v>
      </c>
      <c r="I1141" s="105" t="s">
        <v>334</v>
      </c>
      <c r="J1141" s="493">
        <v>611</v>
      </c>
      <c r="K1141" s="493">
        <v>5</v>
      </c>
      <c r="L1141" s="105" t="s">
        <v>771</v>
      </c>
      <c r="M1141" s="105" t="s">
        <v>360</v>
      </c>
      <c r="N1141" s="105" t="s">
        <v>226</v>
      </c>
      <c r="O1141" s="105" t="s">
        <v>226</v>
      </c>
      <c r="P1141" s="105" t="s">
        <v>350</v>
      </c>
      <c r="Q1141" s="494">
        <v>6</v>
      </c>
      <c r="R1141" s="494">
        <v>0</v>
      </c>
      <c r="S1141" s="494">
        <v>35</v>
      </c>
      <c r="T1141" s="494">
        <v>1</v>
      </c>
      <c r="U1141" s="494">
        <v>0.25600000000000001</v>
      </c>
      <c r="V1141" s="493">
        <v>2024</v>
      </c>
      <c r="W1141" s="495"/>
      <c r="X1141" s="496" t="str">
        <f t="shared" si="72"/>
        <v/>
      </c>
      <c r="Y1141" s="497" t="str">
        <f t="shared" si="74"/>
        <v/>
      </c>
      <c r="Z1141" s="497" t="str">
        <f t="shared" si="74"/>
        <v/>
      </c>
    </row>
    <row r="1142" spans="1:26" s="82" customFormat="1" ht="32" x14ac:dyDescent="0.4">
      <c r="A1142" s="493">
        <v>57804</v>
      </c>
      <c r="B1142" s="105" t="s">
        <v>433</v>
      </c>
      <c r="C1142" s="493" t="s">
        <v>330</v>
      </c>
      <c r="D1142" s="105" t="s">
        <v>1278</v>
      </c>
      <c r="E1142" s="105" t="s">
        <v>1279</v>
      </c>
      <c r="F1142" s="493">
        <v>57123</v>
      </c>
      <c r="G1142" s="105" t="s">
        <v>36</v>
      </c>
      <c r="H1142" s="105" t="s">
        <v>342</v>
      </c>
      <c r="I1142" s="105" t="s">
        <v>334</v>
      </c>
      <c r="J1142" s="493">
        <v>611</v>
      </c>
      <c r="K1142" s="493">
        <v>5</v>
      </c>
      <c r="L1142" s="105" t="s">
        <v>771</v>
      </c>
      <c r="M1142" s="105" t="s">
        <v>360</v>
      </c>
      <c r="N1142" s="105" t="s">
        <v>228</v>
      </c>
      <c r="O1142" s="105" t="s">
        <v>228</v>
      </c>
      <c r="P1142" s="105" t="s">
        <v>356</v>
      </c>
      <c r="Q1142" s="494">
        <v>55048</v>
      </c>
      <c r="R1142" s="494">
        <v>2581</v>
      </c>
      <c r="S1142" s="494">
        <v>55048</v>
      </c>
      <c r="T1142" s="494">
        <v>2581</v>
      </c>
      <c r="U1142" s="494">
        <v>557.66399999999999</v>
      </c>
      <c r="V1142" s="493">
        <v>2024</v>
      </c>
      <c r="W1142" s="495"/>
      <c r="X1142" s="496" t="str">
        <f t="shared" si="72"/>
        <v/>
      </c>
      <c r="Y1142" s="497" t="str">
        <f t="shared" si="74"/>
        <v/>
      </c>
      <c r="Z1142" s="497" t="str">
        <f t="shared" si="74"/>
        <v/>
      </c>
    </row>
    <row r="1143" spans="1:26" s="82" customFormat="1" ht="32" x14ac:dyDescent="0.4">
      <c r="A1143" s="493">
        <v>57804</v>
      </c>
      <c r="B1143" s="105" t="s">
        <v>433</v>
      </c>
      <c r="C1143" s="493" t="s">
        <v>330</v>
      </c>
      <c r="D1143" s="105" t="s">
        <v>1278</v>
      </c>
      <c r="E1143" s="105" t="s">
        <v>1279</v>
      </c>
      <c r="F1143" s="493">
        <v>57123</v>
      </c>
      <c r="G1143" s="105" t="s">
        <v>36</v>
      </c>
      <c r="H1143" s="105" t="s">
        <v>342</v>
      </c>
      <c r="I1143" s="105" t="s">
        <v>334</v>
      </c>
      <c r="J1143" s="493">
        <v>611</v>
      </c>
      <c r="K1143" s="493">
        <v>5</v>
      </c>
      <c r="L1143" s="105" t="s">
        <v>771</v>
      </c>
      <c r="M1143" s="105" t="s">
        <v>360</v>
      </c>
      <c r="N1143" s="105" t="s">
        <v>238</v>
      </c>
      <c r="O1143" s="105" t="s">
        <v>238</v>
      </c>
      <c r="P1143" s="105" t="s">
        <v>350</v>
      </c>
      <c r="Q1143" s="494">
        <v>0</v>
      </c>
      <c r="R1143" s="494">
        <v>0</v>
      </c>
      <c r="S1143" s="494">
        <v>0</v>
      </c>
      <c r="T1143" s="494">
        <v>0</v>
      </c>
      <c r="U1143" s="494">
        <v>0</v>
      </c>
      <c r="V1143" s="493">
        <v>2024</v>
      </c>
      <c r="W1143" s="495"/>
      <c r="X1143" s="496" t="str">
        <f t="shared" si="72"/>
        <v/>
      </c>
      <c r="Y1143" s="497" t="str">
        <f t="shared" si="74"/>
        <v/>
      </c>
      <c r="Z1143" s="497" t="str">
        <f t="shared" si="74"/>
        <v/>
      </c>
    </row>
    <row r="1144" spans="1:26" s="82" customFormat="1" ht="32" x14ac:dyDescent="0.4">
      <c r="A1144" s="493">
        <v>57804</v>
      </c>
      <c r="B1144" s="105" t="s">
        <v>433</v>
      </c>
      <c r="C1144" s="493" t="s">
        <v>330</v>
      </c>
      <c r="D1144" s="105" t="s">
        <v>1278</v>
      </c>
      <c r="E1144" s="105" t="s">
        <v>1279</v>
      </c>
      <c r="F1144" s="493">
        <v>57123</v>
      </c>
      <c r="G1144" s="105" t="s">
        <v>36</v>
      </c>
      <c r="H1144" s="105" t="s">
        <v>342</v>
      </c>
      <c r="I1144" s="105" t="s">
        <v>334</v>
      </c>
      <c r="J1144" s="493">
        <v>611</v>
      </c>
      <c r="K1144" s="493">
        <v>5</v>
      </c>
      <c r="L1144" s="105" t="s">
        <v>771</v>
      </c>
      <c r="M1144" s="105" t="s">
        <v>360</v>
      </c>
      <c r="N1144" s="105" t="s">
        <v>258</v>
      </c>
      <c r="O1144" s="105" t="s">
        <v>387</v>
      </c>
      <c r="P1144" s="105" t="s">
        <v>388</v>
      </c>
      <c r="Q1144" s="494">
        <v>21401</v>
      </c>
      <c r="R1144" s="494">
        <v>957</v>
      </c>
      <c r="S1144" s="494">
        <v>184049</v>
      </c>
      <c r="T1144" s="494">
        <v>8232</v>
      </c>
      <c r="U1144" s="494">
        <v>1778.81</v>
      </c>
      <c r="V1144" s="493">
        <v>2024</v>
      </c>
      <c r="W1144" s="495"/>
      <c r="X1144" s="496" t="str">
        <f t="shared" si="72"/>
        <v/>
      </c>
      <c r="Y1144" s="497" t="str">
        <f t="shared" si="74"/>
        <v/>
      </c>
      <c r="Z1144" s="497" t="str">
        <f t="shared" si="74"/>
        <v/>
      </c>
    </row>
    <row r="1145" spans="1:26" s="82" customFormat="1" ht="32" x14ac:dyDescent="0.4">
      <c r="A1145" s="493">
        <v>57838</v>
      </c>
      <c r="B1145" s="105" t="s">
        <v>329</v>
      </c>
      <c r="C1145" s="493" t="s">
        <v>330</v>
      </c>
      <c r="D1145" s="105" t="s">
        <v>1280</v>
      </c>
      <c r="E1145" s="105" t="s">
        <v>1243</v>
      </c>
      <c r="F1145" s="493">
        <v>56769</v>
      </c>
      <c r="G1145" s="105" t="s">
        <v>33</v>
      </c>
      <c r="H1145" s="105" t="s">
        <v>342</v>
      </c>
      <c r="I1145" s="105" t="s">
        <v>334</v>
      </c>
      <c r="J1145" s="493">
        <v>22</v>
      </c>
      <c r="K1145" s="493">
        <v>2</v>
      </c>
      <c r="L1145" s="105" t="s">
        <v>343</v>
      </c>
      <c r="M1145" s="105" t="s">
        <v>655</v>
      </c>
      <c r="N1145" s="105" t="s">
        <v>656</v>
      </c>
      <c r="O1145" s="105" t="s">
        <v>656</v>
      </c>
      <c r="P1145" s="105" t="s">
        <v>339</v>
      </c>
      <c r="Q1145" s="494">
        <v>0</v>
      </c>
      <c r="R1145" s="494">
        <v>0</v>
      </c>
      <c r="S1145" s="494">
        <v>11466</v>
      </c>
      <c r="T1145" s="494">
        <v>11466</v>
      </c>
      <c r="U1145" s="494">
        <v>3361</v>
      </c>
      <c r="V1145" s="493">
        <v>2024</v>
      </c>
      <c r="W1145" s="495"/>
      <c r="X1145" s="496">
        <f t="shared" si="72"/>
        <v>3.411484677179411</v>
      </c>
      <c r="Y1145" s="497" t="str">
        <f t="shared" si="74"/>
        <v/>
      </c>
      <c r="Z1145" s="497" t="str">
        <f t="shared" si="74"/>
        <v/>
      </c>
    </row>
    <row r="1146" spans="1:26" s="82" customFormat="1" x14ac:dyDescent="0.4">
      <c r="A1146" s="493">
        <v>57855</v>
      </c>
      <c r="B1146" s="105" t="s">
        <v>329</v>
      </c>
      <c r="C1146" s="493" t="s">
        <v>330</v>
      </c>
      <c r="D1146" s="105" t="s">
        <v>1281</v>
      </c>
      <c r="E1146" s="105" t="s">
        <v>459</v>
      </c>
      <c r="F1146" s="493">
        <v>9442</v>
      </c>
      <c r="G1146" s="105" t="s">
        <v>33</v>
      </c>
      <c r="H1146" s="105" t="s">
        <v>342</v>
      </c>
      <c r="I1146" s="105" t="s">
        <v>334</v>
      </c>
      <c r="J1146" s="493">
        <v>22</v>
      </c>
      <c r="K1146" s="493">
        <v>1</v>
      </c>
      <c r="L1146" s="105" t="s">
        <v>335</v>
      </c>
      <c r="M1146" s="105" t="s">
        <v>695</v>
      </c>
      <c r="N1146" s="105" t="s">
        <v>696</v>
      </c>
      <c r="O1146" s="105" t="s">
        <v>696</v>
      </c>
      <c r="P1146" s="105" t="s">
        <v>339</v>
      </c>
      <c r="Q1146" s="494">
        <v>0</v>
      </c>
      <c r="R1146" s="494">
        <v>0</v>
      </c>
      <c r="S1146" s="494">
        <v>5186</v>
      </c>
      <c r="T1146" s="494">
        <v>5186</v>
      </c>
      <c r="U1146" s="494">
        <v>1520</v>
      </c>
      <c r="V1146" s="493">
        <v>2024</v>
      </c>
      <c r="W1146" s="495"/>
      <c r="X1146" s="496">
        <f t="shared" si="72"/>
        <v>3.4118421052631578</v>
      </c>
      <c r="Y1146" s="497" t="str">
        <f t="shared" si="74"/>
        <v/>
      </c>
      <c r="Z1146" s="497" t="str">
        <f t="shared" si="74"/>
        <v/>
      </c>
    </row>
    <row r="1147" spans="1:26" s="82" customFormat="1" ht="32" x14ac:dyDescent="0.4">
      <c r="A1147" s="493">
        <v>57867</v>
      </c>
      <c r="B1147" s="105" t="s">
        <v>329</v>
      </c>
      <c r="C1147" s="493" t="s">
        <v>330</v>
      </c>
      <c r="D1147" s="105" t="s">
        <v>1282</v>
      </c>
      <c r="E1147" s="105" t="s">
        <v>1283</v>
      </c>
      <c r="F1147" s="493">
        <v>65910</v>
      </c>
      <c r="G1147" s="105" t="s">
        <v>52</v>
      </c>
      <c r="H1147" s="105" t="s">
        <v>333</v>
      </c>
      <c r="I1147" s="105" t="s">
        <v>334</v>
      </c>
      <c r="J1147" s="493">
        <v>22</v>
      </c>
      <c r="K1147" s="493">
        <v>2</v>
      </c>
      <c r="L1147" s="105" t="s">
        <v>343</v>
      </c>
      <c r="M1147" s="105" t="s">
        <v>695</v>
      </c>
      <c r="N1147" s="105" t="s">
        <v>696</v>
      </c>
      <c r="O1147" s="105" t="s">
        <v>696</v>
      </c>
      <c r="P1147" s="105" t="s">
        <v>339</v>
      </c>
      <c r="Q1147" s="494">
        <v>0</v>
      </c>
      <c r="R1147" s="494">
        <v>0</v>
      </c>
      <c r="S1147" s="494">
        <v>372179</v>
      </c>
      <c r="T1147" s="494">
        <v>372179</v>
      </c>
      <c r="U1147" s="494">
        <v>109079</v>
      </c>
      <c r="V1147" s="493">
        <v>2024</v>
      </c>
      <c r="W1147" s="495"/>
      <c r="X1147" s="496">
        <f t="shared" si="72"/>
        <v>3.4120133114531668</v>
      </c>
      <c r="Y1147" s="497" t="str">
        <f t="shared" si="74"/>
        <v/>
      </c>
      <c r="Z1147" s="497" t="str">
        <f t="shared" si="74"/>
        <v/>
      </c>
    </row>
    <row r="1148" spans="1:26" s="82" customFormat="1" x14ac:dyDescent="0.4">
      <c r="A1148" s="493">
        <v>57931</v>
      </c>
      <c r="B1148" s="105" t="s">
        <v>329</v>
      </c>
      <c r="C1148" s="493" t="s">
        <v>330</v>
      </c>
      <c r="D1148" s="105" t="s">
        <v>1284</v>
      </c>
      <c r="E1148" s="105" t="s">
        <v>1285</v>
      </c>
      <c r="F1148" s="493">
        <v>57309</v>
      </c>
      <c r="G1148" s="105" t="s">
        <v>33</v>
      </c>
      <c r="H1148" s="105" t="s">
        <v>342</v>
      </c>
      <c r="I1148" s="105" t="s">
        <v>334</v>
      </c>
      <c r="J1148" s="493">
        <v>22</v>
      </c>
      <c r="K1148" s="493">
        <v>2</v>
      </c>
      <c r="L1148" s="105" t="s">
        <v>343</v>
      </c>
      <c r="M1148" s="105" t="s">
        <v>655</v>
      </c>
      <c r="N1148" s="105" t="s">
        <v>656</v>
      </c>
      <c r="O1148" s="105" t="s">
        <v>656</v>
      </c>
      <c r="P1148" s="105" t="s">
        <v>339</v>
      </c>
      <c r="Q1148" s="494">
        <v>0</v>
      </c>
      <c r="R1148" s="494">
        <v>0</v>
      </c>
      <c r="S1148" s="494">
        <v>13093</v>
      </c>
      <c r="T1148" s="494">
        <v>13093</v>
      </c>
      <c r="U1148" s="494">
        <v>3837</v>
      </c>
      <c r="V1148" s="493">
        <v>2024</v>
      </c>
      <c r="W1148" s="495"/>
      <c r="X1148" s="496">
        <f t="shared" si="72"/>
        <v>3.4123012770393535</v>
      </c>
      <c r="Y1148" s="497" t="str">
        <f t="shared" ref="Y1148:Z1167" si="75">IF(AND($M1148=$Y$2,$N1148=$Y$3,NOT($Q1148=$R1148),NOT($U1148=0)),IF($K1148=5,$S1148/($U1148+(8/5)*$U1148),IF($K1148=7,$S1148/($U1148+(29/25)*$U1148),"")),"")</f>
        <v/>
      </c>
      <c r="Z1148" s="497" t="str">
        <f t="shared" si="75"/>
        <v/>
      </c>
    </row>
    <row r="1149" spans="1:26" s="82" customFormat="1" ht="32" x14ac:dyDescent="0.4">
      <c r="A1149" s="493">
        <v>57934</v>
      </c>
      <c r="B1149" s="105" t="s">
        <v>329</v>
      </c>
      <c r="C1149" s="493" t="s">
        <v>330</v>
      </c>
      <c r="D1149" s="105" t="s">
        <v>1286</v>
      </c>
      <c r="E1149" s="105" t="s">
        <v>1243</v>
      </c>
      <c r="F1149" s="493">
        <v>56769</v>
      </c>
      <c r="G1149" s="105" t="s">
        <v>33</v>
      </c>
      <c r="H1149" s="105" t="s">
        <v>342</v>
      </c>
      <c r="I1149" s="105" t="s">
        <v>334</v>
      </c>
      <c r="J1149" s="493">
        <v>22</v>
      </c>
      <c r="K1149" s="493">
        <v>2</v>
      </c>
      <c r="L1149" s="105" t="s">
        <v>343</v>
      </c>
      <c r="M1149" s="105" t="s">
        <v>655</v>
      </c>
      <c r="N1149" s="105" t="s">
        <v>656</v>
      </c>
      <c r="O1149" s="105" t="s">
        <v>656</v>
      </c>
      <c r="P1149" s="105" t="s">
        <v>339</v>
      </c>
      <c r="Q1149" s="494">
        <v>0</v>
      </c>
      <c r="R1149" s="494">
        <v>0</v>
      </c>
      <c r="S1149" s="494">
        <v>8530</v>
      </c>
      <c r="T1149" s="494">
        <v>8530</v>
      </c>
      <c r="U1149" s="494">
        <v>2500</v>
      </c>
      <c r="V1149" s="493">
        <v>2024</v>
      </c>
      <c r="W1149" s="495"/>
      <c r="X1149" s="496">
        <f t="shared" si="72"/>
        <v>3.4119999999999999</v>
      </c>
      <c r="Y1149" s="497" t="str">
        <f t="shared" si="75"/>
        <v/>
      </c>
      <c r="Z1149" s="497" t="str">
        <f t="shared" si="75"/>
        <v/>
      </c>
    </row>
    <row r="1150" spans="1:26" s="82" customFormat="1" ht="32" x14ac:dyDescent="0.4">
      <c r="A1150" s="493">
        <v>57941</v>
      </c>
      <c r="B1150" s="105" t="s">
        <v>329</v>
      </c>
      <c r="C1150" s="493" t="s">
        <v>330</v>
      </c>
      <c r="D1150" s="105" t="s">
        <v>1287</v>
      </c>
      <c r="E1150" s="105" t="s">
        <v>1288</v>
      </c>
      <c r="F1150" s="493">
        <v>57318</v>
      </c>
      <c r="G1150" s="105" t="s">
        <v>33</v>
      </c>
      <c r="H1150" s="105" t="s">
        <v>342</v>
      </c>
      <c r="I1150" s="105" t="s">
        <v>334</v>
      </c>
      <c r="J1150" s="493">
        <v>22</v>
      </c>
      <c r="K1150" s="493">
        <v>2</v>
      </c>
      <c r="L1150" s="105" t="s">
        <v>343</v>
      </c>
      <c r="M1150" s="105" t="s">
        <v>655</v>
      </c>
      <c r="N1150" s="105" t="s">
        <v>656</v>
      </c>
      <c r="O1150" s="105" t="s">
        <v>656</v>
      </c>
      <c r="P1150" s="105" t="s">
        <v>339</v>
      </c>
      <c r="Q1150" s="494">
        <v>0</v>
      </c>
      <c r="R1150" s="494">
        <v>0</v>
      </c>
      <c r="S1150" s="494">
        <v>9142</v>
      </c>
      <c r="T1150" s="494">
        <v>9142</v>
      </c>
      <c r="U1150" s="494">
        <v>2679</v>
      </c>
      <c r="V1150" s="493">
        <v>2024</v>
      </c>
      <c r="W1150" s="495"/>
      <c r="X1150" s="496">
        <f t="shared" si="72"/>
        <v>3.4124673385591637</v>
      </c>
      <c r="Y1150" s="497" t="str">
        <f t="shared" si="75"/>
        <v/>
      </c>
      <c r="Z1150" s="497" t="str">
        <f t="shared" si="75"/>
        <v/>
      </c>
    </row>
    <row r="1151" spans="1:26" s="82" customFormat="1" ht="32" x14ac:dyDescent="0.4">
      <c r="A1151" s="493">
        <v>57942</v>
      </c>
      <c r="B1151" s="105" t="s">
        <v>329</v>
      </c>
      <c r="C1151" s="493" t="s">
        <v>330</v>
      </c>
      <c r="D1151" s="105" t="s">
        <v>1289</v>
      </c>
      <c r="E1151" s="105" t="s">
        <v>1290</v>
      </c>
      <c r="F1151" s="493">
        <v>57319</v>
      </c>
      <c r="G1151" s="105" t="s">
        <v>33</v>
      </c>
      <c r="H1151" s="105" t="s">
        <v>342</v>
      </c>
      <c r="I1151" s="105" t="s">
        <v>334</v>
      </c>
      <c r="J1151" s="493">
        <v>22</v>
      </c>
      <c r="K1151" s="493">
        <v>2</v>
      </c>
      <c r="L1151" s="105" t="s">
        <v>343</v>
      </c>
      <c r="M1151" s="105" t="s">
        <v>655</v>
      </c>
      <c r="N1151" s="105" t="s">
        <v>656</v>
      </c>
      <c r="O1151" s="105" t="s">
        <v>656</v>
      </c>
      <c r="P1151" s="105" t="s">
        <v>339</v>
      </c>
      <c r="Q1151" s="494">
        <v>0</v>
      </c>
      <c r="R1151" s="494">
        <v>0</v>
      </c>
      <c r="S1151" s="494">
        <v>6373</v>
      </c>
      <c r="T1151" s="494">
        <v>6373</v>
      </c>
      <c r="U1151" s="494">
        <v>1868</v>
      </c>
      <c r="V1151" s="493">
        <v>2024</v>
      </c>
      <c r="W1151" s="495"/>
      <c r="X1151" s="496">
        <f t="shared" si="72"/>
        <v>3.4116702355460387</v>
      </c>
      <c r="Y1151" s="497" t="str">
        <f t="shared" si="75"/>
        <v/>
      </c>
      <c r="Z1151" s="497" t="str">
        <f t="shared" si="75"/>
        <v/>
      </c>
    </row>
    <row r="1152" spans="1:26" s="82" customFormat="1" ht="32" x14ac:dyDescent="0.4">
      <c r="A1152" s="493">
        <v>57979</v>
      </c>
      <c r="B1152" s="105" t="s">
        <v>329</v>
      </c>
      <c r="C1152" s="493" t="s">
        <v>330</v>
      </c>
      <c r="D1152" s="105" t="s">
        <v>1291</v>
      </c>
      <c r="E1152" s="105" t="s">
        <v>394</v>
      </c>
      <c r="F1152" s="493">
        <v>7601</v>
      </c>
      <c r="G1152" s="105" t="s">
        <v>36</v>
      </c>
      <c r="H1152" s="105" t="s">
        <v>342</v>
      </c>
      <c r="I1152" s="105" t="s">
        <v>334</v>
      </c>
      <c r="J1152" s="493">
        <v>22</v>
      </c>
      <c r="K1152" s="493">
        <v>1</v>
      </c>
      <c r="L1152" s="105" t="s">
        <v>335</v>
      </c>
      <c r="M1152" s="105" t="s">
        <v>695</v>
      </c>
      <c r="N1152" s="105" t="s">
        <v>696</v>
      </c>
      <c r="O1152" s="105" t="s">
        <v>696</v>
      </c>
      <c r="P1152" s="105" t="s">
        <v>339</v>
      </c>
      <c r="Q1152" s="494">
        <v>0</v>
      </c>
      <c r="R1152" s="494">
        <v>0</v>
      </c>
      <c r="S1152" s="494">
        <v>552484</v>
      </c>
      <c r="T1152" s="494">
        <v>552484</v>
      </c>
      <c r="U1152" s="494">
        <v>161924</v>
      </c>
      <c r="V1152" s="493">
        <v>2024</v>
      </c>
      <c r="W1152" s="495"/>
      <c r="X1152" s="496">
        <f t="shared" si="72"/>
        <v>3.4119957510931056</v>
      </c>
      <c r="Y1152" s="497" t="str">
        <f t="shared" si="75"/>
        <v/>
      </c>
      <c r="Z1152" s="497" t="str">
        <f t="shared" si="75"/>
        <v/>
      </c>
    </row>
    <row r="1153" spans="1:26" s="82" customFormat="1" ht="32" x14ac:dyDescent="0.4">
      <c r="A1153" s="493">
        <v>57989</v>
      </c>
      <c r="B1153" s="105" t="s">
        <v>329</v>
      </c>
      <c r="C1153" s="493" t="s">
        <v>330</v>
      </c>
      <c r="D1153" s="105" t="s">
        <v>1292</v>
      </c>
      <c r="E1153" s="105" t="s">
        <v>1243</v>
      </c>
      <c r="F1153" s="493">
        <v>56769</v>
      </c>
      <c r="G1153" s="105" t="s">
        <v>33</v>
      </c>
      <c r="H1153" s="105" t="s">
        <v>342</v>
      </c>
      <c r="I1153" s="105" t="s">
        <v>334</v>
      </c>
      <c r="J1153" s="493">
        <v>22</v>
      </c>
      <c r="K1153" s="493">
        <v>2</v>
      </c>
      <c r="L1153" s="105" t="s">
        <v>343</v>
      </c>
      <c r="M1153" s="105" t="s">
        <v>655</v>
      </c>
      <c r="N1153" s="105" t="s">
        <v>656</v>
      </c>
      <c r="O1153" s="105" t="s">
        <v>656</v>
      </c>
      <c r="P1153" s="105" t="s">
        <v>339</v>
      </c>
      <c r="Q1153" s="494">
        <v>0</v>
      </c>
      <c r="R1153" s="494">
        <v>0</v>
      </c>
      <c r="S1153" s="494">
        <v>15234</v>
      </c>
      <c r="T1153" s="494">
        <v>15234</v>
      </c>
      <c r="U1153" s="494">
        <v>4465</v>
      </c>
      <c r="V1153" s="493">
        <v>2024</v>
      </c>
      <c r="W1153" s="495"/>
      <c r="X1153" s="496">
        <f t="shared" si="72"/>
        <v>3.4118701007838745</v>
      </c>
      <c r="Y1153" s="497" t="str">
        <f t="shared" si="75"/>
        <v/>
      </c>
      <c r="Z1153" s="497" t="str">
        <f t="shared" si="75"/>
        <v/>
      </c>
    </row>
    <row r="1154" spans="1:26" s="82" customFormat="1" ht="32" x14ac:dyDescent="0.4">
      <c r="A1154" s="493">
        <v>57990</v>
      </c>
      <c r="B1154" s="105" t="s">
        <v>329</v>
      </c>
      <c r="C1154" s="493" t="s">
        <v>330</v>
      </c>
      <c r="D1154" s="105" t="s">
        <v>1293</v>
      </c>
      <c r="E1154" s="105" t="s">
        <v>1243</v>
      </c>
      <c r="F1154" s="493">
        <v>56769</v>
      </c>
      <c r="G1154" s="105" t="s">
        <v>33</v>
      </c>
      <c r="H1154" s="105" t="s">
        <v>342</v>
      </c>
      <c r="I1154" s="105" t="s">
        <v>334</v>
      </c>
      <c r="J1154" s="493">
        <v>22</v>
      </c>
      <c r="K1154" s="493">
        <v>2</v>
      </c>
      <c r="L1154" s="105" t="s">
        <v>343</v>
      </c>
      <c r="M1154" s="105" t="s">
        <v>655</v>
      </c>
      <c r="N1154" s="105" t="s">
        <v>656</v>
      </c>
      <c r="O1154" s="105" t="s">
        <v>656</v>
      </c>
      <c r="P1154" s="105" t="s">
        <v>339</v>
      </c>
      <c r="Q1154" s="494">
        <v>0</v>
      </c>
      <c r="R1154" s="494">
        <v>0</v>
      </c>
      <c r="S1154" s="494">
        <v>13620</v>
      </c>
      <c r="T1154" s="494">
        <v>13620</v>
      </c>
      <c r="U1154" s="494">
        <v>3992</v>
      </c>
      <c r="V1154" s="493">
        <v>2024</v>
      </c>
      <c r="W1154" s="495"/>
      <c r="X1154" s="496">
        <f t="shared" si="72"/>
        <v>3.4118236472945891</v>
      </c>
      <c r="Y1154" s="497" t="str">
        <f t="shared" si="75"/>
        <v/>
      </c>
      <c r="Z1154" s="497" t="str">
        <f t="shared" si="75"/>
        <v/>
      </c>
    </row>
    <row r="1155" spans="1:26" s="82" customFormat="1" ht="32" x14ac:dyDescent="0.4">
      <c r="A1155" s="493">
        <v>57992</v>
      </c>
      <c r="B1155" s="105" t="s">
        <v>329</v>
      </c>
      <c r="C1155" s="493" t="s">
        <v>330</v>
      </c>
      <c r="D1155" s="105" t="s">
        <v>1294</v>
      </c>
      <c r="E1155" s="105" t="s">
        <v>1295</v>
      </c>
      <c r="F1155" s="493">
        <v>57365</v>
      </c>
      <c r="G1155" s="105" t="s">
        <v>33</v>
      </c>
      <c r="H1155" s="105" t="s">
        <v>342</v>
      </c>
      <c r="I1155" s="105" t="s">
        <v>334</v>
      </c>
      <c r="J1155" s="493">
        <v>22</v>
      </c>
      <c r="K1155" s="493">
        <v>2</v>
      </c>
      <c r="L1155" s="105" t="s">
        <v>343</v>
      </c>
      <c r="M1155" s="105" t="s">
        <v>655</v>
      </c>
      <c r="N1155" s="105" t="s">
        <v>656</v>
      </c>
      <c r="O1155" s="105" t="s">
        <v>656</v>
      </c>
      <c r="P1155" s="105" t="s">
        <v>339</v>
      </c>
      <c r="Q1155" s="494">
        <v>0</v>
      </c>
      <c r="R1155" s="494">
        <v>0</v>
      </c>
      <c r="S1155" s="494">
        <v>5158</v>
      </c>
      <c r="T1155" s="494">
        <v>5158</v>
      </c>
      <c r="U1155" s="494">
        <v>1512</v>
      </c>
      <c r="V1155" s="493">
        <v>2024</v>
      </c>
      <c r="W1155" s="495"/>
      <c r="X1155" s="496">
        <f t="shared" si="72"/>
        <v>3.4113756613756614</v>
      </c>
      <c r="Y1155" s="497" t="str">
        <f t="shared" si="75"/>
        <v/>
      </c>
      <c r="Z1155" s="497" t="str">
        <f t="shared" si="75"/>
        <v/>
      </c>
    </row>
    <row r="1156" spans="1:26" s="82" customFormat="1" x14ac:dyDescent="0.4">
      <c r="A1156" s="493">
        <v>58004</v>
      </c>
      <c r="B1156" s="105" t="s">
        <v>329</v>
      </c>
      <c r="C1156" s="493" t="s">
        <v>330</v>
      </c>
      <c r="D1156" s="105" t="s">
        <v>1296</v>
      </c>
      <c r="E1156" s="105" t="s">
        <v>1297</v>
      </c>
      <c r="F1156" s="493">
        <v>64421</v>
      </c>
      <c r="G1156" s="105" t="s">
        <v>35</v>
      </c>
      <c r="H1156" s="105" t="s">
        <v>342</v>
      </c>
      <c r="I1156" s="105" t="s">
        <v>334</v>
      </c>
      <c r="J1156" s="493">
        <v>22</v>
      </c>
      <c r="K1156" s="493">
        <v>2</v>
      </c>
      <c r="L1156" s="105" t="s">
        <v>343</v>
      </c>
      <c r="M1156" s="105" t="s">
        <v>695</v>
      </c>
      <c r="N1156" s="105" t="s">
        <v>696</v>
      </c>
      <c r="O1156" s="105" t="s">
        <v>696</v>
      </c>
      <c r="P1156" s="105" t="s">
        <v>339</v>
      </c>
      <c r="Q1156" s="494">
        <v>0</v>
      </c>
      <c r="R1156" s="494">
        <v>0</v>
      </c>
      <c r="S1156" s="494">
        <v>645270</v>
      </c>
      <c r="T1156" s="494">
        <v>645270</v>
      </c>
      <c r="U1156" s="494">
        <v>189118</v>
      </c>
      <c r="V1156" s="493">
        <v>2024</v>
      </c>
      <c r="W1156" s="495"/>
      <c r="X1156" s="496">
        <f t="shared" si="72"/>
        <v>3.4119967427743525</v>
      </c>
      <c r="Y1156" s="497" t="str">
        <f t="shared" si="75"/>
        <v/>
      </c>
      <c r="Z1156" s="497" t="str">
        <f t="shared" si="75"/>
        <v/>
      </c>
    </row>
    <row r="1157" spans="1:26" s="82" customFormat="1" ht="32" x14ac:dyDescent="0.4">
      <c r="A1157" s="493">
        <v>58025</v>
      </c>
      <c r="B1157" s="105" t="s">
        <v>329</v>
      </c>
      <c r="C1157" s="493" t="s">
        <v>330</v>
      </c>
      <c r="D1157" s="105" t="s">
        <v>1298</v>
      </c>
      <c r="E1157" s="105" t="s">
        <v>1298</v>
      </c>
      <c r="F1157" s="493">
        <v>57401</v>
      </c>
      <c r="G1157" s="105" t="s">
        <v>33</v>
      </c>
      <c r="H1157" s="105" t="s">
        <v>342</v>
      </c>
      <c r="I1157" s="105" t="s">
        <v>334</v>
      </c>
      <c r="J1157" s="493">
        <v>611</v>
      </c>
      <c r="K1157" s="493">
        <v>4</v>
      </c>
      <c r="L1157" s="105" t="s">
        <v>766</v>
      </c>
      <c r="M1157" s="105" t="s">
        <v>695</v>
      </c>
      <c r="N1157" s="105" t="s">
        <v>696</v>
      </c>
      <c r="O1157" s="105" t="s">
        <v>696</v>
      </c>
      <c r="P1157" s="105" t="s">
        <v>339</v>
      </c>
      <c r="Q1157" s="494">
        <v>0</v>
      </c>
      <c r="R1157" s="494">
        <v>0</v>
      </c>
      <c r="S1157" s="494">
        <v>13859</v>
      </c>
      <c r="T1157" s="494">
        <v>13859</v>
      </c>
      <c r="U1157" s="494">
        <v>4061.97</v>
      </c>
      <c r="V1157" s="493">
        <v>2024</v>
      </c>
      <c r="W1157" s="495"/>
      <c r="X1157" s="496" t="str">
        <f t="shared" si="72"/>
        <v/>
      </c>
      <c r="Y1157" s="497" t="str">
        <f t="shared" si="75"/>
        <v/>
      </c>
      <c r="Z1157" s="497" t="str">
        <f t="shared" si="75"/>
        <v/>
      </c>
    </row>
    <row r="1158" spans="1:26" s="82" customFormat="1" ht="32" x14ac:dyDescent="0.4">
      <c r="A1158" s="493">
        <v>58026</v>
      </c>
      <c r="B1158" s="105" t="s">
        <v>329</v>
      </c>
      <c r="C1158" s="493" t="s">
        <v>330</v>
      </c>
      <c r="D1158" s="105" t="s">
        <v>1299</v>
      </c>
      <c r="E1158" s="105" t="s">
        <v>1300</v>
      </c>
      <c r="F1158" s="493">
        <v>57402</v>
      </c>
      <c r="G1158" s="105" t="s">
        <v>34</v>
      </c>
      <c r="H1158" s="105" t="s">
        <v>342</v>
      </c>
      <c r="I1158" s="105" t="s">
        <v>334</v>
      </c>
      <c r="J1158" s="493">
        <v>22</v>
      </c>
      <c r="K1158" s="493">
        <v>2</v>
      </c>
      <c r="L1158" s="105" t="s">
        <v>343</v>
      </c>
      <c r="M1158" s="105" t="s">
        <v>695</v>
      </c>
      <c r="N1158" s="105" t="s">
        <v>696</v>
      </c>
      <c r="O1158" s="105" t="s">
        <v>696</v>
      </c>
      <c r="P1158" s="105" t="s">
        <v>339</v>
      </c>
      <c r="Q1158" s="494">
        <v>0</v>
      </c>
      <c r="R1158" s="494">
        <v>0</v>
      </c>
      <c r="S1158" s="494">
        <v>183539</v>
      </c>
      <c r="T1158" s="494">
        <v>183539</v>
      </c>
      <c r="U1158" s="494">
        <v>53792</v>
      </c>
      <c r="V1158" s="493">
        <v>2024</v>
      </c>
      <c r="W1158" s="495"/>
      <c r="X1158" s="496">
        <f t="shared" si="72"/>
        <v>3.4120129387269484</v>
      </c>
      <c r="Y1158" s="497" t="str">
        <f t="shared" si="75"/>
        <v/>
      </c>
      <c r="Z1158" s="497" t="str">
        <f t="shared" si="75"/>
        <v/>
      </c>
    </row>
    <row r="1159" spans="1:26" s="82" customFormat="1" ht="32" x14ac:dyDescent="0.4">
      <c r="A1159" s="493">
        <v>58032</v>
      </c>
      <c r="B1159" s="105" t="s">
        <v>329</v>
      </c>
      <c r="C1159" s="493" t="s">
        <v>330</v>
      </c>
      <c r="D1159" s="105" t="s">
        <v>1301</v>
      </c>
      <c r="E1159" s="105" t="s">
        <v>1295</v>
      </c>
      <c r="F1159" s="493">
        <v>57365</v>
      </c>
      <c r="G1159" s="105" t="s">
        <v>33</v>
      </c>
      <c r="H1159" s="105" t="s">
        <v>342</v>
      </c>
      <c r="I1159" s="105" t="s">
        <v>334</v>
      </c>
      <c r="J1159" s="493">
        <v>22</v>
      </c>
      <c r="K1159" s="493">
        <v>2</v>
      </c>
      <c r="L1159" s="105" t="s">
        <v>343</v>
      </c>
      <c r="M1159" s="105" t="s">
        <v>655</v>
      </c>
      <c r="N1159" s="105" t="s">
        <v>656</v>
      </c>
      <c r="O1159" s="105" t="s">
        <v>656</v>
      </c>
      <c r="P1159" s="105" t="s">
        <v>339</v>
      </c>
      <c r="Q1159" s="494">
        <v>0</v>
      </c>
      <c r="R1159" s="494">
        <v>0</v>
      </c>
      <c r="S1159" s="494">
        <v>11447</v>
      </c>
      <c r="T1159" s="494">
        <v>11447</v>
      </c>
      <c r="U1159" s="494">
        <v>3355</v>
      </c>
      <c r="V1159" s="493">
        <v>2024</v>
      </c>
      <c r="W1159" s="495"/>
      <c r="X1159" s="496">
        <f t="shared" si="72"/>
        <v>3.4119225037257825</v>
      </c>
      <c r="Y1159" s="497" t="str">
        <f t="shared" si="75"/>
        <v/>
      </c>
      <c r="Z1159" s="497" t="str">
        <f t="shared" si="75"/>
        <v/>
      </c>
    </row>
    <row r="1160" spans="1:26" s="82" customFormat="1" ht="32" x14ac:dyDescent="0.4">
      <c r="A1160" s="493">
        <v>58035</v>
      </c>
      <c r="B1160" s="105" t="s">
        <v>329</v>
      </c>
      <c r="C1160" s="493" t="s">
        <v>330</v>
      </c>
      <c r="D1160" s="105" t="s">
        <v>1302</v>
      </c>
      <c r="E1160" s="105" t="s">
        <v>1303</v>
      </c>
      <c r="F1160" s="493">
        <v>57406</v>
      </c>
      <c r="G1160" s="105" t="s">
        <v>38</v>
      </c>
      <c r="H1160" s="105" t="s">
        <v>342</v>
      </c>
      <c r="I1160" s="105" t="s">
        <v>334</v>
      </c>
      <c r="J1160" s="493">
        <v>22</v>
      </c>
      <c r="K1160" s="493">
        <v>2</v>
      </c>
      <c r="L1160" s="105" t="s">
        <v>343</v>
      </c>
      <c r="M1160" s="105" t="s">
        <v>1304</v>
      </c>
      <c r="N1160" s="105" t="s">
        <v>696</v>
      </c>
      <c r="O1160" s="105" t="s">
        <v>696</v>
      </c>
      <c r="P1160" s="105" t="s">
        <v>339</v>
      </c>
      <c r="Q1160" s="494">
        <v>0</v>
      </c>
      <c r="R1160" s="494">
        <v>0</v>
      </c>
      <c r="S1160" s="494">
        <v>319532</v>
      </c>
      <c r="T1160" s="494">
        <v>319532</v>
      </c>
      <c r="U1160" s="494">
        <v>93649</v>
      </c>
      <c r="V1160" s="493">
        <v>2024</v>
      </c>
      <c r="W1160" s="495"/>
      <c r="X1160" s="496">
        <f t="shared" si="72"/>
        <v>3.4120172132110329</v>
      </c>
      <c r="Y1160" s="497" t="str">
        <f t="shared" si="75"/>
        <v/>
      </c>
      <c r="Z1160" s="497" t="str">
        <f t="shared" si="75"/>
        <v/>
      </c>
    </row>
    <row r="1161" spans="1:26" s="82" customFormat="1" x14ac:dyDescent="0.4">
      <c r="A1161" s="493">
        <v>58054</v>
      </c>
      <c r="B1161" s="105" t="s">
        <v>329</v>
      </c>
      <c r="C1161" s="493" t="s">
        <v>330</v>
      </c>
      <c r="D1161" s="105" t="s">
        <v>1305</v>
      </c>
      <c r="E1161" s="105" t="s">
        <v>1306</v>
      </c>
      <c r="F1161" s="493">
        <v>57430</v>
      </c>
      <c r="G1161" s="105" t="s">
        <v>35</v>
      </c>
      <c r="H1161" s="105" t="s">
        <v>342</v>
      </c>
      <c r="I1161" s="105" t="s">
        <v>334</v>
      </c>
      <c r="J1161" s="493">
        <v>22</v>
      </c>
      <c r="K1161" s="493">
        <v>2</v>
      </c>
      <c r="L1161" s="105" t="s">
        <v>343</v>
      </c>
      <c r="M1161" s="105" t="s">
        <v>360</v>
      </c>
      <c r="N1161" s="105" t="s">
        <v>226</v>
      </c>
      <c r="O1161" s="105" t="s">
        <v>226</v>
      </c>
      <c r="P1161" s="105" t="s">
        <v>350</v>
      </c>
      <c r="Q1161" s="494">
        <v>384</v>
      </c>
      <c r="R1161" s="494">
        <v>384</v>
      </c>
      <c r="S1161" s="494">
        <v>2266</v>
      </c>
      <c r="T1161" s="494">
        <v>2266</v>
      </c>
      <c r="U1161" s="494">
        <v>161.78299999999999</v>
      </c>
      <c r="V1161" s="493">
        <v>2024</v>
      </c>
      <c r="W1161" s="495"/>
      <c r="X1161" s="496">
        <f t="shared" ref="X1161:X1224" si="76">IF(OR(K1161&gt;3,T1161=0,NOT(U1161&gt;0)),"",T1161/U1161)</f>
        <v>14.006416001681265</v>
      </c>
      <c r="Y1161" s="497" t="str">
        <f t="shared" si="75"/>
        <v/>
      </c>
      <c r="Z1161" s="497" t="str">
        <f t="shared" si="75"/>
        <v/>
      </c>
    </row>
    <row r="1162" spans="1:26" s="82" customFormat="1" x14ac:dyDescent="0.4">
      <c r="A1162" s="493">
        <v>58054</v>
      </c>
      <c r="B1162" s="105" t="s">
        <v>329</v>
      </c>
      <c r="C1162" s="493" t="s">
        <v>330</v>
      </c>
      <c r="D1162" s="105" t="s">
        <v>1305</v>
      </c>
      <c r="E1162" s="105" t="s">
        <v>1306</v>
      </c>
      <c r="F1162" s="493">
        <v>57430</v>
      </c>
      <c r="G1162" s="105" t="s">
        <v>35</v>
      </c>
      <c r="H1162" s="105" t="s">
        <v>342</v>
      </c>
      <c r="I1162" s="105" t="s">
        <v>334</v>
      </c>
      <c r="J1162" s="493">
        <v>22</v>
      </c>
      <c r="K1162" s="493">
        <v>2</v>
      </c>
      <c r="L1162" s="105" t="s">
        <v>343</v>
      </c>
      <c r="M1162" s="105" t="s">
        <v>360</v>
      </c>
      <c r="N1162" s="105" t="s">
        <v>258</v>
      </c>
      <c r="O1162" s="105" t="s">
        <v>387</v>
      </c>
      <c r="P1162" s="105" t="s">
        <v>388</v>
      </c>
      <c r="Q1162" s="494">
        <v>556944</v>
      </c>
      <c r="R1162" s="494">
        <v>556944</v>
      </c>
      <c r="S1162" s="494">
        <v>5012496</v>
      </c>
      <c r="T1162" s="494">
        <v>5012496</v>
      </c>
      <c r="U1162" s="494">
        <v>348430.22</v>
      </c>
      <c r="V1162" s="493">
        <v>2024</v>
      </c>
      <c r="W1162" s="495"/>
      <c r="X1162" s="496">
        <f t="shared" si="76"/>
        <v>14.38593931375987</v>
      </c>
      <c r="Y1162" s="497" t="str">
        <f t="shared" si="75"/>
        <v/>
      </c>
      <c r="Z1162" s="497" t="str">
        <f t="shared" si="75"/>
        <v/>
      </c>
    </row>
    <row r="1163" spans="1:26" s="82" customFormat="1" x14ac:dyDescent="0.4">
      <c r="A1163" s="493">
        <v>58065</v>
      </c>
      <c r="B1163" s="105" t="s">
        <v>329</v>
      </c>
      <c r="C1163" s="493" t="s">
        <v>330</v>
      </c>
      <c r="D1163" s="105" t="s">
        <v>1307</v>
      </c>
      <c r="E1163" s="105" t="s">
        <v>1308</v>
      </c>
      <c r="F1163" s="493">
        <v>57443</v>
      </c>
      <c r="G1163" s="105" t="s">
        <v>33</v>
      </c>
      <c r="H1163" s="105" t="s">
        <v>342</v>
      </c>
      <c r="I1163" s="105" t="s">
        <v>334</v>
      </c>
      <c r="J1163" s="493">
        <v>22</v>
      </c>
      <c r="K1163" s="493">
        <v>2</v>
      </c>
      <c r="L1163" s="105" t="s">
        <v>343</v>
      </c>
      <c r="M1163" s="105" t="s">
        <v>695</v>
      </c>
      <c r="N1163" s="105" t="s">
        <v>696</v>
      </c>
      <c r="O1163" s="105" t="s">
        <v>696</v>
      </c>
      <c r="P1163" s="105" t="s">
        <v>339</v>
      </c>
      <c r="Q1163" s="494">
        <v>0</v>
      </c>
      <c r="R1163" s="494">
        <v>0</v>
      </c>
      <c r="S1163" s="494">
        <v>4251</v>
      </c>
      <c r="T1163" s="494">
        <v>4251</v>
      </c>
      <c r="U1163" s="494">
        <v>1246</v>
      </c>
      <c r="V1163" s="493">
        <v>2024</v>
      </c>
      <c r="W1163" s="495"/>
      <c r="X1163" s="496">
        <f t="shared" si="76"/>
        <v>3.4117174959871588</v>
      </c>
      <c r="Y1163" s="497" t="str">
        <f t="shared" si="75"/>
        <v/>
      </c>
      <c r="Z1163" s="497" t="str">
        <f t="shared" si="75"/>
        <v/>
      </c>
    </row>
    <row r="1164" spans="1:26" s="82" customFormat="1" ht="32" x14ac:dyDescent="0.4">
      <c r="A1164" s="493">
        <v>58084</v>
      </c>
      <c r="B1164" s="105" t="s">
        <v>433</v>
      </c>
      <c r="C1164" s="493" t="s">
        <v>330</v>
      </c>
      <c r="D1164" s="105" t="s">
        <v>1309</v>
      </c>
      <c r="E1164" s="105" t="s">
        <v>1310</v>
      </c>
      <c r="F1164" s="493">
        <v>57464</v>
      </c>
      <c r="G1164" s="105" t="s">
        <v>37</v>
      </c>
      <c r="H1164" s="105" t="s">
        <v>342</v>
      </c>
      <c r="I1164" s="105" t="s">
        <v>334</v>
      </c>
      <c r="J1164" s="493">
        <v>322</v>
      </c>
      <c r="K1164" s="493">
        <v>7</v>
      </c>
      <c r="L1164" s="105" t="s">
        <v>727</v>
      </c>
      <c r="M1164" s="105" t="s">
        <v>380</v>
      </c>
      <c r="N1164" s="105" t="s">
        <v>228</v>
      </c>
      <c r="O1164" s="105" t="s">
        <v>228</v>
      </c>
      <c r="P1164" s="105" t="s">
        <v>356</v>
      </c>
      <c r="Q1164" s="494">
        <v>23</v>
      </c>
      <c r="R1164" s="494">
        <v>23</v>
      </c>
      <c r="S1164" s="494">
        <v>23</v>
      </c>
      <c r="T1164" s="494">
        <v>23</v>
      </c>
      <c r="U1164" s="494">
        <v>13199</v>
      </c>
      <c r="V1164" s="493">
        <v>2024</v>
      </c>
      <c r="W1164" s="495"/>
      <c r="X1164" s="496" t="str">
        <f t="shared" si="76"/>
        <v/>
      </c>
      <c r="Y1164" s="497" t="str">
        <f t="shared" si="75"/>
        <v/>
      </c>
      <c r="Z1164" s="497" t="str">
        <f t="shared" si="75"/>
        <v/>
      </c>
    </row>
    <row r="1165" spans="1:26" s="82" customFormat="1" ht="32" x14ac:dyDescent="0.4">
      <c r="A1165" s="493">
        <v>58084</v>
      </c>
      <c r="B1165" s="105" t="s">
        <v>433</v>
      </c>
      <c r="C1165" s="493" t="s">
        <v>330</v>
      </c>
      <c r="D1165" s="105" t="s">
        <v>1309</v>
      </c>
      <c r="E1165" s="105" t="s">
        <v>1310</v>
      </c>
      <c r="F1165" s="493">
        <v>57464</v>
      </c>
      <c r="G1165" s="105" t="s">
        <v>37</v>
      </c>
      <c r="H1165" s="105" t="s">
        <v>342</v>
      </c>
      <c r="I1165" s="105" t="s">
        <v>334</v>
      </c>
      <c r="J1165" s="493">
        <v>322</v>
      </c>
      <c r="K1165" s="493">
        <v>7</v>
      </c>
      <c r="L1165" s="105" t="s">
        <v>727</v>
      </c>
      <c r="M1165" s="105" t="s">
        <v>37</v>
      </c>
      <c r="N1165" s="105" t="s">
        <v>228</v>
      </c>
      <c r="O1165" s="105" t="s">
        <v>228</v>
      </c>
      <c r="P1165" s="105" t="s">
        <v>356</v>
      </c>
      <c r="Q1165" s="494">
        <v>1263212</v>
      </c>
      <c r="R1165" s="494">
        <v>567232</v>
      </c>
      <c r="S1165" s="494">
        <v>1299846</v>
      </c>
      <c r="T1165" s="494">
        <v>583683</v>
      </c>
      <c r="U1165" s="494">
        <v>105519</v>
      </c>
      <c r="V1165" s="493">
        <v>2024</v>
      </c>
      <c r="W1165" s="495"/>
      <c r="X1165" s="496" t="str">
        <f t="shared" si="76"/>
        <v/>
      </c>
      <c r="Y1165" s="497" t="str">
        <f t="shared" si="75"/>
        <v/>
      </c>
      <c r="Z1165" s="497" t="str">
        <f t="shared" si="75"/>
        <v/>
      </c>
    </row>
    <row r="1166" spans="1:26" s="82" customFormat="1" ht="32" x14ac:dyDescent="0.4">
      <c r="A1166" s="493">
        <v>58084</v>
      </c>
      <c r="B1166" s="105" t="s">
        <v>433</v>
      </c>
      <c r="C1166" s="493" t="s">
        <v>330</v>
      </c>
      <c r="D1166" s="105" t="s">
        <v>1309</v>
      </c>
      <c r="E1166" s="105" t="s">
        <v>1310</v>
      </c>
      <c r="F1166" s="493">
        <v>57464</v>
      </c>
      <c r="G1166" s="105" t="s">
        <v>37</v>
      </c>
      <c r="H1166" s="105" t="s">
        <v>342</v>
      </c>
      <c r="I1166" s="105" t="s">
        <v>334</v>
      </c>
      <c r="J1166" s="493">
        <v>322</v>
      </c>
      <c r="K1166" s="493">
        <v>7</v>
      </c>
      <c r="L1166" s="105" t="s">
        <v>727</v>
      </c>
      <c r="M1166" s="105" t="s">
        <v>295</v>
      </c>
      <c r="N1166" s="105" t="s">
        <v>228</v>
      </c>
      <c r="O1166" s="105" t="s">
        <v>228</v>
      </c>
      <c r="P1166" s="105" t="s">
        <v>356</v>
      </c>
      <c r="Q1166" s="494">
        <v>1162365</v>
      </c>
      <c r="R1166" s="494">
        <v>477800</v>
      </c>
      <c r="S1166" s="494">
        <v>1196075</v>
      </c>
      <c r="T1166" s="494">
        <v>491656</v>
      </c>
      <c r="U1166" s="494">
        <v>100268</v>
      </c>
      <c r="V1166" s="493">
        <v>2024</v>
      </c>
      <c r="W1166" s="495"/>
      <c r="X1166" s="496" t="str">
        <f t="shared" si="76"/>
        <v/>
      </c>
      <c r="Y1166" s="497">
        <f t="shared" si="75"/>
        <v>5.5225837348498619</v>
      </c>
      <c r="Z1166" s="497">
        <f t="shared" si="75"/>
        <v>5.5225837348498619</v>
      </c>
    </row>
    <row r="1167" spans="1:26" s="82" customFormat="1" x14ac:dyDescent="0.4">
      <c r="A1167" s="493">
        <v>58088</v>
      </c>
      <c r="B1167" s="105" t="s">
        <v>329</v>
      </c>
      <c r="C1167" s="493" t="s">
        <v>330</v>
      </c>
      <c r="D1167" s="105" t="s">
        <v>1311</v>
      </c>
      <c r="E1167" s="105" t="s">
        <v>1206</v>
      </c>
      <c r="F1167" s="493">
        <v>49893</v>
      </c>
      <c r="G1167" s="105" t="s">
        <v>52</v>
      </c>
      <c r="H1167" s="105" t="s">
        <v>333</v>
      </c>
      <c r="I1167" s="105" t="s">
        <v>334</v>
      </c>
      <c r="J1167" s="493">
        <v>22</v>
      </c>
      <c r="K1167" s="493">
        <v>2</v>
      </c>
      <c r="L1167" s="105" t="s">
        <v>343</v>
      </c>
      <c r="M1167" s="105" t="s">
        <v>695</v>
      </c>
      <c r="N1167" s="105" t="s">
        <v>696</v>
      </c>
      <c r="O1167" s="105" t="s">
        <v>696</v>
      </c>
      <c r="P1167" s="105" t="s">
        <v>339</v>
      </c>
      <c r="Q1167" s="494">
        <v>0</v>
      </c>
      <c r="R1167" s="494">
        <v>0</v>
      </c>
      <c r="S1167" s="494">
        <v>794496</v>
      </c>
      <c r="T1167" s="494">
        <v>794496</v>
      </c>
      <c r="U1167" s="494">
        <v>232854</v>
      </c>
      <c r="V1167" s="493">
        <v>2024</v>
      </c>
      <c r="W1167" s="495"/>
      <c r="X1167" s="496">
        <f t="shared" si="76"/>
        <v>3.411992063696565</v>
      </c>
      <c r="Y1167" s="497" t="str">
        <f t="shared" si="75"/>
        <v/>
      </c>
      <c r="Z1167" s="497" t="str">
        <f t="shared" si="75"/>
        <v/>
      </c>
    </row>
    <row r="1168" spans="1:26" s="82" customFormat="1" ht="32" x14ac:dyDescent="0.4">
      <c r="A1168" s="493">
        <v>58097</v>
      </c>
      <c r="B1168" s="105" t="s">
        <v>329</v>
      </c>
      <c r="C1168" s="493" t="s">
        <v>330</v>
      </c>
      <c r="D1168" s="105" t="s">
        <v>1312</v>
      </c>
      <c r="E1168" s="105" t="s">
        <v>1313</v>
      </c>
      <c r="F1168" s="493">
        <v>60281</v>
      </c>
      <c r="G1168" s="105" t="s">
        <v>33</v>
      </c>
      <c r="H1168" s="105" t="s">
        <v>342</v>
      </c>
      <c r="I1168" s="105" t="s">
        <v>334</v>
      </c>
      <c r="J1168" s="493">
        <v>22</v>
      </c>
      <c r="K1168" s="493">
        <v>2</v>
      </c>
      <c r="L1168" s="105" t="s">
        <v>343</v>
      </c>
      <c r="M1168" s="105" t="s">
        <v>655</v>
      </c>
      <c r="N1168" s="105" t="s">
        <v>656</v>
      </c>
      <c r="O1168" s="105" t="s">
        <v>656</v>
      </c>
      <c r="P1168" s="105" t="s">
        <v>339</v>
      </c>
      <c r="Q1168" s="494">
        <v>0</v>
      </c>
      <c r="R1168" s="494">
        <v>0</v>
      </c>
      <c r="S1168" s="494">
        <v>17323</v>
      </c>
      <c r="T1168" s="494">
        <v>17323</v>
      </c>
      <c r="U1168" s="494">
        <v>5077</v>
      </c>
      <c r="V1168" s="493">
        <v>2024</v>
      </c>
      <c r="W1168" s="495"/>
      <c r="X1168" s="496">
        <f t="shared" si="76"/>
        <v>3.4120543628126847</v>
      </c>
      <c r="Y1168" s="497" t="str">
        <f t="shared" ref="Y1168:Z1187" si="77">IF(AND($M1168=$Y$2,$N1168=$Y$3,NOT($Q1168=$R1168),NOT($U1168=0)),IF($K1168=5,$S1168/($U1168+(8/5)*$U1168),IF($K1168=7,$S1168/($U1168+(29/25)*$U1168),"")),"")</f>
        <v/>
      </c>
      <c r="Z1168" s="497" t="str">
        <f t="shared" si="77"/>
        <v/>
      </c>
    </row>
    <row r="1169" spans="1:26" s="82" customFormat="1" ht="32" x14ac:dyDescent="0.4">
      <c r="A1169" s="493">
        <v>58116</v>
      </c>
      <c r="B1169" s="105" t="s">
        <v>329</v>
      </c>
      <c r="C1169" s="493" t="s">
        <v>330</v>
      </c>
      <c r="D1169" s="105" t="s">
        <v>1314</v>
      </c>
      <c r="E1169" s="105" t="s">
        <v>1315</v>
      </c>
      <c r="F1169" s="493">
        <v>60642</v>
      </c>
      <c r="G1169" s="105" t="s">
        <v>37</v>
      </c>
      <c r="H1169" s="105" t="s">
        <v>342</v>
      </c>
      <c r="I1169" s="105" t="s">
        <v>334</v>
      </c>
      <c r="J1169" s="493">
        <v>322</v>
      </c>
      <c r="K1169" s="493">
        <v>6</v>
      </c>
      <c r="L1169" s="105" t="s">
        <v>729</v>
      </c>
      <c r="M1169" s="105" t="s">
        <v>359</v>
      </c>
      <c r="N1169" s="105" t="s">
        <v>228</v>
      </c>
      <c r="O1169" s="105" t="s">
        <v>228</v>
      </c>
      <c r="P1169" s="105" t="s">
        <v>356</v>
      </c>
      <c r="Q1169" s="494">
        <v>127376</v>
      </c>
      <c r="R1169" s="494">
        <v>127376</v>
      </c>
      <c r="S1169" s="494">
        <v>130689</v>
      </c>
      <c r="T1169" s="494">
        <v>130689</v>
      </c>
      <c r="U1169" s="494">
        <v>12201</v>
      </c>
      <c r="V1169" s="493">
        <v>2024</v>
      </c>
      <c r="W1169" s="495"/>
      <c r="X1169" s="496" t="str">
        <f t="shared" si="76"/>
        <v/>
      </c>
      <c r="Y1169" s="497" t="str">
        <f t="shared" si="77"/>
        <v/>
      </c>
      <c r="Z1169" s="497" t="str">
        <f t="shared" si="77"/>
        <v/>
      </c>
    </row>
    <row r="1170" spans="1:26" s="82" customFormat="1" x14ac:dyDescent="0.4">
      <c r="A1170" s="493">
        <v>58141</v>
      </c>
      <c r="B1170" s="105" t="s">
        <v>329</v>
      </c>
      <c r="C1170" s="493" t="s">
        <v>330</v>
      </c>
      <c r="D1170" s="105" t="s">
        <v>1316</v>
      </c>
      <c r="E1170" s="105" t="s">
        <v>1165</v>
      </c>
      <c r="F1170" s="493">
        <v>15399</v>
      </c>
      <c r="G1170" s="105" t="s">
        <v>35</v>
      </c>
      <c r="H1170" s="105" t="s">
        <v>342</v>
      </c>
      <c r="I1170" s="105" t="s">
        <v>334</v>
      </c>
      <c r="J1170" s="493">
        <v>22</v>
      </c>
      <c r="K1170" s="493">
        <v>2</v>
      </c>
      <c r="L1170" s="105" t="s">
        <v>343</v>
      </c>
      <c r="M1170" s="105" t="s">
        <v>695</v>
      </c>
      <c r="N1170" s="105" t="s">
        <v>696</v>
      </c>
      <c r="O1170" s="105" t="s">
        <v>696</v>
      </c>
      <c r="P1170" s="105" t="s">
        <v>339</v>
      </c>
      <c r="Q1170" s="494">
        <v>0</v>
      </c>
      <c r="R1170" s="494">
        <v>0</v>
      </c>
      <c r="S1170" s="494">
        <v>349406</v>
      </c>
      <c r="T1170" s="494">
        <v>349406</v>
      </c>
      <c r="U1170" s="494">
        <v>102405</v>
      </c>
      <c r="V1170" s="493">
        <v>2024</v>
      </c>
      <c r="W1170" s="495"/>
      <c r="X1170" s="496">
        <f t="shared" si="76"/>
        <v>3.4120013671207459</v>
      </c>
      <c r="Y1170" s="497" t="str">
        <f t="shared" si="77"/>
        <v/>
      </c>
      <c r="Z1170" s="497" t="str">
        <f t="shared" si="77"/>
        <v/>
      </c>
    </row>
    <row r="1171" spans="1:26" s="82" customFormat="1" ht="32" x14ac:dyDescent="0.4">
      <c r="A1171" s="493">
        <v>58144</v>
      </c>
      <c r="B1171" s="105" t="s">
        <v>329</v>
      </c>
      <c r="C1171" s="493" t="s">
        <v>330</v>
      </c>
      <c r="D1171" s="105" t="s">
        <v>1317</v>
      </c>
      <c r="E1171" s="105" t="s">
        <v>1318</v>
      </c>
      <c r="F1171" s="493">
        <v>65432</v>
      </c>
      <c r="G1171" s="105" t="s">
        <v>36</v>
      </c>
      <c r="H1171" s="105" t="s">
        <v>342</v>
      </c>
      <c r="I1171" s="105" t="s">
        <v>334</v>
      </c>
      <c r="J1171" s="493">
        <v>22</v>
      </c>
      <c r="K1171" s="493">
        <v>2</v>
      </c>
      <c r="L1171" s="105" t="s">
        <v>343</v>
      </c>
      <c r="M1171" s="105" t="s">
        <v>655</v>
      </c>
      <c r="N1171" s="105" t="s">
        <v>656</v>
      </c>
      <c r="O1171" s="105" t="s">
        <v>656</v>
      </c>
      <c r="P1171" s="105" t="s">
        <v>339</v>
      </c>
      <c r="Q1171" s="494">
        <v>0</v>
      </c>
      <c r="R1171" s="494">
        <v>0</v>
      </c>
      <c r="S1171" s="494">
        <v>7416</v>
      </c>
      <c r="T1171" s="494">
        <v>7416</v>
      </c>
      <c r="U1171" s="494">
        <v>2174</v>
      </c>
      <c r="V1171" s="493">
        <v>2024</v>
      </c>
      <c r="W1171" s="495"/>
      <c r="X1171" s="496">
        <f t="shared" si="76"/>
        <v>3.4112235510579576</v>
      </c>
      <c r="Y1171" s="497" t="str">
        <f t="shared" si="77"/>
        <v/>
      </c>
      <c r="Z1171" s="497" t="str">
        <f t="shared" si="77"/>
        <v/>
      </c>
    </row>
    <row r="1172" spans="1:26" s="82" customFormat="1" ht="32" x14ac:dyDescent="0.4">
      <c r="A1172" s="493">
        <v>58145</v>
      </c>
      <c r="B1172" s="105" t="s">
        <v>329</v>
      </c>
      <c r="C1172" s="493" t="s">
        <v>330</v>
      </c>
      <c r="D1172" s="105" t="s">
        <v>1319</v>
      </c>
      <c r="E1172" s="105" t="s">
        <v>1318</v>
      </c>
      <c r="F1172" s="493">
        <v>65432</v>
      </c>
      <c r="G1172" s="105" t="s">
        <v>36</v>
      </c>
      <c r="H1172" s="105" t="s">
        <v>342</v>
      </c>
      <c r="I1172" s="105" t="s">
        <v>334</v>
      </c>
      <c r="J1172" s="493">
        <v>22</v>
      </c>
      <c r="K1172" s="493">
        <v>2</v>
      </c>
      <c r="L1172" s="105" t="s">
        <v>343</v>
      </c>
      <c r="M1172" s="105" t="s">
        <v>655</v>
      </c>
      <c r="N1172" s="105" t="s">
        <v>656</v>
      </c>
      <c r="O1172" s="105" t="s">
        <v>656</v>
      </c>
      <c r="P1172" s="105" t="s">
        <v>339</v>
      </c>
      <c r="Q1172" s="494">
        <v>0</v>
      </c>
      <c r="R1172" s="494">
        <v>0</v>
      </c>
      <c r="S1172" s="494">
        <v>8189</v>
      </c>
      <c r="T1172" s="494">
        <v>8189</v>
      </c>
      <c r="U1172" s="494">
        <v>2400</v>
      </c>
      <c r="V1172" s="493">
        <v>2024</v>
      </c>
      <c r="W1172" s="495"/>
      <c r="X1172" s="496">
        <f t="shared" si="76"/>
        <v>3.4120833333333334</v>
      </c>
      <c r="Y1172" s="497" t="str">
        <f t="shared" si="77"/>
        <v/>
      </c>
      <c r="Z1172" s="497" t="str">
        <f t="shared" si="77"/>
        <v/>
      </c>
    </row>
    <row r="1173" spans="1:26" s="82" customFormat="1" ht="32" x14ac:dyDescent="0.4">
      <c r="A1173" s="493">
        <v>58146</v>
      </c>
      <c r="B1173" s="105" t="s">
        <v>433</v>
      </c>
      <c r="C1173" s="493" t="s">
        <v>330</v>
      </c>
      <c r="D1173" s="105" t="s">
        <v>1320</v>
      </c>
      <c r="E1173" s="105" t="s">
        <v>1320</v>
      </c>
      <c r="F1173" s="493">
        <v>58103</v>
      </c>
      <c r="G1173" s="105" t="s">
        <v>34</v>
      </c>
      <c r="H1173" s="105" t="s">
        <v>342</v>
      </c>
      <c r="I1173" s="105" t="s">
        <v>334</v>
      </c>
      <c r="J1173" s="493">
        <v>322</v>
      </c>
      <c r="K1173" s="493">
        <v>7</v>
      </c>
      <c r="L1173" s="105" t="s">
        <v>727</v>
      </c>
      <c r="M1173" s="105" t="s">
        <v>360</v>
      </c>
      <c r="N1173" s="105" t="s">
        <v>1321</v>
      </c>
      <c r="O1173" s="105" t="s">
        <v>232</v>
      </c>
      <c r="P1173" s="105" t="s">
        <v>339</v>
      </c>
      <c r="Q1173" s="494">
        <v>0</v>
      </c>
      <c r="R1173" s="494">
        <v>0</v>
      </c>
      <c r="S1173" s="494">
        <v>360102</v>
      </c>
      <c r="T1173" s="494">
        <v>360102</v>
      </c>
      <c r="U1173" s="494">
        <v>105540</v>
      </c>
      <c r="V1173" s="493">
        <v>2024</v>
      </c>
      <c r="W1173" s="495"/>
      <c r="X1173" s="496" t="str">
        <f t="shared" si="76"/>
        <v/>
      </c>
      <c r="Y1173" s="497" t="str">
        <f t="shared" si="77"/>
        <v/>
      </c>
      <c r="Z1173" s="497" t="str">
        <f t="shared" si="77"/>
        <v/>
      </c>
    </row>
    <row r="1174" spans="1:26" s="82" customFormat="1" ht="32" x14ac:dyDescent="0.4">
      <c r="A1174" s="493">
        <v>58152</v>
      </c>
      <c r="B1174" s="105" t="s">
        <v>433</v>
      </c>
      <c r="C1174" s="493" t="s">
        <v>330</v>
      </c>
      <c r="D1174" s="105" t="s">
        <v>1322</v>
      </c>
      <c r="E1174" s="105" t="s">
        <v>1323</v>
      </c>
      <c r="F1174" s="493">
        <v>58120</v>
      </c>
      <c r="G1174" s="105" t="s">
        <v>37</v>
      </c>
      <c r="H1174" s="105" t="s">
        <v>342</v>
      </c>
      <c r="I1174" s="105" t="s">
        <v>334</v>
      </c>
      <c r="J1174" s="493">
        <v>622</v>
      </c>
      <c r="K1174" s="493">
        <v>5</v>
      </c>
      <c r="L1174" s="105" t="s">
        <v>771</v>
      </c>
      <c r="M1174" s="105" t="s">
        <v>295</v>
      </c>
      <c r="N1174" s="105" t="s">
        <v>228</v>
      </c>
      <c r="O1174" s="105" t="s">
        <v>228</v>
      </c>
      <c r="P1174" s="105" t="s">
        <v>356</v>
      </c>
      <c r="Q1174" s="494">
        <v>364060</v>
      </c>
      <c r="R1174" s="494">
        <v>131133</v>
      </c>
      <c r="S1174" s="494">
        <v>372798</v>
      </c>
      <c r="T1174" s="494">
        <v>134281</v>
      </c>
      <c r="U1174" s="494">
        <v>28095</v>
      </c>
      <c r="V1174" s="493">
        <v>2024</v>
      </c>
      <c r="W1174" s="495"/>
      <c r="X1174" s="496" t="str">
        <f t="shared" si="76"/>
        <v/>
      </c>
      <c r="Y1174" s="497">
        <f t="shared" si="77"/>
        <v>5.1035360795104525</v>
      </c>
      <c r="Z1174" s="497">
        <f t="shared" si="77"/>
        <v>5.1035360795104525</v>
      </c>
    </row>
    <row r="1175" spans="1:26" s="82" customFormat="1" ht="32" x14ac:dyDescent="0.4">
      <c r="A1175" s="493">
        <v>58153</v>
      </c>
      <c r="B1175" s="105" t="s">
        <v>433</v>
      </c>
      <c r="C1175" s="493" t="s">
        <v>330</v>
      </c>
      <c r="D1175" s="105" t="s">
        <v>1324</v>
      </c>
      <c r="E1175" s="105" t="s">
        <v>1324</v>
      </c>
      <c r="F1175" s="493">
        <v>58122</v>
      </c>
      <c r="G1175" s="105" t="s">
        <v>34</v>
      </c>
      <c r="H1175" s="105" t="s">
        <v>342</v>
      </c>
      <c r="I1175" s="105" t="s">
        <v>334</v>
      </c>
      <c r="J1175" s="493">
        <v>622</v>
      </c>
      <c r="K1175" s="493">
        <v>5</v>
      </c>
      <c r="L1175" s="105" t="s">
        <v>771</v>
      </c>
      <c r="M1175" s="105" t="s">
        <v>295</v>
      </c>
      <c r="N1175" s="105" t="s">
        <v>226</v>
      </c>
      <c r="O1175" s="105" t="s">
        <v>226</v>
      </c>
      <c r="P1175" s="105" t="s">
        <v>350</v>
      </c>
      <c r="Q1175" s="494">
        <v>2</v>
      </c>
      <c r="R1175" s="494">
        <v>0</v>
      </c>
      <c r="S1175" s="494">
        <v>12</v>
      </c>
      <c r="T1175" s="494">
        <v>4</v>
      </c>
      <c r="U1175" s="494">
        <v>0.82699999999999996</v>
      </c>
      <c r="V1175" s="493">
        <v>2024</v>
      </c>
      <c r="W1175" s="495"/>
      <c r="X1175" s="496" t="str">
        <f t="shared" si="76"/>
        <v/>
      </c>
      <c r="Y1175" s="497" t="str">
        <f t="shared" si="77"/>
        <v/>
      </c>
      <c r="Z1175" s="497" t="str">
        <f t="shared" si="77"/>
        <v/>
      </c>
    </row>
    <row r="1176" spans="1:26" s="82" customFormat="1" ht="32" x14ac:dyDescent="0.4">
      <c r="A1176" s="493">
        <v>58153</v>
      </c>
      <c r="B1176" s="105" t="s">
        <v>433</v>
      </c>
      <c r="C1176" s="493" t="s">
        <v>330</v>
      </c>
      <c r="D1176" s="105" t="s">
        <v>1324</v>
      </c>
      <c r="E1176" s="105" t="s">
        <v>1324</v>
      </c>
      <c r="F1176" s="493">
        <v>58122</v>
      </c>
      <c r="G1176" s="105" t="s">
        <v>34</v>
      </c>
      <c r="H1176" s="105" t="s">
        <v>342</v>
      </c>
      <c r="I1176" s="105" t="s">
        <v>334</v>
      </c>
      <c r="J1176" s="493">
        <v>622</v>
      </c>
      <c r="K1176" s="493">
        <v>5</v>
      </c>
      <c r="L1176" s="105" t="s">
        <v>771</v>
      </c>
      <c r="M1176" s="105" t="s">
        <v>295</v>
      </c>
      <c r="N1176" s="105" t="s">
        <v>228</v>
      </c>
      <c r="O1176" s="105" t="s">
        <v>228</v>
      </c>
      <c r="P1176" s="105" t="s">
        <v>356</v>
      </c>
      <c r="Q1176" s="494">
        <v>419288</v>
      </c>
      <c r="R1176" s="494">
        <v>141718</v>
      </c>
      <c r="S1176" s="494">
        <v>436060</v>
      </c>
      <c r="T1176" s="494">
        <v>147385</v>
      </c>
      <c r="U1176" s="494">
        <v>31101.172999999999</v>
      </c>
      <c r="V1176" s="493">
        <v>2024</v>
      </c>
      <c r="W1176" s="495"/>
      <c r="X1176" s="496" t="str">
        <f t="shared" si="76"/>
        <v/>
      </c>
      <c r="Y1176" s="497">
        <f t="shared" si="77"/>
        <v>5.3925742484177244</v>
      </c>
      <c r="Z1176" s="497">
        <f t="shared" si="77"/>
        <v>5.3925742484177244</v>
      </c>
    </row>
    <row r="1177" spans="1:26" s="82" customFormat="1" ht="32" x14ac:dyDescent="0.4">
      <c r="A1177" s="493">
        <v>58156</v>
      </c>
      <c r="B1177" s="105" t="s">
        <v>329</v>
      </c>
      <c r="C1177" s="493" t="s">
        <v>330</v>
      </c>
      <c r="D1177" s="105" t="s">
        <v>1325</v>
      </c>
      <c r="E1177" s="105" t="s">
        <v>1325</v>
      </c>
      <c r="F1177" s="493">
        <v>58110</v>
      </c>
      <c r="G1177" s="105" t="s">
        <v>52</v>
      </c>
      <c r="H1177" s="105" t="s">
        <v>333</v>
      </c>
      <c r="I1177" s="105" t="s">
        <v>334</v>
      </c>
      <c r="J1177" s="493">
        <v>611</v>
      </c>
      <c r="K1177" s="493">
        <v>4</v>
      </c>
      <c r="L1177" s="105" t="s">
        <v>766</v>
      </c>
      <c r="M1177" s="105" t="s">
        <v>359</v>
      </c>
      <c r="N1177" s="105" t="s">
        <v>228</v>
      </c>
      <c r="O1177" s="105" t="s">
        <v>228</v>
      </c>
      <c r="P1177" s="105" t="s">
        <v>356</v>
      </c>
      <c r="Q1177" s="494">
        <v>0</v>
      </c>
      <c r="R1177" s="494">
        <v>0</v>
      </c>
      <c r="S1177" s="494">
        <v>0</v>
      </c>
      <c r="T1177" s="494">
        <v>0</v>
      </c>
      <c r="U1177" s="494">
        <v>0</v>
      </c>
      <c r="V1177" s="493">
        <v>2024</v>
      </c>
      <c r="W1177" s="495"/>
      <c r="X1177" s="496" t="str">
        <f t="shared" si="76"/>
        <v/>
      </c>
      <c r="Y1177" s="497" t="str">
        <f t="shared" si="77"/>
        <v/>
      </c>
      <c r="Z1177" s="497" t="str">
        <f t="shared" si="77"/>
        <v/>
      </c>
    </row>
    <row r="1178" spans="1:26" s="82" customFormat="1" ht="32" x14ac:dyDescent="0.4">
      <c r="A1178" s="493">
        <v>58157</v>
      </c>
      <c r="B1178" s="105" t="s">
        <v>433</v>
      </c>
      <c r="C1178" s="493" t="s">
        <v>330</v>
      </c>
      <c r="D1178" s="105" t="s">
        <v>1326</v>
      </c>
      <c r="E1178" s="105" t="s">
        <v>1326</v>
      </c>
      <c r="F1178" s="493">
        <v>58107</v>
      </c>
      <c r="G1178" s="105" t="s">
        <v>52</v>
      </c>
      <c r="H1178" s="105" t="s">
        <v>333</v>
      </c>
      <c r="I1178" s="105" t="s">
        <v>334</v>
      </c>
      <c r="J1178" s="493">
        <v>611</v>
      </c>
      <c r="K1178" s="493">
        <v>5</v>
      </c>
      <c r="L1178" s="105" t="s">
        <v>771</v>
      </c>
      <c r="M1178" s="105" t="s">
        <v>360</v>
      </c>
      <c r="N1178" s="105" t="s">
        <v>226</v>
      </c>
      <c r="O1178" s="105" t="s">
        <v>226</v>
      </c>
      <c r="P1178" s="105" t="s">
        <v>350</v>
      </c>
      <c r="Q1178" s="494">
        <v>56</v>
      </c>
      <c r="R1178" s="494">
        <v>2</v>
      </c>
      <c r="S1178" s="494">
        <v>329</v>
      </c>
      <c r="T1178" s="494">
        <v>12</v>
      </c>
      <c r="U1178" s="494">
        <v>2.1440000000000001</v>
      </c>
      <c r="V1178" s="493">
        <v>2024</v>
      </c>
      <c r="W1178" s="495"/>
      <c r="X1178" s="496" t="str">
        <f t="shared" si="76"/>
        <v/>
      </c>
      <c r="Y1178" s="497" t="str">
        <f t="shared" si="77"/>
        <v/>
      </c>
      <c r="Z1178" s="497" t="str">
        <f t="shared" si="77"/>
        <v/>
      </c>
    </row>
    <row r="1179" spans="1:26" s="82" customFormat="1" ht="32" x14ac:dyDescent="0.4">
      <c r="A1179" s="493">
        <v>58157</v>
      </c>
      <c r="B1179" s="105" t="s">
        <v>433</v>
      </c>
      <c r="C1179" s="493" t="s">
        <v>330</v>
      </c>
      <c r="D1179" s="105" t="s">
        <v>1326</v>
      </c>
      <c r="E1179" s="105" t="s">
        <v>1326</v>
      </c>
      <c r="F1179" s="493">
        <v>58107</v>
      </c>
      <c r="G1179" s="105" t="s">
        <v>52</v>
      </c>
      <c r="H1179" s="105" t="s">
        <v>333</v>
      </c>
      <c r="I1179" s="105" t="s">
        <v>334</v>
      </c>
      <c r="J1179" s="493">
        <v>611</v>
      </c>
      <c r="K1179" s="493">
        <v>5</v>
      </c>
      <c r="L1179" s="105" t="s">
        <v>771</v>
      </c>
      <c r="M1179" s="105" t="s">
        <v>360</v>
      </c>
      <c r="N1179" s="105" t="s">
        <v>228</v>
      </c>
      <c r="O1179" s="105" t="s">
        <v>228</v>
      </c>
      <c r="P1179" s="105" t="s">
        <v>356</v>
      </c>
      <c r="Q1179" s="494">
        <v>1824808</v>
      </c>
      <c r="R1179" s="494">
        <v>149067</v>
      </c>
      <c r="S1179" s="494">
        <v>1879553</v>
      </c>
      <c r="T1179" s="494">
        <v>153538</v>
      </c>
      <c r="U1179" s="494">
        <v>23592.856</v>
      </c>
      <c r="V1179" s="493">
        <v>2024</v>
      </c>
      <c r="W1179" s="495"/>
      <c r="X1179" s="496" t="str">
        <f t="shared" si="76"/>
        <v/>
      </c>
      <c r="Y1179" s="497" t="str">
        <f t="shared" si="77"/>
        <v/>
      </c>
      <c r="Z1179" s="497" t="str">
        <f t="shared" si="77"/>
        <v/>
      </c>
    </row>
    <row r="1180" spans="1:26" s="82" customFormat="1" ht="32" x14ac:dyDescent="0.4">
      <c r="A1180" s="493">
        <v>58158</v>
      </c>
      <c r="B1180" s="105" t="s">
        <v>433</v>
      </c>
      <c r="C1180" s="493" t="s">
        <v>330</v>
      </c>
      <c r="D1180" s="105" t="s">
        <v>1327</v>
      </c>
      <c r="E1180" s="105" t="s">
        <v>1328</v>
      </c>
      <c r="F1180" s="493">
        <v>58131</v>
      </c>
      <c r="G1180" s="105" t="s">
        <v>37</v>
      </c>
      <c r="H1180" s="105" t="s">
        <v>342</v>
      </c>
      <c r="I1180" s="105" t="s">
        <v>334</v>
      </c>
      <c r="J1180" s="493">
        <v>611</v>
      </c>
      <c r="K1180" s="493">
        <v>5</v>
      </c>
      <c r="L1180" s="105" t="s">
        <v>771</v>
      </c>
      <c r="M1180" s="105" t="s">
        <v>359</v>
      </c>
      <c r="N1180" s="105" t="s">
        <v>228</v>
      </c>
      <c r="O1180" s="105" t="s">
        <v>228</v>
      </c>
      <c r="P1180" s="105" t="s">
        <v>356</v>
      </c>
      <c r="Q1180" s="494">
        <v>83251</v>
      </c>
      <c r="R1180" s="494">
        <v>53622</v>
      </c>
      <c r="S1180" s="494">
        <v>86331</v>
      </c>
      <c r="T1180" s="494">
        <v>55607</v>
      </c>
      <c r="U1180" s="494">
        <v>7334</v>
      </c>
      <c r="V1180" s="493">
        <v>2024</v>
      </c>
      <c r="W1180" s="495"/>
      <c r="X1180" s="496" t="str">
        <f t="shared" si="76"/>
        <v/>
      </c>
      <c r="Y1180" s="497" t="str">
        <f t="shared" si="77"/>
        <v/>
      </c>
      <c r="Z1180" s="497" t="str">
        <f t="shared" si="77"/>
        <v/>
      </c>
    </row>
    <row r="1181" spans="1:26" s="82" customFormat="1" ht="32" x14ac:dyDescent="0.4">
      <c r="A1181" s="493">
        <v>58159</v>
      </c>
      <c r="B1181" s="105" t="s">
        <v>433</v>
      </c>
      <c r="C1181" s="493" t="s">
        <v>330</v>
      </c>
      <c r="D1181" s="105" t="s">
        <v>1329</v>
      </c>
      <c r="E1181" s="105" t="s">
        <v>1330</v>
      </c>
      <c r="F1181" s="493">
        <v>58130</v>
      </c>
      <c r="G1181" s="105" t="s">
        <v>37</v>
      </c>
      <c r="H1181" s="105" t="s">
        <v>342</v>
      </c>
      <c r="I1181" s="105" t="s">
        <v>334</v>
      </c>
      <c r="J1181" s="493">
        <v>611</v>
      </c>
      <c r="K1181" s="493">
        <v>5</v>
      </c>
      <c r="L1181" s="105" t="s">
        <v>771</v>
      </c>
      <c r="M1181" s="105" t="s">
        <v>380</v>
      </c>
      <c r="N1181" s="105" t="s">
        <v>226</v>
      </c>
      <c r="O1181" s="105" t="s">
        <v>226</v>
      </c>
      <c r="P1181" s="105" t="s">
        <v>350</v>
      </c>
      <c r="Q1181" s="494">
        <v>0</v>
      </c>
      <c r="R1181" s="494">
        <v>0</v>
      </c>
      <c r="S1181" s="494">
        <v>0</v>
      </c>
      <c r="T1181" s="494">
        <v>0</v>
      </c>
      <c r="U1181" s="494">
        <v>22.818000000000001</v>
      </c>
      <c r="V1181" s="493">
        <v>2024</v>
      </c>
      <c r="W1181" s="495"/>
      <c r="X1181" s="496" t="str">
        <f t="shared" si="76"/>
        <v/>
      </c>
      <c r="Y1181" s="497" t="str">
        <f t="shared" si="77"/>
        <v/>
      </c>
      <c r="Z1181" s="497" t="str">
        <f t="shared" si="77"/>
        <v/>
      </c>
    </row>
    <row r="1182" spans="1:26" s="82" customFormat="1" ht="32" x14ac:dyDescent="0.4">
      <c r="A1182" s="493">
        <v>58159</v>
      </c>
      <c r="B1182" s="105" t="s">
        <v>433</v>
      </c>
      <c r="C1182" s="493" t="s">
        <v>330</v>
      </c>
      <c r="D1182" s="105" t="s">
        <v>1329</v>
      </c>
      <c r="E1182" s="105" t="s">
        <v>1330</v>
      </c>
      <c r="F1182" s="493">
        <v>58130</v>
      </c>
      <c r="G1182" s="105" t="s">
        <v>37</v>
      </c>
      <c r="H1182" s="105" t="s">
        <v>342</v>
      </c>
      <c r="I1182" s="105" t="s">
        <v>334</v>
      </c>
      <c r="J1182" s="493">
        <v>611</v>
      </c>
      <c r="K1182" s="493">
        <v>5</v>
      </c>
      <c r="L1182" s="105" t="s">
        <v>771</v>
      </c>
      <c r="M1182" s="105" t="s">
        <v>380</v>
      </c>
      <c r="N1182" s="105" t="s">
        <v>228</v>
      </c>
      <c r="O1182" s="105" t="s">
        <v>228</v>
      </c>
      <c r="P1182" s="105" t="s">
        <v>356</v>
      </c>
      <c r="Q1182" s="494">
        <v>160761</v>
      </c>
      <c r="R1182" s="494">
        <v>55832</v>
      </c>
      <c r="S1182" s="494">
        <v>177319</v>
      </c>
      <c r="T1182" s="494">
        <v>61584</v>
      </c>
      <c r="U1182" s="494">
        <v>10326.182000000001</v>
      </c>
      <c r="V1182" s="493">
        <v>2024</v>
      </c>
      <c r="W1182" s="495"/>
      <c r="X1182" s="496" t="str">
        <f t="shared" si="76"/>
        <v/>
      </c>
      <c r="Y1182" s="497" t="str">
        <f t="shared" si="77"/>
        <v/>
      </c>
      <c r="Z1182" s="497" t="str">
        <f t="shared" si="77"/>
        <v/>
      </c>
    </row>
    <row r="1183" spans="1:26" s="82" customFormat="1" ht="32" x14ac:dyDescent="0.4">
      <c r="A1183" s="493">
        <v>58159</v>
      </c>
      <c r="B1183" s="105" t="s">
        <v>433</v>
      </c>
      <c r="C1183" s="493" t="s">
        <v>330</v>
      </c>
      <c r="D1183" s="105" t="s">
        <v>1329</v>
      </c>
      <c r="E1183" s="105" t="s">
        <v>1330</v>
      </c>
      <c r="F1183" s="493">
        <v>58130</v>
      </c>
      <c r="G1183" s="105" t="s">
        <v>37</v>
      </c>
      <c r="H1183" s="105" t="s">
        <v>342</v>
      </c>
      <c r="I1183" s="105" t="s">
        <v>334</v>
      </c>
      <c r="J1183" s="493">
        <v>611</v>
      </c>
      <c r="K1183" s="493">
        <v>5</v>
      </c>
      <c r="L1183" s="105" t="s">
        <v>771</v>
      </c>
      <c r="M1183" s="105" t="s">
        <v>37</v>
      </c>
      <c r="N1183" s="105" t="s">
        <v>226</v>
      </c>
      <c r="O1183" s="105" t="s">
        <v>226</v>
      </c>
      <c r="P1183" s="105" t="s">
        <v>350</v>
      </c>
      <c r="Q1183" s="494">
        <v>743</v>
      </c>
      <c r="R1183" s="494">
        <v>400</v>
      </c>
      <c r="S1183" s="494">
        <v>4401</v>
      </c>
      <c r="T1183" s="494">
        <v>2367</v>
      </c>
      <c r="U1183" s="494">
        <v>374.495</v>
      </c>
      <c r="V1183" s="493">
        <v>2024</v>
      </c>
      <c r="W1183" s="495"/>
      <c r="X1183" s="496" t="str">
        <f t="shared" si="76"/>
        <v/>
      </c>
      <c r="Y1183" s="497" t="str">
        <f t="shared" si="77"/>
        <v/>
      </c>
      <c r="Z1183" s="497" t="str">
        <f t="shared" si="77"/>
        <v/>
      </c>
    </row>
    <row r="1184" spans="1:26" s="82" customFormat="1" ht="32" x14ac:dyDescent="0.4">
      <c r="A1184" s="493">
        <v>58159</v>
      </c>
      <c r="B1184" s="105" t="s">
        <v>433</v>
      </c>
      <c r="C1184" s="493" t="s">
        <v>330</v>
      </c>
      <c r="D1184" s="105" t="s">
        <v>1329</v>
      </c>
      <c r="E1184" s="105" t="s">
        <v>1330</v>
      </c>
      <c r="F1184" s="493">
        <v>58130</v>
      </c>
      <c r="G1184" s="105" t="s">
        <v>37</v>
      </c>
      <c r="H1184" s="105" t="s">
        <v>342</v>
      </c>
      <c r="I1184" s="105" t="s">
        <v>334</v>
      </c>
      <c r="J1184" s="493">
        <v>611</v>
      </c>
      <c r="K1184" s="493">
        <v>5</v>
      </c>
      <c r="L1184" s="105" t="s">
        <v>771</v>
      </c>
      <c r="M1184" s="105" t="s">
        <v>37</v>
      </c>
      <c r="N1184" s="105" t="s">
        <v>228</v>
      </c>
      <c r="O1184" s="105" t="s">
        <v>228</v>
      </c>
      <c r="P1184" s="105" t="s">
        <v>356</v>
      </c>
      <c r="Q1184" s="494">
        <v>1156929</v>
      </c>
      <c r="R1184" s="494">
        <v>605461</v>
      </c>
      <c r="S1184" s="494">
        <v>1276091</v>
      </c>
      <c r="T1184" s="494">
        <v>667822</v>
      </c>
      <c r="U1184" s="494">
        <v>111993.51</v>
      </c>
      <c r="V1184" s="493">
        <v>2024</v>
      </c>
      <c r="W1184" s="495"/>
      <c r="X1184" s="496" t="str">
        <f t="shared" si="76"/>
        <v/>
      </c>
      <c r="Y1184" s="497" t="str">
        <f t="shared" si="77"/>
        <v/>
      </c>
      <c r="Z1184" s="497" t="str">
        <f t="shared" si="77"/>
        <v/>
      </c>
    </row>
    <row r="1185" spans="1:26" s="82" customFormat="1" ht="32" x14ac:dyDescent="0.4">
      <c r="A1185" s="493">
        <v>58160</v>
      </c>
      <c r="B1185" s="105" t="s">
        <v>433</v>
      </c>
      <c r="C1185" s="493" t="s">
        <v>330</v>
      </c>
      <c r="D1185" s="105" t="s">
        <v>1331</v>
      </c>
      <c r="E1185" s="105" t="s">
        <v>1332</v>
      </c>
      <c r="F1185" s="493">
        <v>58109</v>
      </c>
      <c r="G1185" s="105" t="s">
        <v>33</v>
      </c>
      <c r="H1185" s="105" t="s">
        <v>342</v>
      </c>
      <c r="I1185" s="105" t="s">
        <v>334</v>
      </c>
      <c r="J1185" s="493">
        <v>611</v>
      </c>
      <c r="K1185" s="493">
        <v>5</v>
      </c>
      <c r="L1185" s="105" t="s">
        <v>771</v>
      </c>
      <c r="M1185" s="105" t="s">
        <v>359</v>
      </c>
      <c r="N1185" s="105" t="s">
        <v>226</v>
      </c>
      <c r="O1185" s="105" t="s">
        <v>226</v>
      </c>
      <c r="P1185" s="105" t="s">
        <v>350</v>
      </c>
      <c r="Q1185" s="494">
        <v>363</v>
      </c>
      <c r="R1185" s="494">
        <v>157</v>
      </c>
      <c r="S1185" s="494">
        <v>2104</v>
      </c>
      <c r="T1185" s="494">
        <v>916</v>
      </c>
      <c r="U1185" s="494">
        <v>204</v>
      </c>
      <c r="V1185" s="493">
        <v>2024</v>
      </c>
      <c r="W1185" s="495"/>
      <c r="X1185" s="496" t="str">
        <f t="shared" si="76"/>
        <v/>
      </c>
      <c r="Y1185" s="497" t="str">
        <f t="shared" si="77"/>
        <v/>
      </c>
      <c r="Z1185" s="497" t="str">
        <f t="shared" si="77"/>
        <v/>
      </c>
    </row>
    <row r="1186" spans="1:26" s="82" customFormat="1" ht="32" x14ac:dyDescent="0.4">
      <c r="A1186" s="493">
        <v>58160</v>
      </c>
      <c r="B1186" s="105" t="s">
        <v>433</v>
      </c>
      <c r="C1186" s="493" t="s">
        <v>330</v>
      </c>
      <c r="D1186" s="105" t="s">
        <v>1331</v>
      </c>
      <c r="E1186" s="105" t="s">
        <v>1332</v>
      </c>
      <c r="F1186" s="493">
        <v>58109</v>
      </c>
      <c r="G1186" s="105" t="s">
        <v>33</v>
      </c>
      <c r="H1186" s="105" t="s">
        <v>342</v>
      </c>
      <c r="I1186" s="105" t="s">
        <v>334</v>
      </c>
      <c r="J1186" s="493">
        <v>611</v>
      </c>
      <c r="K1186" s="493">
        <v>5</v>
      </c>
      <c r="L1186" s="105" t="s">
        <v>771</v>
      </c>
      <c r="M1186" s="105" t="s">
        <v>360</v>
      </c>
      <c r="N1186" s="105" t="s">
        <v>226</v>
      </c>
      <c r="O1186" s="105" t="s">
        <v>226</v>
      </c>
      <c r="P1186" s="105" t="s">
        <v>350</v>
      </c>
      <c r="Q1186" s="494">
        <v>0</v>
      </c>
      <c r="R1186" s="494">
        <v>0</v>
      </c>
      <c r="S1186" s="494">
        <v>0</v>
      </c>
      <c r="T1186" s="494">
        <v>0</v>
      </c>
      <c r="U1186" s="494">
        <v>0</v>
      </c>
      <c r="V1186" s="493">
        <v>2024</v>
      </c>
      <c r="W1186" s="495"/>
      <c r="X1186" s="496" t="str">
        <f t="shared" si="76"/>
        <v/>
      </c>
      <c r="Y1186" s="497" t="str">
        <f t="shared" si="77"/>
        <v/>
      </c>
      <c r="Z1186" s="497" t="str">
        <f t="shared" si="77"/>
        <v/>
      </c>
    </row>
    <row r="1187" spans="1:26" s="82" customFormat="1" ht="32" x14ac:dyDescent="0.4">
      <c r="A1187" s="493">
        <v>58160</v>
      </c>
      <c r="B1187" s="105" t="s">
        <v>433</v>
      </c>
      <c r="C1187" s="493" t="s">
        <v>330</v>
      </c>
      <c r="D1187" s="105" t="s">
        <v>1331</v>
      </c>
      <c r="E1187" s="105" t="s">
        <v>1332</v>
      </c>
      <c r="F1187" s="493">
        <v>58109</v>
      </c>
      <c r="G1187" s="105" t="s">
        <v>33</v>
      </c>
      <c r="H1187" s="105" t="s">
        <v>342</v>
      </c>
      <c r="I1187" s="105" t="s">
        <v>334</v>
      </c>
      <c r="J1187" s="493">
        <v>611</v>
      </c>
      <c r="K1187" s="493">
        <v>5</v>
      </c>
      <c r="L1187" s="105" t="s">
        <v>771</v>
      </c>
      <c r="M1187" s="105" t="s">
        <v>360</v>
      </c>
      <c r="N1187" s="105" t="s">
        <v>228</v>
      </c>
      <c r="O1187" s="105" t="s">
        <v>228</v>
      </c>
      <c r="P1187" s="105" t="s">
        <v>356</v>
      </c>
      <c r="Q1187" s="494">
        <v>50640</v>
      </c>
      <c r="R1187" s="494">
        <v>5637</v>
      </c>
      <c r="S1187" s="494">
        <v>52161</v>
      </c>
      <c r="T1187" s="494">
        <v>5806</v>
      </c>
      <c r="U1187" s="494">
        <v>1070</v>
      </c>
      <c r="V1187" s="493">
        <v>2024</v>
      </c>
      <c r="W1187" s="495"/>
      <c r="X1187" s="496" t="str">
        <f t="shared" si="76"/>
        <v/>
      </c>
      <c r="Y1187" s="497" t="str">
        <f t="shared" si="77"/>
        <v/>
      </c>
      <c r="Z1187" s="497" t="str">
        <f t="shared" si="77"/>
        <v/>
      </c>
    </row>
    <row r="1188" spans="1:26" s="82" customFormat="1" ht="32" x14ac:dyDescent="0.4">
      <c r="A1188" s="493">
        <v>58160</v>
      </c>
      <c r="B1188" s="105" t="s">
        <v>433</v>
      </c>
      <c r="C1188" s="493" t="s">
        <v>330</v>
      </c>
      <c r="D1188" s="105" t="s">
        <v>1331</v>
      </c>
      <c r="E1188" s="105" t="s">
        <v>1332</v>
      </c>
      <c r="F1188" s="493">
        <v>58109</v>
      </c>
      <c r="G1188" s="105" t="s">
        <v>33</v>
      </c>
      <c r="H1188" s="105" t="s">
        <v>342</v>
      </c>
      <c r="I1188" s="105" t="s">
        <v>334</v>
      </c>
      <c r="J1188" s="493">
        <v>611</v>
      </c>
      <c r="K1188" s="493">
        <v>5</v>
      </c>
      <c r="L1188" s="105" t="s">
        <v>771</v>
      </c>
      <c r="M1188" s="105" t="s">
        <v>360</v>
      </c>
      <c r="N1188" s="105" t="s">
        <v>238</v>
      </c>
      <c r="O1188" s="105" t="s">
        <v>238</v>
      </c>
      <c r="P1188" s="105" t="s">
        <v>350</v>
      </c>
      <c r="Q1188" s="494">
        <v>0</v>
      </c>
      <c r="R1188" s="494">
        <v>0</v>
      </c>
      <c r="S1188" s="494">
        <v>0</v>
      </c>
      <c r="T1188" s="494">
        <v>0</v>
      </c>
      <c r="U1188" s="494">
        <v>0</v>
      </c>
      <c r="V1188" s="493">
        <v>2024</v>
      </c>
      <c r="W1188" s="495"/>
      <c r="X1188" s="496" t="str">
        <f t="shared" si="76"/>
        <v/>
      </c>
      <c r="Y1188" s="497" t="str">
        <f t="shared" ref="Y1188:Z1207" si="78">IF(AND($M1188=$Y$2,$N1188=$Y$3,NOT($Q1188=$R1188),NOT($U1188=0)),IF($K1188=5,$S1188/($U1188+(8/5)*$U1188),IF($K1188=7,$S1188/($U1188+(29/25)*$U1188),"")),"")</f>
        <v/>
      </c>
      <c r="Z1188" s="497" t="str">
        <f t="shared" si="78"/>
        <v/>
      </c>
    </row>
    <row r="1189" spans="1:26" s="82" customFormat="1" ht="32" x14ac:dyDescent="0.4">
      <c r="A1189" s="493">
        <v>58166</v>
      </c>
      <c r="B1189" s="105" t="s">
        <v>433</v>
      </c>
      <c r="C1189" s="493" t="s">
        <v>330</v>
      </c>
      <c r="D1189" s="105" t="s">
        <v>1333</v>
      </c>
      <c r="E1189" s="105" t="s">
        <v>1334</v>
      </c>
      <c r="F1189" s="493">
        <v>58138</v>
      </c>
      <c r="G1189" s="105" t="s">
        <v>33</v>
      </c>
      <c r="H1189" s="105" t="s">
        <v>342</v>
      </c>
      <c r="I1189" s="105" t="s">
        <v>334</v>
      </c>
      <c r="J1189" s="493">
        <v>611</v>
      </c>
      <c r="K1189" s="493">
        <v>5</v>
      </c>
      <c r="L1189" s="105" t="s">
        <v>771</v>
      </c>
      <c r="M1189" s="105" t="s">
        <v>295</v>
      </c>
      <c r="N1189" s="105" t="s">
        <v>226</v>
      </c>
      <c r="O1189" s="105" t="s">
        <v>226</v>
      </c>
      <c r="P1189" s="105" t="s">
        <v>350</v>
      </c>
      <c r="Q1189" s="494">
        <v>0</v>
      </c>
      <c r="R1189" s="494">
        <v>0</v>
      </c>
      <c r="S1189" s="494">
        <v>0</v>
      </c>
      <c r="T1189" s="494">
        <v>0</v>
      </c>
      <c r="U1189" s="494">
        <v>0</v>
      </c>
      <c r="V1189" s="493">
        <v>2024</v>
      </c>
      <c r="W1189" s="495"/>
      <c r="X1189" s="496" t="str">
        <f t="shared" si="76"/>
        <v/>
      </c>
      <c r="Y1189" s="497" t="str">
        <f t="shared" si="78"/>
        <v/>
      </c>
      <c r="Z1189" s="497" t="str">
        <f t="shared" si="78"/>
        <v/>
      </c>
    </row>
    <row r="1190" spans="1:26" s="82" customFormat="1" ht="32" x14ac:dyDescent="0.4">
      <c r="A1190" s="493">
        <v>58166</v>
      </c>
      <c r="B1190" s="105" t="s">
        <v>433</v>
      </c>
      <c r="C1190" s="493" t="s">
        <v>330</v>
      </c>
      <c r="D1190" s="105" t="s">
        <v>1333</v>
      </c>
      <c r="E1190" s="105" t="s">
        <v>1334</v>
      </c>
      <c r="F1190" s="493">
        <v>58138</v>
      </c>
      <c r="G1190" s="105" t="s">
        <v>33</v>
      </c>
      <c r="H1190" s="105" t="s">
        <v>342</v>
      </c>
      <c r="I1190" s="105" t="s">
        <v>334</v>
      </c>
      <c r="J1190" s="493">
        <v>611</v>
      </c>
      <c r="K1190" s="493">
        <v>5</v>
      </c>
      <c r="L1190" s="105" t="s">
        <v>771</v>
      </c>
      <c r="M1190" s="105" t="s">
        <v>295</v>
      </c>
      <c r="N1190" s="105" t="s">
        <v>228</v>
      </c>
      <c r="O1190" s="105" t="s">
        <v>228</v>
      </c>
      <c r="P1190" s="105" t="s">
        <v>356</v>
      </c>
      <c r="Q1190" s="494">
        <v>277466</v>
      </c>
      <c r="R1190" s="494">
        <v>71902</v>
      </c>
      <c r="S1190" s="494">
        <v>221973</v>
      </c>
      <c r="T1190" s="494">
        <v>57521</v>
      </c>
      <c r="U1190" s="494">
        <v>14161</v>
      </c>
      <c r="V1190" s="493">
        <v>2024</v>
      </c>
      <c r="W1190" s="495"/>
      <c r="X1190" s="496" t="str">
        <f t="shared" si="76"/>
        <v/>
      </c>
      <c r="Y1190" s="497">
        <f t="shared" si="78"/>
        <v>6.0288278207210473</v>
      </c>
      <c r="Z1190" s="497">
        <f t="shared" si="78"/>
        <v>6.0288278207210473</v>
      </c>
    </row>
    <row r="1191" spans="1:26" s="82" customFormat="1" ht="32" x14ac:dyDescent="0.4">
      <c r="A1191" s="493">
        <v>58167</v>
      </c>
      <c r="B1191" s="105" t="s">
        <v>433</v>
      </c>
      <c r="C1191" s="493" t="s">
        <v>330</v>
      </c>
      <c r="D1191" s="105" t="s">
        <v>1335</v>
      </c>
      <c r="E1191" s="105" t="s">
        <v>1335</v>
      </c>
      <c r="F1191" s="493">
        <v>58136</v>
      </c>
      <c r="G1191" s="105" t="s">
        <v>52</v>
      </c>
      <c r="H1191" s="105" t="s">
        <v>333</v>
      </c>
      <c r="I1191" s="105" t="s">
        <v>334</v>
      </c>
      <c r="J1191" s="493">
        <v>611</v>
      </c>
      <c r="K1191" s="493">
        <v>5</v>
      </c>
      <c r="L1191" s="105" t="s">
        <v>771</v>
      </c>
      <c r="M1191" s="105" t="s">
        <v>359</v>
      </c>
      <c r="N1191" s="105" t="s">
        <v>226</v>
      </c>
      <c r="O1191" s="105" t="s">
        <v>226</v>
      </c>
      <c r="P1191" s="105" t="s">
        <v>350</v>
      </c>
      <c r="Q1191" s="494">
        <v>468</v>
      </c>
      <c r="R1191" s="494">
        <v>346</v>
      </c>
      <c r="S1191" s="494">
        <v>2720</v>
      </c>
      <c r="T1191" s="494">
        <v>2012</v>
      </c>
      <c r="U1191" s="494">
        <v>0</v>
      </c>
      <c r="V1191" s="493">
        <v>2024</v>
      </c>
      <c r="W1191" s="495"/>
      <c r="X1191" s="496" t="str">
        <f t="shared" si="76"/>
        <v/>
      </c>
      <c r="Y1191" s="497" t="str">
        <f t="shared" si="78"/>
        <v/>
      </c>
      <c r="Z1191" s="497" t="str">
        <f t="shared" si="78"/>
        <v/>
      </c>
    </row>
    <row r="1192" spans="1:26" s="82" customFormat="1" ht="32" x14ac:dyDescent="0.4">
      <c r="A1192" s="493">
        <v>58167</v>
      </c>
      <c r="B1192" s="105" t="s">
        <v>433</v>
      </c>
      <c r="C1192" s="493" t="s">
        <v>330</v>
      </c>
      <c r="D1192" s="105" t="s">
        <v>1335</v>
      </c>
      <c r="E1192" s="105" t="s">
        <v>1335</v>
      </c>
      <c r="F1192" s="493">
        <v>58136</v>
      </c>
      <c r="G1192" s="105" t="s">
        <v>52</v>
      </c>
      <c r="H1192" s="105" t="s">
        <v>333</v>
      </c>
      <c r="I1192" s="105" t="s">
        <v>334</v>
      </c>
      <c r="J1192" s="493">
        <v>611</v>
      </c>
      <c r="K1192" s="493">
        <v>5</v>
      </c>
      <c r="L1192" s="105" t="s">
        <v>771</v>
      </c>
      <c r="M1192" s="105" t="s">
        <v>359</v>
      </c>
      <c r="N1192" s="105" t="s">
        <v>228</v>
      </c>
      <c r="O1192" s="105" t="s">
        <v>228</v>
      </c>
      <c r="P1192" s="105" t="s">
        <v>356</v>
      </c>
      <c r="Q1192" s="494">
        <v>5883</v>
      </c>
      <c r="R1192" s="494">
        <v>4354</v>
      </c>
      <c r="S1192" s="494">
        <v>6094</v>
      </c>
      <c r="T1192" s="494">
        <v>4510</v>
      </c>
      <c r="U1192" s="494">
        <v>0</v>
      </c>
      <c r="V1192" s="493">
        <v>2024</v>
      </c>
      <c r="W1192" s="495"/>
      <c r="X1192" s="496" t="str">
        <f t="shared" si="76"/>
        <v/>
      </c>
      <c r="Y1192" s="497" t="str">
        <f t="shared" si="78"/>
        <v/>
      </c>
      <c r="Z1192" s="497" t="str">
        <f t="shared" si="78"/>
        <v/>
      </c>
    </row>
    <row r="1193" spans="1:26" s="82" customFormat="1" ht="32" x14ac:dyDescent="0.4">
      <c r="A1193" s="493">
        <v>58174</v>
      </c>
      <c r="B1193" s="105" t="s">
        <v>329</v>
      </c>
      <c r="C1193" s="493" t="s">
        <v>330</v>
      </c>
      <c r="D1193" s="105" t="s">
        <v>1336</v>
      </c>
      <c r="E1193" s="105" t="s">
        <v>1295</v>
      </c>
      <c r="F1193" s="493">
        <v>57365</v>
      </c>
      <c r="G1193" s="105" t="s">
        <v>33</v>
      </c>
      <c r="H1193" s="105" t="s">
        <v>342</v>
      </c>
      <c r="I1193" s="105" t="s">
        <v>334</v>
      </c>
      <c r="J1193" s="493">
        <v>22</v>
      </c>
      <c r="K1193" s="493">
        <v>2</v>
      </c>
      <c r="L1193" s="105" t="s">
        <v>343</v>
      </c>
      <c r="M1193" s="105" t="s">
        <v>655</v>
      </c>
      <c r="N1193" s="105" t="s">
        <v>656</v>
      </c>
      <c r="O1193" s="105" t="s">
        <v>656</v>
      </c>
      <c r="P1193" s="105" t="s">
        <v>339</v>
      </c>
      <c r="Q1193" s="494">
        <v>0</v>
      </c>
      <c r="R1193" s="494">
        <v>0</v>
      </c>
      <c r="S1193" s="494">
        <v>5317</v>
      </c>
      <c r="T1193" s="494">
        <v>5317</v>
      </c>
      <c r="U1193" s="494">
        <v>1558</v>
      </c>
      <c r="V1193" s="493">
        <v>2024</v>
      </c>
      <c r="W1193" s="495"/>
      <c r="X1193" s="496">
        <f t="shared" si="76"/>
        <v>3.4127086007702183</v>
      </c>
      <c r="Y1193" s="497" t="str">
        <f t="shared" si="78"/>
        <v/>
      </c>
      <c r="Z1193" s="497" t="str">
        <f t="shared" si="78"/>
        <v/>
      </c>
    </row>
    <row r="1194" spans="1:26" s="82" customFormat="1" ht="32" x14ac:dyDescent="0.4">
      <c r="A1194" s="493">
        <v>58180</v>
      </c>
      <c r="B1194" s="105" t="s">
        <v>433</v>
      </c>
      <c r="C1194" s="493" t="s">
        <v>330</v>
      </c>
      <c r="D1194" s="105" t="s">
        <v>1337</v>
      </c>
      <c r="E1194" s="105" t="s">
        <v>1338</v>
      </c>
      <c r="F1194" s="493">
        <v>58099</v>
      </c>
      <c r="G1194" s="105" t="s">
        <v>35</v>
      </c>
      <c r="H1194" s="105" t="s">
        <v>342</v>
      </c>
      <c r="I1194" s="105" t="s">
        <v>334</v>
      </c>
      <c r="J1194" s="493">
        <v>611</v>
      </c>
      <c r="K1194" s="493">
        <v>5</v>
      </c>
      <c r="L1194" s="105" t="s">
        <v>771</v>
      </c>
      <c r="M1194" s="105" t="s">
        <v>295</v>
      </c>
      <c r="N1194" s="105" t="s">
        <v>226</v>
      </c>
      <c r="O1194" s="105" t="s">
        <v>226</v>
      </c>
      <c r="P1194" s="105" t="s">
        <v>350</v>
      </c>
      <c r="Q1194" s="494">
        <v>1737</v>
      </c>
      <c r="R1194" s="494">
        <v>562</v>
      </c>
      <c r="S1194" s="494">
        <v>10139</v>
      </c>
      <c r="T1194" s="494">
        <v>3288</v>
      </c>
      <c r="U1194" s="494">
        <v>762.42499999999995</v>
      </c>
      <c r="V1194" s="493">
        <v>2024</v>
      </c>
      <c r="W1194" s="495"/>
      <c r="X1194" s="496" t="str">
        <f t="shared" si="76"/>
        <v/>
      </c>
      <c r="Y1194" s="497" t="str">
        <f t="shared" si="78"/>
        <v/>
      </c>
      <c r="Z1194" s="497" t="str">
        <f t="shared" si="78"/>
        <v/>
      </c>
    </row>
    <row r="1195" spans="1:26" s="82" customFormat="1" ht="32" x14ac:dyDescent="0.4">
      <c r="A1195" s="493">
        <v>58180</v>
      </c>
      <c r="B1195" s="105" t="s">
        <v>433</v>
      </c>
      <c r="C1195" s="493" t="s">
        <v>330</v>
      </c>
      <c r="D1195" s="105" t="s">
        <v>1337</v>
      </c>
      <c r="E1195" s="105" t="s">
        <v>1338</v>
      </c>
      <c r="F1195" s="493">
        <v>58099</v>
      </c>
      <c r="G1195" s="105" t="s">
        <v>35</v>
      </c>
      <c r="H1195" s="105" t="s">
        <v>342</v>
      </c>
      <c r="I1195" s="105" t="s">
        <v>334</v>
      </c>
      <c r="J1195" s="493">
        <v>611</v>
      </c>
      <c r="K1195" s="493">
        <v>5</v>
      </c>
      <c r="L1195" s="105" t="s">
        <v>771</v>
      </c>
      <c r="M1195" s="105" t="s">
        <v>295</v>
      </c>
      <c r="N1195" s="105" t="s">
        <v>252</v>
      </c>
      <c r="O1195" s="105" t="s">
        <v>688</v>
      </c>
      <c r="P1195" s="105" t="s">
        <v>356</v>
      </c>
      <c r="Q1195" s="494">
        <v>645834</v>
      </c>
      <c r="R1195" s="494">
        <v>211449</v>
      </c>
      <c r="S1195" s="494">
        <v>474925</v>
      </c>
      <c r="T1195" s="494">
        <v>155462</v>
      </c>
      <c r="U1195" s="494">
        <v>36498.074999999997</v>
      </c>
      <c r="V1195" s="493">
        <v>2024</v>
      </c>
      <c r="W1195" s="495"/>
      <c r="X1195" s="496" t="str">
        <f t="shared" si="76"/>
        <v/>
      </c>
      <c r="Y1195" s="497" t="str">
        <f t="shared" si="78"/>
        <v/>
      </c>
      <c r="Z1195" s="497" t="str">
        <f t="shared" si="78"/>
        <v/>
      </c>
    </row>
    <row r="1196" spans="1:26" s="82" customFormat="1" ht="32" x14ac:dyDescent="0.4">
      <c r="A1196" s="493">
        <v>58180</v>
      </c>
      <c r="B1196" s="105" t="s">
        <v>433</v>
      </c>
      <c r="C1196" s="493" t="s">
        <v>330</v>
      </c>
      <c r="D1196" s="105" t="s">
        <v>1337</v>
      </c>
      <c r="E1196" s="105" t="s">
        <v>1338</v>
      </c>
      <c r="F1196" s="493">
        <v>58099</v>
      </c>
      <c r="G1196" s="105" t="s">
        <v>35</v>
      </c>
      <c r="H1196" s="105" t="s">
        <v>342</v>
      </c>
      <c r="I1196" s="105" t="s">
        <v>334</v>
      </c>
      <c r="J1196" s="493">
        <v>611</v>
      </c>
      <c r="K1196" s="493">
        <v>5</v>
      </c>
      <c r="L1196" s="105" t="s">
        <v>771</v>
      </c>
      <c r="M1196" s="105" t="s">
        <v>295</v>
      </c>
      <c r="N1196" s="105" t="s">
        <v>228</v>
      </c>
      <c r="O1196" s="105" t="s">
        <v>228</v>
      </c>
      <c r="P1196" s="105" t="s">
        <v>356</v>
      </c>
      <c r="Q1196" s="494">
        <v>166294</v>
      </c>
      <c r="R1196" s="494">
        <v>53976</v>
      </c>
      <c r="S1196" s="494">
        <v>166294</v>
      </c>
      <c r="T1196" s="494">
        <v>53976</v>
      </c>
      <c r="U1196" s="494">
        <v>12670.5</v>
      </c>
      <c r="V1196" s="493">
        <v>2024</v>
      </c>
      <c r="W1196" s="495"/>
      <c r="X1196" s="496" t="str">
        <f t="shared" si="76"/>
        <v/>
      </c>
      <c r="Y1196" s="497">
        <f t="shared" si="78"/>
        <v>5.0478853059650968</v>
      </c>
      <c r="Z1196" s="497">
        <f t="shared" si="78"/>
        <v>5.0478853059650968</v>
      </c>
    </row>
    <row r="1197" spans="1:26" s="82" customFormat="1" ht="32" x14ac:dyDescent="0.4">
      <c r="A1197" s="493">
        <v>58184</v>
      </c>
      <c r="B1197" s="105" t="s">
        <v>433</v>
      </c>
      <c r="C1197" s="493" t="s">
        <v>330</v>
      </c>
      <c r="D1197" s="105" t="s">
        <v>1339</v>
      </c>
      <c r="E1197" s="105" t="s">
        <v>1340</v>
      </c>
      <c r="F1197" s="493">
        <v>58156</v>
      </c>
      <c r="G1197" s="105" t="s">
        <v>37</v>
      </c>
      <c r="H1197" s="105" t="s">
        <v>342</v>
      </c>
      <c r="I1197" s="105" t="s">
        <v>334</v>
      </c>
      <c r="J1197" s="493">
        <v>32213</v>
      </c>
      <c r="K1197" s="493">
        <v>7</v>
      </c>
      <c r="L1197" s="105" t="s">
        <v>727</v>
      </c>
      <c r="M1197" s="105" t="s">
        <v>295</v>
      </c>
      <c r="N1197" s="105" t="s">
        <v>226</v>
      </c>
      <c r="O1197" s="105" t="s">
        <v>226</v>
      </c>
      <c r="P1197" s="105" t="s">
        <v>350</v>
      </c>
      <c r="Q1197" s="494">
        <v>0</v>
      </c>
      <c r="R1197" s="494">
        <v>0</v>
      </c>
      <c r="S1197" s="494">
        <v>0</v>
      </c>
      <c r="T1197" s="494">
        <v>0</v>
      </c>
      <c r="U1197" s="494">
        <v>0</v>
      </c>
      <c r="V1197" s="493">
        <v>2024</v>
      </c>
      <c r="W1197" s="495"/>
      <c r="X1197" s="496" t="str">
        <f t="shared" si="76"/>
        <v/>
      </c>
      <c r="Y1197" s="497" t="str">
        <f t="shared" si="78"/>
        <v/>
      </c>
      <c r="Z1197" s="497" t="str">
        <f t="shared" si="78"/>
        <v/>
      </c>
    </row>
    <row r="1198" spans="1:26" s="82" customFormat="1" ht="32" x14ac:dyDescent="0.4">
      <c r="A1198" s="493">
        <v>58184</v>
      </c>
      <c r="B1198" s="105" t="s">
        <v>433</v>
      </c>
      <c r="C1198" s="493" t="s">
        <v>330</v>
      </c>
      <c r="D1198" s="105" t="s">
        <v>1339</v>
      </c>
      <c r="E1198" s="105" t="s">
        <v>1340</v>
      </c>
      <c r="F1198" s="493">
        <v>58156</v>
      </c>
      <c r="G1198" s="105" t="s">
        <v>37</v>
      </c>
      <c r="H1198" s="105" t="s">
        <v>342</v>
      </c>
      <c r="I1198" s="105" t="s">
        <v>334</v>
      </c>
      <c r="J1198" s="493">
        <v>32213</v>
      </c>
      <c r="K1198" s="493">
        <v>7</v>
      </c>
      <c r="L1198" s="105" t="s">
        <v>727</v>
      </c>
      <c r="M1198" s="105" t="s">
        <v>295</v>
      </c>
      <c r="N1198" s="105" t="s">
        <v>228</v>
      </c>
      <c r="O1198" s="105" t="s">
        <v>228</v>
      </c>
      <c r="P1198" s="105" t="s">
        <v>356</v>
      </c>
      <c r="Q1198" s="494">
        <v>1746361</v>
      </c>
      <c r="R1198" s="494">
        <v>560210</v>
      </c>
      <c r="S1198" s="494">
        <v>1746361</v>
      </c>
      <c r="T1198" s="494">
        <v>560210</v>
      </c>
      <c r="U1198" s="494">
        <v>133276</v>
      </c>
      <c r="V1198" s="493">
        <v>2024</v>
      </c>
      <c r="W1198" s="495"/>
      <c r="X1198" s="496" t="str">
        <f t="shared" si="76"/>
        <v/>
      </c>
      <c r="Y1198" s="497">
        <f t="shared" si="78"/>
        <v>6.066362007885612</v>
      </c>
      <c r="Z1198" s="497">
        <f t="shared" si="78"/>
        <v>6.066362007885612</v>
      </c>
    </row>
    <row r="1199" spans="1:26" s="82" customFormat="1" ht="32" x14ac:dyDescent="0.4">
      <c r="A1199" s="493">
        <v>58185</v>
      </c>
      <c r="B1199" s="105" t="s">
        <v>433</v>
      </c>
      <c r="C1199" s="493" t="s">
        <v>330</v>
      </c>
      <c r="D1199" s="105" t="s">
        <v>1341</v>
      </c>
      <c r="E1199" s="105" t="s">
        <v>1342</v>
      </c>
      <c r="F1199" s="493">
        <v>58152</v>
      </c>
      <c r="G1199" s="105" t="s">
        <v>33</v>
      </c>
      <c r="H1199" s="105" t="s">
        <v>342</v>
      </c>
      <c r="I1199" s="105" t="s">
        <v>334</v>
      </c>
      <c r="J1199" s="493">
        <v>611</v>
      </c>
      <c r="K1199" s="493">
        <v>5</v>
      </c>
      <c r="L1199" s="105" t="s">
        <v>771</v>
      </c>
      <c r="M1199" s="105" t="s">
        <v>295</v>
      </c>
      <c r="N1199" s="105" t="s">
        <v>226</v>
      </c>
      <c r="O1199" s="105" t="s">
        <v>226</v>
      </c>
      <c r="P1199" s="105" t="s">
        <v>350</v>
      </c>
      <c r="Q1199" s="494">
        <v>0</v>
      </c>
      <c r="R1199" s="494">
        <v>0</v>
      </c>
      <c r="S1199" s="494">
        <v>0</v>
      </c>
      <c r="T1199" s="494">
        <v>0</v>
      </c>
      <c r="U1199" s="494">
        <v>0</v>
      </c>
      <c r="V1199" s="493">
        <v>2024</v>
      </c>
      <c r="W1199" s="495"/>
      <c r="X1199" s="496" t="str">
        <f t="shared" si="76"/>
        <v/>
      </c>
      <c r="Y1199" s="497" t="str">
        <f t="shared" si="78"/>
        <v/>
      </c>
      <c r="Z1199" s="497" t="str">
        <f t="shared" si="78"/>
        <v/>
      </c>
    </row>
    <row r="1200" spans="1:26" s="82" customFormat="1" ht="32" x14ac:dyDescent="0.4">
      <c r="A1200" s="493">
        <v>58185</v>
      </c>
      <c r="B1200" s="105" t="s">
        <v>433</v>
      </c>
      <c r="C1200" s="493" t="s">
        <v>330</v>
      </c>
      <c r="D1200" s="105" t="s">
        <v>1341</v>
      </c>
      <c r="E1200" s="105" t="s">
        <v>1342</v>
      </c>
      <c r="F1200" s="493">
        <v>58152</v>
      </c>
      <c r="G1200" s="105" t="s">
        <v>33</v>
      </c>
      <c r="H1200" s="105" t="s">
        <v>342</v>
      </c>
      <c r="I1200" s="105" t="s">
        <v>334</v>
      </c>
      <c r="J1200" s="493">
        <v>611</v>
      </c>
      <c r="K1200" s="493">
        <v>5</v>
      </c>
      <c r="L1200" s="105" t="s">
        <v>771</v>
      </c>
      <c r="M1200" s="105" t="s">
        <v>295</v>
      </c>
      <c r="N1200" s="105" t="s">
        <v>228</v>
      </c>
      <c r="O1200" s="105" t="s">
        <v>228</v>
      </c>
      <c r="P1200" s="105" t="s">
        <v>356</v>
      </c>
      <c r="Q1200" s="494">
        <v>106974</v>
      </c>
      <c r="R1200" s="494">
        <v>28207</v>
      </c>
      <c r="S1200" s="494">
        <v>106974</v>
      </c>
      <c r="T1200" s="494">
        <v>28207</v>
      </c>
      <c r="U1200" s="494">
        <v>6944</v>
      </c>
      <c r="V1200" s="493">
        <v>2024</v>
      </c>
      <c r="W1200" s="495"/>
      <c r="X1200" s="496" t="str">
        <f t="shared" si="76"/>
        <v/>
      </c>
      <c r="Y1200" s="497">
        <f t="shared" si="78"/>
        <v>5.9250930521091805</v>
      </c>
      <c r="Z1200" s="497">
        <f t="shared" si="78"/>
        <v>5.9250930521091805</v>
      </c>
    </row>
    <row r="1201" spans="1:26" s="82" customFormat="1" ht="32" x14ac:dyDescent="0.4">
      <c r="A1201" s="493">
        <v>58185</v>
      </c>
      <c r="B1201" s="105" t="s">
        <v>433</v>
      </c>
      <c r="C1201" s="493" t="s">
        <v>330</v>
      </c>
      <c r="D1201" s="105" t="s">
        <v>1341</v>
      </c>
      <c r="E1201" s="105" t="s">
        <v>1342</v>
      </c>
      <c r="F1201" s="493">
        <v>58152</v>
      </c>
      <c r="G1201" s="105" t="s">
        <v>33</v>
      </c>
      <c r="H1201" s="105" t="s">
        <v>342</v>
      </c>
      <c r="I1201" s="105" t="s">
        <v>334</v>
      </c>
      <c r="J1201" s="493">
        <v>611</v>
      </c>
      <c r="K1201" s="493">
        <v>5</v>
      </c>
      <c r="L1201" s="105" t="s">
        <v>771</v>
      </c>
      <c r="M1201" s="105" t="s">
        <v>360</v>
      </c>
      <c r="N1201" s="105" t="s">
        <v>228</v>
      </c>
      <c r="O1201" s="105" t="s">
        <v>228</v>
      </c>
      <c r="P1201" s="105" t="s">
        <v>356</v>
      </c>
      <c r="Q1201" s="494">
        <v>0</v>
      </c>
      <c r="R1201" s="494">
        <v>0</v>
      </c>
      <c r="S1201" s="494">
        <v>0</v>
      </c>
      <c r="T1201" s="494">
        <v>0</v>
      </c>
      <c r="U1201" s="494">
        <v>0</v>
      </c>
      <c r="V1201" s="493">
        <v>2024</v>
      </c>
      <c r="W1201" s="495"/>
      <c r="X1201" s="496" t="str">
        <f t="shared" si="76"/>
        <v/>
      </c>
      <c r="Y1201" s="497" t="str">
        <f t="shared" si="78"/>
        <v/>
      </c>
      <c r="Z1201" s="497" t="str">
        <f t="shared" si="78"/>
        <v/>
      </c>
    </row>
    <row r="1202" spans="1:26" s="82" customFormat="1" ht="32" x14ac:dyDescent="0.4">
      <c r="A1202" s="493">
        <v>58185</v>
      </c>
      <c r="B1202" s="105" t="s">
        <v>433</v>
      </c>
      <c r="C1202" s="493" t="s">
        <v>330</v>
      </c>
      <c r="D1202" s="105" t="s">
        <v>1341</v>
      </c>
      <c r="E1202" s="105" t="s">
        <v>1342</v>
      </c>
      <c r="F1202" s="493">
        <v>58152</v>
      </c>
      <c r="G1202" s="105" t="s">
        <v>33</v>
      </c>
      <c r="H1202" s="105" t="s">
        <v>342</v>
      </c>
      <c r="I1202" s="105" t="s">
        <v>334</v>
      </c>
      <c r="J1202" s="493">
        <v>611</v>
      </c>
      <c r="K1202" s="493">
        <v>5</v>
      </c>
      <c r="L1202" s="105" t="s">
        <v>771</v>
      </c>
      <c r="M1202" s="105" t="s">
        <v>360</v>
      </c>
      <c r="N1202" s="105" t="s">
        <v>238</v>
      </c>
      <c r="O1202" s="105" t="s">
        <v>238</v>
      </c>
      <c r="P1202" s="105" t="s">
        <v>350</v>
      </c>
      <c r="Q1202" s="494">
        <v>0</v>
      </c>
      <c r="R1202" s="494">
        <v>0</v>
      </c>
      <c r="S1202" s="494">
        <v>0</v>
      </c>
      <c r="T1202" s="494">
        <v>0</v>
      </c>
      <c r="U1202" s="494">
        <v>0</v>
      </c>
      <c r="V1202" s="493">
        <v>2024</v>
      </c>
      <c r="W1202" s="495"/>
      <c r="X1202" s="496" t="str">
        <f t="shared" si="76"/>
        <v/>
      </c>
      <c r="Y1202" s="497" t="str">
        <f t="shared" si="78"/>
        <v/>
      </c>
      <c r="Z1202" s="497" t="str">
        <f t="shared" si="78"/>
        <v/>
      </c>
    </row>
    <row r="1203" spans="1:26" s="82" customFormat="1" ht="32" x14ac:dyDescent="0.4">
      <c r="A1203" s="493">
        <v>58186</v>
      </c>
      <c r="B1203" s="105" t="s">
        <v>433</v>
      </c>
      <c r="C1203" s="493" t="s">
        <v>330</v>
      </c>
      <c r="D1203" s="105" t="s">
        <v>1343</v>
      </c>
      <c r="E1203" s="105" t="s">
        <v>1344</v>
      </c>
      <c r="F1203" s="493">
        <v>58154</v>
      </c>
      <c r="G1203" s="105" t="s">
        <v>52</v>
      </c>
      <c r="H1203" s="105" t="s">
        <v>333</v>
      </c>
      <c r="I1203" s="105" t="s">
        <v>334</v>
      </c>
      <c r="J1203" s="493">
        <v>611</v>
      </c>
      <c r="K1203" s="493">
        <v>5</v>
      </c>
      <c r="L1203" s="105" t="s">
        <v>771</v>
      </c>
      <c r="M1203" s="105" t="s">
        <v>359</v>
      </c>
      <c r="N1203" s="105" t="s">
        <v>226</v>
      </c>
      <c r="O1203" s="105" t="s">
        <v>226</v>
      </c>
      <c r="P1203" s="105" t="s">
        <v>350</v>
      </c>
      <c r="Q1203" s="494">
        <v>164</v>
      </c>
      <c r="R1203" s="494">
        <v>164</v>
      </c>
      <c r="S1203" s="494">
        <v>969</v>
      </c>
      <c r="T1203" s="494">
        <v>968</v>
      </c>
      <c r="U1203" s="494">
        <v>93.013999999999996</v>
      </c>
      <c r="V1203" s="493">
        <v>2024</v>
      </c>
      <c r="W1203" s="495"/>
      <c r="X1203" s="496" t="str">
        <f t="shared" si="76"/>
        <v/>
      </c>
      <c r="Y1203" s="497" t="str">
        <f t="shared" si="78"/>
        <v/>
      </c>
      <c r="Z1203" s="497" t="str">
        <f t="shared" si="78"/>
        <v/>
      </c>
    </row>
    <row r="1204" spans="1:26" s="82" customFormat="1" ht="32" x14ac:dyDescent="0.4">
      <c r="A1204" s="493">
        <v>58186</v>
      </c>
      <c r="B1204" s="105" t="s">
        <v>433</v>
      </c>
      <c r="C1204" s="493" t="s">
        <v>330</v>
      </c>
      <c r="D1204" s="105" t="s">
        <v>1343</v>
      </c>
      <c r="E1204" s="105" t="s">
        <v>1344</v>
      </c>
      <c r="F1204" s="493">
        <v>58154</v>
      </c>
      <c r="G1204" s="105" t="s">
        <v>52</v>
      </c>
      <c r="H1204" s="105" t="s">
        <v>333</v>
      </c>
      <c r="I1204" s="105" t="s">
        <v>334</v>
      </c>
      <c r="J1204" s="493">
        <v>611</v>
      </c>
      <c r="K1204" s="493">
        <v>5</v>
      </c>
      <c r="L1204" s="105" t="s">
        <v>771</v>
      </c>
      <c r="M1204" s="105" t="s">
        <v>359</v>
      </c>
      <c r="N1204" s="105" t="s">
        <v>252</v>
      </c>
      <c r="O1204" s="105" t="s">
        <v>688</v>
      </c>
      <c r="P1204" s="105" t="s">
        <v>356</v>
      </c>
      <c r="Q1204" s="494">
        <v>0</v>
      </c>
      <c r="R1204" s="494">
        <v>0</v>
      </c>
      <c r="S1204" s="494">
        <v>0</v>
      </c>
      <c r="T1204" s="494">
        <v>0</v>
      </c>
      <c r="U1204" s="494">
        <v>0</v>
      </c>
      <c r="V1204" s="493">
        <v>2024</v>
      </c>
      <c r="W1204" s="495"/>
      <c r="X1204" s="496" t="str">
        <f t="shared" si="76"/>
        <v/>
      </c>
      <c r="Y1204" s="497" t="str">
        <f t="shared" si="78"/>
        <v/>
      </c>
      <c r="Z1204" s="497" t="str">
        <f t="shared" si="78"/>
        <v/>
      </c>
    </row>
    <row r="1205" spans="1:26" s="82" customFormat="1" ht="32" x14ac:dyDescent="0.4">
      <c r="A1205" s="493">
        <v>58186</v>
      </c>
      <c r="B1205" s="105" t="s">
        <v>433</v>
      </c>
      <c r="C1205" s="493" t="s">
        <v>330</v>
      </c>
      <c r="D1205" s="105" t="s">
        <v>1343</v>
      </c>
      <c r="E1205" s="105" t="s">
        <v>1344</v>
      </c>
      <c r="F1205" s="493">
        <v>58154</v>
      </c>
      <c r="G1205" s="105" t="s">
        <v>52</v>
      </c>
      <c r="H1205" s="105" t="s">
        <v>333</v>
      </c>
      <c r="I1205" s="105" t="s">
        <v>334</v>
      </c>
      <c r="J1205" s="493">
        <v>611</v>
      </c>
      <c r="K1205" s="493">
        <v>5</v>
      </c>
      <c r="L1205" s="105" t="s">
        <v>771</v>
      </c>
      <c r="M1205" s="105" t="s">
        <v>359</v>
      </c>
      <c r="N1205" s="105" t="s">
        <v>228</v>
      </c>
      <c r="O1205" s="105" t="s">
        <v>228</v>
      </c>
      <c r="P1205" s="105" t="s">
        <v>356</v>
      </c>
      <c r="Q1205" s="494">
        <v>158954</v>
      </c>
      <c r="R1205" s="494">
        <v>158954</v>
      </c>
      <c r="S1205" s="494">
        <v>143059</v>
      </c>
      <c r="T1205" s="494">
        <v>143059</v>
      </c>
      <c r="U1205" s="494">
        <v>13751.986000000001</v>
      </c>
      <c r="V1205" s="493">
        <v>2024</v>
      </c>
      <c r="W1205" s="495"/>
      <c r="X1205" s="496" t="str">
        <f t="shared" si="76"/>
        <v/>
      </c>
      <c r="Y1205" s="497" t="str">
        <f t="shared" si="78"/>
        <v/>
      </c>
      <c r="Z1205" s="497" t="str">
        <f t="shared" si="78"/>
        <v/>
      </c>
    </row>
    <row r="1206" spans="1:26" s="82" customFormat="1" ht="32" x14ac:dyDescent="0.4">
      <c r="A1206" s="493">
        <v>58201</v>
      </c>
      <c r="B1206" s="105" t="s">
        <v>433</v>
      </c>
      <c r="C1206" s="493" t="s">
        <v>330</v>
      </c>
      <c r="D1206" s="105" t="s">
        <v>1345</v>
      </c>
      <c r="E1206" s="105" t="s">
        <v>1346</v>
      </c>
      <c r="F1206" s="493">
        <v>60791</v>
      </c>
      <c r="G1206" s="105" t="s">
        <v>52</v>
      </c>
      <c r="H1206" s="105" t="s">
        <v>333</v>
      </c>
      <c r="I1206" s="105" t="s">
        <v>334</v>
      </c>
      <c r="J1206" s="493">
        <v>611</v>
      </c>
      <c r="K1206" s="493">
        <v>5</v>
      </c>
      <c r="L1206" s="105" t="s">
        <v>771</v>
      </c>
      <c r="M1206" s="105" t="s">
        <v>359</v>
      </c>
      <c r="N1206" s="105" t="s">
        <v>228</v>
      </c>
      <c r="O1206" s="105" t="s">
        <v>228</v>
      </c>
      <c r="P1206" s="105" t="s">
        <v>356</v>
      </c>
      <c r="Q1206" s="494">
        <v>0</v>
      </c>
      <c r="R1206" s="494">
        <v>0</v>
      </c>
      <c r="S1206" s="494">
        <v>0</v>
      </c>
      <c r="T1206" s="494">
        <v>0</v>
      </c>
      <c r="U1206" s="494">
        <v>0</v>
      </c>
      <c r="V1206" s="493">
        <v>2024</v>
      </c>
      <c r="W1206" s="495"/>
      <c r="X1206" s="496" t="str">
        <f t="shared" si="76"/>
        <v/>
      </c>
      <c r="Y1206" s="497" t="str">
        <f t="shared" si="78"/>
        <v/>
      </c>
      <c r="Z1206" s="497" t="str">
        <f t="shared" si="78"/>
        <v/>
      </c>
    </row>
    <row r="1207" spans="1:26" s="82" customFormat="1" ht="32" x14ac:dyDescent="0.4">
      <c r="A1207" s="493">
        <v>58210</v>
      </c>
      <c r="B1207" s="105" t="s">
        <v>329</v>
      </c>
      <c r="C1207" s="493" t="s">
        <v>330</v>
      </c>
      <c r="D1207" s="105" t="s">
        <v>1347</v>
      </c>
      <c r="E1207" s="105" t="s">
        <v>362</v>
      </c>
      <c r="F1207" s="493">
        <v>58185</v>
      </c>
      <c r="G1207" s="105" t="s">
        <v>33</v>
      </c>
      <c r="H1207" s="105" t="s">
        <v>342</v>
      </c>
      <c r="I1207" s="105" t="s">
        <v>334</v>
      </c>
      <c r="J1207" s="493">
        <v>22</v>
      </c>
      <c r="K1207" s="493">
        <v>2</v>
      </c>
      <c r="L1207" s="105" t="s">
        <v>343</v>
      </c>
      <c r="M1207" s="105" t="s">
        <v>655</v>
      </c>
      <c r="N1207" s="105" t="s">
        <v>656</v>
      </c>
      <c r="O1207" s="105" t="s">
        <v>656</v>
      </c>
      <c r="P1207" s="105" t="s">
        <v>339</v>
      </c>
      <c r="Q1207" s="494">
        <v>0</v>
      </c>
      <c r="R1207" s="494">
        <v>0</v>
      </c>
      <c r="S1207" s="494">
        <v>6589</v>
      </c>
      <c r="T1207" s="494">
        <v>6589</v>
      </c>
      <c r="U1207" s="494">
        <v>1931</v>
      </c>
      <c r="V1207" s="493">
        <v>2024</v>
      </c>
      <c r="W1207" s="495"/>
      <c r="X1207" s="496">
        <f t="shared" si="76"/>
        <v>3.4122216468151216</v>
      </c>
      <c r="Y1207" s="497" t="str">
        <f t="shared" si="78"/>
        <v/>
      </c>
      <c r="Z1207" s="497" t="str">
        <f t="shared" si="78"/>
        <v/>
      </c>
    </row>
    <row r="1208" spans="1:26" s="82" customFormat="1" ht="32" x14ac:dyDescent="0.4">
      <c r="A1208" s="493">
        <v>58214</v>
      </c>
      <c r="B1208" s="105" t="s">
        <v>329</v>
      </c>
      <c r="C1208" s="493" t="s">
        <v>330</v>
      </c>
      <c r="D1208" s="105" t="s">
        <v>1348</v>
      </c>
      <c r="E1208" s="105" t="s">
        <v>1243</v>
      </c>
      <c r="F1208" s="493">
        <v>56769</v>
      </c>
      <c r="G1208" s="105" t="s">
        <v>38</v>
      </c>
      <c r="H1208" s="105" t="s">
        <v>342</v>
      </c>
      <c r="I1208" s="105" t="s">
        <v>334</v>
      </c>
      <c r="J1208" s="493">
        <v>22</v>
      </c>
      <c r="K1208" s="493">
        <v>2</v>
      </c>
      <c r="L1208" s="105" t="s">
        <v>343</v>
      </c>
      <c r="M1208" s="105" t="s">
        <v>655</v>
      </c>
      <c r="N1208" s="105" t="s">
        <v>656</v>
      </c>
      <c r="O1208" s="105" t="s">
        <v>656</v>
      </c>
      <c r="P1208" s="105" t="s">
        <v>339</v>
      </c>
      <c r="Q1208" s="494">
        <v>0</v>
      </c>
      <c r="R1208" s="494">
        <v>0</v>
      </c>
      <c r="S1208" s="494">
        <v>8664</v>
      </c>
      <c r="T1208" s="494">
        <v>8664</v>
      </c>
      <c r="U1208" s="494">
        <v>2539</v>
      </c>
      <c r="V1208" s="493">
        <v>2024</v>
      </c>
      <c r="W1208" s="495"/>
      <c r="X1208" s="496">
        <f t="shared" si="76"/>
        <v>3.4123670736510436</v>
      </c>
      <c r="Y1208" s="497" t="str">
        <f t="shared" ref="Y1208:Z1227" si="79">IF(AND($M1208=$Y$2,$N1208=$Y$3,NOT($Q1208=$R1208),NOT($U1208=0)),IF($K1208=5,$S1208/($U1208+(8/5)*$U1208),IF($K1208=7,$S1208/($U1208+(29/25)*$U1208),"")),"")</f>
        <v/>
      </c>
      <c r="Z1208" s="497" t="str">
        <f t="shared" si="79"/>
        <v/>
      </c>
    </row>
    <row r="1209" spans="1:26" s="82" customFormat="1" ht="32" x14ac:dyDescent="0.4">
      <c r="A1209" s="493">
        <v>58224</v>
      </c>
      <c r="B1209" s="105" t="s">
        <v>433</v>
      </c>
      <c r="C1209" s="493" t="s">
        <v>330</v>
      </c>
      <c r="D1209" s="105" t="s">
        <v>1349</v>
      </c>
      <c r="E1209" s="105" t="s">
        <v>1350</v>
      </c>
      <c r="F1209" s="493">
        <v>58188</v>
      </c>
      <c r="G1209" s="105" t="s">
        <v>37</v>
      </c>
      <c r="H1209" s="105" t="s">
        <v>342</v>
      </c>
      <c r="I1209" s="105" t="s">
        <v>334</v>
      </c>
      <c r="J1209" s="493">
        <v>611</v>
      </c>
      <c r="K1209" s="493">
        <v>5</v>
      </c>
      <c r="L1209" s="105" t="s">
        <v>771</v>
      </c>
      <c r="M1209" s="105" t="s">
        <v>359</v>
      </c>
      <c r="N1209" s="105" t="s">
        <v>226</v>
      </c>
      <c r="O1209" s="105" t="s">
        <v>226</v>
      </c>
      <c r="P1209" s="105" t="s">
        <v>350</v>
      </c>
      <c r="Q1209" s="494">
        <v>0</v>
      </c>
      <c r="R1209" s="494">
        <v>0</v>
      </c>
      <c r="S1209" s="494">
        <v>0</v>
      </c>
      <c r="T1209" s="494">
        <v>0</v>
      </c>
      <c r="U1209" s="494">
        <v>0</v>
      </c>
      <c r="V1209" s="493">
        <v>2024</v>
      </c>
      <c r="W1209" s="495"/>
      <c r="X1209" s="496" t="str">
        <f t="shared" si="76"/>
        <v/>
      </c>
      <c r="Y1209" s="497" t="str">
        <f t="shared" si="79"/>
        <v/>
      </c>
      <c r="Z1209" s="497" t="str">
        <f t="shared" si="79"/>
        <v/>
      </c>
    </row>
    <row r="1210" spans="1:26" s="82" customFormat="1" ht="32" x14ac:dyDescent="0.4">
      <c r="A1210" s="493">
        <v>58224</v>
      </c>
      <c r="B1210" s="105" t="s">
        <v>433</v>
      </c>
      <c r="C1210" s="493" t="s">
        <v>330</v>
      </c>
      <c r="D1210" s="105" t="s">
        <v>1349</v>
      </c>
      <c r="E1210" s="105" t="s">
        <v>1350</v>
      </c>
      <c r="F1210" s="493">
        <v>58188</v>
      </c>
      <c r="G1210" s="105" t="s">
        <v>37</v>
      </c>
      <c r="H1210" s="105" t="s">
        <v>342</v>
      </c>
      <c r="I1210" s="105" t="s">
        <v>334</v>
      </c>
      <c r="J1210" s="493">
        <v>611</v>
      </c>
      <c r="K1210" s="493">
        <v>5</v>
      </c>
      <c r="L1210" s="105" t="s">
        <v>771</v>
      </c>
      <c r="M1210" s="105" t="s">
        <v>359</v>
      </c>
      <c r="N1210" s="105" t="s">
        <v>228</v>
      </c>
      <c r="O1210" s="105" t="s">
        <v>228</v>
      </c>
      <c r="P1210" s="105" t="s">
        <v>356</v>
      </c>
      <c r="Q1210" s="494">
        <v>973</v>
      </c>
      <c r="R1210" s="494">
        <v>322</v>
      </c>
      <c r="S1210" s="494">
        <v>1071</v>
      </c>
      <c r="T1210" s="494">
        <v>355</v>
      </c>
      <c r="U1210" s="494">
        <v>90.16</v>
      </c>
      <c r="V1210" s="493">
        <v>2024</v>
      </c>
      <c r="W1210" s="495"/>
      <c r="X1210" s="496" t="str">
        <f t="shared" si="76"/>
        <v/>
      </c>
      <c r="Y1210" s="497" t="str">
        <f t="shared" si="79"/>
        <v/>
      </c>
      <c r="Z1210" s="497" t="str">
        <f t="shared" si="79"/>
        <v/>
      </c>
    </row>
    <row r="1211" spans="1:26" s="82" customFormat="1" ht="32" x14ac:dyDescent="0.4">
      <c r="A1211" s="493">
        <v>58237</v>
      </c>
      <c r="B1211" s="105" t="s">
        <v>433</v>
      </c>
      <c r="C1211" s="493" t="s">
        <v>330</v>
      </c>
      <c r="D1211" s="105" t="s">
        <v>1351</v>
      </c>
      <c r="E1211" s="105" t="s">
        <v>1352</v>
      </c>
      <c r="F1211" s="493">
        <v>58213</v>
      </c>
      <c r="G1211" s="105" t="s">
        <v>37</v>
      </c>
      <c r="H1211" s="105" t="s">
        <v>342</v>
      </c>
      <c r="I1211" s="105" t="s">
        <v>334</v>
      </c>
      <c r="J1211" s="493">
        <v>611</v>
      </c>
      <c r="K1211" s="493">
        <v>5</v>
      </c>
      <c r="L1211" s="105" t="s">
        <v>771</v>
      </c>
      <c r="M1211" s="105" t="s">
        <v>990</v>
      </c>
      <c r="N1211" s="105" t="s">
        <v>228</v>
      </c>
      <c r="O1211" s="105" t="s">
        <v>228</v>
      </c>
      <c r="P1211" s="105" t="s">
        <v>356</v>
      </c>
      <c r="Q1211" s="494">
        <v>87799</v>
      </c>
      <c r="R1211" s="494">
        <v>80863</v>
      </c>
      <c r="S1211" s="494">
        <v>81391</v>
      </c>
      <c r="T1211" s="494">
        <v>74959</v>
      </c>
      <c r="U1211" s="494">
        <v>11092</v>
      </c>
      <c r="V1211" s="493">
        <v>2024</v>
      </c>
      <c r="W1211" s="495"/>
      <c r="X1211" s="496" t="str">
        <f t="shared" si="76"/>
        <v/>
      </c>
      <c r="Y1211" s="497" t="str">
        <f t="shared" si="79"/>
        <v/>
      </c>
      <c r="Z1211" s="497" t="str">
        <f t="shared" si="79"/>
        <v/>
      </c>
    </row>
    <row r="1212" spans="1:26" s="82" customFormat="1" ht="48" x14ac:dyDescent="0.4">
      <c r="A1212" s="493">
        <v>58238</v>
      </c>
      <c r="B1212" s="105" t="s">
        <v>329</v>
      </c>
      <c r="C1212" s="493" t="s">
        <v>330</v>
      </c>
      <c r="D1212" s="105" t="s">
        <v>1353</v>
      </c>
      <c r="E1212" s="105" t="s">
        <v>1354</v>
      </c>
      <c r="F1212" s="493">
        <v>60025</v>
      </c>
      <c r="G1212" s="105" t="s">
        <v>36</v>
      </c>
      <c r="H1212" s="105" t="s">
        <v>342</v>
      </c>
      <c r="I1212" s="105" t="s">
        <v>334</v>
      </c>
      <c r="J1212" s="493">
        <v>22</v>
      </c>
      <c r="K1212" s="493">
        <v>2</v>
      </c>
      <c r="L1212" s="105" t="s">
        <v>343</v>
      </c>
      <c r="M1212" s="105" t="s">
        <v>695</v>
      </c>
      <c r="N1212" s="105" t="s">
        <v>696</v>
      </c>
      <c r="O1212" s="105" t="s">
        <v>696</v>
      </c>
      <c r="P1212" s="105" t="s">
        <v>339</v>
      </c>
      <c r="Q1212" s="494">
        <v>0</v>
      </c>
      <c r="R1212" s="494">
        <v>0</v>
      </c>
      <c r="S1212" s="494">
        <v>92025</v>
      </c>
      <c r="T1212" s="494">
        <v>92025</v>
      </c>
      <c r="U1212" s="494">
        <v>26971</v>
      </c>
      <c r="V1212" s="493">
        <v>2024</v>
      </c>
      <c r="W1212" s="495"/>
      <c r="X1212" s="496">
        <f t="shared" si="76"/>
        <v>3.4119980720032625</v>
      </c>
      <c r="Y1212" s="497" t="str">
        <f t="shared" si="79"/>
        <v/>
      </c>
      <c r="Z1212" s="497" t="str">
        <f t="shared" si="79"/>
        <v/>
      </c>
    </row>
    <row r="1213" spans="1:26" s="82" customFormat="1" x14ac:dyDescent="0.4">
      <c r="A1213" s="493">
        <v>58270</v>
      </c>
      <c r="B1213" s="105" t="s">
        <v>329</v>
      </c>
      <c r="C1213" s="493" t="s">
        <v>330</v>
      </c>
      <c r="D1213" s="105" t="s">
        <v>1355</v>
      </c>
      <c r="E1213" s="105" t="s">
        <v>1356</v>
      </c>
      <c r="F1213" s="493">
        <v>65164</v>
      </c>
      <c r="G1213" s="105" t="s">
        <v>33</v>
      </c>
      <c r="H1213" s="105" t="s">
        <v>342</v>
      </c>
      <c r="I1213" s="105" t="s">
        <v>334</v>
      </c>
      <c r="J1213" s="493">
        <v>22</v>
      </c>
      <c r="K1213" s="493">
        <v>2</v>
      </c>
      <c r="L1213" s="105" t="s">
        <v>343</v>
      </c>
      <c r="M1213" s="105" t="s">
        <v>655</v>
      </c>
      <c r="N1213" s="105" t="s">
        <v>656</v>
      </c>
      <c r="O1213" s="105" t="s">
        <v>656</v>
      </c>
      <c r="P1213" s="105" t="s">
        <v>339</v>
      </c>
      <c r="Q1213" s="494">
        <v>0</v>
      </c>
      <c r="R1213" s="494">
        <v>0</v>
      </c>
      <c r="S1213" s="494">
        <v>20338</v>
      </c>
      <c r="T1213" s="494">
        <v>20338</v>
      </c>
      <c r="U1213" s="494">
        <v>5961</v>
      </c>
      <c r="V1213" s="493">
        <v>2024</v>
      </c>
      <c r="W1213" s="495"/>
      <c r="X1213" s="496">
        <f t="shared" si="76"/>
        <v>3.4118436503942293</v>
      </c>
      <c r="Y1213" s="497" t="str">
        <f t="shared" si="79"/>
        <v/>
      </c>
      <c r="Z1213" s="497" t="str">
        <f t="shared" si="79"/>
        <v/>
      </c>
    </row>
    <row r="1214" spans="1:26" s="82" customFormat="1" x14ac:dyDescent="0.4">
      <c r="A1214" s="493">
        <v>58271</v>
      </c>
      <c r="B1214" s="105" t="s">
        <v>329</v>
      </c>
      <c r="C1214" s="493" t="s">
        <v>330</v>
      </c>
      <c r="D1214" s="105" t="s">
        <v>1357</v>
      </c>
      <c r="E1214" s="105" t="s">
        <v>1356</v>
      </c>
      <c r="F1214" s="493">
        <v>65164</v>
      </c>
      <c r="G1214" s="105" t="s">
        <v>33</v>
      </c>
      <c r="H1214" s="105" t="s">
        <v>342</v>
      </c>
      <c r="I1214" s="105" t="s">
        <v>334</v>
      </c>
      <c r="J1214" s="493">
        <v>22</v>
      </c>
      <c r="K1214" s="493">
        <v>2</v>
      </c>
      <c r="L1214" s="105" t="s">
        <v>343</v>
      </c>
      <c r="M1214" s="105" t="s">
        <v>655</v>
      </c>
      <c r="N1214" s="105" t="s">
        <v>656</v>
      </c>
      <c r="O1214" s="105" t="s">
        <v>656</v>
      </c>
      <c r="P1214" s="105" t="s">
        <v>339</v>
      </c>
      <c r="Q1214" s="494">
        <v>0</v>
      </c>
      <c r="R1214" s="494">
        <v>0</v>
      </c>
      <c r="S1214" s="494">
        <v>5177</v>
      </c>
      <c r="T1214" s="494">
        <v>5177</v>
      </c>
      <c r="U1214" s="494">
        <v>1517</v>
      </c>
      <c r="V1214" s="493">
        <v>2024</v>
      </c>
      <c r="W1214" s="495"/>
      <c r="X1214" s="496">
        <f t="shared" si="76"/>
        <v>3.4126565589980222</v>
      </c>
      <c r="Y1214" s="497" t="str">
        <f t="shared" si="79"/>
        <v/>
      </c>
      <c r="Z1214" s="497" t="str">
        <f t="shared" si="79"/>
        <v/>
      </c>
    </row>
    <row r="1215" spans="1:26" s="82" customFormat="1" x14ac:dyDescent="0.4">
      <c r="A1215" s="493">
        <v>58272</v>
      </c>
      <c r="B1215" s="105" t="s">
        <v>329</v>
      </c>
      <c r="C1215" s="493" t="s">
        <v>330</v>
      </c>
      <c r="D1215" s="105" t="s">
        <v>1358</v>
      </c>
      <c r="E1215" s="105" t="s">
        <v>1356</v>
      </c>
      <c r="F1215" s="493">
        <v>65164</v>
      </c>
      <c r="G1215" s="105" t="s">
        <v>33</v>
      </c>
      <c r="H1215" s="105" t="s">
        <v>342</v>
      </c>
      <c r="I1215" s="105" t="s">
        <v>334</v>
      </c>
      <c r="J1215" s="493">
        <v>22</v>
      </c>
      <c r="K1215" s="493">
        <v>2</v>
      </c>
      <c r="L1215" s="105" t="s">
        <v>343</v>
      </c>
      <c r="M1215" s="105" t="s">
        <v>655</v>
      </c>
      <c r="N1215" s="105" t="s">
        <v>656</v>
      </c>
      <c r="O1215" s="105" t="s">
        <v>656</v>
      </c>
      <c r="P1215" s="105" t="s">
        <v>339</v>
      </c>
      <c r="Q1215" s="494">
        <v>0</v>
      </c>
      <c r="R1215" s="494">
        <v>0</v>
      </c>
      <c r="S1215" s="494">
        <v>9741</v>
      </c>
      <c r="T1215" s="494">
        <v>9741</v>
      </c>
      <c r="U1215" s="494">
        <v>2855</v>
      </c>
      <c r="V1215" s="493">
        <v>2024</v>
      </c>
      <c r="W1215" s="495"/>
      <c r="X1215" s="496">
        <f t="shared" si="76"/>
        <v>3.4119089316987741</v>
      </c>
      <c r="Y1215" s="497" t="str">
        <f t="shared" si="79"/>
        <v/>
      </c>
      <c r="Z1215" s="497" t="str">
        <f t="shared" si="79"/>
        <v/>
      </c>
    </row>
    <row r="1216" spans="1:26" s="82" customFormat="1" x14ac:dyDescent="0.4">
      <c r="A1216" s="493">
        <v>58275</v>
      </c>
      <c r="B1216" s="105" t="s">
        <v>329</v>
      </c>
      <c r="C1216" s="493" t="s">
        <v>330</v>
      </c>
      <c r="D1216" s="105" t="s">
        <v>1359</v>
      </c>
      <c r="E1216" s="105" t="s">
        <v>1169</v>
      </c>
      <c r="F1216" s="493">
        <v>59155</v>
      </c>
      <c r="G1216" s="105" t="s">
        <v>33</v>
      </c>
      <c r="H1216" s="105" t="s">
        <v>342</v>
      </c>
      <c r="I1216" s="105" t="s">
        <v>334</v>
      </c>
      <c r="J1216" s="493">
        <v>22</v>
      </c>
      <c r="K1216" s="493">
        <v>2</v>
      </c>
      <c r="L1216" s="105" t="s">
        <v>343</v>
      </c>
      <c r="M1216" s="105" t="s">
        <v>655</v>
      </c>
      <c r="N1216" s="105" t="s">
        <v>656</v>
      </c>
      <c r="O1216" s="105" t="s">
        <v>656</v>
      </c>
      <c r="P1216" s="105" t="s">
        <v>339</v>
      </c>
      <c r="Q1216" s="494">
        <v>0</v>
      </c>
      <c r="R1216" s="494">
        <v>0</v>
      </c>
      <c r="S1216" s="494">
        <v>21455</v>
      </c>
      <c r="T1216" s="494">
        <v>21455</v>
      </c>
      <c r="U1216" s="494">
        <v>6288</v>
      </c>
      <c r="V1216" s="493">
        <v>2024</v>
      </c>
      <c r="W1216" s="495"/>
      <c r="X1216" s="496">
        <f t="shared" si="76"/>
        <v>3.4120547073791347</v>
      </c>
      <c r="Y1216" s="497" t="str">
        <f t="shared" si="79"/>
        <v/>
      </c>
      <c r="Z1216" s="497" t="str">
        <f t="shared" si="79"/>
        <v/>
      </c>
    </row>
    <row r="1217" spans="1:26" s="82" customFormat="1" x14ac:dyDescent="0.4">
      <c r="A1217" s="493">
        <v>58276</v>
      </c>
      <c r="B1217" s="105" t="s">
        <v>329</v>
      </c>
      <c r="C1217" s="493" t="s">
        <v>330</v>
      </c>
      <c r="D1217" s="105" t="s">
        <v>1360</v>
      </c>
      <c r="E1217" s="105" t="s">
        <v>1169</v>
      </c>
      <c r="F1217" s="493">
        <v>59155</v>
      </c>
      <c r="G1217" s="105" t="s">
        <v>33</v>
      </c>
      <c r="H1217" s="105" t="s">
        <v>342</v>
      </c>
      <c r="I1217" s="105" t="s">
        <v>334</v>
      </c>
      <c r="J1217" s="493">
        <v>22</v>
      </c>
      <c r="K1217" s="493">
        <v>2</v>
      </c>
      <c r="L1217" s="105" t="s">
        <v>343</v>
      </c>
      <c r="M1217" s="105" t="s">
        <v>655</v>
      </c>
      <c r="N1217" s="105" t="s">
        <v>656</v>
      </c>
      <c r="O1217" s="105" t="s">
        <v>656</v>
      </c>
      <c r="P1217" s="105" t="s">
        <v>339</v>
      </c>
      <c r="Q1217" s="494">
        <v>0</v>
      </c>
      <c r="R1217" s="494">
        <v>0</v>
      </c>
      <c r="S1217" s="494">
        <v>24770</v>
      </c>
      <c r="T1217" s="494">
        <v>24770</v>
      </c>
      <c r="U1217" s="494">
        <v>7260</v>
      </c>
      <c r="V1217" s="493">
        <v>2024</v>
      </c>
      <c r="W1217" s="495"/>
      <c r="X1217" s="496">
        <f t="shared" si="76"/>
        <v>3.4118457300275482</v>
      </c>
      <c r="Y1217" s="497" t="str">
        <f t="shared" si="79"/>
        <v/>
      </c>
      <c r="Z1217" s="497" t="str">
        <f t="shared" si="79"/>
        <v/>
      </c>
    </row>
    <row r="1218" spans="1:26" s="82" customFormat="1" x14ac:dyDescent="0.4">
      <c r="A1218" s="493">
        <v>58279</v>
      </c>
      <c r="B1218" s="105" t="s">
        <v>329</v>
      </c>
      <c r="C1218" s="493" t="s">
        <v>330</v>
      </c>
      <c r="D1218" s="105" t="s">
        <v>1361</v>
      </c>
      <c r="E1218" s="105" t="s">
        <v>1169</v>
      </c>
      <c r="F1218" s="493">
        <v>59155</v>
      </c>
      <c r="G1218" s="105" t="s">
        <v>33</v>
      </c>
      <c r="H1218" s="105" t="s">
        <v>342</v>
      </c>
      <c r="I1218" s="105" t="s">
        <v>334</v>
      </c>
      <c r="J1218" s="493">
        <v>22</v>
      </c>
      <c r="K1218" s="493">
        <v>2</v>
      </c>
      <c r="L1218" s="105" t="s">
        <v>343</v>
      </c>
      <c r="M1218" s="105" t="s">
        <v>655</v>
      </c>
      <c r="N1218" s="105" t="s">
        <v>656</v>
      </c>
      <c r="O1218" s="105" t="s">
        <v>656</v>
      </c>
      <c r="P1218" s="105" t="s">
        <v>339</v>
      </c>
      <c r="Q1218" s="494">
        <v>0</v>
      </c>
      <c r="R1218" s="494">
        <v>0</v>
      </c>
      <c r="S1218" s="494">
        <v>24729</v>
      </c>
      <c r="T1218" s="494">
        <v>24729</v>
      </c>
      <c r="U1218" s="494">
        <v>7248</v>
      </c>
      <c r="V1218" s="493">
        <v>2024</v>
      </c>
      <c r="W1218" s="495"/>
      <c r="X1218" s="496">
        <f t="shared" si="76"/>
        <v>3.4118377483443707</v>
      </c>
      <c r="Y1218" s="497" t="str">
        <f t="shared" si="79"/>
        <v/>
      </c>
      <c r="Z1218" s="497" t="str">
        <f t="shared" si="79"/>
        <v/>
      </c>
    </row>
    <row r="1219" spans="1:26" s="82" customFormat="1" x14ac:dyDescent="0.4">
      <c r="A1219" s="493">
        <v>58280</v>
      </c>
      <c r="B1219" s="105" t="s">
        <v>329</v>
      </c>
      <c r="C1219" s="493" t="s">
        <v>330</v>
      </c>
      <c r="D1219" s="105" t="s">
        <v>1362</v>
      </c>
      <c r="E1219" s="105" t="s">
        <v>1169</v>
      </c>
      <c r="F1219" s="493">
        <v>59155</v>
      </c>
      <c r="G1219" s="105" t="s">
        <v>33</v>
      </c>
      <c r="H1219" s="105" t="s">
        <v>342</v>
      </c>
      <c r="I1219" s="105" t="s">
        <v>334</v>
      </c>
      <c r="J1219" s="493">
        <v>22</v>
      </c>
      <c r="K1219" s="493">
        <v>2</v>
      </c>
      <c r="L1219" s="105" t="s">
        <v>343</v>
      </c>
      <c r="M1219" s="105" t="s">
        <v>655</v>
      </c>
      <c r="N1219" s="105" t="s">
        <v>656</v>
      </c>
      <c r="O1219" s="105" t="s">
        <v>656</v>
      </c>
      <c r="P1219" s="105" t="s">
        <v>339</v>
      </c>
      <c r="Q1219" s="494">
        <v>0</v>
      </c>
      <c r="R1219" s="494">
        <v>0</v>
      </c>
      <c r="S1219" s="494">
        <v>14495</v>
      </c>
      <c r="T1219" s="494">
        <v>14495</v>
      </c>
      <c r="U1219" s="494">
        <v>4248</v>
      </c>
      <c r="V1219" s="493">
        <v>2024</v>
      </c>
      <c r="W1219" s="495"/>
      <c r="X1219" s="496">
        <f t="shared" si="76"/>
        <v>3.4121939736346518</v>
      </c>
      <c r="Y1219" s="497" t="str">
        <f t="shared" si="79"/>
        <v/>
      </c>
      <c r="Z1219" s="497" t="str">
        <f t="shared" si="79"/>
        <v/>
      </c>
    </row>
    <row r="1220" spans="1:26" s="82" customFormat="1" ht="32" x14ac:dyDescent="0.4">
      <c r="A1220" s="493">
        <v>58282</v>
      </c>
      <c r="B1220" s="105" t="s">
        <v>329</v>
      </c>
      <c r="C1220" s="493" t="s">
        <v>330</v>
      </c>
      <c r="D1220" s="105" t="s">
        <v>1363</v>
      </c>
      <c r="E1220" s="105" t="s">
        <v>1318</v>
      </c>
      <c r="F1220" s="493">
        <v>65432</v>
      </c>
      <c r="G1220" s="105" t="s">
        <v>33</v>
      </c>
      <c r="H1220" s="105" t="s">
        <v>342</v>
      </c>
      <c r="I1220" s="105" t="s">
        <v>334</v>
      </c>
      <c r="J1220" s="493">
        <v>22</v>
      </c>
      <c r="K1220" s="493">
        <v>2</v>
      </c>
      <c r="L1220" s="105" t="s">
        <v>343</v>
      </c>
      <c r="M1220" s="105" t="s">
        <v>655</v>
      </c>
      <c r="N1220" s="105" t="s">
        <v>656</v>
      </c>
      <c r="O1220" s="105" t="s">
        <v>656</v>
      </c>
      <c r="P1220" s="105" t="s">
        <v>339</v>
      </c>
      <c r="Q1220" s="494">
        <v>0</v>
      </c>
      <c r="R1220" s="494">
        <v>0</v>
      </c>
      <c r="S1220" s="494">
        <v>19074</v>
      </c>
      <c r="T1220" s="494">
        <v>19074</v>
      </c>
      <c r="U1220" s="494">
        <v>5590</v>
      </c>
      <c r="V1220" s="493">
        <v>2024</v>
      </c>
      <c r="W1220" s="495"/>
      <c r="X1220" s="496">
        <f t="shared" si="76"/>
        <v>3.4121645796064399</v>
      </c>
      <c r="Y1220" s="497" t="str">
        <f t="shared" si="79"/>
        <v/>
      </c>
      <c r="Z1220" s="497" t="str">
        <f t="shared" si="79"/>
        <v/>
      </c>
    </row>
    <row r="1221" spans="1:26" s="82" customFormat="1" x14ac:dyDescent="0.4">
      <c r="A1221" s="493">
        <v>58283</v>
      </c>
      <c r="B1221" s="105" t="s">
        <v>329</v>
      </c>
      <c r="C1221" s="493" t="s">
        <v>330</v>
      </c>
      <c r="D1221" s="105" t="s">
        <v>1364</v>
      </c>
      <c r="E1221" s="105" t="s">
        <v>1365</v>
      </c>
      <c r="F1221" s="493">
        <v>58598</v>
      </c>
      <c r="G1221" s="105" t="s">
        <v>33</v>
      </c>
      <c r="H1221" s="105" t="s">
        <v>342</v>
      </c>
      <c r="I1221" s="105" t="s">
        <v>334</v>
      </c>
      <c r="J1221" s="493">
        <v>22</v>
      </c>
      <c r="K1221" s="493">
        <v>2</v>
      </c>
      <c r="L1221" s="105" t="s">
        <v>343</v>
      </c>
      <c r="M1221" s="105" t="s">
        <v>655</v>
      </c>
      <c r="N1221" s="105" t="s">
        <v>656</v>
      </c>
      <c r="O1221" s="105" t="s">
        <v>656</v>
      </c>
      <c r="P1221" s="105" t="s">
        <v>339</v>
      </c>
      <c r="Q1221" s="494">
        <v>0</v>
      </c>
      <c r="R1221" s="494">
        <v>0</v>
      </c>
      <c r="S1221" s="494">
        <v>20131</v>
      </c>
      <c r="T1221" s="494">
        <v>20131</v>
      </c>
      <c r="U1221" s="494">
        <v>5900</v>
      </c>
      <c r="V1221" s="493">
        <v>2024</v>
      </c>
      <c r="W1221" s="495"/>
      <c r="X1221" s="496">
        <f t="shared" si="76"/>
        <v>3.4120338983050846</v>
      </c>
      <c r="Y1221" s="497" t="str">
        <f t="shared" si="79"/>
        <v/>
      </c>
      <c r="Z1221" s="497" t="str">
        <f t="shared" si="79"/>
        <v/>
      </c>
    </row>
    <row r="1222" spans="1:26" s="82" customFormat="1" ht="32" x14ac:dyDescent="0.4">
      <c r="A1222" s="493">
        <v>58327</v>
      </c>
      <c r="B1222" s="105" t="s">
        <v>433</v>
      </c>
      <c r="C1222" s="493" t="s">
        <v>330</v>
      </c>
      <c r="D1222" s="105" t="s">
        <v>1366</v>
      </c>
      <c r="E1222" s="105" t="s">
        <v>1367</v>
      </c>
      <c r="F1222" s="493">
        <v>58300</v>
      </c>
      <c r="G1222" s="105" t="s">
        <v>37</v>
      </c>
      <c r="H1222" s="105" t="s">
        <v>342</v>
      </c>
      <c r="I1222" s="105" t="s">
        <v>334</v>
      </c>
      <c r="J1222" s="493">
        <v>481</v>
      </c>
      <c r="K1222" s="493">
        <v>5</v>
      </c>
      <c r="L1222" s="105" t="s">
        <v>771</v>
      </c>
      <c r="M1222" s="105" t="s">
        <v>359</v>
      </c>
      <c r="N1222" s="105" t="s">
        <v>228</v>
      </c>
      <c r="O1222" s="105" t="s">
        <v>228</v>
      </c>
      <c r="P1222" s="105" t="s">
        <v>356</v>
      </c>
      <c r="Q1222" s="494">
        <v>195960</v>
      </c>
      <c r="R1222" s="494">
        <v>92934</v>
      </c>
      <c r="S1222" s="494">
        <v>201840</v>
      </c>
      <c r="T1222" s="494">
        <v>95721</v>
      </c>
      <c r="U1222" s="494">
        <v>11776</v>
      </c>
      <c r="V1222" s="493">
        <v>2024</v>
      </c>
      <c r="W1222" s="495"/>
      <c r="X1222" s="496" t="str">
        <f t="shared" si="76"/>
        <v/>
      </c>
      <c r="Y1222" s="497" t="str">
        <f t="shared" si="79"/>
        <v/>
      </c>
      <c r="Z1222" s="497" t="str">
        <f t="shared" si="79"/>
        <v/>
      </c>
    </row>
    <row r="1223" spans="1:26" s="82" customFormat="1" ht="32" x14ac:dyDescent="0.4">
      <c r="A1223" s="493">
        <v>58362</v>
      </c>
      <c r="B1223" s="105" t="s">
        <v>329</v>
      </c>
      <c r="C1223" s="493" t="s">
        <v>330</v>
      </c>
      <c r="D1223" s="105" t="s">
        <v>1368</v>
      </c>
      <c r="E1223" s="105" t="s">
        <v>1295</v>
      </c>
      <c r="F1223" s="493">
        <v>57365</v>
      </c>
      <c r="G1223" s="105" t="s">
        <v>33</v>
      </c>
      <c r="H1223" s="105" t="s">
        <v>342</v>
      </c>
      <c r="I1223" s="105" t="s">
        <v>334</v>
      </c>
      <c r="J1223" s="493">
        <v>22</v>
      </c>
      <c r="K1223" s="493">
        <v>2</v>
      </c>
      <c r="L1223" s="105" t="s">
        <v>343</v>
      </c>
      <c r="M1223" s="105" t="s">
        <v>655</v>
      </c>
      <c r="N1223" s="105" t="s">
        <v>656</v>
      </c>
      <c r="O1223" s="105" t="s">
        <v>656</v>
      </c>
      <c r="P1223" s="105" t="s">
        <v>339</v>
      </c>
      <c r="Q1223" s="494">
        <v>0</v>
      </c>
      <c r="R1223" s="494">
        <v>0</v>
      </c>
      <c r="S1223" s="494">
        <v>17345</v>
      </c>
      <c r="T1223" s="494">
        <v>17345</v>
      </c>
      <c r="U1223" s="494">
        <v>5084</v>
      </c>
      <c r="V1223" s="493">
        <v>2024</v>
      </c>
      <c r="W1223" s="495"/>
      <c r="X1223" s="496">
        <f t="shared" si="76"/>
        <v>3.4116837136113296</v>
      </c>
      <c r="Y1223" s="497" t="str">
        <f t="shared" si="79"/>
        <v/>
      </c>
      <c r="Z1223" s="497" t="str">
        <f t="shared" si="79"/>
        <v/>
      </c>
    </row>
    <row r="1224" spans="1:26" s="82" customFormat="1" ht="32" x14ac:dyDescent="0.4">
      <c r="A1224" s="493">
        <v>58385</v>
      </c>
      <c r="B1224" s="105" t="s">
        <v>329</v>
      </c>
      <c r="C1224" s="493" t="s">
        <v>330</v>
      </c>
      <c r="D1224" s="105" t="s">
        <v>1369</v>
      </c>
      <c r="E1224" s="105" t="s">
        <v>1243</v>
      </c>
      <c r="F1224" s="493">
        <v>56769</v>
      </c>
      <c r="G1224" s="105" t="s">
        <v>33</v>
      </c>
      <c r="H1224" s="105" t="s">
        <v>342</v>
      </c>
      <c r="I1224" s="105" t="s">
        <v>334</v>
      </c>
      <c r="J1224" s="493">
        <v>22</v>
      </c>
      <c r="K1224" s="493">
        <v>2</v>
      </c>
      <c r="L1224" s="105" t="s">
        <v>343</v>
      </c>
      <c r="M1224" s="105" t="s">
        <v>655</v>
      </c>
      <c r="N1224" s="105" t="s">
        <v>656</v>
      </c>
      <c r="O1224" s="105" t="s">
        <v>656</v>
      </c>
      <c r="P1224" s="105" t="s">
        <v>339</v>
      </c>
      <c r="Q1224" s="494">
        <v>0</v>
      </c>
      <c r="R1224" s="494">
        <v>0</v>
      </c>
      <c r="S1224" s="494">
        <v>11587</v>
      </c>
      <c r="T1224" s="494">
        <v>11587</v>
      </c>
      <c r="U1224" s="494">
        <v>3396</v>
      </c>
      <c r="V1224" s="493">
        <v>2024</v>
      </c>
      <c r="W1224" s="495"/>
      <c r="X1224" s="496">
        <f t="shared" si="76"/>
        <v>3.4119552414605416</v>
      </c>
      <c r="Y1224" s="497" t="str">
        <f t="shared" si="79"/>
        <v/>
      </c>
      <c r="Z1224" s="497" t="str">
        <f t="shared" si="79"/>
        <v/>
      </c>
    </row>
    <row r="1225" spans="1:26" s="82" customFormat="1" x14ac:dyDescent="0.4">
      <c r="A1225" s="493">
        <v>58387</v>
      </c>
      <c r="B1225" s="105" t="s">
        <v>329</v>
      </c>
      <c r="C1225" s="493" t="s">
        <v>330</v>
      </c>
      <c r="D1225" s="105" t="s">
        <v>1370</v>
      </c>
      <c r="E1225" s="105" t="s">
        <v>1371</v>
      </c>
      <c r="F1225" s="493">
        <v>59139</v>
      </c>
      <c r="G1225" s="105" t="s">
        <v>33</v>
      </c>
      <c r="H1225" s="105" t="s">
        <v>342</v>
      </c>
      <c r="I1225" s="105" t="s">
        <v>334</v>
      </c>
      <c r="J1225" s="493">
        <v>22</v>
      </c>
      <c r="K1225" s="493">
        <v>2</v>
      </c>
      <c r="L1225" s="105" t="s">
        <v>343</v>
      </c>
      <c r="M1225" s="105" t="s">
        <v>655</v>
      </c>
      <c r="N1225" s="105" t="s">
        <v>656</v>
      </c>
      <c r="O1225" s="105" t="s">
        <v>656</v>
      </c>
      <c r="P1225" s="105" t="s">
        <v>339</v>
      </c>
      <c r="Q1225" s="494">
        <v>0</v>
      </c>
      <c r="R1225" s="494">
        <v>0</v>
      </c>
      <c r="S1225" s="494">
        <v>10790</v>
      </c>
      <c r="T1225" s="494">
        <v>10790</v>
      </c>
      <c r="U1225" s="494">
        <v>3163</v>
      </c>
      <c r="V1225" s="493">
        <v>2024</v>
      </c>
      <c r="W1225" s="495"/>
      <c r="X1225" s="496">
        <f t="shared" ref="X1225:X1288" si="80">IF(OR(K1225&gt;3,T1225=0,NOT(U1225&gt;0)),"",T1225/U1225)</f>
        <v>3.4113183686373696</v>
      </c>
      <c r="Y1225" s="497" t="str">
        <f t="shared" si="79"/>
        <v/>
      </c>
      <c r="Z1225" s="497" t="str">
        <f t="shared" si="79"/>
        <v/>
      </c>
    </row>
    <row r="1226" spans="1:26" s="82" customFormat="1" ht="32" x14ac:dyDescent="0.4">
      <c r="A1226" s="493">
        <v>58399</v>
      </c>
      <c r="B1226" s="105" t="s">
        <v>329</v>
      </c>
      <c r="C1226" s="493" t="s">
        <v>330</v>
      </c>
      <c r="D1226" s="105" t="s">
        <v>1372</v>
      </c>
      <c r="E1226" s="105" t="s">
        <v>1373</v>
      </c>
      <c r="F1226" s="493">
        <v>58383</v>
      </c>
      <c r="G1226" s="105" t="s">
        <v>52</v>
      </c>
      <c r="H1226" s="105" t="s">
        <v>333</v>
      </c>
      <c r="I1226" s="105" t="s">
        <v>334</v>
      </c>
      <c r="J1226" s="493">
        <v>562</v>
      </c>
      <c r="K1226" s="493">
        <v>4</v>
      </c>
      <c r="L1226" s="105" t="s">
        <v>766</v>
      </c>
      <c r="M1226" s="105" t="s">
        <v>359</v>
      </c>
      <c r="N1226" s="105" t="s">
        <v>266</v>
      </c>
      <c r="O1226" s="105" t="s">
        <v>481</v>
      </c>
      <c r="P1226" s="105" t="s">
        <v>846</v>
      </c>
      <c r="Q1226" s="494">
        <v>66468</v>
      </c>
      <c r="R1226" s="494">
        <v>66468</v>
      </c>
      <c r="S1226" s="494">
        <v>41211</v>
      </c>
      <c r="T1226" s="494">
        <v>41211</v>
      </c>
      <c r="U1226" s="494">
        <v>3839</v>
      </c>
      <c r="V1226" s="493">
        <v>2024</v>
      </c>
      <c r="W1226" s="495"/>
      <c r="X1226" s="496" t="str">
        <f t="shared" si="80"/>
        <v/>
      </c>
      <c r="Y1226" s="497" t="str">
        <f t="shared" si="79"/>
        <v/>
      </c>
      <c r="Z1226" s="497" t="str">
        <f t="shared" si="79"/>
        <v/>
      </c>
    </row>
    <row r="1227" spans="1:26" s="82" customFormat="1" x14ac:dyDescent="0.4">
      <c r="A1227" s="493">
        <v>58403</v>
      </c>
      <c r="B1227" s="105" t="s">
        <v>329</v>
      </c>
      <c r="C1227" s="493" t="s">
        <v>330</v>
      </c>
      <c r="D1227" s="105" t="s">
        <v>1374</v>
      </c>
      <c r="E1227" s="105" t="s">
        <v>1375</v>
      </c>
      <c r="F1227" s="493">
        <v>63249</v>
      </c>
      <c r="G1227" s="105" t="s">
        <v>33</v>
      </c>
      <c r="H1227" s="105" t="s">
        <v>342</v>
      </c>
      <c r="I1227" s="105" t="s">
        <v>334</v>
      </c>
      <c r="J1227" s="493">
        <v>22</v>
      </c>
      <c r="K1227" s="493">
        <v>2</v>
      </c>
      <c r="L1227" s="105" t="s">
        <v>343</v>
      </c>
      <c r="M1227" s="105" t="s">
        <v>655</v>
      </c>
      <c r="N1227" s="105" t="s">
        <v>656</v>
      </c>
      <c r="O1227" s="105" t="s">
        <v>656</v>
      </c>
      <c r="P1227" s="105" t="s">
        <v>339</v>
      </c>
      <c r="Q1227" s="494">
        <v>0</v>
      </c>
      <c r="R1227" s="494">
        <v>0</v>
      </c>
      <c r="S1227" s="494">
        <v>14787</v>
      </c>
      <c r="T1227" s="494">
        <v>14787</v>
      </c>
      <c r="U1227" s="494">
        <v>4334</v>
      </c>
      <c r="V1227" s="493">
        <v>2024</v>
      </c>
      <c r="W1227" s="495"/>
      <c r="X1227" s="496">
        <f t="shared" si="80"/>
        <v>3.4118597138901707</v>
      </c>
      <c r="Y1227" s="497" t="str">
        <f t="shared" si="79"/>
        <v/>
      </c>
      <c r="Z1227" s="497" t="str">
        <f t="shared" si="79"/>
        <v/>
      </c>
    </row>
    <row r="1228" spans="1:26" s="82" customFormat="1" x14ac:dyDescent="0.4">
      <c r="A1228" s="493">
        <v>58410</v>
      </c>
      <c r="B1228" s="105" t="s">
        <v>329</v>
      </c>
      <c r="C1228" s="493" t="s">
        <v>330</v>
      </c>
      <c r="D1228" s="105" t="s">
        <v>1376</v>
      </c>
      <c r="E1228" s="105" t="s">
        <v>1375</v>
      </c>
      <c r="F1228" s="493">
        <v>63249</v>
      </c>
      <c r="G1228" s="105" t="s">
        <v>33</v>
      </c>
      <c r="H1228" s="105" t="s">
        <v>342</v>
      </c>
      <c r="I1228" s="105" t="s">
        <v>334</v>
      </c>
      <c r="J1228" s="493">
        <v>22</v>
      </c>
      <c r="K1228" s="493">
        <v>2</v>
      </c>
      <c r="L1228" s="105" t="s">
        <v>343</v>
      </c>
      <c r="M1228" s="105" t="s">
        <v>655</v>
      </c>
      <c r="N1228" s="105" t="s">
        <v>656</v>
      </c>
      <c r="O1228" s="105" t="s">
        <v>656</v>
      </c>
      <c r="P1228" s="105" t="s">
        <v>339</v>
      </c>
      <c r="Q1228" s="494">
        <v>0</v>
      </c>
      <c r="R1228" s="494">
        <v>0</v>
      </c>
      <c r="S1228" s="494">
        <v>17827</v>
      </c>
      <c r="T1228" s="494">
        <v>17827</v>
      </c>
      <c r="U1228" s="494">
        <v>5225</v>
      </c>
      <c r="V1228" s="493">
        <v>2024</v>
      </c>
      <c r="W1228" s="495"/>
      <c r="X1228" s="496">
        <f t="shared" si="80"/>
        <v>3.4118660287081339</v>
      </c>
      <c r="Y1228" s="497" t="str">
        <f t="shared" ref="Y1228:Z1247" si="81">IF(AND($M1228=$Y$2,$N1228=$Y$3,NOT($Q1228=$R1228),NOT($U1228=0)),IF($K1228=5,$S1228/($U1228+(8/5)*$U1228),IF($K1228=7,$S1228/($U1228+(29/25)*$U1228),"")),"")</f>
        <v/>
      </c>
      <c r="Z1228" s="497" t="str">
        <f t="shared" si="81"/>
        <v/>
      </c>
    </row>
    <row r="1229" spans="1:26" s="82" customFormat="1" x14ac:dyDescent="0.4">
      <c r="A1229" s="493">
        <v>58411</v>
      </c>
      <c r="B1229" s="105" t="s">
        <v>329</v>
      </c>
      <c r="C1229" s="493" t="s">
        <v>330</v>
      </c>
      <c r="D1229" s="105" t="s">
        <v>1377</v>
      </c>
      <c r="E1229" s="105" t="s">
        <v>1375</v>
      </c>
      <c r="F1229" s="493">
        <v>63249</v>
      </c>
      <c r="G1229" s="105" t="s">
        <v>33</v>
      </c>
      <c r="H1229" s="105" t="s">
        <v>342</v>
      </c>
      <c r="I1229" s="105" t="s">
        <v>334</v>
      </c>
      <c r="J1229" s="493">
        <v>22</v>
      </c>
      <c r="K1229" s="493">
        <v>2</v>
      </c>
      <c r="L1229" s="105" t="s">
        <v>343</v>
      </c>
      <c r="M1229" s="105" t="s">
        <v>655</v>
      </c>
      <c r="N1229" s="105" t="s">
        <v>656</v>
      </c>
      <c r="O1229" s="105" t="s">
        <v>656</v>
      </c>
      <c r="P1229" s="105" t="s">
        <v>339</v>
      </c>
      <c r="Q1229" s="494">
        <v>0</v>
      </c>
      <c r="R1229" s="494">
        <v>0</v>
      </c>
      <c r="S1229" s="494">
        <v>8810</v>
      </c>
      <c r="T1229" s="494">
        <v>8810</v>
      </c>
      <c r="U1229" s="494">
        <v>2582</v>
      </c>
      <c r="V1229" s="493">
        <v>2024</v>
      </c>
      <c r="W1229" s="495"/>
      <c r="X1229" s="496">
        <f t="shared" si="80"/>
        <v>3.4120836560805579</v>
      </c>
      <c r="Y1229" s="497" t="str">
        <f t="shared" si="81"/>
        <v/>
      </c>
      <c r="Z1229" s="497" t="str">
        <f t="shared" si="81"/>
        <v/>
      </c>
    </row>
    <row r="1230" spans="1:26" s="82" customFormat="1" x14ac:dyDescent="0.4">
      <c r="A1230" s="493">
        <v>58412</v>
      </c>
      <c r="B1230" s="105" t="s">
        <v>329</v>
      </c>
      <c r="C1230" s="493" t="s">
        <v>330</v>
      </c>
      <c r="D1230" s="105" t="s">
        <v>1378</v>
      </c>
      <c r="E1230" s="105" t="s">
        <v>1375</v>
      </c>
      <c r="F1230" s="493">
        <v>63249</v>
      </c>
      <c r="G1230" s="105" t="s">
        <v>33</v>
      </c>
      <c r="H1230" s="105" t="s">
        <v>342</v>
      </c>
      <c r="I1230" s="105" t="s">
        <v>334</v>
      </c>
      <c r="J1230" s="493">
        <v>22</v>
      </c>
      <c r="K1230" s="493">
        <v>2</v>
      </c>
      <c r="L1230" s="105" t="s">
        <v>343</v>
      </c>
      <c r="M1230" s="105" t="s">
        <v>655</v>
      </c>
      <c r="N1230" s="105" t="s">
        <v>656</v>
      </c>
      <c r="O1230" s="105" t="s">
        <v>656</v>
      </c>
      <c r="P1230" s="105" t="s">
        <v>339</v>
      </c>
      <c r="Q1230" s="494">
        <v>0</v>
      </c>
      <c r="R1230" s="494">
        <v>0</v>
      </c>
      <c r="S1230" s="494">
        <v>4144</v>
      </c>
      <c r="T1230" s="494">
        <v>4144</v>
      </c>
      <c r="U1230" s="494">
        <v>1215</v>
      </c>
      <c r="V1230" s="493">
        <v>2024</v>
      </c>
      <c r="W1230" s="495"/>
      <c r="X1230" s="496">
        <f t="shared" si="80"/>
        <v>3.4106995884773661</v>
      </c>
      <c r="Y1230" s="497" t="str">
        <f t="shared" si="81"/>
        <v/>
      </c>
      <c r="Z1230" s="497" t="str">
        <f t="shared" si="81"/>
        <v/>
      </c>
    </row>
    <row r="1231" spans="1:26" s="82" customFormat="1" x14ac:dyDescent="0.4">
      <c r="A1231" s="493">
        <v>58423</v>
      </c>
      <c r="B1231" s="105" t="s">
        <v>329</v>
      </c>
      <c r="C1231" s="493" t="s">
        <v>330</v>
      </c>
      <c r="D1231" s="105" t="s">
        <v>1379</v>
      </c>
      <c r="E1231" s="105" t="s">
        <v>1375</v>
      </c>
      <c r="F1231" s="493">
        <v>63249</v>
      </c>
      <c r="G1231" s="105" t="s">
        <v>33</v>
      </c>
      <c r="H1231" s="105" t="s">
        <v>342</v>
      </c>
      <c r="I1231" s="105" t="s">
        <v>334</v>
      </c>
      <c r="J1231" s="493">
        <v>22</v>
      </c>
      <c r="K1231" s="493">
        <v>2</v>
      </c>
      <c r="L1231" s="105" t="s">
        <v>343</v>
      </c>
      <c r="M1231" s="105" t="s">
        <v>655</v>
      </c>
      <c r="N1231" s="105" t="s">
        <v>656</v>
      </c>
      <c r="O1231" s="105" t="s">
        <v>656</v>
      </c>
      <c r="P1231" s="105" t="s">
        <v>339</v>
      </c>
      <c r="Q1231" s="494">
        <v>0</v>
      </c>
      <c r="R1231" s="494">
        <v>0</v>
      </c>
      <c r="S1231" s="494">
        <v>14948</v>
      </c>
      <c r="T1231" s="494">
        <v>14948</v>
      </c>
      <c r="U1231" s="494">
        <v>4381</v>
      </c>
      <c r="V1231" s="493">
        <v>2024</v>
      </c>
      <c r="W1231" s="495"/>
      <c r="X1231" s="496">
        <f t="shared" si="80"/>
        <v>3.4120063912348777</v>
      </c>
      <c r="Y1231" s="497" t="str">
        <f t="shared" si="81"/>
        <v/>
      </c>
      <c r="Z1231" s="497" t="str">
        <f t="shared" si="81"/>
        <v/>
      </c>
    </row>
    <row r="1232" spans="1:26" s="82" customFormat="1" ht="32" x14ac:dyDescent="0.4">
      <c r="A1232" s="493">
        <v>58507</v>
      </c>
      <c r="B1232" s="105" t="s">
        <v>433</v>
      </c>
      <c r="C1232" s="493" t="s">
        <v>330</v>
      </c>
      <c r="D1232" s="105" t="s">
        <v>1380</v>
      </c>
      <c r="E1232" s="105" t="s">
        <v>1381</v>
      </c>
      <c r="F1232" s="493">
        <v>58487</v>
      </c>
      <c r="G1232" s="105" t="s">
        <v>52</v>
      </c>
      <c r="H1232" s="105" t="s">
        <v>333</v>
      </c>
      <c r="I1232" s="105" t="s">
        <v>334</v>
      </c>
      <c r="J1232" s="493">
        <v>622</v>
      </c>
      <c r="K1232" s="493">
        <v>5</v>
      </c>
      <c r="L1232" s="105" t="s">
        <v>771</v>
      </c>
      <c r="M1232" s="105" t="s">
        <v>295</v>
      </c>
      <c r="N1232" s="105" t="s">
        <v>226</v>
      </c>
      <c r="O1232" s="105" t="s">
        <v>226</v>
      </c>
      <c r="P1232" s="105" t="s">
        <v>350</v>
      </c>
      <c r="Q1232" s="494">
        <v>1447</v>
      </c>
      <c r="R1232" s="494">
        <v>1182</v>
      </c>
      <c r="S1232" s="494">
        <v>8507</v>
      </c>
      <c r="T1232" s="494">
        <v>6955</v>
      </c>
      <c r="U1232" s="494">
        <v>591.19399999999996</v>
      </c>
      <c r="V1232" s="493">
        <v>2024</v>
      </c>
      <c r="W1232" s="495"/>
      <c r="X1232" s="496" t="str">
        <f t="shared" si="80"/>
        <v/>
      </c>
      <c r="Y1232" s="497" t="str">
        <f t="shared" si="81"/>
        <v/>
      </c>
      <c r="Z1232" s="497" t="str">
        <f t="shared" si="81"/>
        <v/>
      </c>
    </row>
    <row r="1233" spans="1:26" s="82" customFormat="1" ht="32" x14ac:dyDescent="0.4">
      <c r="A1233" s="493">
        <v>58507</v>
      </c>
      <c r="B1233" s="105" t="s">
        <v>433</v>
      </c>
      <c r="C1233" s="493" t="s">
        <v>330</v>
      </c>
      <c r="D1233" s="105" t="s">
        <v>1380</v>
      </c>
      <c r="E1233" s="105" t="s">
        <v>1381</v>
      </c>
      <c r="F1233" s="493">
        <v>58487</v>
      </c>
      <c r="G1233" s="105" t="s">
        <v>52</v>
      </c>
      <c r="H1233" s="105" t="s">
        <v>333</v>
      </c>
      <c r="I1233" s="105" t="s">
        <v>334</v>
      </c>
      <c r="J1233" s="493">
        <v>622</v>
      </c>
      <c r="K1233" s="493">
        <v>5</v>
      </c>
      <c r="L1233" s="105" t="s">
        <v>771</v>
      </c>
      <c r="M1233" s="105" t="s">
        <v>295</v>
      </c>
      <c r="N1233" s="105" t="s">
        <v>228</v>
      </c>
      <c r="O1233" s="105" t="s">
        <v>228</v>
      </c>
      <c r="P1233" s="105" t="s">
        <v>356</v>
      </c>
      <c r="Q1233" s="494">
        <v>432500</v>
      </c>
      <c r="R1233" s="494">
        <v>353575</v>
      </c>
      <c r="S1233" s="494">
        <v>441151</v>
      </c>
      <c r="T1233" s="494">
        <v>360645</v>
      </c>
      <c r="U1233" s="494">
        <v>30652.806</v>
      </c>
      <c r="V1233" s="493">
        <v>2024</v>
      </c>
      <c r="W1233" s="495"/>
      <c r="X1233" s="496" t="str">
        <f t="shared" si="80"/>
        <v/>
      </c>
      <c r="Y1233" s="497">
        <f t="shared" si="81"/>
        <v>5.5353321173422607</v>
      </c>
      <c r="Z1233" s="497">
        <f t="shared" si="81"/>
        <v>5.5353321173422607</v>
      </c>
    </row>
    <row r="1234" spans="1:26" s="82" customFormat="1" ht="32" x14ac:dyDescent="0.4">
      <c r="A1234" s="493">
        <v>58507</v>
      </c>
      <c r="B1234" s="105" t="s">
        <v>433</v>
      </c>
      <c r="C1234" s="493" t="s">
        <v>330</v>
      </c>
      <c r="D1234" s="105" t="s">
        <v>1380</v>
      </c>
      <c r="E1234" s="105" t="s">
        <v>1381</v>
      </c>
      <c r="F1234" s="493">
        <v>58487</v>
      </c>
      <c r="G1234" s="105" t="s">
        <v>52</v>
      </c>
      <c r="H1234" s="105" t="s">
        <v>333</v>
      </c>
      <c r="I1234" s="105" t="s">
        <v>334</v>
      </c>
      <c r="J1234" s="493">
        <v>622</v>
      </c>
      <c r="K1234" s="493">
        <v>5</v>
      </c>
      <c r="L1234" s="105" t="s">
        <v>771</v>
      </c>
      <c r="M1234" s="105" t="s">
        <v>359</v>
      </c>
      <c r="N1234" s="105" t="s">
        <v>226</v>
      </c>
      <c r="O1234" s="105" t="s">
        <v>226</v>
      </c>
      <c r="P1234" s="105" t="s">
        <v>350</v>
      </c>
      <c r="Q1234" s="494">
        <v>3143</v>
      </c>
      <c r="R1234" s="494">
        <v>156</v>
      </c>
      <c r="S1234" s="494">
        <v>18480</v>
      </c>
      <c r="T1234" s="494">
        <v>918</v>
      </c>
      <c r="U1234" s="494">
        <v>78.069999999999993</v>
      </c>
      <c r="V1234" s="493">
        <v>2024</v>
      </c>
      <c r="W1234" s="495"/>
      <c r="X1234" s="496" t="str">
        <f t="shared" si="80"/>
        <v/>
      </c>
      <c r="Y1234" s="497" t="str">
        <f t="shared" si="81"/>
        <v/>
      </c>
      <c r="Z1234" s="497" t="str">
        <f t="shared" si="81"/>
        <v/>
      </c>
    </row>
    <row r="1235" spans="1:26" s="82" customFormat="1" ht="32" x14ac:dyDescent="0.4">
      <c r="A1235" s="493">
        <v>58507</v>
      </c>
      <c r="B1235" s="105" t="s">
        <v>433</v>
      </c>
      <c r="C1235" s="493" t="s">
        <v>330</v>
      </c>
      <c r="D1235" s="105" t="s">
        <v>1380</v>
      </c>
      <c r="E1235" s="105" t="s">
        <v>1381</v>
      </c>
      <c r="F1235" s="493">
        <v>58487</v>
      </c>
      <c r="G1235" s="105" t="s">
        <v>52</v>
      </c>
      <c r="H1235" s="105" t="s">
        <v>333</v>
      </c>
      <c r="I1235" s="105" t="s">
        <v>334</v>
      </c>
      <c r="J1235" s="493">
        <v>622</v>
      </c>
      <c r="K1235" s="493">
        <v>5</v>
      </c>
      <c r="L1235" s="105" t="s">
        <v>771</v>
      </c>
      <c r="M1235" s="105" t="s">
        <v>359</v>
      </c>
      <c r="N1235" s="105" t="s">
        <v>228</v>
      </c>
      <c r="O1235" s="105" t="s">
        <v>228</v>
      </c>
      <c r="P1235" s="105" t="s">
        <v>356</v>
      </c>
      <c r="Q1235" s="494">
        <v>139000</v>
      </c>
      <c r="R1235" s="494">
        <v>6908</v>
      </c>
      <c r="S1235" s="494">
        <v>141781</v>
      </c>
      <c r="T1235" s="494">
        <v>7046</v>
      </c>
      <c r="U1235" s="494">
        <v>598.92999999999995</v>
      </c>
      <c r="V1235" s="493">
        <v>2024</v>
      </c>
      <c r="W1235" s="495"/>
      <c r="X1235" s="496" t="str">
        <f t="shared" si="80"/>
        <v/>
      </c>
      <c r="Y1235" s="497" t="str">
        <f t="shared" si="81"/>
        <v/>
      </c>
      <c r="Z1235" s="497" t="str">
        <f t="shared" si="81"/>
        <v/>
      </c>
    </row>
    <row r="1236" spans="1:26" s="82" customFormat="1" x14ac:dyDescent="0.4">
      <c r="A1236" s="493">
        <v>58534</v>
      </c>
      <c r="B1236" s="105" t="s">
        <v>329</v>
      </c>
      <c r="C1236" s="493" t="s">
        <v>330</v>
      </c>
      <c r="D1236" s="105" t="s">
        <v>1382</v>
      </c>
      <c r="E1236" s="105" t="s">
        <v>1383</v>
      </c>
      <c r="F1236" s="493">
        <v>61944</v>
      </c>
      <c r="G1236" s="105" t="s">
        <v>33</v>
      </c>
      <c r="H1236" s="105" t="s">
        <v>342</v>
      </c>
      <c r="I1236" s="105" t="s">
        <v>334</v>
      </c>
      <c r="J1236" s="493">
        <v>22</v>
      </c>
      <c r="K1236" s="493">
        <v>2</v>
      </c>
      <c r="L1236" s="105" t="s">
        <v>343</v>
      </c>
      <c r="M1236" s="105" t="s">
        <v>655</v>
      </c>
      <c r="N1236" s="105" t="s">
        <v>656</v>
      </c>
      <c r="O1236" s="105" t="s">
        <v>656</v>
      </c>
      <c r="P1236" s="105" t="s">
        <v>339</v>
      </c>
      <c r="Q1236" s="494">
        <v>0</v>
      </c>
      <c r="R1236" s="494">
        <v>0</v>
      </c>
      <c r="S1236" s="494">
        <v>15834</v>
      </c>
      <c r="T1236" s="494">
        <v>15834</v>
      </c>
      <c r="U1236" s="494">
        <v>4641</v>
      </c>
      <c r="V1236" s="493">
        <v>2024</v>
      </c>
      <c r="W1236" s="495"/>
      <c r="X1236" s="496">
        <f t="shared" si="80"/>
        <v>3.4117647058823528</v>
      </c>
      <c r="Y1236" s="497" t="str">
        <f t="shared" si="81"/>
        <v/>
      </c>
      <c r="Z1236" s="497" t="str">
        <f t="shared" si="81"/>
        <v/>
      </c>
    </row>
    <row r="1237" spans="1:26" s="82" customFormat="1" x14ac:dyDescent="0.4">
      <c r="A1237" s="493">
        <v>58541</v>
      </c>
      <c r="B1237" s="105" t="s">
        <v>329</v>
      </c>
      <c r="C1237" s="493" t="s">
        <v>330</v>
      </c>
      <c r="D1237" s="105" t="s">
        <v>1384</v>
      </c>
      <c r="E1237" s="105" t="s">
        <v>1384</v>
      </c>
      <c r="F1237" s="493">
        <v>58511</v>
      </c>
      <c r="G1237" s="105" t="s">
        <v>36</v>
      </c>
      <c r="H1237" s="105" t="s">
        <v>342</v>
      </c>
      <c r="I1237" s="105" t="s">
        <v>334</v>
      </c>
      <c r="J1237" s="493">
        <v>22</v>
      </c>
      <c r="K1237" s="493">
        <v>2</v>
      </c>
      <c r="L1237" s="105" t="s">
        <v>343</v>
      </c>
      <c r="M1237" s="105" t="s">
        <v>655</v>
      </c>
      <c r="N1237" s="105" t="s">
        <v>656</v>
      </c>
      <c r="O1237" s="105" t="s">
        <v>656</v>
      </c>
      <c r="P1237" s="105" t="s">
        <v>339</v>
      </c>
      <c r="Q1237" s="494">
        <v>0</v>
      </c>
      <c r="R1237" s="494">
        <v>0</v>
      </c>
      <c r="S1237" s="494">
        <v>8625</v>
      </c>
      <c r="T1237" s="494">
        <v>8625</v>
      </c>
      <c r="U1237" s="494">
        <v>2528</v>
      </c>
      <c r="V1237" s="493">
        <v>2024</v>
      </c>
      <c r="W1237" s="495"/>
      <c r="X1237" s="496">
        <f t="shared" si="80"/>
        <v>3.4117879746835444</v>
      </c>
      <c r="Y1237" s="497" t="str">
        <f t="shared" si="81"/>
        <v/>
      </c>
      <c r="Z1237" s="497" t="str">
        <f t="shared" si="81"/>
        <v/>
      </c>
    </row>
    <row r="1238" spans="1:26" s="82" customFormat="1" ht="32" x14ac:dyDescent="0.4">
      <c r="A1238" s="493">
        <v>58550</v>
      </c>
      <c r="B1238" s="105" t="s">
        <v>329</v>
      </c>
      <c r="C1238" s="493" t="s">
        <v>330</v>
      </c>
      <c r="D1238" s="105" t="s">
        <v>1385</v>
      </c>
      <c r="E1238" s="105" t="s">
        <v>1386</v>
      </c>
      <c r="F1238" s="493">
        <v>58491</v>
      </c>
      <c r="G1238" s="105" t="s">
        <v>52</v>
      </c>
      <c r="H1238" s="105" t="s">
        <v>333</v>
      </c>
      <c r="I1238" s="105" t="s">
        <v>334</v>
      </c>
      <c r="J1238" s="493">
        <v>22</v>
      </c>
      <c r="K1238" s="493">
        <v>2</v>
      </c>
      <c r="L1238" s="105" t="s">
        <v>343</v>
      </c>
      <c r="M1238" s="105" t="s">
        <v>655</v>
      </c>
      <c r="N1238" s="105" t="s">
        <v>656</v>
      </c>
      <c r="O1238" s="105" t="s">
        <v>656</v>
      </c>
      <c r="P1238" s="105" t="s">
        <v>339</v>
      </c>
      <c r="Q1238" s="494">
        <v>0</v>
      </c>
      <c r="R1238" s="494">
        <v>0</v>
      </c>
      <c r="S1238" s="494">
        <v>9231</v>
      </c>
      <c r="T1238" s="494">
        <v>9231</v>
      </c>
      <c r="U1238" s="494">
        <v>2705</v>
      </c>
      <c r="V1238" s="493">
        <v>2024</v>
      </c>
      <c r="W1238" s="495"/>
      <c r="X1238" s="496">
        <f t="shared" si="80"/>
        <v>3.4125693160813309</v>
      </c>
      <c r="Y1238" s="497" t="str">
        <f t="shared" si="81"/>
        <v/>
      </c>
      <c r="Z1238" s="497" t="str">
        <f t="shared" si="81"/>
        <v/>
      </c>
    </row>
    <row r="1239" spans="1:26" s="82" customFormat="1" ht="32" x14ac:dyDescent="0.4">
      <c r="A1239" s="493">
        <v>58551</v>
      </c>
      <c r="B1239" s="105" t="s">
        <v>329</v>
      </c>
      <c r="C1239" s="493" t="s">
        <v>330</v>
      </c>
      <c r="D1239" s="105" t="s">
        <v>1387</v>
      </c>
      <c r="E1239" s="105" t="s">
        <v>1387</v>
      </c>
      <c r="F1239" s="493">
        <v>63130</v>
      </c>
      <c r="G1239" s="105" t="s">
        <v>37</v>
      </c>
      <c r="H1239" s="105" t="s">
        <v>342</v>
      </c>
      <c r="I1239" s="105" t="s">
        <v>334</v>
      </c>
      <c r="J1239" s="493">
        <v>22</v>
      </c>
      <c r="K1239" s="493">
        <v>2</v>
      </c>
      <c r="L1239" s="105" t="s">
        <v>343</v>
      </c>
      <c r="M1239" s="105" t="s">
        <v>990</v>
      </c>
      <c r="N1239" s="105" t="s">
        <v>228</v>
      </c>
      <c r="O1239" s="105" t="s">
        <v>228</v>
      </c>
      <c r="P1239" s="105" t="s">
        <v>356</v>
      </c>
      <c r="Q1239" s="494">
        <v>898850</v>
      </c>
      <c r="R1239" s="494">
        <v>898850</v>
      </c>
      <c r="S1239" s="494">
        <v>923120</v>
      </c>
      <c r="T1239" s="494">
        <v>923120</v>
      </c>
      <c r="U1239" s="494">
        <v>96770</v>
      </c>
      <c r="V1239" s="493">
        <v>2024</v>
      </c>
      <c r="W1239" s="495"/>
      <c r="X1239" s="496">
        <f t="shared" si="80"/>
        <v>9.5393200372016125</v>
      </c>
      <c r="Y1239" s="497" t="str">
        <f t="shared" si="81"/>
        <v/>
      </c>
      <c r="Z1239" s="497" t="str">
        <f t="shared" si="81"/>
        <v/>
      </c>
    </row>
    <row r="1240" spans="1:26" s="82" customFormat="1" x14ac:dyDescent="0.4">
      <c r="A1240" s="493">
        <v>58554</v>
      </c>
      <c r="B1240" s="105" t="s">
        <v>329</v>
      </c>
      <c r="C1240" s="493" t="s">
        <v>330</v>
      </c>
      <c r="D1240" s="105" t="s">
        <v>1388</v>
      </c>
      <c r="E1240" s="105" t="s">
        <v>1214</v>
      </c>
      <c r="F1240" s="493">
        <v>60453</v>
      </c>
      <c r="G1240" s="105" t="s">
        <v>37</v>
      </c>
      <c r="H1240" s="105" t="s">
        <v>342</v>
      </c>
      <c r="I1240" s="105" t="s">
        <v>334</v>
      </c>
      <c r="J1240" s="493">
        <v>22</v>
      </c>
      <c r="K1240" s="493">
        <v>2</v>
      </c>
      <c r="L1240" s="105" t="s">
        <v>343</v>
      </c>
      <c r="M1240" s="105" t="s">
        <v>655</v>
      </c>
      <c r="N1240" s="105" t="s">
        <v>656</v>
      </c>
      <c r="O1240" s="105" t="s">
        <v>656</v>
      </c>
      <c r="P1240" s="105" t="s">
        <v>339</v>
      </c>
      <c r="Q1240" s="494">
        <v>0</v>
      </c>
      <c r="R1240" s="494">
        <v>0</v>
      </c>
      <c r="S1240" s="494">
        <v>29325</v>
      </c>
      <c r="T1240" s="494">
        <v>29325</v>
      </c>
      <c r="U1240" s="494">
        <v>8595</v>
      </c>
      <c r="V1240" s="493">
        <v>2024</v>
      </c>
      <c r="W1240" s="495"/>
      <c r="X1240" s="496">
        <f t="shared" si="80"/>
        <v>3.411867364746946</v>
      </c>
      <c r="Y1240" s="497" t="str">
        <f t="shared" si="81"/>
        <v/>
      </c>
      <c r="Z1240" s="497" t="str">
        <f t="shared" si="81"/>
        <v/>
      </c>
    </row>
    <row r="1241" spans="1:26" s="82" customFormat="1" ht="32" x14ac:dyDescent="0.4">
      <c r="A1241" s="493">
        <v>58561</v>
      </c>
      <c r="B1241" s="105" t="s">
        <v>329</v>
      </c>
      <c r="C1241" s="493" t="s">
        <v>330</v>
      </c>
      <c r="D1241" s="105" t="s">
        <v>1389</v>
      </c>
      <c r="E1241" s="105" t="s">
        <v>1243</v>
      </c>
      <c r="F1241" s="493">
        <v>56769</v>
      </c>
      <c r="G1241" s="105" t="s">
        <v>33</v>
      </c>
      <c r="H1241" s="105" t="s">
        <v>342</v>
      </c>
      <c r="I1241" s="105" t="s">
        <v>334</v>
      </c>
      <c r="J1241" s="493">
        <v>22</v>
      </c>
      <c r="K1241" s="493">
        <v>2</v>
      </c>
      <c r="L1241" s="105" t="s">
        <v>343</v>
      </c>
      <c r="M1241" s="105" t="s">
        <v>655</v>
      </c>
      <c r="N1241" s="105" t="s">
        <v>656</v>
      </c>
      <c r="O1241" s="105" t="s">
        <v>656</v>
      </c>
      <c r="P1241" s="105" t="s">
        <v>339</v>
      </c>
      <c r="Q1241" s="494">
        <v>0</v>
      </c>
      <c r="R1241" s="494">
        <v>0</v>
      </c>
      <c r="S1241" s="494">
        <v>7829</v>
      </c>
      <c r="T1241" s="494">
        <v>7829</v>
      </c>
      <c r="U1241" s="494">
        <v>2294</v>
      </c>
      <c r="V1241" s="493">
        <v>2024</v>
      </c>
      <c r="W1241" s="495"/>
      <c r="X1241" s="496">
        <f t="shared" si="80"/>
        <v>3.4128160418482998</v>
      </c>
      <c r="Y1241" s="497" t="str">
        <f t="shared" si="81"/>
        <v/>
      </c>
      <c r="Z1241" s="497" t="str">
        <f t="shared" si="81"/>
        <v/>
      </c>
    </row>
    <row r="1242" spans="1:26" s="82" customFormat="1" ht="32" x14ac:dyDescent="0.4">
      <c r="A1242" s="493">
        <v>58568</v>
      </c>
      <c r="B1242" s="105" t="s">
        <v>329</v>
      </c>
      <c r="C1242" s="493" t="s">
        <v>330</v>
      </c>
      <c r="D1242" s="105" t="s">
        <v>1390</v>
      </c>
      <c r="E1242" s="105" t="s">
        <v>1266</v>
      </c>
      <c r="F1242" s="493">
        <v>56999</v>
      </c>
      <c r="G1242" s="105" t="s">
        <v>33</v>
      </c>
      <c r="H1242" s="105" t="s">
        <v>342</v>
      </c>
      <c r="I1242" s="105" t="s">
        <v>334</v>
      </c>
      <c r="J1242" s="493">
        <v>22</v>
      </c>
      <c r="K1242" s="493">
        <v>1</v>
      </c>
      <c r="L1242" s="105" t="s">
        <v>335</v>
      </c>
      <c r="M1242" s="105" t="s">
        <v>655</v>
      </c>
      <c r="N1242" s="105" t="s">
        <v>656</v>
      </c>
      <c r="O1242" s="105" t="s">
        <v>656</v>
      </c>
      <c r="P1242" s="105" t="s">
        <v>339</v>
      </c>
      <c r="Q1242" s="494">
        <v>0</v>
      </c>
      <c r="R1242" s="494">
        <v>0</v>
      </c>
      <c r="S1242" s="494">
        <v>9523</v>
      </c>
      <c r="T1242" s="494">
        <v>9523</v>
      </c>
      <c r="U1242" s="494">
        <v>2791</v>
      </c>
      <c r="V1242" s="493">
        <v>2024</v>
      </c>
      <c r="W1242" s="495"/>
      <c r="X1242" s="496">
        <f t="shared" si="80"/>
        <v>3.4120386958079543</v>
      </c>
      <c r="Y1242" s="497" t="str">
        <f t="shared" si="81"/>
        <v/>
      </c>
      <c r="Z1242" s="497" t="str">
        <f t="shared" si="81"/>
        <v/>
      </c>
    </row>
    <row r="1243" spans="1:26" s="82" customFormat="1" ht="32" x14ac:dyDescent="0.4">
      <c r="A1243" s="493">
        <v>58583</v>
      </c>
      <c r="B1243" s="105" t="s">
        <v>329</v>
      </c>
      <c r="C1243" s="493" t="s">
        <v>330</v>
      </c>
      <c r="D1243" s="105" t="s">
        <v>1391</v>
      </c>
      <c r="E1243" s="105" t="s">
        <v>1313</v>
      </c>
      <c r="F1243" s="493">
        <v>60281</v>
      </c>
      <c r="G1243" s="105" t="s">
        <v>38</v>
      </c>
      <c r="H1243" s="105" t="s">
        <v>342</v>
      </c>
      <c r="I1243" s="105" t="s">
        <v>334</v>
      </c>
      <c r="J1243" s="493">
        <v>22</v>
      </c>
      <c r="K1243" s="493">
        <v>2</v>
      </c>
      <c r="L1243" s="105" t="s">
        <v>343</v>
      </c>
      <c r="M1243" s="105" t="s">
        <v>655</v>
      </c>
      <c r="N1243" s="105" t="s">
        <v>656</v>
      </c>
      <c r="O1243" s="105" t="s">
        <v>656</v>
      </c>
      <c r="P1243" s="105" t="s">
        <v>339</v>
      </c>
      <c r="Q1243" s="494">
        <v>0</v>
      </c>
      <c r="R1243" s="494">
        <v>0</v>
      </c>
      <c r="S1243" s="494">
        <v>12201</v>
      </c>
      <c r="T1243" s="494">
        <v>12201</v>
      </c>
      <c r="U1243" s="494">
        <v>3576</v>
      </c>
      <c r="V1243" s="493">
        <v>2024</v>
      </c>
      <c r="W1243" s="495"/>
      <c r="X1243" s="496">
        <f t="shared" si="80"/>
        <v>3.4119127516778525</v>
      </c>
      <c r="Y1243" s="497" t="str">
        <f t="shared" si="81"/>
        <v/>
      </c>
      <c r="Z1243" s="497" t="str">
        <f t="shared" si="81"/>
        <v/>
      </c>
    </row>
    <row r="1244" spans="1:26" s="82" customFormat="1" x14ac:dyDescent="0.4">
      <c r="A1244" s="493">
        <v>58586</v>
      </c>
      <c r="B1244" s="105" t="s">
        <v>329</v>
      </c>
      <c r="C1244" s="493" t="s">
        <v>330</v>
      </c>
      <c r="D1244" s="105" t="s">
        <v>1392</v>
      </c>
      <c r="E1244" s="105" t="s">
        <v>1393</v>
      </c>
      <c r="F1244" s="493">
        <v>57313</v>
      </c>
      <c r="G1244" s="105" t="s">
        <v>33</v>
      </c>
      <c r="H1244" s="105" t="s">
        <v>342</v>
      </c>
      <c r="I1244" s="105" t="s">
        <v>334</v>
      </c>
      <c r="J1244" s="493">
        <v>22</v>
      </c>
      <c r="K1244" s="493">
        <v>2</v>
      </c>
      <c r="L1244" s="105" t="s">
        <v>343</v>
      </c>
      <c r="M1244" s="105" t="s">
        <v>655</v>
      </c>
      <c r="N1244" s="105" t="s">
        <v>656</v>
      </c>
      <c r="O1244" s="105" t="s">
        <v>656</v>
      </c>
      <c r="P1244" s="105" t="s">
        <v>339</v>
      </c>
      <c r="Q1244" s="494">
        <v>0</v>
      </c>
      <c r="R1244" s="494">
        <v>0</v>
      </c>
      <c r="S1244" s="494">
        <v>4689</v>
      </c>
      <c r="T1244" s="494">
        <v>4689</v>
      </c>
      <c r="U1244" s="494">
        <v>1374</v>
      </c>
      <c r="V1244" s="493">
        <v>2024</v>
      </c>
      <c r="W1244" s="495"/>
      <c r="X1244" s="496">
        <f t="shared" si="80"/>
        <v>3.4126637554585151</v>
      </c>
      <c r="Y1244" s="497" t="str">
        <f t="shared" si="81"/>
        <v/>
      </c>
      <c r="Z1244" s="497" t="str">
        <f t="shared" si="81"/>
        <v/>
      </c>
    </row>
    <row r="1245" spans="1:26" s="82" customFormat="1" ht="32" x14ac:dyDescent="0.4">
      <c r="A1245" s="493">
        <v>58608</v>
      </c>
      <c r="B1245" s="105" t="s">
        <v>329</v>
      </c>
      <c r="C1245" s="493" t="s">
        <v>330</v>
      </c>
      <c r="D1245" s="105" t="s">
        <v>1394</v>
      </c>
      <c r="E1245" s="105" t="s">
        <v>1395</v>
      </c>
      <c r="F1245" s="493">
        <v>58565</v>
      </c>
      <c r="G1245" s="105" t="s">
        <v>34</v>
      </c>
      <c r="H1245" s="105" t="s">
        <v>342</v>
      </c>
      <c r="I1245" s="105" t="s">
        <v>334</v>
      </c>
      <c r="J1245" s="493">
        <v>22</v>
      </c>
      <c r="K1245" s="493">
        <v>2</v>
      </c>
      <c r="L1245" s="105" t="s">
        <v>343</v>
      </c>
      <c r="M1245" s="105" t="s">
        <v>695</v>
      </c>
      <c r="N1245" s="105" t="s">
        <v>696</v>
      </c>
      <c r="O1245" s="105" t="s">
        <v>696</v>
      </c>
      <c r="P1245" s="105" t="s">
        <v>339</v>
      </c>
      <c r="Q1245" s="494">
        <v>0</v>
      </c>
      <c r="R1245" s="494">
        <v>0</v>
      </c>
      <c r="S1245" s="494">
        <v>282800</v>
      </c>
      <c r="T1245" s="494">
        <v>282800</v>
      </c>
      <c r="U1245" s="494">
        <v>82884</v>
      </c>
      <c r="V1245" s="493">
        <v>2024</v>
      </c>
      <c r="W1245" s="495"/>
      <c r="X1245" s="496">
        <f t="shared" si="80"/>
        <v>3.4119974904686066</v>
      </c>
      <c r="Y1245" s="497" t="str">
        <f t="shared" si="81"/>
        <v/>
      </c>
      <c r="Z1245" s="497" t="str">
        <f t="shared" si="81"/>
        <v/>
      </c>
    </row>
    <row r="1246" spans="1:26" s="82" customFormat="1" ht="32" x14ac:dyDescent="0.4">
      <c r="A1246" s="493">
        <v>58620</v>
      </c>
      <c r="B1246" s="105" t="s">
        <v>329</v>
      </c>
      <c r="C1246" s="493" t="s">
        <v>330</v>
      </c>
      <c r="D1246" s="105" t="s">
        <v>1396</v>
      </c>
      <c r="E1246" s="105" t="s">
        <v>1397</v>
      </c>
      <c r="F1246" s="493">
        <v>58574</v>
      </c>
      <c r="G1246" s="105" t="s">
        <v>34</v>
      </c>
      <c r="H1246" s="105" t="s">
        <v>342</v>
      </c>
      <c r="I1246" s="105" t="s">
        <v>334</v>
      </c>
      <c r="J1246" s="493">
        <v>22</v>
      </c>
      <c r="K1246" s="493">
        <v>2</v>
      </c>
      <c r="L1246" s="105" t="s">
        <v>343</v>
      </c>
      <c r="M1246" s="105" t="s">
        <v>695</v>
      </c>
      <c r="N1246" s="105" t="s">
        <v>696</v>
      </c>
      <c r="O1246" s="105" t="s">
        <v>696</v>
      </c>
      <c r="P1246" s="105" t="s">
        <v>339</v>
      </c>
      <c r="Q1246" s="494">
        <v>0</v>
      </c>
      <c r="R1246" s="494">
        <v>0</v>
      </c>
      <c r="S1246" s="494">
        <v>172436</v>
      </c>
      <c r="T1246" s="494">
        <v>172436</v>
      </c>
      <c r="U1246" s="494">
        <v>50538</v>
      </c>
      <c r="V1246" s="493">
        <v>2024</v>
      </c>
      <c r="W1246" s="495"/>
      <c r="X1246" s="496">
        <f t="shared" si="80"/>
        <v>3.4120068067592704</v>
      </c>
      <c r="Y1246" s="497" t="str">
        <f t="shared" si="81"/>
        <v/>
      </c>
      <c r="Z1246" s="497" t="str">
        <f t="shared" si="81"/>
        <v/>
      </c>
    </row>
    <row r="1247" spans="1:26" s="82" customFormat="1" x14ac:dyDescent="0.4">
      <c r="A1247" s="493">
        <v>58624</v>
      </c>
      <c r="B1247" s="105" t="s">
        <v>329</v>
      </c>
      <c r="C1247" s="493" t="s">
        <v>330</v>
      </c>
      <c r="D1247" s="105" t="s">
        <v>1398</v>
      </c>
      <c r="E1247" s="105" t="s">
        <v>1399</v>
      </c>
      <c r="F1247" s="493">
        <v>58578</v>
      </c>
      <c r="G1247" s="105" t="s">
        <v>33</v>
      </c>
      <c r="H1247" s="105" t="s">
        <v>342</v>
      </c>
      <c r="I1247" s="105" t="s">
        <v>334</v>
      </c>
      <c r="J1247" s="493">
        <v>22</v>
      </c>
      <c r="K1247" s="493">
        <v>2</v>
      </c>
      <c r="L1247" s="105" t="s">
        <v>343</v>
      </c>
      <c r="M1247" s="105" t="s">
        <v>655</v>
      </c>
      <c r="N1247" s="105" t="s">
        <v>656</v>
      </c>
      <c r="O1247" s="105" t="s">
        <v>656</v>
      </c>
      <c r="P1247" s="105" t="s">
        <v>339</v>
      </c>
      <c r="Q1247" s="494">
        <v>0</v>
      </c>
      <c r="R1247" s="494">
        <v>0</v>
      </c>
      <c r="S1247" s="494">
        <v>8145</v>
      </c>
      <c r="T1247" s="494">
        <v>8145</v>
      </c>
      <c r="U1247" s="494">
        <v>2387</v>
      </c>
      <c r="V1247" s="493">
        <v>2024</v>
      </c>
      <c r="W1247" s="495"/>
      <c r="X1247" s="496">
        <f t="shared" si="80"/>
        <v>3.4122329283619606</v>
      </c>
      <c r="Y1247" s="497" t="str">
        <f t="shared" si="81"/>
        <v/>
      </c>
      <c r="Z1247" s="497" t="str">
        <f t="shared" si="81"/>
        <v/>
      </c>
    </row>
    <row r="1248" spans="1:26" s="82" customFormat="1" ht="32" x14ac:dyDescent="0.4">
      <c r="A1248" s="493">
        <v>58647</v>
      </c>
      <c r="B1248" s="105" t="s">
        <v>329</v>
      </c>
      <c r="C1248" s="493" t="s">
        <v>330</v>
      </c>
      <c r="D1248" s="105" t="s">
        <v>1400</v>
      </c>
      <c r="E1248" s="105" t="s">
        <v>1295</v>
      </c>
      <c r="F1248" s="493">
        <v>57365</v>
      </c>
      <c r="G1248" s="105" t="s">
        <v>52</v>
      </c>
      <c r="H1248" s="105" t="s">
        <v>333</v>
      </c>
      <c r="I1248" s="105" t="s">
        <v>334</v>
      </c>
      <c r="J1248" s="493">
        <v>22</v>
      </c>
      <c r="K1248" s="493">
        <v>2</v>
      </c>
      <c r="L1248" s="105" t="s">
        <v>343</v>
      </c>
      <c r="M1248" s="105" t="s">
        <v>655</v>
      </c>
      <c r="N1248" s="105" t="s">
        <v>656</v>
      </c>
      <c r="O1248" s="105" t="s">
        <v>656</v>
      </c>
      <c r="P1248" s="105" t="s">
        <v>339</v>
      </c>
      <c r="Q1248" s="494">
        <v>0</v>
      </c>
      <c r="R1248" s="494">
        <v>0</v>
      </c>
      <c r="S1248" s="494">
        <v>4839</v>
      </c>
      <c r="T1248" s="494">
        <v>4839</v>
      </c>
      <c r="U1248" s="494">
        <v>1418</v>
      </c>
      <c r="V1248" s="493">
        <v>2024</v>
      </c>
      <c r="W1248" s="495"/>
      <c r="X1248" s="496">
        <f t="shared" si="80"/>
        <v>3.412552891396333</v>
      </c>
      <c r="Y1248" s="497" t="str">
        <f t="shared" ref="Y1248:Z1267" si="82">IF(AND($M1248=$Y$2,$N1248=$Y$3,NOT($Q1248=$R1248),NOT($U1248=0)),IF($K1248=5,$S1248/($U1248+(8/5)*$U1248),IF($K1248=7,$S1248/($U1248+(29/25)*$U1248),"")),"")</f>
        <v/>
      </c>
      <c r="Z1248" s="497" t="str">
        <f t="shared" si="82"/>
        <v/>
      </c>
    </row>
    <row r="1249" spans="1:26" s="82" customFormat="1" x14ac:dyDescent="0.4">
      <c r="A1249" s="493">
        <v>58650</v>
      </c>
      <c r="B1249" s="105" t="s">
        <v>329</v>
      </c>
      <c r="C1249" s="493" t="s">
        <v>330</v>
      </c>
      <c r="D1249" s="105" t="s">
        <v>1401</v>
      </c>
      <c r="E1249" s="105" t="s">
        <v>1365</v>
      </c>
      <c r="F1249" s="493">
        <v>58598</v>
      </c>
      <c r="G1249" s="105" t="s">
        <v>33</v>
      </c>
      <c r="H1249" s="105" t="s">
        <v>342</v>
      </c>
      <c r="I1249" s="105" t="s">
        <v>334</v>
      </c>
      <c r="J1249" s="493">
        <v>22</v>
      </c>
      <c r="K1249" s="493">
        <v>2</v>
      </c>
      <c r="L1249" s="105" t="s">
        <v>343</v>
      </c>
      <c r="M1249" s="105" t="s">
        <v>655</v>
      </c>
      <c r="N1249" s="105" t="s">
        <v>656</v>
      </c>
      <c r="O1249" s="105" t="s">
        <v>656</v>
      </c>
      <c r="P1249" s="105" t="s">
        <v>339</v>
      </c>
      <c r="Q1249" s="494">
        <v>0</v>
      </c>
      <c r="R1249" s="494">
        <v>0</v>
      </c>
      <c r="S1249" s="494">
        <v>14311</v>
      </c>
      <c r="T1249" s="494">
        <v>14311</v>
      </c>
      <c r="U1249" s="494">
        <v>4194</v>
      </c>
      <c r="V1249" s="493">
        <v>2024</v>
      </c>
      <c r="W1249" s="495"/>
      <c r="X1249" s="496">
        <f t="shared" si="80"/>
        <v>3.4122556032427278</v>
      </c>
      <c r="Y1249" s="497" t="str">
        <f t="shared" si="82"/>
        <v/>
      </c>
      <c r="Z1249" s="497" t="str">
        <f t="shared" si="82"/>
        <v/>
      </c>
    </row>
    <row r="1250" spans="1:26" s="82" customFormat="1" ht="32" x14ac:dyDescent="0.4">
      <c r="A1250" s="493">
        <v>58661</v>
      </c>
      <c r="B1250" s="105" t="s">
        <v>329</v>
      </c>
      <c r="C1250" s="493" t="s">
        <v>330</v>
      </c>
      <c r="D1250" s="105" t="s">
        <v>1402</v>
      </c>
      <c r="E1250" s="105" t="s">
        <v>1403</v>
      </c>
      <c r="F1250" s="493">
        <v>58604</v>
      </c>
      <c r="G1250" s="105" t="s">
        <v>33</v>
      </c>
      <c r="H1250" s="105" t="s">
        <v>342</v>
      </c>
      <c r="I1250" s="105" t="s">
        <v>334</v>
      </c>
      <c r="J1250" s="493">
        <v>928</v>
      </c>
      <c r="K1250" s="493">
        <v>4</v>
      </c>
      <c r="L1250" s="105" t="s">
        <v>766</v>
      </c>
      <c r="M1250" s="105" t="s">
        <v>695</v>
      </c>
      <c r="N1250" s="105" t="s">
        <v>696</v>
      </c>
      <c r="O1250" s="105" t="s">
        <v>696</v>
      </c>
      <c r="P1250" s="105" t="s">
        <v>339</v>
      </c>
      <c r="Q1250" s="494">
        <v>0</v>
      </c>
      <c r="R1250" s="494">
        <v>0</v>
      </c>
      <c r="S1250" s="494">
        <v>15845</v>
      </c>
      <c r="T1250" s="494">
        <v>15845</v>
      </c>
      <c r="U1250" s="494">
        <v>4631</v>
      </c>
      <c r="V1250" s="493">
        <v>2024</v>
      </c>
      <c r="W1250" s="495"/>
      <c r="X1250" s="496" t="str">
        <f t="shared" si="80"/>
        <v/>
      </c>
      <c r="Y1250" s="497" t="str">
        <f t="shared" si="82"/>
        <v/>
      </c>
      <c r="Z1250" s="497" t="str">
        <f t="shared" si="82"/>
        <v/>
      </c>
    </row>
    <row r="1251" spans="1:26" s="82" customFormat="1" ht="32" x14ac:dyDescent="0.4">
      <c r="A1251" s="493">
        <v>58664</v>
      </c>
      <c r="B1251" s="105" t="s">
        <v>329</v>
      </c>
      <c r="C1251" s="493" t="s">
        <v>330</v>
      </c>
      <c r="D1251" s="105" t="s">
        <v>1404</v>
      </c>
      <c r="E1251" s="105" t="s">
        <v>1405</v>
      </c>
      <c r="F1251" s="493">
        <v>58607</v>
      </c>
      <c r="G1251" s="105" t="s">
        <v>37</v>
      </c>
      <c r="H1251" s="105" t="s">
        <v>342</v>
      </c>
      <c r="I1251" s="105" t="s">
        <v>334</v>
      </c>
      <c r="J1251" s="493">
        <v>311</v>
      </c>
      <c r="K1251" s="493">
        <v>6</v>
      </c>
      <c r="L1251" s="105" t="s">
        <v>729</v>
      </c>
      <c r="M1251" s="105" t="s">
        <v>295</v>
      </c>
      <c r="N1251" s="105" t="s">
        <v>228</v>
      </c>
      <c r="O1251" s="105" t="s">
        <v>228</v>
      </c>
      <c r="P1251" s="105" t="s">
        <v>356</v>
      </c>
      <c r="Q1251" s="494">
        <v>375420</v>
      </c>
      <c r="R1251" s="494">
        <v>375420</v>
      </c>
      <c r="S1251" s="494">
        <v>385932</v>
      </c>
      <c r="T1251" s="494">
        <v>385932</v>
      </c>
      <c r="U1251" s="494">
        <v>24122.7</v>
      </c>
      <c r="V1251" s="493">
        <v>2024</v>
      </c>
      <c r="W1251" s="495"/>
      <c r="X1251" s="496" t="str">
        <f t="shared" si="80"/>
        <v/>
      </c>
      <c r="Y1251" s="497" t="str">
        <f t="shared" si="82"/>
        <v/>
      </c>
      <c r="Z1251" s="497" t="str">
        <f t="shared" si="82"/>
        <v/>
      </c>
    </row>
    <row r="1252" spans="1:26" s="82" customFormat="1" ht="32" x14ac:dyDescent="0.4">
      <c r="A1252" s="493">
        <v>58678</v>
      </c>
      <c r="B1252" s="105" t="s">
        <v>329</v>
      </c>
      <c r="C1252" s="493" t="s">
        <v>330</v>
      </c>
      <c r="D1252" s="105" t="s">
        <v>1406</v>
      </c>
      <c r="E1252" s="105" t="s">
        <v>520</v>
      </c>
      <c r="F1252" s="493">
        <v>5914</v>
      </c>
      <c r="G1252" s="105" t="s">
        <v>52</v>
      </c>
      <c r="H1252" s="105" t="s">
        <v>333</v>
      </c>
      <c r="I1252" s="105" t="s">
        <v>334</v>
      </c>
      <c r="J1252" s="493">
        <v>22</v>
      </c>
      <c r="K1252" s="493">
        <v>2</v>
      </c>
      <c r="L1252" s="105" t="s">
        <v>343</v>
      </c>
      <c r="M1252" s="105" t="s">
        <v>336</v>
      </c>
      <c r="N1252" s="105" t="s">
        <v>337</v>
      </c>
      <c r="O1252" s="105" t="s">
        <v>338</v>
      </c>
      <c r="P1252" s="105" t="s">
        <v>339</v>
      </c>
      <c r="Q1252" s="494">
        <v>0</v>
      </c>
      <c r="R1252" s="494">
        <v>0</v>
      </c>
      <c r="S1252" s="494">
        <v>29050</v>
      </c>
      <c r="T1252" s="494">
        <v>29050</v>
      </c>
      <c r="U1252" s="494">
        <v>8514</v>
      </c>
      <c r="V1252" s="493">
        <v>2024</v>
      </c>
      <c r="W1252" s="495"/>
      <c r="X1252" s="496">
        <f t="shared" si="80"/>
        <v>3.4120272492365515</v>
      </c>
      <c r="Y1252" s="497" t="str">
        <f t="shared" si="82"/>
        <v/>
      </c>
      <c r="Z1252" s="497" t="str">
        <f t="shared" si="82"/>
        <v/>
      </c>
    </row>
    <row r="1253" spans="1:26" s="82" customFormat="1" ht="32" x14ac:dyDescent="0.4">
      <c r="A1253" s="493">
        <v>58679</v>
      </c>
      <c r="B1253" s="105" t="s">
        <v>329</v>
      </c>
      <c r="C1253" s="493" t="s">
        <v>330</v>
      </c>
      <c r="D1253" s="105" t="s">
        <v>1407</v>
      </c>
      <c r="E1253" s="105" t="s">
        <v>520</v>
      </c>
      <c r="F1253" s="493">
        <v>5914</v>
      </c>
      <c r="G1253" s="105" t="s">
        <v>52</v>
      </c>
      <c r="H1253" s="105" t="s">
        <v>333</v>
      </c>
      <c r="I1253" s="105" t="s">
        <v>334</v>
      </c>
      <c r="J1253" s="493">
        <v>22</v>
      </c>
      <c r="K1253" s="493">
        <v>2</v>
      </c>
      <c r="L1253" s="105" t="s">
        <v>343</v>
      </c>
      <c r="M1253" s="105" t="s">
        <v>336</v>
      </c>
      <c r="N1253" s="105" t="s">
        <v>337</v>
      </c>
      <c r="O1253" s="105" t="s">
        <v>338</v>
      </c>
      <c r="P1253" s="105" t="s">
        <v>339</v>
      </c>
      <c r="Q1253" s="494">
        <v>0</v>
      </c>
      <c r="R1253" s="494">
        <v>0</v>
      </c>
      <c r="S1253" s="494">
        <v>21738</v>
      </c>
      <c r="T1253" s="494">
        <v>21738</v>
      </c>
      <c r="U1253" s="494">
        <v>6371</v>
      </c>
      <c r="V1253" s="493">
        <v>2024</v>
      </c>
      <c r="W1253" s="495"/>
      <c r="X1253" s="496">
        <f t="shared" si="80"/>
        <v>3.4120232302621254</v>
      </c>
      <c r="Y1253" s="497" t="str">
        <f t="shared" si="82"/>
        <v/>
      </c>
      <c r="Z1253" s="497" t="str">
        <f t="shared" si="82"/>
        <v/>
      </c>
    </row>
    <row r="1254" spans="1:26" s="82" customFormat="1" x14ac:dyDescent="0.4">
      <c r="A1254" s="493">
        <v>58680</v>
      </c>
      <c r="B1254" s="105" t="s">
        <v>329</v>
      </c>
      <c r="C1254" s="493" t="s">
        <v>330</v>
      </c>
      <c r="D1254" s="105" t="s">
        <v>1408</v>
      </c>
      <c r="E1254" s="105" t="s">
        <v>1365</v>
      </c>
      <c r="F1254" s="493">
        <v>58598</v>
      </c>
      <c r="G1254" s="105" t="s">
        <v>33</v>
      </c>
      <c r="H1254" s="105" t="s">
        <v>342</v>
      </c>
      <c r="I1254" s="105" t="s">
        <v>334</v>
      </c>
      <c r="J1254" s="493">
        <v>22</v>
      </c>
      <c r="K1254" s="493">
        <v>2</v>
      </c>
      <c r="L1254" s="105" t="s">
        <v>343</v>
      </c>
      <c r="M1254" s="105" t="s">
        <v>655</v>
      </c>
      <c r="N1254" s="105" t="s">
        <v>656</v>
      </c>
      <c r="O1254" s="105" t="s">
        <v>656</v>
      </c>
      <c r="P1254" s="105" t="s">
        <v>339</v>
      </c>
      <c r="Q1254" s="494">
        <v>0</v>
      </c>
      <c r="R1254" s="494">
        <v>0</v>
      </c>
      <c r="S1254" s="494">
        <v>5347</v>
      </c>
      <c r="T1254" s="494">
        <v>5347</v>
      </c>
      <c r="U1254" s="494">
        <v>1567</v>
      </c>
      <c r="V1254" s="493">
        <v>2024</v>
      </c>
      <c r="W1254" s="495"/>
      <c r="X1254" s="496">
        <f t="shared" si="80"/>
        <v>3.4122527121888959</v>
      </c>
      <c r="Y1254" s="497" t="str">
        <f t="shared" si="82"/>
        <v/>
      </c>
      <c r="Z1254" s="497" t="str">
        <f t="shared" si="82"/>
        <v/>
      </c>
    </row>
    <row r="1255" spans="1:26" s="82" customFormat="1" x14ac:dyDescent="0.4">
      <c r="A1255" s="493">
        <v>58682</v>
      </c>
      <c r="B1255" s="105" t="s">
        <v>329</v>
      </c>
      <c r="C1255" s="493" t="s">
        <v>330</v>
      </c>
      <c r="D1255" s="105" t="s">
        <v>1409</v>
      </c>
      <c r="E1255" s="105" t="s">
        <v>1365</v>
      </c>
      <c r="F1255" s="493">
        <v>58598</v>
      </c>
      <c r="G1255" s="105" t="s">
        <v>33</v>
      </c>
      <c r="H1255" s="105" t="s">
        <v>342</v>
      </c>
      <c r="I1255" s="105" t="s">
        <v>334</v>
      </c>
      <c r="J1255" s="493">
        <v>22</v>
      </c>
      <c r="K1255" s="493">
        <v>2</v>
      </c>
      <c r="L1255" s="105" t="s">
        <v>343</v>
      </c>
      <c r="M1255" s="105" t="s">
        <v>655</v>
      </c>
      <c r="N1255" s="105" t="s">
        <v>656</v>
      </c>
      <c r="O1255" s="105" t="s">
        <v>656</v>
      </c>
      <c r="P1255" s="105" t="s">
        <v>339</v>
      </c>
      <c r="Q1255" s="494">
        <v>0</v>
      </c>
      <c r="R1255" s="494">
        <v>0</v>
      </c>
      <c r="S1255" s="494">
        <v>26803</v>
      </c>
      <c r="T1255" s="494">
        <v>26803</v>
      </c>
      <c r="U1255" s="494">
        <v>7855</v>
      </c>
      <c r="V1255" s="493">
        <v>2024</v>
      </c>
      <c r="W1255" s="495"/>
      <c r="X1255" s="496">
        <f t="shared" si="80"/>
        <v>3.4122215149586252</v>
      </c>
      <c r="Y1255" s="497" t="str">
        <f t="shared" si="82"/>
        <v/>
      </c>
      <c r="Z1255" s="497" t="str">
        <f t="shared" si="82"/>
        <v/>
      </c>
    </row>
    <row r="1256" spans="1:26" s="82" customFormat="1" x14ac:dyDescent="0.4">
      <c r="A1256" s="493">
        <v>58686</v>
      </c>
      <c r="B1256" s="105" t="s">
        <v>329</v>
      </c>
      <c r="C1256" s="493" t="s">
        <v>330</v>
      </c>
      <c r="D1256" s="105" t="s">
        <v>1410</v>
      </c>
      <c r="E1256" s="105" t="s">
        <v>1214</v>
      </c>
      <c r="F1256" s="493">
        <v>60453</v>
      </c>
      <c r="G1256" s="105" t="s">
        <v>34</v>
      </c>
      <c r="H1256" s="105" t="s">
        <v>342</v>
      </c>
      <c r="I1256" s="105" t="s">
        <v>334</v>
      </c>
      <c r="J1256" s="493">
        <v>22</v>
      </c>
      <c r="K1256" s="493">
        <v>2</v>
      </c>
      <c r="L1256" s="105" t="s">
        <v>343</v>
      </c>
      <c r="M1256" s="105" t="s">
        <v>695</v>
      </c>
      <c r="N1256" s="105" t="s">
        <v>696</v>
      </c>
      <c r="O1256" s="105" t="s">
        <v>696</v>
      </c>
      <c r="P1256" s="105" t="s">
        <v>339</v>
      </c>
      <c r="Q1256" s="494">
        <v>0</v>
      </c>
      <c r="R1256" s="494">
        <v>0</v>
      </c>
      <c r="S1256" s="494">
        <v>400047</v>
      </c>
      <c r="T1256" s="494">
        <v>400047</v>
      </c>
      <c r="U1256" s="494">
        <v>117247</v>
      </c>
      <c r="V1256" s="493">
        <v>2024</v>
      </c>
      <c r="W1256" s="495"/>
      <c r="X1256" s="496">
        <f t="shared" si="80"/>
        <v>3.4120020128446784</v>
      </c>
      <c r="Y1256" s="497" t="str">
        <f t="shared" si="82"/>
        <v/>
      </c>
      <c r="Z1256" s="497" t="str">
        <f t="shared" si="82"/>
        <v/>
      </c>
    </row>
    <row r="1257" spans="1:26" s="82" customFormat="1" ht="32" x14ac:dyDescent="0.4">
      <c r="A1257" s="493">
        <v>58702</v>
      </c>
      <c r="B1257" s="105" t="s">
        <v>329</v>
      </c>
      <c r="C1257" s="493" t="s">
        <v>330</v>
      </c>
      <c r="D1257" s="105" t="s">
        <v>1411</v>
      </c>
      <c r="E1257" s="105" t="s">
        <v>1313</v>
      </c>
      <c r="F1257" s="493">
        <v>60281</v>
      </c>
      <c r="G1257" s="105" t="s">
        <v>33</v>
      </c>
      <c r="H1257" s="105" t="s">
        <v>342</v>
      </c>
      <c r="I1257" s="105" t="s">
        <v>334</v>
      </c>
      <c r="J1257" s="493">
        <v>22</v>
      </c>
      <c r="K1257" s="493">
        <v>2</v>
      </c>
      <c r="L1257" s="105" t="s">
        <v>343</v>
      </c>
      <c r="M1257" s="105" t="s">
        <v>655</v>
      </c>
      <c r="N1257" s="105" t="s">
        <v>656</v>
      </c>
      <c r="O1257" s="105" t="s">
        <v>656</v>
      </c>
      <c r="P1257" s="105" t="s">
        <v>339</v>
      </c>
      <c r="Q1257" s="494">
        <v>0</v>
      </c>
      <c r="R1257" s="494">
        <v>0</v>
      </c>
      <c r="S1257" s="494">
        <v>8564</v>
      </c>
      <c r="T1257" s="494">
        <v>8564</v>
      </c>
      <c r="U1257" s="494">
        <v>2510</v>
      </c>
      <c r="V1257" s="493">
        <v>2024</v>
      </c>
      <c r="W1257" s="495"/>
      <c r="X1257" s="496">
        <f t="shared" si="80"/>
        <v>3.4119521912350597</v>
      </c>
      <c r="Y1257" s="497" t="str">
        <f t="shared" si="82"/>
        <v/>
      </c>
      <c r="Z1257" s="497" t="str">
        <f t="shared" si="82"/>
        <v/>
      </c>
    </row>
    <row r="1258" spans="1:26" s="82" customFormat="1" ht="32" x14ac:dyDescent="0.4">
      <c r="A1258" s="493">
        <v>58749</v>
      </c>
      <c r="B1258" s="105" t="s">
        <v>329</v>
      </c>
      <c r="C1258" s="493" t="s">
        <v>330</v>
      </c>
      <c r="D1258" s="105" t="s">
        <v>1412</v>
      </c>
      <c r="E1258" s="105" t="s">
        <v>1295</v>
      </c>
      <c r="F1258" s="493">
        <v>57365</v>
      </c>
      <c r="G1258" s="105" t="s">
        <v>33</v>
      </c>
      <c r="H1258" s="105" t="s">
        <v>342</v>
      </c>
      <c r="I1258" s="105" t="s">
        <v>334</v>
      </c>
      <c r="J1258" s="493">
        <v>22</v>
      </c>
      <c r="K1258" s="493">
        <v>2</v>
      </c>
      <c r="L1258" s="105" t="s">
        <v>343</v>
      </c>
      <c r="M1258" s="105" t="s">
        <v>655</v>
      </c>
      <c r="N1258" s="105" t="s">
        <v>656</v>
      </c>
      <c r="O1258" s="105" t="s">
        <v>656</v>
      </c>
      <c r="P1258" s="105" t="s">
        <v>339</v>
      </c>
      <c r="Q1258" s="494">
        <v>0</v>
      </c>
      <c r="R1258" s="494">
        <v>0</v>
      </c>
      <c r="S1258" s="494">
        <v>6227</v>
      </c>
      <c r="T1258" s="494">
        <v>6227</v>
      </c>
      <c r="U1258" s="494">
        <v>1825</v>
      </c>
      <c r="V1258" s="493">
        <v>2024</v>
      </c>
      <c r="W1258" s="495"/>
      <c r="X1258" s="496">
        <f t="shared" si="80"/>
        <v>3.4120547945205479</v>
      </c>
      <c r="Y1258" s="497" t="str">
        <f t="shared" si="82"/>
        <v/>
      </c>
      <c r="Z1258" s="497" t="str">
        <f t="shared" si="82"/>
        <v/>
      </c>
    </row>
    <row r="1259" spans="1:26" s="82" customFormat="1" x14ac:dyDescent="0.4">
      <c r="A1259" s="493">
        <v>58768</v>
      </c>
      <c r="B1259" s="105" t="s">
        <v>329</v>
      </c>
      <c r="C1259" s="493" t="s">
        <v>330</v>
      </c>
      <c r="D1259" s="105" t="s">
        <v>1413</v>
      </c>
      <c r="E1259" s="105" t="s">
        <v>1206</v>
      </c>
      <c r="F1259" s="493">
        <v>49893</v>
      </c>
      <c r="G1259" s="105" t="s">
        <v>52</v>
      </c>
      <c r="H1259" s="105" t="s">
        <v>333</v>
      </c>
      <c r="I1259" s="105" t="s">
        <v>334</v>
      </c>
      <c r="J1259" s="493">
        <v>22</v>
      </c>
      <c r="K1259" s="493">
        <v>2</v>
      </c>
      <c r="L1259" s="105" t="s">
        <v>343</v>
      </c>
      <c r="M1259" s="105" t="s">
        <v>695</v>
      </c>
      <c r="N1259" s="105" t="s">
        <v>696</v>
      </c>
      <c r="O1259" s="105" t="s">
        <v>696</v>
      </c>
      <c r="P1259" s="105" t="s">
        <v>339</v>
      </c>
      <c r="Q1259" s="494">
        <v>0</v>
      </c>
      <c r="R1259" s="494">
        <v>0</v>
      </c>
      <c r="S1259" s="494">
        <v>152653</v>
      </c>
      <c r="T1259" s="494">
        <v>152653</v>
      </c>
      <c r="U1259" s="494">
        <v>44739</v>
      </c>
      <c r="V1259" s="493">
        <v>2024</v>
      </c>
      <c r="W1259" s="495"/>
      <c r="X1259" s="496">
        <f t="shared" si="80"/>
        <v>3.412078946780214</v>
      </c>
      <c r="Y1259" s="497" t="str">
        <f t="shared" si="82"/>
        <v/>
      </c>
      <c r="Z1259" s="497" t="str">
        <f t="shared" si="82"/>
        <v/>
      </c>
    </row>
    <row r="1260" spans="1:26" s="82" customFormat="1" x14ac:dyDescent="0.4">
      <c r="A1260" s="493">
        <v>58777</v>
      </c>
      <c r="B1260" s="105" t="s">
        <v>329</v>
      </c>
      <c r="C1260" s="493" t="s">
        <v>330</v>
      </c>
      <c r="D1260" s="105" t="s">
        <v>1414</v>
      </c>
      <c r="E1260" s="105" t="s">
        <v>1174</v>
      </c>
      <c r="F1260" s="493">
        <v>56215</v>
      </c>
      <c r="G1260" s="105" t="s">
        <v>52</v>
      </c>
      <c r="H1260" s="105" t="s">
        <v>333</v>
      </c>
      <c r="I1260" s="105" t="s">
        <v>334</v>
      </c>
      <c r="J1260" s="493">
        <v>22</v>
      </c>
      <c r="K1260" s="493">
        <v>2</v>
      </c>
      <c r="L1260" s="105" t="s">
        <v>343</v>
      </c>
      <c r="M1260" s="105" t="s">
        <v>695</v>
      </c>
      <c r="N1260" s="105" t="s">
        <v>696</v>
      </c>
      <c r="O1260" s="105" t="s">
        <v>696</v>
      </c>
      <c r="P1260" s="105" t="s">
        <v>339</v>
      </c>
      <c r="Q1260" s="494">
        <v>0</v>
      </c>
      <c r="R1260" s="494">
        <v>0</v>
      </c>
      <c r="S1260" s="494">
        <v>729277</v>
      </c>
      <c r="T1260" s="494">
        <v>729277</v>
      </c>
      <c r="U1260" s="494">
        <v>213739</v>
      </c>
      <c r="V1260" s="493">
        <v>2024</v>
      </c>
      <c r="W1260" s="495"/>
      <c r="X1260" s="496">
        <f t="shared" si="80"/>
        <v>3.4119978104136353</v>
      </c>
      <c r="Y1260" s="497" t="str">
        <f t="shared" si="82"/>
        <v/>
      </c>
      <c r="Z1260" s="497" t="str">
        <f t="shared" si="82"/>
        <v/>
      </c>
    </row>
    <row r="1261" spans="1:26" s="82" customFormat="1" x14ac:dyDescent="0.4">
      <c r="A1261" s="493">
        <v>58785</v>
      </c>
      <c r="B1261" s="105" t="s">
        <v>329</v>
      </c>
      <c r="C1261" s="493" t="s">
        <v>330</v>
      </c>
      <c r="D1261" s="105" t="s">
        <v>1415</v>
      </c>
      <c r="E1261" s="105" t="s">
        <v>1416</v>
      </c>
      <c r="F1261" s="493">
        <v>58677</v>
      </c>
      <c r="G1261" s="105" t="s">
        <v>52</v>
      </c>
      <c r="H1261" s="105" t="s">
        <v>333</v>
      </c>
      <c r="I1261" s="105" t="s">
        <v>334</v>
      </c>
      <c r="J1261" s="493">
        <v>22</v>
      </c>
      <c r="K1261" s="493">
        <v>2</v>
      </c>
      <c r="L1261" s="105" t="s">
        <v>343</v>
      </c>
      <c r="M1261" s="105" t="s">
        <v>655</v>
      </c>
      <c r="N1261" s="105" t="s">
        <v>656</v>
      </c>
      <c r="O1261" s="105" t="s">
        <v>656</v>
      </c>
      <c r="P1261" s="105" t="s">
        <v>339</v>
      </c>
      <c r="Q1261" s="494">
        <v>0</v>
      </c>
      <c r="R1261" s="494">
        <v>0</v>
      </c>
      <c r="S1261" s="494">
        <v>2344</v>
      </c>
      <c r="T1261" s="494">
        <v>2344</v>
      </c>
      <c r="U1261" s="494">
        <v>687</v>
      </c>
      <c r="V1261" s="493">
        <v>2024</v>
      </c>
      <c r="W1261" s="495"/>
      <c r="X1261" s="496">
        <f t="shared" si="80"/>
        <v>3.4119359534206697</v>
      </c>
      <c r="Y1261" s="497" t="str">
        <f t="shared" si="82"/>
        <v/>
      </c>
      <c r="Z1261" s="497" t="str">
        <f t="shared" si="82"/>
        <v/>
      </c>
    </row>
    <row r="1262" spans="1:26" s="82" customFormat="1" x14ac:dyDescent="0.4">
      <c r="A1262" s="493">
        <v>58786</v>
      </c>
      <c r="B1262" s="105" t="s">
        <v>329</v>
      </c>
      <c r="C1262" s="493" t="s">
        <v>330</v>
      </c>
      <c r="D1262" s="105" t="s">
        <v>1417</v>
      </c>
      <c r="E1262" s="105" t="s">
        <v>1416</v>
      </c>
      <c r="F1262" s="493">
        <v>58677</v>
      </c>
      <c r="G1262" s="105" t="s">
        <v>52</v>
      </c>
      <c r="H1262" s="105" t="s">
        <v>333</v>
      </c>
      <c r="I1262" s="105" t="s">
        <v>334</v>
      </c>
      <c r="J1262" s="493">
        <v>22</v>
      </c>
      <c r="K1262" s="493">
        <v>2</v>
      </c>
      <c r="L1262" s="105" t="s">
        <v>343</v>
      </c>
      <c r="M1262" s="105" t="s">
        <v>655</v>
      </c>
      <c r="N1262" s="105" t="s">
        <v>656</v>
      </c>
      <c r="O1262" s="105" t="s">
        <v>656</v>
      </c>
      <c r="P1262" s="105" t="s">
        <v>339</v>
      </c>
      <c r="Q1262" s="494">
        <v>0</v>
      </c>
      <c r="R1262" s="494">
        <v>0</v>
      </c>
      <c r="S1262" s="494">
        <v>9499</v>
      </c>
      <c r="T1262" s="494">
        <v>9499</v>
      </c>
      <c r="U1262" s="494">
        <v>2784</v>
      </c>
      <c r="V1262" s="493">
        <v>2024</v>
      </c>
      <c r="W1262" s="495"/>
      <c r="X1262" s="496">
        <f t="shared" si="80"/>
        <v>3.4119971264367814</v>
      </c>
      <c r="Y1262" s="497" t="str">
        <f t="shared" si="82"/>
        <v/>
      </c>
      <c r="Z1262" s="497" t="str">
        <f t="shared" si="82"/>
        <v/>
      </c>
    </row>
    <row r="1263" spans="1:26" s="82" customFormat="1" x14ac:dyDescent="0.4">
      <c r="A1263" s="493">
        <v>58787</v>
      </c>
      <c r="B1263" s="105" t="s">
        <v>329</v>
      </c>
      <c r="C1263" s="493" t="s">
        <v>330</v>
      </c>
      <c r="D1263" s="105" t="s">
        <v>1418</v>
      </c>
      <c r="E1263" s="105" t="s">
        <v>1416</v>
      </c>
      <c r="F1263" s="493">
        <v>58677</v>
      </c>
      <c r="G1263" s="105" t="s">
        <v>52</v>
      </c>
      <c r="H1263" s="105" t="s">
        <v>333</v>
      </c>
      <c r="I1263" s="105" t="s">
        <v>334</v>
      </c>
      <c r="J1263" s="493">
        <v>22</v>
      </c>
      <c r="K1263" s="493">
        <v>2</v>
      </c>
      <c r="L1263" s="105" t="s">
        <v>343</v>
      </c>
      <c r="M1263" s="105" t="s">
        <v>655</v>
      </c>
      <c r="N1263" s="105" t="s">
        <v>656</v>
      </c>
      <c r="O1263" s="105" t="s">
        <v>656</v>
      </c>
      <c r="P1263" s="105" t="s">
        <v>339</v>
      </c>
      <c r="Q1263" s="494">
        <v>0</v>
      </c>
      <c r="R1263" s="494">
        <v>0</v>
      </c>
      <c r="S1263" s="494">
        <v>6550</v>
      </c>
      <c r="T1263" s="494">
        <v>6550</v>
      </c>
      <c r="U1263" s="494">
        <v>1920</v>
      </c>
      <c r="V1263" s="493">
        <v>2024</v>
      </c>
      <c r="W1263" s="495"/>
      <c r="X1263" s="496">
        <f t="shared" si="80"/>
        <v>3.4114583333333335</v>
      </c>
      <c r="Y1263" s="497" t="str">
        <f t="shared" si="82"/>
        <v/>
      </c>
      <c r="Z1263" s="497" t="str">
        <f t="shared" si="82"/>
        <v/>
      </c>
    </row>
    <row r="1264" spans="1:26" s="82" customFormat="1" x14ac:dyDescent="0.4">
      <c r="A1264" s="493">
        <v>58788</v>
      </c>
      <c r="B1264" s="105" t="s">
        <v>329</v>
      </c>
      <c r="C1264" s="493" t="s">
        <v>330</v>
      </c>
      <c r="D1264" s="105" t="s">
        <v>1419</v>
      </c>
      <c r="E1264" s="105" t="s">
        <v>1416</v>
      </c>
      <c r="F1264" s="493">
        <v>58677</v>
      </c>
      <c r="G1264" s="105" t="s">
        <v>52</v>
      </c>
      <c r="H1264" s="105" t="s">
        <v>333</v>
      </c>
      <c r="I1264" s="105" t="s">
        <v>334</v>
      </c>
      <c r="J1264" s="493">
        <v>22</v>
      </c>
      <c r="K1264" s="493">
        <v>2</v>
      </c>
      <c r="L1264" s="105" t="s">
        <v>343</v>
      </c>
      <c r="M1264" s="105" t="s">
        <v>655</v>
      </c>
      <c r="N1264" s="105" t="s">
        <v>656</v>
      </c>
      <c r="O1264" s="105" t="s">
        <v>656</v>
      </c>
      <c r="P1264" s="105" t="s">
        <v>339</v>
      </c>
      <c r="Q1264" s="494">
        <v>0</v>
      </c>
      <c r="R1264" s="494">
        <v>0</v>
      </c>
      <c r="S1264" s="494">
        <v>3686</v>
      </c>
      <c r="T1264" s="494">
        <v>3686</v>
      </c>
      <c r="U1264" s="494">
        <v>1080</v>
      </c>
      <c r="V1264" s="493">
        <v>2024</v>
      </c>
      <c r="W1264" s="495"/>
      <c r="X1264" s="496">
        <f t="shared" si="80"/>
        <v>3.412962962962963</v>
      </c>
      <c r="Y1264" s="497" t="str">
        <f t="shared" si="82"/>
        <v/>
      </c>
      <c r="Z1264" s="497" t="str">
        <f t="shared" si="82"/>
        <v/>
      </c>
    </row>
    <row r="1265" spans="1:26" s="82" customFormat="1" x14ac:dyDescent="0.4">
      <c r="A1265" s="493">
        <v>58789</v>
      </c>
      <c r="B1265" s="105" t="s">
        <v>329</v>
      </c>
      <c r="C1265" s="493" t="s">
        <v>330</v>
      </c>
      <c r="D1265" s="105" t="s">
        <v>1420</v>
      </c>
      <c r="E1265" s="105" t="s">
        <v>1416</v>
      </c>
      <c r="F1265" s="493">
        <v>58677</v>
      </c>
      <c r="G1265" s="105" t="s">
        <v>52</v>
      </c>
      <c r="H1265" s="105" t="s">
        <v>333</v>
      </c>
      <c r="I1265" s="105" t="s">
        <v>334</v>
      </c>
      <c r="J1265" s="493">
        <v>22</v>
      </c>
      <c r="K1265" s="493">
        <v>2</v>
      </c>
      <c r="L1265" s="105" t="s">
        <v>343</v>
      </c>
      <c r="M1265" s="105" t="s">
        <v>655</v>
      </c>
      <c r="N1265" s="105" t="s">
        <v>656</v>
      </c>
      <c r="O1265" s="105" t="s">
        <v>656</v>
      </c>
      <c r="P1265" s="105" t="s">
        <v>339</v>
      </c>
      <c r="Q1265" s="494">
        <v>0</v>
      </c>
      <c r="R1265" s="494">
        <v>0</v>
      </c>
      <c r="S1265" s="494">
        <v>4719</v>
      </c>
      <c r="T1265" s="494">
        <v>4719</v>
      </c>
      <c r="U1265" s="494">
        <v>1383</v>
      </c>
      <c r="V1265" s="493">
        <v>2024</v>
      </c>
      <c r="W1265" s="495"/>
      <c r="X1265" s="496">
        <f t="shared" si="80"/>
        <v>3.4121475054229933</v>
      </c>
      <c r="Y1265" s="497" t="str">
        <f t="shared" si="82"/>
        <v/>
      </c>
      <c r="Z1265" s="497" t="str">
        <f t="shared" si="82"/>
        <v/>
      </c>
    </row>
    <row r="1266" spans="1:26" s="82" customFormat="1" x14ac:dyDescent="0.4">
      <c r="A1266" s="493">
        <v>58790</v>
      </c>
      <c r="B1266" s="105" t="s">
        <v>329</v>
      </c>
      <c r="C1266" s="493" t="s">
        <v>330</v>
      </c>
      <c r="D1266" s="105" t="s">
        <v>1421</v>
      </c>
      <c r="E1266" s="105" t="s">
        <v>1416</v>
      </c>
      <c r="F1266" s="493">
        <v>58677</v>
      </c>
      <c r="G1266" s="105" t="s">
        <v>52</v>
      </c>
      <c r="H1266" s="105" t="s">
        <v>333</v>
      </c>
      <c r="I1266" s="105" t="s">
        <v>334</v>
      </c>
      <c r="J1266" s="493">
        <v>22</v>
      </c>
      <c r="K1266" s="493">
        <v>2</v>
      </c>
      <c r="L1266" s="105" t="s">
        <v>343</v>
      </c>
      <c r="M1266" s="105" t="s">
        <v>655</v>
      </c>
      <c r="N1266" s="105" t="s">
        <v>656</v>
      </c>
      <c r="O1266" s="105" t="s">
        <v>656</v>
      </c>
      <c r="P1266" s="105" t="s">
        <v>339</v>
      </c>
      <c r="Q1266" s="494">
        <v>0</v>
      </c>
      <c r="R1266" s="494">
        <v>0</v>
      </c>
      <c r="S1266" s="494">
        <v>17123</v>
      </c>
      <c r="T1266" s="494">
        <v>17123</v>
      </c>
      <c r="U1266" s="494">
        <v>5018</v>
      </c>
      <c r="V1266" s="493">
        <v>2024</v>
      </c>
      <c r="W1266" s="495"/>
      <c r="X1266" s="496">
        <f t="shared" si="80"/>
        <v>3.4123156636110004</v>
      </c>
      <c r="Y1266" s="497" t="str">
        <f t="shared" si="82"/>
        <v/>
      </c>
      <c r="Z1266" s="497" t="str">
        <f t="shared" si="82"/>
        <v/>
      </c>
    </row>
    <row r="1267" spans="1:26" s="82" customFormat="1" x14ac:dyDescent="0.4">
      <c r="A1267" s="493">
        <v>58824</v>
      </c>
      <c r="B1267" s="105" t="s">
        <v>329</v>
      </c>
      <c r="C1267" s="493" t="s">
        <v>330</v>
      </c>
      <c r="D1267" s="105" t="s">
        <v>1422</v>
      </c>
      <c r="E1267" s="105" t="s">
        <v>1423</v>
      </c>
      <c r="F1267" s="493">
        <v>64423</v>
      </c>
      <c r="G1267" s="105" t="s">
        <v>36</v>
      </c>
      <c r="H1267" s="105" t="s">
        <v>342</v>
      </c>
      <c r="I1267" s="105" t="s">
        <v>334</v>
      </c>
      <c r="J1267" s="493">
        <v>22</v>
      </c>
      <c r="K1267" s="493">
        <v>2</v>
      </c>
      <c r="L1267" s="105" t="s">
        <v>343</v>
      </c>
      <c r="M1267" s="105" t="s">
        <v>655</v>
      </c>
      <c r="N1267" s="105" t="s">
        <v>656</v>
      </c>
      <c r="O1267" s="105" t="s">
        <v>656</v>
      </c>
      <c r="P1267" s="105" t="s">
        <v>339</v>
      </c>
      <c r="Q1267" s="494">
        <v>0</v>
      </c>
      <c r="R1267" s="494">
        <v>0</v>
      </c>
      <c r="S1267" s="494">
        <v>9289</v>
      </c>
      <c r="T1267" s="494">
        <v>9289</v>
      </c>
      <c r="U1267" s="494">
        <v>2723</v>
      </c>
      <c r="V1267" s="493">
        <v>2024</v>
      </c>
      <c r="W1267" s="495"/>
      <c r="X1267" s="496">
        <f t="shared" si="80"/>
        <v>3.4113110539845759</v>
      </c>
      <c r="Y1267" s="497" t="str">
        <f t="shared" si="82"/>
        <v/>
      </c>
      <c r="Z1267" s="497" t="str">
        <f t="shared" si="82"/>
        <v/>
      </c>
    </row>
    <row r="1268" spans="1:26" s="82" customFormat="1" x14ac:dyDescent="0.4">
      <c r="A1268" s="493">
        <v>58839</v>
      </c>
      <c r="B1268" s="105" t="s">
        <v>329</v>
      </c>
      <c r="C1268" s="493" t="s">
        <v>330</v>
      </c>
      <c r="D1268" s="105" t="s">
        <v>1424</v>
      </c>
      <c r="E1268" s="105" t="s">
        <v>1425</v>
      </c>
      <c r="F1268" s="493">
        <v>59286</v>
      </c>
      <c r="G1268" s="105" t="s">
        <v>33</v>
      </c>
      <c r="H1268" s="105" t="s">
        <v>342</v>
      </c>
      <c r="I1268" s="105" t="s">
        <v>334</v>
      </c>
      <c r="J1268" s="493">
        <v>22</v>
      </c>
      <c r="K1268" s="493">
        <v>2</v>
      </c>
      <c r="L1268" s="105" t="s">
        <v>343</v>
      </c>
      <c r="M1268" s="105" t="s">
        <v>655</v>
      </c>
      <c r="N1268" s="105" t="s">
        <v>656</v>
      </c>
      <c r="O1268" s="105" t="s">
        <v>656</v>
      </c>
      <c r="P1268" s="105" t="s">
        <v>339</v>
      </c>
      <c r="Q1268" s="494">
        <v>0</v>
      </c>
      <c r="R1268" s="494">
        <v>0</v>
      </c>
      <c r="S1268" s="494">
        <v>5698</v>
      </c>
      <c r="T1268" s="494">
        <v>5698</v>
      </c>
      <c r="U1268" s="494">
        <v>1670</v>
      </c>
      <c r="V1268" s="493">
        <v>2024</v>
      </c>
      <c r="W1268" s="495"/>
      <c r="X1268" s="496">
        <f t="shared" si="80"/>
        <v>3.4119760479041914</v>
      </c>
      <c r="Y1268" s="497" t="str">
        <f t="shared" ref="Y1268:Z1287" si="83">IF(AND($M1268=$Y$2,$N1268=$Y$3,NOT($Q1268=$R1268),NOT($U1268=0)),IF($K1268=5,$S1268/($U1268+(8/5)*$U1268),IF($K1268=7,$S1268/($U1268+(29/25)*$U1268),"")),"")</f>
        <v/>
      </c>
      <c r="Z1268" s="497" t="str">
        <f t="shared" si="83"/>
        <v/>
      </c>
    </row>
    <row r="1269" spans="1:26" s="82" customFormat="1" x14ac:dyDescent="0.4">
      <c r="A1269" s="493">
        <v>58871</v>
      </c>
      <c r="B1269" s="105" t="s">
        <v>329</v>
      </c>
      <c r="C1269" s="493" t="s">
        <v>330</v>
      </c>
      <c r="D1269" s="105" t="s">
        <v>1426</v>
      </c>
      <c r="E1269" s="105" t="s">
        <v>1371</v>
      </c>
      <c r="F1269" s="493">
        <v>59139</v>
      </c>
      <c r="G1269" s="105" t="s">
        <v>33</v>
      </c>
      <c r="H1269" s="105" t="s">
        <v>342</v>
      </c>
      <c r="I1269" s="105" t="s">
        <v>334</v>
      </c>
      <c r="J1269" s="493">
        <v>22</v>
      </c>
      <c r="K1269" s="493">
        <v>2</v>
      </c>
      <c r="L1269" s="105" t="s">
        <v>343</v>
      </c>
      <c r="M1269" s="105" t="s">
        <v>655</v>
      </c>
      <c r="N1269" s="105" t="s">
        <v>656</v>
      </c>
      <c r="O1269" s="105" t="s">
        <v>656</v>
      </c>
      <c r="P1269" s="105" t="s">
        <v>339</v>
      </c>
      <c r="Q1269" s="494">
        <v>0</v>
      </c>
      <c r="R1269" s="494">
        <v>0</v>
      </c>
      <c r="S1269" s="494">
        <v>16029</v>
      </c>
      <c r="T1269" s="494">
        <v>16029</v>
      </c>
      <c r="U1269" s="494">
        <v>4698</v>
      </c>
      <c r="V1269" s="493">
        <v>2024</v>
      </c>
      <c r="W1269" s="495"/>
      <c r="X1269" s="496">
        <f t="shared" si="80"/>
        <v>3.4118773946360155</v>
      </c>
      <c r="Y1269" s="497" t="str">
        <f t="shared" si="83"/>
        <v/>
      </c>
      <c r="Z1269" s="497" t="str">
        <f t="shared" si="83"/>
        <v/>
      </c>
    </row>
    <row r="1270" spans="1:26" s="82" customFormat="1" ht="32" x14ac:dyDescent="0.4">
      <c r="A1270" s="493">
        <v>58873</v>
      </c>
      <c r="B1270" s="105" t="s">
        <v>329</v>
      </c>
      <c r="C1270" s="493" t="s">
        <v>330</v>
      </c>
      <c r="D1270" s="105" t="s">
        <v>1427</v>
      </c>
      <c r="E1270" s="105" t="s">
        <v>781</v>
      </c>
      <c r="F1270" s="493">
        <v>58756</v>
      </c>
      <c r="G1270" s="105" t="s">
        <v>52</v>
      </c>
      <c r="H1270" s="105" t="s">
        <v>333</v>
      </c>
      <c r="I1270" s="105" t="s">
        <v>334</v>
      </c>
      <c r="J1270" s="493">
        <v>22</v>
      </c>
      <c r="K1270" s="493">
        <v>2</v>
      </c>
      <c r="L1270" s="105" t="s">
        <v>343</v>
      </c>
      <c r="M1270" s="105" t="s">
        <v>336</v>
      </c>
      <c r="N1270" s="105" t="s">
        <v>337</v>
      </c>
      <c r="O1270" s="105" t="s">
        <v>338</v>
      </c>
      <c r="P1270" s="105" t="s">
        <v>339</v>
      </c>
      <c r="Q1270" s="494">
        <v>0</v>
      </c>
      <c r="R1270" s="494">
        <v>0</v>
      </c>
      <c r="S1270" s="494">
        <v>40653</v>
      </c>
      <c r="T1270" s="494">
        <v>40653</v>
      </c>
      <c r="U1270" s="494">
        <v>11915</v>
      </c>
      <c r="V1270" s="493">
        <v>2024</v>
      </c>
      <c r="W1270" s="495"/>
      <c r="X1270" s="496">
        <f t="shared" si="80"/>
        <v>3.4119177507343683</v>
      </c>
      <c r="Y1270" s="497" t="str">
        <f t="shared" si="83"/>
        <v/>
      </c>
      <c r="Z1270" s="497" t="str">
        <f t="shared" si="83"/>
        <v/>
      </c>
    </row>
    <row r="1271" spans="1:26" s="82" customFormat="1" ht="32" x14ac:dyDescent="0.4">
      <c r="A1271" s="493">
        <v>58876</v>
      </c>
      <c r="B1271" s="105" t="s">
        <v>329</v>
      </c>
      <c r="C1271" s="493" t="s">
        <v>330</v>
      </c>
      <c r="D1271" s="105" t="s">
        <v>1428</v>
      </c>
      <c r="E1271" s="105" t="s">
        <v>1429</v>
      </c>
      <c r="F1271" s="493">
        <v>60556</v>
      </c>
      <c r="G1271" s="105" t="s">
        <v>37</v>
      </c>
      <c r="H1271" s="105" t="s">
        <v>342</v>
      </c>
      <c r="I1271" s="105" t="s">
        <v>334</v>
      </c>
      <c r="J1271" s="493">
        <v>22</v>
      </c>
      <c r="K1271" s="493">
        <v>2</v>
      </c>
      <c r="L1271" s="105" t="s">
        <v>343</v>
      </c>
      <c r="M1271" s="105" t="s">
        <v>655</v>
      </c>
      <c r="N1271" s="105" t="s">
        <v>656</v>
      </c>
      <c r="O1271" s="105" t="s">
        <v>656</v>
      </c>
      <c r="P1271" s="105" t="s">
        <v>339</v>
      </c>
      <c r="Q1271" s="494">
        <v>0</v>
      </c>
      <c r="R1271" s="494">
        <v>0</v>
      </c>
      <c r="S1271" s="494">
        <v>133995</v>
      </c>
      <c r="T1271" s="494">
        <v>133995</v>
      </c>
      <c r="U1271" s="494">
        <v>39272</v>
      </c>
      <c r="V1271" s="493">
        <v>2024</v>
      </c>
      <c r="W1271" s="495"/>
      <c r="X1271" s="496">
        <f t="shared" si="80"/>
        <v>3.4119729069056834</v>
      </c>
      <c r="Y1271" s="497" t="str">
        <f t="shared" si="83"/>
        <v/>
      </c>
      <c r="Z1271" s="497" t="str">
        <f t="shared" si="83"/>
        <v/>
      </c>
    </row>
    <row r="1272" spans="1:26" s="82" customFormat="1" x14ac:dyDescent="0.4">
      <c r="A1272" s="493">
        <v>58934</v>
      </c>
      <c r="B1272" s="105" t="s">
        <v>329</v>
      </c>
      <c r="C1272" s="493" t="s">
        <v>330</v>
      </c>
      <c r="D1272" s="105" t="s">
        <v>1430</v>
      </c>
      <c r="E1272" s="105" t="s">
        <v>1431</v>
      </c>
      <c r="F1272" s="493">
        <v>58801</v>
      </c>
      <c r="G1272" s="105" t="s">
        <v>33</v>
      </c>
      <c r="H1272" s="105" t="s">
        <v>342</v>
      </c>
      <c r="I1272" s="105" t="s">
        <v>334</v>
      </c>
      <c r="J1272" s="493">
        <v>22</v>
      </c>
      <c r="K1272" s="493">
        <v>2</v>
      </c>
      <c r="L1272" s="105" t="s">
        <v>343</v>
      </c>
      <c r="M1272" s="105" t="s">
        <v>655</v>
      </c>
      <c r="N1272" s="105" t="s">
        <v>656</v>
      </c>
      <c r="O1272" s="105" t="s">
        <v>656</v>
      </c>
      <c r="P1272" s="105" t="s">
        <v>339</v>
      </c>
      <c r="Q1272" s="494">
        <v>0</v>
      </c>
      <c r="R1272" s="494">
        <v>0</v>
      </c>
      <c r="S1272" s="494">
        <v>11823</v>
      </c>
      <c r="T1272" s="494">
        <v>11823</v>
      </c>
      <c r="U1272" s="494">
        <v>3465</v>
      </c>
      <c r="V1272" s="493">
        <v>2024</v>
      </c>
      <c r="W1272" s="495"/>
      <c r="X1272" s="496">
        <f t="shared" si="80"/>
        <v>3.4121212121212121</v>
      </c>
      <c r="Y1272" s="497" t="str">
        <f t="shared" si="83"/>
        <v/>
      </c>
      <c r="Z1272" s="497" t="str">
        <f t="shared" si="83"/>
        <v/>
      </c>
    </row>
    <row r="1273" spans="1:26" s="82" customFormat="1" x14ac:dyDescent="0.4">
      <c r="A1273" s="493">
        <v>58935</v>
      </c>
      <c r="B1273" s="105" t="s">
        <v>329</v>
      </c>
      <c r="C1273" s="493" t="s">
        <v>330</v>
      </c>
      <c r="D1273" s="105" t="s">
        <v>1432</v>
      </c>
      <c r="E1273" s="105" t="s">
        <v>1433</v>
      </c>
      <c r="F1273" s="493">
        <v>58800</v>
      </c>
      <c r="G1273" s="105" t="s">
        <v>36</v>
      </c>
      <c r="H1273" s="105" t="s">
        <v>342</v>
      </c>
      <c r="I1273" s="105" t="s">
        <v>334</v>
      </c>
      <c r="J1273" s="493">
        <v>22</v>
      </c>
      <c r="K1273" s="493">
        <v>2</v>
      </c>
      <c r="L1273" s="105" t="s">
        <v>343</v>
      </c>
      <c r="M1273" s="105" t="s">
        <v>655</v>
      </c>
      <c r="N1273" s="105" t="s">
        <v>656</v>
      </c>
      <c r="O1273" s="105" t="s">
        <v>656</v>
      </c>
      <c r="P1273" s="105" t="s">
        <v>339</v>
      </c>
      <c r="Q1273" s="494">
        <v>0</v>
      </c>
      <c r="R1273" s="494">
        <v>0</v>
      </c>
      <c r="S1273" s="494">
        <v>9670</v>
      </c>
      <c r="T1273" s="494">
        <v>9670</v>
      </c>
      <c r="U1273" s="494">
        <v>2834</v>
      </c>
      <c r="V1273" s="493">
        <v>2024</v>
      </c>
      <c r="W1273" s="495"/>
      <c r="X1273" s="496">
        <f t="shared" si="80"/>
        <v>3.4121383203952012</v>
      </c>
      <c r="Y1273" s="497" t="str">
        <f t="shared" si="83"/>
        <v/>
      </c>
      <c r="Z1273" s="497" t="str">
        <f t="shared" si="83"/>
        <v/>
      </c>
    </row>
    <row r="1274" spans="1:26" s="82" customFormat="1" x14ac:dyDescent="0.4">
      <c r="A1274" s="493">
        <v>58936</v>
      </c>
      <c r="B1274" s="105" t="s">
        <v>329</v>
      </c>
      <c r="C1274" s="493" t="s">
        <v>330</v>
      </c>
      <c r="D1274" s="105" t="s">
        <v>1434</v>
      </c>
      <c r="E1274" s="105" t="s">
        <v>1435</v>
      </c>
      <c r="F1274" s="493">
        <v>58802</v>
      </c>
      <c r="G1274" s="105" t="s">
        <v>33</v>
      </c>
      <c r="H1274" s="105" t="s">
        <v>342</v>
      </c>
      <c r="I1274" s="105" t="s">
        <v>334</v>
      </c>
      <c r="J1274" s="493">
        <v>22</v>
      </c>
      <c r="K1274" s="493">
        <v>2</v>
      </c>
      <c r="L1274" s="105" t="s">
        <v>343</v>
      </c>
      <c r="M1274" s="105" t="s">
        <v>655</v>
      </c>
      <c r="N1274" s="105" t="s">
        <v>656</v>
      </c>
      <c r="O1274" s="105" t="s">
        <v>656</v>
      </c>
      <c r="P1274" s="105" t="s">
        <v>339</v>
      </c>
      <c r="Q1274" s="494">
        <v>0</v>
      </c>
      <c r="R1274" s="494">
        <v>0</v>
      </c>
      <c r="S1274" s="494">
        <v>11937</v>
      </c>
      <c r="T1274" s="494">
        <v>11937</v>
      </c>
      <c r="U1274" s="494">
        <v>3499</v>
      </c>
      <c r="V1274" s="493">
        <v>2024</v>
      </c>
      <c r="W1274" s="495"/>
      <c r="X1274" s="496">
        <f t="shared" si="80"/>
        <v>3.4115461560445843</v>
      </c>
      <c r="Y1274" s="497" t="str">
        <f t="shared" si="83"/>
        <v/>
      </c>
      <c r="Z1274" s="497" t="str">
        <f t="shared" si="83"/>
        <v/>
      </c>
    </row>
    <row r="1275" spans="1:26" s="82" customFormat="1" x14ac:dyDescent="0.4">
      <c r="A1275" s="493">
        <v>58937</v>
      </c>
      <c r="B1275" s="105" t="s">
        <v>329</v>
      </c>
      <c r="C1275" s="493" t="s">
        <v>330</v>
      </c>
      <c r="D1275" s="105" t="s">
        <v>1436</v>
      </c>
      <c r="E1275" s="105" t="s">
        <v>1437</v>
      </c>
      <c r="F1275" s="493">
        <v>58803</v>
      </c>
      <c r="G1275" s="105" t="s">
        <v>33</v>
      </c>
      <c r="H1275" s="105" t="s">
        <v>342</v>
      </c>
      <c r="I1275" s="105" t="s">
        <v>334</v>
      </c>
      <c r="J1275" s="493">
        <v>22</v>
      </c>
      <c r="K1275" s="493">
        <v>2</v>
      </c>
      <c r="L1275" s="105" t="s">
        <v>343</v>
      </c>
      <c r="M1275" s="105" t="s">
        <v>655</v>
      </c>
      <c r="N1275" s="105" t="s">
        <v>656</v>
      </c>
      <c r="O1275" s="105" t="s">
        <v>656</v>
      </c>
      <c r="P1275" s="105" t="s">
        <v>339</v>
      </c>
      <c r="Q1275" s="494">
        <v>0</v>
      </c>
      <c r="R1275" s="494">
        <v>0</v>
      </c>
      <c r="S1275" s="494">
        <v>10436</v>
      </c>
      <c r="T1275" s="494">
        <v>10436</v>
      </c>
      <c r="U1275" s="494">
        <v>3059</v>
      </c>
      <c r="V1275" s="493">
        <v>2024</v>
      </c>
      <c r="W1275" s="495"/>
      <c r="X1275" s="496">
        <f t="shared" si="80"/>
        <v>3.4115724092840796</v>
      </c>
      <c r="Y1275" s="497" t="str">
        <f t="shared" si="83"/>
        <v/>
      </c>
      <c r="Z1275" s="497" t="str">
        <f t="shared" si="83"/>
        <v/>
      </c>
    </row>
    <row r="1276" spans="1:26" s="82" customFormat="1" x14ac:dyDescent="0.4">
      <c r="A1276" s="493">
        <v>58958</v>
      </c>
      <c r="B1276" s="105" t="s">
        <v>329</v>
      </c>
      <c r="C1276" s="493" t="s">
        <v>330</v>
      </c>
      <c r="D1276" s="105" t="s">
        <v>1438</v>
      </c>
      <c r="E1276" s="105" t="s">
        <v>1438</v>
      </c>
      <c r="F1276" s="493">
        <v>58821</v>
      </c>
      <c r="G1276" s="105" t="s">
        <v>33</v>
      </c>
      <c r="H1276" s="105" t="s">
        <v>342</v>
      </c>
      <c r="I1276" s="105" t="s">
        <v>334</v>
      </c>
      <c r="J1276" s="493">
        <v>22</v>
      </c>
      <c r="K1276" s="493">
        <v>2</v>
      </c>
      <c r="L1276" s="105" t="s">
        <v>343</v>
      </c>
      <c r="M1276" s="105" t="s">
        <v>695</v>
      </c>
      <c r="N1276" s="105" t="s">
        <v>696</v>
      </c>
      <c r="O1276" s="105" t="s">
        <v>696</v>
      </c>
      <c r="P1276" s="105" t="s">
        <v>339</v>
      </c>
      <c r="Q1276" s="494">
        <v>0</v>
      </c>
      <c r="R1276" s="494">
        <v>0</v>
      </c>
      <c r="S1276" s="494">
        <v>7897</v>
      </c>
      <c r="T1276" s="494">
        <v>7897</v>
      </c>
      <c r="U1276" s="494">
        <v>2314</v>
      </c>
      <c r="V1276" s="493">
        <v>2024</v>
      </c>
      <c r="W1276" s="495"/>
      <c r="X1276" s="496">
        <f t="shared" si="80"/>
        <v>3.4127052722558342</v>
      </c>
      <c r="Y1276" s="497" t="str">
        <f t="shared" si="83"/>
        <v/>
      </c>
      <c r="Z1276" s="497" t="str">
        <f t="shared" si="83"/>
        <v/>
      </c>
    </row>
    <row r="1277" spans="1:26" s="82" customFormat="1" ht="32" x14ac:dyDescent="0.4">
      <c r="A1277" s="493">
        <v>58964</v>
      </c>
      <c r="B1277" s="105" t="s">
        <v>329</v>
      </c>
      <c r="C1277" s="493" t="s">
        <v>330</v>
      </c>
      <c r="D1277" s="105" t="s">
        <v>1439</v>
      </c>
      <c r="E1277" s="105" t="s">
        <v>1243</v>
      </c>
      <c r="F1277" s="493">
        <v>56769</v>
      </c>
      <c r="G1277" s="105" t="s">
        <v>36</v>
      </c>
      <c r="H1277" s="105" t="s">
        <v>342</v>
      </c>
      <c r="I1277" s="105" t="s">
        <v>334</v>
      </c>
      <c r="J1277" s="493">
        <v>22</v>
      </c>
      <c r="K1277" s="493">
        <v>2</v>
      </c>
      <c r="L1277" s="105" t="s">
        <v>343</v>
      </c>
      <c r="M1277" s="105" t="s">
        <v>655</v>
      </c>
      <c r="N1277" s="105" t="s">
        <v>656</v>
      </c>
      <c r="O1277" s="105" t="s">
        <v>656</v>
      </c>
      <c r="P1277" s="105" t="s">
        <v>339</v>
      </c>
      <c r="Q1277" s="494">
        <v>0</v>
      </c>
      <c r="R1277" s="494">
        <v>0</v>
      </c>
      <c r="S1277" s="494">
        <v>9938</v>
      </c>
      <c r="T1277" s="494">
        <v>9938</v>
      </c>
      <c r="U1277" s="494">
        <v>2912</v>
      </c>
      <c r="V1277" s="493">
        <v>2024</v>
      </c>
      <c r="W1277" s="495"/>
      <c r="X1277" s="496">
        <f t="shared" si="80"/>
        <v>3.4127747252747254</v>
      </c>
      <c r="Y1277" s="497" t="str">
        <f t="shared" si="83"/>
        <v/>
      </c>
      <c r="Z1277" s="497" t="str">
        <f t="shared" si="83"/>
        <v/>
      </c>
    </row>
    <row r="1278" spans="1:26" s="82" customFormat="1" ht="32" x14ac:dyDescent="0.4">
      <c r="A1278" s="493">
        <v>58974</v>
      </c>
      <c r="B1278" s="105" t="s">
        <v>329</v>
      </c>
      <c r="C1278" s="493" t="s">
        <v>330</v>
      </c>
      <c r="D1278" s="105" t="s">
        <v>1440</v>
      </c>
      <c r="E1278" s="105" t="s">
        <v>1441</v>
      </c>
      <c r="F1278" s="493">
        <v>59254</v>
      </c>
      <c r="G1278" s="105" t="s">
        <v>33</v>
      </c>
      <c r="H1278" s="105" t="s">
        <v>342</v>
      </c>
      <c r="I1278" s="105" t="s">
        <v>334</v>
      </c>
      <c r="J1278" s="493">
        <v>22</v>
      </c>
      <c r="K1278" s="493">
        <v>2</v>
      </c>
      <c r="L1278" s="105" t="s">
        <v>343</v>
      </c>
      <c r="M1278" s="105" t="s">
        <v>655</v>
      </c>
      <c r="N1278" s="105" t="s">
        <v>656</v>
      </c>
      <c r="O1278" s="105" t="s">
        <v>656</v>
      </c>
      <c r="P1278" s="105" t="s">
        <v>339</v>
      </c>
      <c r="Q1278" s="494">
        <v>0</v>
      </c>
      <c r="R1278" s="494">
        <v>0</v>
      </c>
      <c r="S1278" s="494">
        <v>9812</v>
      </c>
      <c r="T1278" s="494">
        <v>9812</v>
      </c>
      <c r="U1278" s="494">
        <v>2876</v>
      </c>
      <c r="V1278" s="493">
        <v>2024</v>
      </c>
      <c r="W1278" s="495"/>
      <c r="X1278" s="496">
        <f t="shared" si="80"/>
        <v>3.411682892906815</v>
      </c>
      <c r="Y1278" s="497" t="str">
        <f t="shared" si="83"/>
        <v/>
      </c>
      <c r="Z1278" s="497" t="str">
        <f t="shared" si="83"/>
        <v/>
      </c>
    </row>
    <row r="1279" spans="1:26" s="82" customFormat="1" ht="32" x14ac:dyDescent="0.4">
      <c r="A1279" s="493">
        <v>58979</v>
      </c>
      <c r="B1279" s="105" t="s">
        <v>329</v>
      </c>
      <c r="C1279" s="493" t="s">
        <v>330</v>
      </c>
      <c r="D1279" s="105" t="s">
        <v>1442</v>
      </c>
      <c r="E1279" s="105" t="s">
        <v>1443</v>
      </c>
      <c r="F1279" s="493">
        <v>57170</v>
      </c>
      <c r="G1279" s="105" t="s">
        <v>52</v>
      </c>
      <c r="H1279" s="105" t="s">
        <v>333</v>
      </c>
      <c r="I1279" s="105" t="s">
        <v>334</v>
      </c>
      <c r="J1279" s="493">
        <v>22</v>
      </c>
      <c r="K1279" s="493">
        <v>2</v>
      </c>
      <c r="L1279" s="105" t="s">
        <v>343</v>
      </c>
      <c r="M1279" s="105" t="s">
        <v>695</v>
      </c>
      <c r="N1279" s="105" t="s">
        <v>696</v>
      </c>
      <c r="O1279" s="105" t="s">
        <v>696</v>
      </c>
      <c r="P1279" s="105" t="s">
        <v>339</v>
      </c>
      <c r="Q1279" s="494">
        <v>0</v>
      </c>
      <c r="R1279" s="494">
        <v>0</v>
      </c>
      <c r="S1279" s="494">
        <v>812936</v>
      </c>
      <c r="T1279" s="494">
        <v>812936</v>
      </c>
      <c r="U1279" s="494">
        <v>238258</v>
      </c>
      <c r="V1279" s="493">
        <v>2024</v>
      </c>
      <c r="W1279" s="495"/>
      <c r="X1279" s="496">
        <f t="shared" si="80"/>
        <v>3.411998757649271</v>
      </c>
      <c r="Y1279" s="497" t="str">
        <f t="shared" si="83"/>
        <v/>
      </c>
      <c r="Z1279" s="497" t="str">
        <f t="shared" si="83"/>
        <v/>
      </c>
    </row>
    <row r="1280" spans="1:26" s="82" customFormat="1" ht="32" x14ac:dyDescent="0.4">
      <c r="A1280" s="493">
        <v>58992</v>
      </c>
      <c r="B1280" s="105" t="s">
        <v>329</v>
      </c>
      <c r="C1280" s="493" t="s">
        <v>330</v>
      </c>
      <c r="D1280" s="105" t="s">
        <v>1444</v>
      </c>
      <c r="E1280" s="105" t="s">
        <v>1444</v>
      </c>
      <c r="F1280" s="493">
        <v>58844</v>
      </c>
      <c r="G1280" s="105" t="s">
        <v>33</v>
      </c>
      <c r="H1280" s="105" t="s">
        <v>342</v>
      </c>
      <c r="I1280" s="105" t="s">
        <v>334</v>
      </c>
      <c r="J1280" s="493">
        <v>92214</v>
      </c>
      <c r="K1280" s="493">
        <v>4</v>
      </c>
      <c r="L1280" s="105" t="s">
        <v>766</v>
      </c>
      <c r="M1280" s="105" t="s">
        <v>695</v>
      </c>
      <c r="N1280" s="105" t="s">
        <v>696</v>
      </c>
      <c r="O1280" s="105" t="s">
        <v>696</v>
      </c>
      <c r="P1280" s="105" t="s">
        <v>339</v>
      </c>
      <c r="Q1280" s="494">
        <v>0</v>
      </c>
      <c r="R1280" s="494">
        <v>0</v>
      </c>
      <c r="S1280" s="494">
        <v>16836</v>
      </c>
      <c r="T1280" s="494">
        <v>16836</v>
      </c>
      <c r="U1280" s="494">
        <v>4934</v>
      </c>
      <c r="V1280" s="493">
        <v>2024</v>
      </c>
      <c r="W1280" s="495"/>
      <c r="X1280" s="496" t="str">
        <f t="shared" si="80"/>
        <v/>
      </c>
      <c r="Y1280" s="497" t="str">
        <f t="shared" si="83"/>
        <v/>
      </c>
      <c r="Z1280" s="497" t="str">
        <f t="shared" si="83"/>
        <v/>
      </c>
    </row>
    <row r="1281" spans="1:26" s="82" customFormat="1" ht="32" x14ac:dyDescent="0.4">
      <c r="A1281" s="493">
        <v>59011</v>
      </c>
      <c r="B1281" s="105" t="s">
        <v>329</v>
      </c>
      <c r="C1281" s="493" t="s">
        <v>330</v>
      </c>
      <c r="D1281" s="105" t="s">
        <v>1445</v>
      </c>
      <c r="E1281" s="105" t="s">
        <v>1446</v>
      </c>
      <c r="F1281" s="493">
        <v>58860</v>
      </c>
      <c r="G1281" s="105" t="s">
        <v>33</v>
      </c>
      <c r="H1281" s="105" t="s">
        <v>342</v>
      </c>
      <c r="I1281" s="105" t="s">
        <v>334</v>
      </c>
      <c r="J1281" s="493">
        <v>22</v>
      </c>
      <c r="K1281" s="493">
        <v>2</v>
      </c>
      <c r="L1281" s="105" t="s">
        <v>343</v>
      </c>
      <c r="M1281" s="105" t="s">
        <v>359</v>
      </c>
      <c r="N1281" s="105" t="s">
        <v>252</v>
      </c>
      <c r="O1281" s="105" t="s">
        <v>688</v>
      </c>
      <c r="P1281" s="105" t="s">
        <v>356</v>
      </c>
      <c r="Q1281" s="494">
        <v>269382</v>
      </c>
      <c r="R1281" s="494">
        <v>269382</v>
      </c>
      <c r="S1281" s="494">
        <v>122032</v>
      </c>
      <c r="T1281" s="494">
        <v>122032</v>
      </c>
      <c r="U1281" s="494">
        <v>11943</v>
      </c>
      <c r="V1281" s="493">
        <v>2024</v>
      </c>
      <c r="W1281" s="495"/>
      <c r="X1281" s="496">
        <f t="shared" si="80"/>
        <v>10.217868207318094</v>
      </c>
      <c r="Y1281" s="497" t="str">
        <f t="shared" si="83"/>
        <v/>
      </c>
      <c r="Z1281" s="497" t="str">
        <f t="shared" si="83"/>
        <v/>
      </c>
    </row>
    <row r="1282" spans="1:26" s="82" customFormat="1" x14ac:dyDescent="0.4">
      <c r="A1282" s="493">
        <v>59013</v>
      </c>
      <c r="B1282" s="105" t="s">
        <v>329</v>
      </c>
      <c r="C1282" s="493" t="s">
        <v>330</v>
      </c>
      <c r="D1282" s="105" t="s">
        <v>1447</v>
      </c>
      <c r="E1282" s="105" t="s">
        <v>1448</v>
      </c>
      <c r="F1282" s="493">
        <v>61012</v>
      </c>
      <c r="G1282" s="105" t="s">
        <v>33</v>
      </c>
      <c r="H1282" s="105" t="s">
        <v>342</v>
      </c>
      <c r="I1282" s="105" t="s">
        <v>334</v>
      </c>
      <c r="J1282" s="493">
        <v>22</v>
      </c>
      <c r="K1282" s="493">
        <v>2</v>
      </c>
      <c r="L1282" s="105" t="s">
        <v>343</v>
      </c>
      <c r="M1282" s="105" t="s">
        <v>655</v>
      </c>
      <c r="N1282" s="105" t="s">
        <v>656</v>
      </c>
      <c r="O1282" s="105" t="s">
        <v>656</v>
      </c>
      <c r="P1282" s="105" t="s">
        <v>339</v>
      </c>
      <c r="Q1282" s="494">
        <v>0</v>
      </c>
      <c r="R1282" s="494">
        <v>0</v>
      </c>
      <c r="S1282" s="494">
        <v>11208</v>
      </c>
      <c r="T1282" s="494">
        <v>11208</v>
      </c>
      <c r="U1282" s="494">
        <v>3285</v>
      </c>
      <c r="V1282" s="493">
        <v>2024</v>
      </c>
      <c r="W1282" s="495"/>
      <c r="X1282" s="496">
        <f t="shared" si="80"/>
        <v>3.4118721461187214</v>
      </c>
      <c r="Y1282" s="497" t="str">
        <f t="shared" si="83"/>
        <v/>
      </c>
      <c r="Z1282" s="497" t="str">
        <f t="shared" si="83"/>
        <v/>
      </c>
    </row>
    <row r="1283" spans="1:26" s="82" customFormat="1" x14ac:dyDescent="0.4">
      <c r="A1283" s="493">
        <v>59014</v>
      </c>
      <c r="B1283" s="105" t="s">
        <v>329</v>
      </c>
      <c r="C1283" s="493" t="s">
        <v>330</v>
      </c>
      <c r="D1283" s="105" t="s">
        <v>1449</v>
      </c>
      <c r="E1283" s="105" t="s">
        <v>1448</v>
      </c>
      <c r="F1283" s="493">
        <v>61012</v>
      </c>
      <c r="G1283" s="105" t="s">
        <v>33</v>
      </c>
      <c r="H1283" s="105" t="s">
        <v>342</v>
      </c>
      <c r="I1283" s="105" t="s">
        <v>334</v>
      </c>
      <c r="J1283" s="493">
        <v>22</v>
      </c>
      <c r="K1283" s="493">
        <v>2</v>
      </c>
      <c r="L1283" s="105" t="s">
        <v>343</v>
      </c>
      <c r="M1283" s="105" t="s">
        <v>655</v>
      </c>
      <c r="N1283" s="105" t="s">
        <v>656</v>
      </c>
      <c r="O1283" s="105" t="s">
        <v>656</v>
      </c>
      <c r="P1283" s="105" t="s">
        <v>339</v>
      </c>
      <c r="Q1283" s="494">
        <v>0</v>
      </c>
      <c r="R1283" s="494">
        <v>0</v>
      </c>
      <c r="S1283" s="494">
        <v>23871</v>
      </c>
      <c r="T1283" s="494">
        <v>23871</v>
      </c>
      <c r="U1283" s="494">
        <v>6996</v>
      </c>
      <c r="V1283" s="493">
        <v>2024</v>
      </c>
      <c r="W1283" s="495"/>
      <c r="X1283" s="496">
        <f t="shared" si="80"/>
        <v>3.4120926243567755</v>
      </c>
      <c r="Y1283" s="497" t="str">
        <f t="shared" si="83"/>
        <v/>
      </c>
      <c r="Z1283" s="497" t="str">
        <f t="shared" si="83"/>
        <v/>
      </c>
    </row>
    <row r="1284" spans="1:26" s="82" customFormat="1" x14ac:dyDescent="0.4">
      <c r="A1284" s="493">
        <v>59015</v>
      </c>
      <c r="B1284" s="105" t="s">
        <v>329</v>
      </c>
      <c r="C1284" s="493" t="s">
        <v>330</v>
      </c>
      <c r="D1284" s="105" t="s">
        <v>1450</v>
      </c>
      <c r="E1284" s="105" t="s">
        <v>1448</v>
      </c>
      <c r="F1284" s="493">
        <v>61012</v>
      </c>
      <c r="G1284" s="105" t="s">
        <v>33</v>
      </c>
      <c r="H1284" s="105" t="s">
        <v>342</v>
      </c>
      <c r="I1284" s="105" t="s">
        <v>334</v>
      </c>
      <c r="J1284" s="493">
        <v>22</v>
      </c>
      <c r="K1284" s="493">
        <v>2</v>
      </c>
      <c r="L1284" s="105" t="s">
        <v>343</v>
      </c>
      <c r="M1284" s="105" t="s">
        <v>655</v>
      </c>
      <c r="N1284" s="105" t="s">
        <v>656</v>
      </c>
      <c r="O1284" s="105" t="s">
        <v>656</v>
      </c>
      <c r="P1284" s="105" t="s">
        <v>339</v>
      </c>
      <c r="Q1284" s="494">
        <v>0</v>
      </c>
      <c r="R1284" s="494">
        <v>0</v>
      </c>
      <c r="S1284" s="494">
        <v>8321</v>
      </c>
      <c r="T1284" s="494">
        <v>8321</v>
      </c>
      <c r="U1284" s="494">
        <v>2439</v>
      </c>
      <c r="V1284" s="493">
        <v>2024</v>
      </c>
      <c r="W1284" s="495"/>
      <c r="X1284" s="496">
        <f t="shared" si="80"/>
        <v>3.4116441164411646</v>
      </c>
      <c r="Y1284" s="497" t="str">
        <f t="shared" si="83"/>
        <v/>
      </c>
      <c r="Z1284" s="497" t="str">
        <f t="shared" si="83"/>
        <v/>
      </c>
    </row>
    <row r="1285" spans="1:26" s="82" customFormat="1" ht="32" x14ac:dyDescent="0.4">
      <c r="A1285" s="493">
        <v>59028</v>
      </c>
      <c r="B1285" s="105" t="s">
        <v>329</v>
      </c>
      <c r="C1285" s="493" t="s">
        <v>330</v>
      </c>
      <c r="D1285" s="105" t="s">
        <v>1451</v>
      </c>
      <c r="E1285" s="105" t="s">
        <v>1452</v>
      </c>
      <c r="F1285" s="493">
        <v>58871</v>
      </c>
      <c r="G1285" s="105" t="s">
        <v>33</v>
      </c>
      <c r="H1285" s="105" t="s">
        <v>342</v>
      </c>
      <c r="I1285" s="105" t="s">
        <v>334</v>
      </c>
      <c r="J1285" s="493">
        <v>22</v>
      </c>
      <c r="K1285" s="493">
        <v>2</v>
      </c>
      <c r="L1285" s="105" t="s">
        <v>343</v>
      </c>
      <c r="M1285" s="105" t="s">
        <v>655</v>
      </c>
      <c r="N1285" s="105" t="s">
        <v>656</v>
      </c>
      <c r="O1285" s="105" t="s">
        <v>656</v>
      </c>
      <c r="P1285" s="105" t="s">
        <v>339</v>
      </c>
      <c r="Q1285" s="494">
        <v>0</v>
      </c>
      <c r="R1285" s="494">
        <v>0</v>
      </c>
      <c r="S1285" s="494">
        <v>7057</v>
      </c>
      <c r="T1285" s="494">
        <v>7057</v>
      </c>
      <c r="U1285" s="494">
        <v>2068</v>
      </c>
      <c r="V1285" s="493">
        <v>2024</v>
      </c>
      <c r="W1285" s="495"/>
      <c r="X1285" s="496">
        <f t="shared" si="80"/>
        <v>3.4124758220502902</v>
      </c>
      <c r="Y1285" s="497" t="str">
        <f t="shared" si="83"/>
        <v/>
      </c>
      <c r="Z1285" s="497" t="str">
        <f t="shared" si="83"/>
        <v/>
      </c>
    </row>
    <row r="1286" spans="1:26" s="82" customFormat="1" ht="32" x14ac:dyDescent="0.4">
      <c r="A1286" s="493">
        <v>59029</v>
      </c>
      <c r="B1286" s="105" t="s">
        <v>329</v>
      </c>
      <c r="C1286" s="493" t="s">
        <v>330</v>
      </c>
      <c r="D1286" s="105" t="s">
        <v>1453</v>
      </c>
      <c r="E1286" s="105" t="s">
        <v>1452</v>
      </c>
      <c r="F1286" s="493">
        <v>58871</v>
      </c>
      <c r="G1286" s="105" t="s">
        <v>33</v>
      </c>
      <c r="H1286" s="105" t="s">
        <v>342</v>
      </c>
      <c r="I1286" s="105" t="s">
        <v>334</v>
      </c>
      <c r="J1286" s="493">
        <v>22</v>
      </c>
      <c r="K1286" s="493">
        <v>2</v>
      </c>
      <c r="L1286" s="105" t="s">
        <v>343</v>
      </c>
      <c r="M1286" s="105" t="s">
        <v>655</v>
      </c>
      <c r="N1286" s="105" t="s">
        <v>656</v>
      </c>
      <c r="O1286" s="105" t="s">
        <v>656</v>
      </c>
      <c r="P1286" s="105" t="s">
        <v>339</v>
      </c>
      <c r="Q1286" s="494">
        <v>0</v>
      </c>
      <c r="R1286" s="494">
        <v>0</v>
      </c>
      <c r="S1286" s="494">
        <v>10398</v>
      </c>
      <c r="T1286" s="494">
        <v>10398</v>
      </c>
      <c r="U1286" s="494">
        <v>3047</v>
      </c>
      <c r="V1286" s="493">
        <v>2024</v>
      </c>
      <c r="W1286" s="495"/>
      <c r="X1286" s="496">
        <f t="shared" si="80"/>
        <v>3.4125369215621921</v>
      </c>
      <c r="Y1286" s="497" t="str">
        <f t="shared" si="83"/>
        <v/>
      </c>
      <c r="Z1286" s="497" t="str">
        <f t="shared" si="83"/>
        <v/>
      </c>
    </row>
    <row r="1287" spans="1:26" s="82" customFormat="1" ht="32" x14ac:dyDescent="0.4">
      <c r="A1287" s="493">
        <v>59030</v>
      </c>
      <c r="B1287" s="105" t="s">
        <v>329</v>
      </c>
      <c r="C1287" s="493" t="s">
        <v>330</v>
      </c>
      <c r="D1287" s="105" t="s">
        <v>1454</v>
      </c>
      <c r="E1287" s="105" t="s">
        <v>1452</v>
      </c>
      <c r="F1287" s="493">
        <v>58871</v>
      </c>
      <c r="G1287" s="105" t="s">
        <v>33</v>
      </c>
      <c r="H1287" s="105" t="s">
        <v>342</v>
      </c>
      <c r="I1287" s="105" t="s">
        <v>334</v>
      </c>
      <c r="J1287" s="493">
        <v>22</v>
      </c>
      <c r="K1287" s="493">
        <v>2</v>
      </c>
      <c r="L1287" s="105" t="s">
        <v>343</v>
      </c>
      <c r="M1287" s="105" t="s">
        <v>655</v>
      </c>
      <c r="N1287" s="105" t="s">
        <v>656</v>
      </c>
      <c r="O1287" s="105" t="s">
        <v>656</v>
      </c>
      <c r="P1287" s="105" t="s">
        <v>339</v>
      </c>
      <c r="Q1287" s="494">
        <v>0</v>
      </c>
      <c r="R1287" s="494">
        <v>0</v>
      </c>
      <c r="S1287" s="494">
        <v>15619</v>
      </c>
      <c r="T1287" s="494">
        <v>15619</v>
      </c>
      <c r="U1287" s="494">
        <v>4578</v>
      </c>
      <c r="V1287" s="493">
        <v>2024</v>
      </c>
      <c r="W1287" s="495"/>
      <c r="X1287" s="496">
        <f t="shared" si="80"/>
        <v>3.411751856705985</v>
      </c>
      <c r="Y1287" s="497" t="str">
        <f t="shared" si="83"/>
        <v/>
      </c>
      <c r="Z1287" s="497" t="str">
        <f t="shared" si="83"/>
        <v/>
      </c>
    </row>
    <row r="1288" spans="1:26" s="82" customFormat="1" ht="32" x14ac:dyDescent="0.4">
      <c r="A1288" s="493">
        <v>59031</v>
      </c>
      <c r="B1288" s="105" t="s">
        <v>329</v>
      </c>
      <c r="C1288" s="493" t="s">
        <v>330</v>
      </c>
      <c r="D1288" s="105" t="s">
        <v>1455</v>
      </c>
      <c r="E1288" s="105" t="s">
        <v>1452</v>
      </c>
      <c r="F1288" s="493">
        <v>58871</v>
      </c>
      <c r="G1288" s="105" t="s">
        <v>33</v>
      </c>
      <c r="H1288" s="105" t="s">
        <v>342</v>
      </c>
      <c r="I1288" s="105" t="s">
        <v>334</v>
      </c>
      <c r="J1288" s="493">
        <v>22</v>
      </c>
      <c r="K1288" s="493">
        <v>2</v>
      </c>
      <c r="L1288" s="105" t="s">
        <v>343</v>
      </c>
      <c r="M1288" s="105" t="s">
        <v>655</v>
      </c>
      <c r="N1288" s="105" t="s">
        <v>656</v>
      </c>
      <c r="O1288" s="105" t="s">
        <v>656</v>
      </c>
      <c r="P1288" s="105" t="s">
        <v>339</v>
      </c>
      <c r="Q1288" s="494">
        <v>0</v>
      </c>
      <c r="R1288" s="494">
        <v>0</v>
      </c>
      <c r="S1288" s="494">
        <v>7677</v>
      </c>
      <c r="T1288" s="494">
        <v>7677</v>
      </c>
      <c r="U1288" s="494">
        <v>2250</v>
      </c>
      <c r="V1288" s="493">
        <v>2024</v>
      </c>
      <c r="W1288" s="495"/>
      <c r="X1288" s="496">
        <f t="shared" si="80"/>
        <v>3.4119999999999999</v>
      </c>
      <c r="Y1288" s="497" t="str">
        <f t="shared" ref="Y1288:Z1307" si="84">IF(AND($M1288=$Y$2,$N1288=$Y$3,NOT($Q1288=$R1288),NOT($U1288=0)),IF($K1288=5,$S1288/($U1288+(8/5)*$U1288),IF($K1288=7,$S1288/($U1288+(29/25)*$U1288),"")),"")</f>
        <v/>
      </c>
      <c r="Z1288" s="497" t="str">
        <f t="shared" si="84"/>
        <v/>
      </c>
    </row>
    <row r="1289" spans="1:26" s="82" customFormat="1" ht="32" x14ac:dyDescent="0.4">
      <c r="A1289" s="493">
        <v>59032</v>
      </c>
      <c r="B1289" s="105" t="s">
        <v>329</v>
      </c>
      <c r="C1289" s="493" t="s">
        <v>330</v>
      </c>
      <c r="D1289" s="105" t="s">
        <v>1456</v>
      </c>
      <c r="E1289" s="105" t="s">
        <v>1452</v>
      </c>
      <c r="F1289" s="493">
        <v>58871</v>
      </c>
      <c r="G1289" s="105" t="s">
        <v>33</v>
      </c>
      <c r="H1289" s="105" t="s">
        <v>342</v>
      </c>
      <c r="I1289" s="105" t="s">
        <v>334</v>
      </c>
      <c r="J1289" s="493">
        <v>22</v>
      </c>
      <c r="K1289" s="493">
        <v>2</v>
      </c>
      <c r="L1289" s="105" t="s">
        <v>343</v>
      </c>
      <c r="M1289" s="105" t="s">
        <v>655</v>
      </c>
      <c r="N1289" s="105" t="s">
        <v>656</v>
      </c>
      <c r="O1289" s="105" t="s">
        <v>656</v>
      </c>
      <c r="P1289" s="105" t="s">
        <v>339</v>
      </c>
      <c r="Q1289" s="494">
        <v>0</v>
      </c>
      <c r="R1289" s="494">
        <v>0</v>
      </c>
      <c r="S1289" s="494">
        <v>12656</v>
      </c>
      <c r="T1289" s="494">
        <v>12656</v>
      </c>
      <c r="U1289" s="494">
        <v>3709</v>
      </c>
      <c r="V1289" s="493">
        <v>2024</v>
      </c>
      <c r="W1289" s="495"/>
      <c r="X1289" s="496">
        <f t="shared" ref="X1289:X1352" si="85">IF(OR(K1289&gt;3,T1289=0,NOT(U1289&gt;0)),"",T1289/U1289)</f>
        <v>3.4122404960905905</v>
      </c>
      <c r="Y1289" s="497" t="str">
        <f t="shared" si="84"/>
        <v/>
      </c>
      <c r="Z1289" s="497" t="str">
        <f t="shared" si="84"/>
        <v/>
      </c>
    </row>
    <row r="1290" spans="1:26" s="82" customFormat="1" ht="32" x14ac:dyDescent="0.4">
      <c r="A1290" s="493">
        <v>59033</v>
      </c>
      <c r="B1290" s="105" t="s">
        <v>329</v>
      </c>
      <c r="C1290" s="493" t="s">
        <v>330</v>
      </c>
      <c r="D1290" s="105" t="s">
        <v>1457</v>
      </c>
      <c r="E1290" s="105" t="s">
        <v>1452</v>
      </c>
      <c r="F1290" s="493">
        <v>58871</v>
      </c>
      <c r="G1290" s="105" t="s">
        <v>33</v>
      </c>
      <c r="H1290" s="105" t="s">
        <v>342</v>
      </c>
      <c r="I1290" s="105" t="s">
        <v>334</v>
      </c>
      <c r="J1290" s="493">
        <v>22</v>
      </c>
      <c r="K1290" s="493">
        <v>2</v>
      </c>
      <c r="L1290" s="105" t="s">
        <v>343</v>
      </c>
      <c r="M1290" s="105" t="s">
        <v>655</v>
      </c>
      <c r="N1290" s="105" t="s">
        <v>656</v>
      </c>
      <c r="O1290" s="105" t="s">
        <v>656</v>
      </c>
      <c r="P1290" s="105" t="s">
        <v>339</v>
      </c>
      <c r="Q1290" s="494">
        <v>0</v>
      </c>
      <c r="R1290" s="494">
        <v>0</v>
      </c>
      <c r="S1290" s="494">
        <v>7922</v>
      </c>
      <c r="T1290" s="494">
        <v>7922</v>
      </c>
      <c r="U1290" s="494">
        <v>2322</v>
      </c>
      <c r="V1290" s="493">
        <v>2024</v>
      </c>
      <c r="W1290" s="495"/>
      <c r="X1290" s="496">
        <f t="shared" si="85"/>
        <v>3.4117140396210162</v>
      </c>
      <c r="Y1290" s="497" t="str">
        <f t="shared" si="84"/>
        <v/>
      </c>
      <c r="Z1290" s="497" t="str">
        <f t="shared" si="84"/>
        <v/>
      </c>
    </row>
    <row r="1291" spans="1:26" s="82" customFormat="1" ht="32" x14ac:dyDescent="0.4">
      <c r="A1291" s="493">
        <v>59040</v>
      </c>
      <c r="B1291" s="105" t="s">
        <v>329</v>
      </c>
      <c r="C1291" s="493" t="s">
        <v>330</v>
      </c>
      <c r="D1291" s="105" t="s">
        <v>1458</v>
      </c>
      <c r="E1291" s="105" t="s">
        <v>592</v>
      </c>
      <c r="F1291" s="493">
        <v>57280</v>
      </c>
      <c r="G1291" s="105" t="s">
        <v>36</v>
      </c>
      <c r="H1291" s="105" t="s">
        <v>342</v>
      </c>
      <c r="I1291" s="105" t="s">
        <v>334</v>
      </c>
      <c r="J1291" s="493">
        <v>22</v>
      </c>
      <c r="K1291" s="493">
        <v>2</v>
      </c>
      <c r="L1291" s="105" t="s">
        <v>343</v>
      </c>
      <c r="M1291" s="105" t="s">
        <v>336</v>
      </c>
      <c r="N1291" s="105" t="s">
        <v>337</v>
      </c>
      <c r="O1291" s="105" t="s">
        <v>338</v>
      </c>
      <c r="P1291" s="105" t="s">
        <v>339</v>
      </c>
      <c r="Q1291" s="494">
        <v>0</v>
      </c>
      <c r="R1291" s="494">
        <v>0</v>
      </c>
      <c r="S1291" s="494">
        <v>209</v>
      </c>
      <c r="T1291" s="494">
        <v>209</v>
      </c>
      <c r="U1291" s="494">
        <v>61</v>
      </c>
      <c r="V1291" s="493">
        <v>2024</v>
      </c>
      <c r="W1291" s="495"/>
      <c r="X1291" s="496">
        <f t="shared" si="85"/>
        <v>3.4262295081967213</v>
      </c>
      <c r="Y1291" s="497" t="str">
        <f t="shared" si="84"/>
        <v/>
      </c>
      <c r="Z1291" s="497" t="str">
        <f t="shared" si="84"/>
        <v/>
      </c>
    </row>
    <row r="1292" spans="1:26" s="82" customFormat="1" ht="32" x14ac:dyDescent="0.4">
      <c r="A1292" s="493">
        <v>59043</v>
      </c>
      <c r="B1292" s="105" t="s">
        <v>329</v>
      </c>
      <c r="C1292" s="493" t="s">
        <v>330</v>
      </c>
      <c r="D1292" s="105" t="s">
        <v>1459</v>
      </c>
      <c r="E1292" s="105" t="s">
        <v>1313</v>
      </c>
      <c r="F1292" s="493">
        <v>60281</v>
      </c>
      <c r="G1292" s="105" t="s">
        <v>38</v>
      </c>
      <c r="H1292" s="105" t="s">
        <v>342</v>
      </c>
      <c r="I1292" s="105" t="s">
        <v>334</v>
      </c>
      <c r="J1292" s="493">
        <v>22</v>
      </c>
      <c r="K1292" s="493">
        <v>2</v>
      </c>
      <c r="L1292" s="105" t="s">
        <v>343</v>
      </c>
      <c r="M1292" s="105" t="s">
        <v>655</v>
      </c>
      <c r="N1292" s="105" t="s">
        <v>656</v>
      </c>
      <c r="O1292" s="105" t="s">
        <v>656</v>
      </c>
      <c r="P1292" s="105" t="s">
        <v>339</v>
      </c>
      <c r="Q1292" s="494">
        <v>0</v>
      </c>
      <c r="R1292" s="494">
        <v>0</v>
      </c>
      <c r="S1292" s="494">
        <v>9257</v>
      </c>
      <c r="T1292" s="494">
        <v>9257</v>
      </c>
      <c r="U1292" s="494">
        <v>2713</v>
      </c>
      <c r="V1292" s="493">
        <v>2024</v>
      </c>
      <c r="W1292" s="495"/>
      <c r="X1292" s="496">
        <f t="shared" si="85"/>
        <v>3.4120899373387394</v>
      </c>
      <c r="Y1292" s="497" t="str">
        <f t="shared" si="84"/>
        <v/>
      </c>
      <c r="Z1292" s="497" t="str">
        <f t="shared" si="84"/>
        <v/>
      </c>
    </row>
    <row r="1293" spans="1:26" s="82" customFormat="1" ht="32" x14ac:dyDescent="0.4">
      <c r="A1293" s="493">
        <v>59046</v>
      </c>
      <c r="B1293" s="105" t="s">
        <v>329</v>
      </c>
      <c r="C1293" s="493" t="s">
        <v>330</v>
      </c>
      <c r="D1293" s="105" t="s">
        <v>1460</v>
      </c>
      <c r="E1293" s="105" t="s">
        <v>1441</v>
      </c>
      <c r="F1293" s="493">
        <v>59254</v>
      </c>
      <c r="G1293" s="105" t="s">
        <v>33</v>
      </c>
      <c r="H1293" s="105" t="s">
        <v>342</v>
      </c>
      <c r="I1293" s="105" t="s">
        <v>334</v>
      </c>
      <c r="J1293" s="493">
        <v>22</v>
      </c>
      <c r="K1293" s="493">
        <v>2</v>
      </c>
      <c r="L1293" s="105" t="s">
        <v>343</v>
      </c>
      <c r="M1293" s="105" t="s">
        <v>655</v>
      </c>
      <c r="N1293" s="105" t="s">
        <v>656</v>
      </c>
      <c r="O1293" s="105" t="s">
        <v>656</v>
      </c>
      <c r="P1293" s="105" t="s">
        <v>339</v>
      </c>
      <c r="Q1293" s="494">
        <v>0</v>
      </c>
      <c r="R1293" s="494">
        <v>0</v>
      </c>
      <c r="S1293" s="494">
        <v>13747</v>
      </c>
      <c r="T1293" s="494">
        <v>13747</v>
      </c>
      <c r="U1293" s="494">
        <v>4029</v>
      </c>
      <c r="V1293" s="493">
        <v>2024</v>
      </c>
      <c r="W1293" s="495"/>
      <c r="X1293" s="496">
        <f t="shared" si="85"/>
        <v>3.4120129064283939</v>
      </c>
      <c r="Y1293" s="497" t="str">
        <f t="shared" si="84"/>
        <v/>
      </c>
      <c r="Z1293" s="497" t="str">
        <f t="shared" si="84"/>
        <v/>
      </c>
    </row>
    <row r="1294" spans="1:26" s="82" customFormat="1" ht="32" x14ac:dyDescent="0.4">
      <c r="A1294" s="493">
        <v>59049</v>
      </c>
      <c r="B1294" s="105" t="s">
        <v>329</v>
      </c>
      <c r="C1294" s="493" t="s">
        <v>330</v>
      </c>
      <c r="D1294" s="105" t="s">
        <v>1461</v>
      </c>
      <c r="E1294" s="105" t="s">
        <v>1462</v>
      </c>
      <c r="F1294" s="493">
        <v>58883</v>
      </c>
      <c r="G1294" s="105" t="s">
        <v>36</v>
      </c>
      <c r="H1294" s="105" t="s">
        <v>342</v>
      </c>
      <c r="I1294" s="105" t="s">
        <v>334</v>
      </c>
      <c r="J1294" s="493">
        <v>22</v>
      </c>
      <c r="K1294" s="493">
        <v>2</v>
      </c>
      <c r="L1294" s="105" t="s">
        <v>343</v>
      </c>
      <c r="M1294" s="105" t="s">
        <v>655</v>
      </c>
      <c r="N1294" s="105" t="s">
        <v>656</v>
      </c>
      <c r="O1294" s="105" t="s">
        <v>656</v>
      </c>
      <c r="P1294" s="105" t="s">
        <v>339</v>
      </c>
      <c r="Q1294" s="494">
        <v>0</v>
      </c>
      <c r="R1294" s="494">
        <v>0</v>
      </c>
      <c r="S1294" s="494">
        <v>11670</v>
      </c>
      <c r="T1294" s="494">
        <v>11670</v>
      </c>
      <c r="U1294" s="494">
        <v>3420</v>
      </c>
      <c r="V1294" s="493">
        <v>2024</v>
      </c>
      <c r="W1294" s="495"/>
      <c r="X1294" s="496">
        <f t="shared" si="85"/>
        <v>3.4122807017543861</v>
      </c>
      <c r="Y1294" s="497" t="str">
        <f t="shared" si="84"/>
        <v/>
      </c>
      <c r="Z1294" s="497" t="str">
        <f t="shared" si="84"/>
        <v/>
      </c>
    </row>
    <row r="1295" spans="1:26" s="82" customFormat="1" x14ac:dyDescent="0.4">
      <c r="A1295" s="493">
        <v>59070</v>
      </c>
      <c r="B1295" s="105" t="s">
        <v>329</v>
      </c>
      <c r="C1295" s="493" t="s">
        <v>330</v>
      </c>
      <c r="D1295" s="105" t="s">
        <v>1463</v>
      </c>
      <c r="E1295" s="105" t="s">
        <v>1464</v>
      </c>
      <c r="F1295" s="493">
        <v>58891</v>
      </c>
      <c r="G1295" s="105" t="s">
        <v>35</v>
      </c>
      <c r="H1295" s="105" t="s">
        <v>342</v>
      </c>
      <c r="I1295" s="105" t="s">
        <v>334</v>
      </c>
      <c r="J1295" s="493">
        <v>22</v>
      </c>
      <c r="K1295" s="493">
        <v>2</v>
      </c>
      <c r="L1295" s="105" t="s">
        <v>343</v>
      </c>
      <c r="M1295" s="105" t="s">
        <v>695</v>
      </c>
      <c r="N1295" s="105" t="s">
        <v>696</v>
      </c>
      <c r="O1295" s="105" t="s">
        <v>696</v>
      </c>
      <c r="P1295" s="105" t="s">
        <v>339</v>
      </c>
      <c r="Q1295" s="494">
        <v>0</v>
      </c>
      <c r="R1295" s="494">
        <v>0</v>
      </c>
      <c r="S1295" s="494">
        <v>70560</v>
      </c>
      <c r="T1295" s="494">
        <v>70560</v>
      </c>
      <c r="U1295" s="494">
        <v>20680</v>
      </c>
      <c r="V1295" s="493">
        <v>2024</v>
      </c>
      <c r="W1295" s="495"/>
      <c r="X1295" s="496">
        <f t="shared" si="85"/>
        <v>3.411992263056093</v>
      </c>
      <c r="Y1295" s="497" t="str">
        <f t="shared" si="84"/>
        <v/>
      </c>
      <c r="Z1295" s="497" t="str">
        <f t="shared" si="84"/>
        <v/>
      </c>
    </row>
    <row r="1296" spans="1:26" s="82" customFormat="1" x14ac:dyDescent="0.4">
      <c r="A1296" s="493">
        <v>59075</v>
      </c>
      <c r="B1296" s="105" t="s">
        <v>329</v>
      </c>
      <c r="C1296" s="493" t="s">
        <v>330</v>
      </c>
      <c r="D1296" s="105" t="s">
        <v>1465</v>
      </c>
      <c r="E1296" s="105" t="s">
        <v>1466</v>
      </c>
      <c r="F1296" s="493">
        <v>65305</v>
      </c>
      <c r="G1296" s="105" t="s">
        <v>33</v>
      </c>
      <c r="H1296" s="105" t="s">
        <v>342</v>
      </c>
      <c r="I1296" s="105" t="s">
        <v>334</v>
      </c>
      <c r="J1296" s="493">
        <v>22</v>
      </c>
      <c r="K1296" s="493">
        <v>2</v>
      </c>
      <c r="L1296" s="105" t="s">
        <v>343</v>
      </c>
      <c r="M1296" s="105" t="s">
        <v>655</v>
      </c>
      <c r="N1296" s="105" t="s">
        <v>656</v>
      </c>
      <c r="O1296" s="105" t="s">
        <v>656</v>
      </c>
      <c r="P1296" s="105" t="s">
        <v>339</v>
      </c>
      <c r="Q1296" s="494">
        <v>0</v>
      </c>
      <c r="R1296" s="494">
        <v>0</v>
      </c>
      <c r="S1296" s="494">
        <v>18102</v>
      </c>
      <c r="T1296" s="494">
        <v>18102</v>
      </c>
      <c r="U1296" s="494">
        <v>5305</v>
      </c>
      <c r="V1296" s="493">
        <v>2024</v>
      </c>
      <c r="W1296" s="495"/>
      <c r="X1296" s="496">
        <f t="shared" si="85"/>
        <v>3.4122525918944393</v>
      </c>
      <c r="Y1296" s="497" t="str">
        <f t="shared" si="84"/>
        <v/>
      </c>
      <c r="Z1296" s="497" t="str">
        <f t="shared" si="84"/>
        <v/>
      </c>
    </row>
    <row r="1297" spans="1:26" s="82" customFormat="1" x14ac:dyDescent="0.4">
      <c r="A1297" s="493">
        <v>59077</v>
      </c>
      <c r="B1297" s="105" t="s">
        <v>329</v>
      </c>
      <c r="C1297" s="493" t="s">
        <v>330</v>
      </c>
      <c r="D1297" s="105" t="s">
        <v>1467</v>
      </c>
      <c r="E1297" s="105" t="s">
        <v>1466</v>
      </c>
      <c r="F1297" s="493">
        <v>65305</v>
      </c>
      <c r="G1297" s="105" t="s">
        <v>33</v>
      </c>
      <c r="H1297" s="105" t="s">
        <v>342</v>
      </c>
      <c r="I1297" s="105" t="s">
        <v>334</v>
      </c>
      <c r="J1297" s="493">
        <v>22</v>
      </c>
      <c r="K1297" s="493">
        <v>2</v>
      </c>
      <c r="L1297" s="105" t="s">
        <v>343</v>
      </c>
      <c r="M1297" s="105" t="s">
        <v>655</v>
      </c>
      <c r="N1297" s="105" t="s">
        <v>656</v>
      </c>
      <c r="O1297" s="105" t="s">
        <v>656</v>
      </c>
      <c r="P1297" s="105" t="s">
        <v>339</v>
      </c>
      <c r="Q1297" s="494">
        <v>0</v>
      </c>
      <c r="R1297" s="494">
        <v>0</v>
      </c>
      <c r="S1297" s="494">
        <v>7879</v>
      </c>
      <c r="T1297" s="494">
        <v>7879</v>
      </c>
      <c r="U1297" s="494">
        <v>2309</v>
      </c>
      <c r="V1297" s="493">
        <v>2024</v>
      </c>
      <c r="W1297" s="495"/>
      <c r="X1297" s="496">
        <f t="shared" si="85"/>
        <v>3.412299696838458</v>
      </c>
      <c r="Y1297" s="497" t="str">
        <f t="shared" si="84"/>
        <v/>
      </c>
      <c r="Z1297" s="497" t="str">
        <f t="shared" si="84"/>
        <v/>
      </c>
    </row>
    <row r="1298" spans="1:26" s="82" customFormat="1" x14ac:dyDescent="0.4">
      <c r="A1298" s="493">
        <v>59078</v>
      </c>
      <c r="B1298" s="105" t="s">
        <v>329</v>
      </c>
      <c r="C1298" s="493" t="s">
        <v>330</v>
      </c>
      <c r="D1298" s="105" t="s">
        <v>1468</v>
      </c>
      <c r="E1298" s="105" t="s">
        <v>1466</v>
      </c>
      <c r="F1298" s="493">
        <v>65305</v>
      </c>
      <c r="G1298" s="105" t="s">
        <v>33</v>
      </c>
      <c r="H1298" s="105" t="s">
        <v>342</v>
      </c>
      <c r="I1298" s="105" t="s">
        <v>334</v>
      </c>
      <c r="J1298" s="493">
        <v>22</v>
      </c>
      <c r="K1298" s="493">
        <v>2</v>
      </c>
      <c r="L1298" s="105" t="s">
        <v>343</v>
      </c>
      <c r="M1298" s="105" t="s">
        <v>655</v>
      </c>
      <c r="N1298" s="105" t="s">
        <v>656</v>
      </c>
      <c r="O1298" s="105" t="s">
        <v>656</v>
      </c>
      <c r="P1298" s="105" t="s">
        <v>339</v>
      </c>
      <c r="Q1298" s="494">
        <v>0</v>
      </c>
      <c r="R1298" s="494">
        <v>0</v>
      </c>
      <c r="S1298" s="494">
        <v>19494</v>
      </c>
      <c r="T1298" s="494">
        <v>19494</v>
      </c>
      <c r="U1298" s="494">
        <v>5713</v>
      </c>
      <c r="V1298" s="493">
        <v>2024</v>
      </c>
      <c r="W1298" s="495"/>
      <c r="X1298" s="496">
        <f t="shared" si="85"/>
        <v>3.4122177489935237</v>
      </c>
      <c r="Y1298" s="497" t="str">
        <f t="shared" si="84"/>
        <v/>
      </c>
      <c r="Z1298" s="497" t="str">
        <f t="shared" si="84"/>
        <v/>
      </c>
    </row>
    <row r="1299" spans="1:26" s="82" customFormat="1" x14ac:dyDescent="0.4">
      <c r="A1299" s="493">
        <v>59079</v>
      </c>
      <c r="B1299" s="105" t="s">
        <v>329</v>
      </c>
      <c r="C1299" s="493" t="s">
        <v>330</v>
      </c>
      <c r="D1299" s="105" t="s">
        <v>1469</v>
      </c>
      <c r="E1299" s="105" t="s">
        <v>1466</v>
      </c>
      <c r="F1299" s="493">
        <v>65305</v>
      </c>
      <c r="G1299" s="105" t="s">
        <v>33</v>
      </c>
      <c r="H1299" s="105" t="s">
        <v>342</v>
      </c>
      <c r="I1299" s="105" t="s">
        <v>334</v>
      </c>
      <c r="J1299" s="493">
        <v>22</v>
      </c>
      <c r="K1299" s="493">
        <v>2</v>
      </c>
      <c r="L1299" s="105" t="s">
        <v>343</v>
      </c>
      <c r="M1299" s="105" t="s">
        <v>655</v>
      </c>
      <c r="N1299" s="105" t="s">
        <v>656</v>
      </c>
      <c r="O1299" s="105" t="s">
        <v>656</v>
      </c>
      <c r="P1299" s="105" t="s">
        <v>339</v>
      </c>
      <c r="Q1299" s="494">
        <v>0</v>
      </c>
      <c r="R1299" s="494">
        <v>0</v>
      </c>
      <c r="S1299" s="494">
        <v>5043</v>
      </c>
      <c r="T1299" s="494">
        <v>5043</v>
      </c>
      <c r="U1299" s="494">
        <v>1478</v>
      </c>
      <c r="V1299" s="493">
        <v>2024</v>
      </c>
      <c r="W1299" s="495"/>
      <c r="X1299" s="496">
        <f t="shared" si="85"/>
        <v>3.4120433017591338</v>
      </c>
      <c r="Y1299" s="497" t="str">
        <f t="shared" si="84"/>
        <v/>
      </c>
      <c r="Z1299" s="497" t="str">
        <f t="shared" si="84"/>
        <v/>
      </c>
    </row>
    <row r="1300" spans="1:26" s="82" customFormat="1" x14ac:dyDescent="0.4">
      <c r="A1300" s="493">
        <v>59080</v>
      </c>
      <c r="B1300" s="105" t="s">
        <v>329</v>
      </c>
      <c r="C1300" s="493" t="s">
        <v>330</v>
      </c>
      <c r="D1300" s="105" t="s">
        <v>1470</v>
      </c>
      <c r="E1300" s="105" t="s">
        <v>1466</v>
      </c>
      <c r="F1300" s="493">
        <v>65305</v>
      </c>
      <c r="G1300" s="105" t="s">
        <v>33</v>
      </c>
      <c r="H1300" s="105" t="s">
        <v>342</v>
      </c>
      <c r="I1300" s="105" t="s">
        <v>334</v>
      </c>
      <c r="J1300" s="493">
        <v>22</v>
      </c>
      <c r="K1300" s="493">
        <v>2</v>
      </c>
      <c r="L1300" s="105" t="s">
        <v>343</v>
      </c>
      <c r="M1300" s="105" t="s">
        <v>655</v>
      </c>
      <c r="N1300" s="105" t="s">
        <v>656</v>
      </c>
      <c r="O1300" s="105" t="s">
        <v>656</v>
      </c>
      <c r="P1300" s="105" t="s">
        <v>339</v>
      </c>
      <c r="Q1300" s="494">
        <v>0</v>
      </c>
      <c r="R1300" s="494">
        <v>0</v>
      </c>
      <c r="S1300" s="494">
        <v>5904</v>
      </c>
      <c r="T1300" s="494">
        <v>5904</v>
      </c>
      <c r="U1300" s="494">
        <v>1730</v>
      </c>
      <c r="V1300" s="493">
        <v>2024</v>
      </c>
      <c r="W1300" s="495"/>
      <c r="X1300" s="496">
        <f t="shared" si="85"/>
        <v>3.4127167630057804</v>
      </c>
      <c r="Y1300" s="497" t="str">
        <f t="shared" si="84"/>
        <v/>
      </c>
      <c r="Z1300" s="497" t="str">
        <f t="shared" si="84"/>
        <v/>
      </c>
    </row>
    <row r="1301" spans="1:26" s="82" customFormat="1" x14ac:dyDescent="0.4">
      <c r="A1301" s="493">
        <v>59081</v>
      </c>
      <c r="B1301" s="105" t="s">
        <v>329</v>
      </c>
      <c r="C1301" s="493" t="s">
        <v>330</v>
      </c>
      <c r="D1301" s="105" t="s">
        <v>1471</v>
      </c>
      <c r="E1301" s="105" t="s">
        <v>1466</v>
      </c>
      <c r="F1301" s="493">
        <v>65305</v>
      </c>
      <c r="G1301" s="105" t="s">
        <v>33</v>
      </c>
      <c r="H1301" s="105" t="s">
        <v>342</v>
      </c>
      <c r="I1301" s="105" t="s">
        <v>334</v>
      </c>
      <c r="J1301" s="493">
        <v>22</v>
      </c>
      <c r="K1301" s="493">
        <v>2</v>
      </c>
      <c r="L1301" s="105" t="s">
        <v>343</v>
      </c>
      <c r="M1301" s="105" t="s">
        <v>655</v>
      </c>
      <c r="N1301" s="105" t="s">
        <v>656</v>
      </c>
      <c r="O1301" s="105" t="s">
        <v>656</v>
      </c>
      <c r="P1301" s="105" t="s">
        <v>339</v>
      </c>
      <c r="Q1301" s="494">
        <v>0</v>
      </c>
      <c r="R1301" s="494">
        <v>0</v>
      </c>
      <c r="S1301" s="494">
        <v>18102</v>
      </c>
      <c r="T1301" s="494">
        <v>18102</v>
      </c>
      <c r="U1301" s="494">
        <v>5305</v>
      </c>
      <c r="V1301" s="493">
        <v>2024</v>
      </c>
      <c r="W1301" s="495"/>
      <c r="X1301" s="496">
        <f t="shared" si="85"/>
        <v>3.4122525918944393</v>
      </c>
      <c r="Y1301" s="497" t="str">
        <f t="shared" si="84"/>
        <v/>
      </c>
      <c r="Z1301" s="497" t="str">
        <f t="shared" si="84"/>
        <v/>
      </c>
    </row>
    <row r="1302" spans="1:26" s="82" customFormat="1" x14ac:dyDescent="0.4">
      <c r="A1302" s="493">
        <v>59082</v>
      </c>
      <c r="B1302" s="105" t="s">
        <v>329</v>
      </c>
      <c r="C1302" s="493" t="s">
        <v>330</v>
      </c>
      <c r="D1302" s="105" t="s">
        <v>1472</v>
      </c>
      <c r="E1302" s="105" t="s">
        <v>1466</v>
      </c>
      <c r="F1302" s="493">
        <v>65305</v>
      </c>
      <c r="G1302" s="105" t="s">
        <v>33</v>
      </c>
      <c r="H1302" s="105" t="s">
        <v>342</v>
      </c>
      <c r="I1302" s="105" t="s">
        <v>334</v>
      </c>
      <c r="J1302" s="493">
        <v>22</v>
      </c>
      <c r="K1302" s="493">
        <v>2</v>
      </c>
      <c r="L1302" s="105" t="s">
        <v>343</v>
      </c>
      <c r="M1302" s="105" t="s">
        <v>655</v>
      </c>
      <c r="N1302" s="105" t="s">
        <v>656</v>
      </c>
      <c r="O1302" s="105" t="s">
        <v>656</v>
      </c>
      <c r="P1302" s="105" t="s">
        <v>339</v>
      </c>
      <c r="Q1302" s="494">
        <v>0</v>
      </c>
      <c r="R1302" s="494">
        <v>0</v>
      </c>
      <c r="S1302" s="494">
        <v>26861</v>
      </c>
      <c r="T1302" s="494">
        <v>26861</v>
      </c>
      <c r="U1302" s="494">
        <v>7873</v>
      </c>
      <c r="V1302" s="493">
        <v>2024</v>
      </c>
      <c r="W1302" s="495"/>
      <c r="X1302" s="496">
        <f t="shared" si="85"/>
        <v>3.4117871205385493</v>
      </c>
      <c r="Y1302" s="497" t="str">
        <f t="shared" si="84"/>
        <v/>
      </c>
      <c r="Z1302" s="497" t="str">
        <f t="shared" si="84"/>
        <v/>
      </c>
    </row>
    <row r="1303" spans="1:26" s="82" customFormat="1" x14ac:dyDescent="0.4">
      <c r="A1303" s="493">
        <v>59085</v>
      </c>
      <c r="B1303" s="105" t="s">
        <v>329</v>
      </c>
      <c r="C1303" s="493" t="s">
        <v>330</v>
      </c>
      <c r="D1303" s="105" t="s">
        <v>1473</v>
      </c>
      <c r="E1303" s="105" t="s">
        <v>1356</v>
      </c>
      <c r="F1303" s="493">
        <v>65164</v>
      </c>
      <c r="G1303" s="105" t="s">
        <v>33</v>
      </c>
      <c r="H1303" s="105" t="s">
        <v>342</v>
      </c>
      <c r="I1303" s="105" t="s">
        <v>334</v>
      </c>
      <c r="J1303" s="493">
        <v>22</v>
      </c>
      <c r="K1303" s="493">
        <v>2</v>
      </c>
      <c r="L1303" s="105" t="s">
        <v>343</v>
      </c>
      <c r="M1303" s="105" t="s">
        <v>655</v>
      </c>
      <c r="N1303" s="105" t="s">
        <v>656</v>
      </c>
      <c r="O1303" s="105" t="s">
        <v>656</v>
      </c>
      <c r="P1303" s="105" t="s">
        <v>339</v>
      </c>
      <c r="Q1303" s="494">
        <v>0</v>
      </c>
      <c r="R1303" s="494">
        <v>0</v>
      </c>
      <c r="S1303" s="494">
        <v>26725</v>
      </c>
      <c r="T1303" s="494">
        <v>26725</v>
      </c>
      <c r="U1303" s="494">
        <v>7833</v>
      </c>
      <c r="V1303" s="493">
        <v>2024</v>
      </c>
      <c r="W1303" s="495"/>
      <c r="X1303" s="496">
        <f t="shared" si="85"/>
        <v>3.4118473126516022</v>
      </c>
      <c r="Y1303" s="497" t="str">
        <f t="shared" si="84"/>
        <v/>
      </c>
      <c r="Z1303" s="497" t="str">
        <f t="shared" si="84"/>
        <v/>
      </c>
    </row>
    <row r="1304" spans="1:26" s="82" customFormat="1" x14ac:dyDescent="0.4">
      <c r="A1304" s="493">
        <v>59090</v>
      </c>
      <c r="B1304" s="105" t="s">
        <v>329</v>
      </c>
      <c r="C1304" s="493" t="s">
        <v>330</v>
      </c>
      <c r="D1304" s="105" t="s">
        <v>1474</v>
      </c>
      <c r="E1304" s="105" t="s">
        <v>1383</v>
      </c>
      <c r="F1304" s="493">
        <v>61944</v>
      </c>
      <c r="G1304" s="105" t="s">
        <v>33</v>
      </c>
      <c r="H1304" s="105" t="s">
        <v>342</v>
      </c>
      <c r="I1304" s="105" t="s">
        <v>334</v>
      </c>
      <c r="J1304" s="493">
        <v>22</v>
      </c>
      <c r="K1304" s="493">
        <v>2</v>
      </c>
      <c r="L1304" s="105" t="s">
        <v>343</v>
      </c>
      <c r="M1304" s="105" t="s">
        <v>655</v>
      </c>
      <c r="N1304" s="105" t="s">
        <v>656</v>
      </c>
      <c r="O1304" s="105" t="s">
        <v>656</v>
      </c>
      <c r="P1304" s="105" t="s">
        <v>339</v>
      </c>
      <c r="Q1304" s="494">
        <v>0</v>
      </c>
      <c r="R1304" s="494">
        <v>0</v>
      </c>
      <c r="S1304" s="494">
        <v>7848</v>
      </c>
      <c r="T1304" s="494">
        <v>7848</v>
      </c>
      <c r="U1304" s="494">
        <v>2300</v>
      </c>
      <c r="V1304" s="493">
        <v>2024</v>
      </c>
      <c r="W1304" s="495"/>
      <c r="X1304" s="496">
        <f t="shared" si="85"/>
        <v>3.4121739130434783</v>
      </c>
      <c r="Y1304" s="497" t="str">
        <f t="shared" si="84"/>
        <v/>
      </c>
      <c r="Z1304" s="497" t="str">
        <f t="shared" si="84"/>
        <v/>
      </c>
    </row>
    <row r="1305" spans="1:26" s="82" customFormat="1" x14ac:dyDescent="0.4">
      <c r="A1305" s="493">
        <v>59121</v>
      </c>
      <c r="B1305" s="105" t="s">
        <v>329</v>
      </c>
      <c r="C1305" s="493" t="s">
        <v>330</v>
      </c>
      <c r="D1305" s="105" t="s">
        <v>1475</v>
      </c>
      <c r="E1305" s="105" t="s">
        <v>1356</v>
      </c>
      <c r="F1305" s="493">
        <v>65164</v>
      </c>
      <c r="G1305" s="105" t="s">
        <v>33</v>
      </c>
      <c r="H1305" s="105" t="s">
        <v>342</v>
      </c>
      <c r="I1305" s="105" t="s">
        <v>334</v>
      </c>
      <c r="J1305" s="493">
        <v>22</v>
      </c>
      <c r="K1305" s="493">
        <v>2</v>
      </c>
      <c r="L1305" s="105" t="s">
        <v>343</v>
      </c>
      <c r="M1305" s="105" t="s">
        <v>655</v>
      </c>
      <c r="N1305" s="105" t="s">
        <v>656</v>
      </c>
      <c r="O1305" s="105" t="s">
        <v>656</v>
      </c>
      <c r="P1305" s="105" t="s">
        <v>339</v>
      </c>
      <c r="Q1305" s="494">
        <v>0</v>
      </c>
      <c r="R1305" s="494">
        <v>0</v>
      </c>
      <c r="S1305" s="494">
        <v>7854</v>
      </c>
      <c r="T1305" s="494">
        <v>7854</v>
      </c>
      <c r="U1305" s="494">
        <v>2302</v>
      </c>
      <c r="V1305" s="493">
        <v>2024</v>
      </c>
      <c r="W1305" s="495"/>
      <c r="X1305" s="496">
        <f t="shared" si="85"/>
        <v>3.4118158123370983</v>
      </c>
      <c r="Y1305" s="497" t="str">
        <f t="shared" si="84"/>
        <v/>
      </c>
      <c r="Z1305" s="497" t="str">
        <f t="shared" si="84"/>
        <v/>
      </c>
    </row>
    <row r="1306" spans="1:26" s="82" customFormat="1" x14ac:dyDescent="0.4">
      <c r="A1306" s="493">
        <v>59128</v>
      </c>
      <c r="B1306" s="105" t="s">
        <v>329</v>
      </c>
      <c r="C1306" s="493" t="s">
        <v>330</v>
      </c>
      <c r="D1306" s="105" t="s">
        <v>1476</v>
      </c>
      <c r="E1306" s="105" t="s">
        <v>1356</v>
      </c>
      <c r="F1306" s="493">
        <v>65164</v>
      </c>
      <c r="G1306" s="105" t="s">
        <v>33</v>
      </c>
      <c r="H1306" s="105" t="s">
        <v>342</v>
      </c>
      <c r="I1306" s="105" t="s">
        <v>334</v>
      </c>
      <c r="J1306" s="493">
        <v>22</v>
      </c>
      <c r="K1306" s="493">
        <v>2</v>
      </c>
      <c r="L1306" s="105" t="s">
        <v>343</v>
      </c>
      <c r="M1306" s="105" t="s">
        <v>655</v>
      </c>
      <c r="N1306" s="105" t="s">
        <v>656</v>
      </c>
      <c r="O1306" s="105" t="s">
        <v>656</v>
      </c>
      <c r="P1306" s="105" t="s">
        <v>339</v>
      </c>
      <c r="Q1306" s="494">
        <v>0</v>
      </c>
      <c r="R1306" s="494">
        <v>0</v>
      </c>
      <c r="S1306" s="494">
        <v>11923</v>
      </c>
      <c r="T1306" s="494">
        <v>11923</v>
      </c>
      <c r="U1306" s="494">
        <v>3494</v>
      </c>
      <c r="V1306" s="493">
        <v>2024</v>
      </c>
      <c r="W1306" s="495"/>
      <c r="X1306" s="496">
        <f t="shared" si="85"/>
        <v>3.4124212936462506</v>
      </c>
      <c r="Y1306" s="497" t="str">
        <f t="shared" si="84"/>
        <v/>
      </c>
      <c r="Z1306" s="497" t="str">
        <f t="shared" si="84"/>
        <v/>
      </c>
    </row>
    <row r="1307" spans="1:26" s="82" customFormat="1" x14ac:dyDescent="0.4">
      <c r="A1307" s="493">
        <v>59131</v>
      </c>
      <c r="B1307" s="105" t="s">
        <v>329</v>
      </c>
      <c r="C1307" s="493" t="s">
        <v>330</v>
      </c>
      <c r="D1307" s="105" t="s">
        <v>1477</v>
      </c>
      <c r="E1307" s="105" t="s">
        <v>1356</v>
      </c>
      <c r="F1307" s="493">
        <v>65164</v>
      </c>
      <c r="G1307" s="105" t="s">
        <v>33</v>
      </c>
      <c r="H1307" s="105" t="s">
        <v>342</v>
      </c>
      <c r="I1307" s="105" t="s">
        <v>334</v>
      </c>
      <c r="J1307" s="493">
        <v>22</v>
      </c>
      <c r="K1307" s="493">
        <v>2</v>
      </c>
      <c r="L1307" s="105" t="s">
        <v>343</v>
      </c>
      <c r="M1307" s="105" t="s">
        <v>655</v>
      </c>
      <c r="N1307" s="105" t="s">
        <v>656</v>
      </c>
      <c r="O1307" s="105" t="s">
        <v>656</v>
      </c>
      <c r="P1307" s="105" t="s">
        <v>339</v>
      </c>
      <c r="Q1307" s="494">
        <v>0</v>
      </c>
      <c r="R1307" s="494">
        <v>0</v>
      </c>
      <c r="S1307" s="494">
        <v>5967</v>
      </c>
      <c r="T1307" s="494">
        <v>5967</v>
      </c>
      <c r="U1307" s="494">
        <v>1749</v>
      </c>
      <c r="V1307" s="493">
        <v>2024</v>
      </c>
      <c r="W1307" s="495"/>
      <c r="X1307" s="496">
        <f t="shared" si="85"/>
        <v>3.4116638078902231</v>
      </c>
      <c r="Y1307" s="497" t="str">
        <f t="shared" si="84"/>
        <v/>
      </c>
      <c r="Z1307" s="497" t="str">
        <f t="shared" si="84"/>
        <v/>
      </c>
    </row>
    <row r="1308" spans="1:26" s="82" customFormat="1" x14ac:dyDescent="0.4">
      <c r="A1308" s="493">
        <v>59134</v>
      </c>
      <c r="B1308" s="105" t="s">
        <v>329</v>
      </c>
      <c r="C1308" s="493" t="s">
        <v>330</v>
      </c>
      <c r="D1308" s="105" t="s">
        <v>1478</v>
      </c>
      <c r="E1308" s="105" t="s">
        <v>1356</v>
      </c>
      <c r="F1308" s="493">
        <v>65164</v>
      </c>
      <c r="G1308" s="105" t="s">
        <v>33</v>
      </c>
      <c r="H1308" s="105" t="s">
        <v>342</v>
      </c>
      <c r="I1308" s="105" t="s">
        <v>334</v>
      </c>
      <c r="J1308" s="493">
        <v>22</v>
      </c>
      <c r="K1308" s="493">
        <v>2</v>
      </c>
      <c r="L1308" s="105" t="s">
        <v>343</v>
      </c>
      <c r="M1308" s="105" t="s">
        <v>655</v>
      </c>
      <c r="N1308" s="105" t="s">
        <v>656</v>
      </c>
      <c r="O1308" s="105" t="s">
        <v>656</v>
      </c>
      <c r="P1308" s="105" t="s">
        <v>339</v>
      </c>
      <c r="Q1308" s="494">
        <v>0</v>
      </c>
      <c r="R1308" s="494">
        <v>0</v>
      </c>
      <c r="S1308" s="494">
        <v>8464</v>
      </c>
      <c r="T1308" s="494">
        <v>8464</v>
      </c>
      <c r="U1308" s="494">
        <v>2481</v>
      </c>
      <c r="V1308" s="493">
        <v>2024</v>
      </c>
      <c r="W1308" s="495"/>
      <c r="X1308" s="496">
        <f t="shared" si="85"/>
        <v>3.411527609834744</v>
      </c>
      <c r="Y1308" s="497" t="str">
        <f t="shared" ref="Y1308:Z1327" si="86">IF(AND($M1308=$Y$2,$N1308=$Y$3,NOT($Q1308=$R1308),NOT($U1308=0)),IF($K1308=5,$S1308/($U1308+(8/5)*$U1308),IF($K1308=7,$S1308/($U1308+(29/25)*$U1308),"")),"")</f>
        <v/>
      </c>
      <c r="Z1308" s="497" t="str">
        <f t="shared" si="86"/>
        <v/>
      </c>
    </row>
    <row r="1309" spans="1:26" s="82" customFormat="1" x14ac:dyDescent="0.4">
      <c r="A1309" s="493">
        <v>59135</v>
      </c>
      <c r="B1309" s="105" t="s">
        <v>329</v>
      </c>
      <c r="C1309" s="493" t="s">
        <v>330</v>
      </c>
      <c r="D1309" s="105" t="s">
        <v>1479</v>
      </c>
      <c r="E1309" s="105" t="s">
        <v>1356</v>
      </c>
      <c r="F1309" s="493">
        <v>65164</v>
      </c>
      <c r="G1309" s="105" t="s">
        <v>33</v>
      </c>
      <c r="H1309" s="105" t="s">
        <v>342</v>
      </c>
      <c r="I1309" s="105" t="s">
        <v>334</v>
      </c>
      <c r="J1309" s="493">
        <v>22</v>
      </c>
      <c r="K1309" s="493">
        <v>2</v>
      </c>
      <c r="L1309" s="105" t="s">
        <v>343</v>
      </c>
      <c r="M1309" s="105" t="s">
        <v>655</v>
      </c>
      <c r="N1309" s="105" t="s">
        <v>656</v>
      </c>
      <c r="O1309" s="105" t="s">
        <v>656</v>
      </c>
      <c r="P1309" s="105" t="s">
        <v>339</v>
      </c>
      <c r="Q1309" s="494">
        <v>0</v>
      </c>
      <c r="R1309" s="494">
        <v>0</v>
      </c>
      <c r="S1309" s="494">
        <v>11432</v>
      </c>
      <c r="T1309" s="494">
        <v>11432</v>
      </c>
      <c r="U1309" s="494">
        <v>3350</v>
      </c>
      <c r="V1309" s="493">
        <v>2024</v>
      </c>
      <c r="W1309" s="495"/>
      <c r="X1309" s="496">
        <f t="shared" si="85"/>
        <v>3.4125373134328356</v>
      </c>
      <c r="Y1309" s="497" t="str">
        <f t="shared" si="86"/>
        <v/>
      </c>
      <c r="Z1309" s="497" t="str">
        <f t="shared" si="86"/>
        <v/>
      </c>
    </row>
    <row r="1310" spans="1:26" s="82" customFormat="1" x14ac:dyDescent="0.4">
      <c r="A1310" s="493">
        <v>59136</v>
      </c>
      <c r="B1310" s="105" t="s">
        <v>329</v>
      </c>
      <c r="C1310" s="493" t="s">
        <v>330</v>
      </c>
      <c r="D1310" s="105" t="s">
        <v>1480</v>
      </c>
      <c r="E1310" s="105" t="s">
        <v>1356</v>
      </c>
      <c r="F1310" s="493">
        <v>65164</v>
      </c>
      <c r="G1310" s="105" t="s">
        <v>33</v>
      </c>
      <c r="H1310" s="105" t="s">
        <v>342</v>
      </c>
      <c r="I1310" s="105" t="s">
        <v>334</v>
      </c>
      <c r="J1310" s="493">
        <v>22</v>
      </c>
      <c r="K1310" s="493">
        <v>2</v>
      </c>
      <c r="L1310" s="105" t="s">
        <v>343</v>
      </c>
      <c r="M1310" s="105" t="s">
        <v>655</v>
      </c>
      <c r="N1310" s="105" t="s">
        <v>656</v>
      </c>
      <c r="O1310" s="105" t="s">
        <v>656</v>
      </c>
      <c r="P1310" s="105" t="s">
        <v>339</v>
      </c>
      <c r="Q1310" s="494">
        <v>0</v>
      </c>
      <c r="R1310" s="494">
        <v>0</v>
      </c>
      <c r="S1310" s="494">
        <v>5361</v>
      </c>
      <c r="T1310" s="494">
        <v>5361</v>
      </c>
      <c r="U1310" s="494">
        <v>1571</v>
      </c>
      <c r="V1310" s="493">
        <v>2024</v>
      </c>
      <c r="W1310" s="495"/>
      <c r="X1310" s="496">
        <f t="shared" si="85"/>
        <v>3.4124761298535966</v>
      </c>
      <c r="Y1310" s="497" t="str">
        <f t="shared" si="86"/>
        <v/>
      </c>
      <c r="Z1310" s="497" t="str">
        <f t="shared" si="86"/>
        <v/>
      </c>
    </row>
    <row r="1311" spans="1:26" s="82" customFormat="1" x14ac:dyDescent="0.4">
      <c r="A1311" s="493">
        <v>59137</v>
      </c>
      <c r="B1311" s="105" t="s">
        <v>329</v>
      </c>
      <c r="C1311" s="493" t="s">
        <v>330</v>
      </c>
      <c r="D1311" s="105" t="s">
        <v>1481</v>
      </c>
      <c r="E1311" s="105" t="s">
        <v>1356</v>
      </c>
      <c r="F1311" s="493">
        <v>65164</v>
      </c>
      <c r="G1311" s="105" t="s">
        <v>33</v>
      </c>
      <c r="H1311" s="105" t="s">
        <v>342</v>
      </c>
      <c r="I1311" s="105" t="s">
        <v>334</v>
      </c>
      <c r="J1311" s="493">
        <v>22</v>
      </c>
      <c r="K1311" s="493">
        <v>2</v>
      </c>
      <c r="L1311" s="105" t="s">
        <v>343</v>
      </c>
      <c r="M1311" s="105" t="s">
        <v>655</v>
      </c>
      <c r="N1311" s="105" t="s">
        <v>656</v>
      </c>
      <c r="O1311" s="105" t="s">
        <v>656</v>
      </c>
      <c r="P1311" s="105" t="s">
        <v>339</v>
      </c>
      <c r="Q1311" s="494">
        <v>0</v>
      </c>
      <c r="R1311" s="494">
        <v>0</v>
      </c>
      <c r="S1311" s="494">
        <v>24580</v>
      </c>
      <c r="T1311" s="494">
        <v>24580</v>
      </c>
      <c r="U1311" s="494">
        <v>7204</v>
      </c>
      <c r="V1311" s="493">
        <v>2024</v>
      </c>
      <c r="W1311" s="495"/>
      <c r="X1311" s="496">
        <f t="shared" si="85"/>
        <v>3.4119933370349806</v>
      </c>
      <c r="Y1311" s="497" t="str">
        <f t="shared" si="86"/>
        <v/>
      </c>
      <c r="Z1311" s="497" t="str">
        <f t="shared" si="86"/>
        <v/>
      </c>
    </row>
    <row r="1312" spans="1:26" s="82" customFormat="1" x14ac:dyDescent="0.4">
      <c r="A1312" s="493">
        <v>59140</v>
      </c>
      <c r="B1312" s="105" t="s">
        <v>329</v>
      </c>
      <c r="C1312" s="493" t="s">
        <v>330</v>
      </c>
      <c r="D1312" s="105" t="s">
        <v>1482</v>
      </c>
      <c r="E1312" s="105" t="s">
        <v>1356</v>
      </c>
      <c r="F1312" s="493">
        <v>65164</v>
      </c>
      <c r="G1312" s="105" t="s">
        <v>33</v>
      </c>
      <c r="H1312" s="105" t="s">
        <v>342</v>
      </c>
      <c r="I1312" s="105" t="s">
        <v>334</v>
      </c>
      <c r="J1312" s="493">
        <v>22</v>
      </c>
      <c r="K1312" s="493">
        <v>2</v>
      </c>
      <c r="L1312" s="105" t="s">
        <v>343</v>
      </c>
      <c r="M1312" s="105" t="s">
        <v>655</v>
      </c>
      <c r="N1312" s="105" t="s">
        <v>656</v>
      </c>
      <c r="O1312" s="105" t="s">
        <v>656</v>
      </c>
      <c r="P1312" s="105" t="s">
        <v>339</v>
      </c>
      <c r="Q1312" s="494">
        <v>0</v>
      </c>
      <c r="R1312" s="494">
        <v>0</v>
      </c>
      <c r="S1312" s="494">
        <v>19310</v>
      </c>
      <c r="T1312" s="494">
        <v>19310</v>
      </c>
      <c r="U1312" s="494">
        <v>5660</v>
      </c>
      <c r="V1312" s="493">
        <v>2024</v>
      </c>
      <c r="W1312" s="495"/>
      <c r="X1312" s="496">
        <f t="shared" si="85"/>
        <v>3.4116607773851588</v>
      </c>
      <c r="Y1312" s="497" t="str">
        <f t="shared" si="86"/>
        <v/>
      </c>
      <c r="Z1312" s="497" t="str">
        <f t="shared" si="86"/>
        <v/>
      </c>
    </row>
    <row r="1313" spans="1:26" s="82" customFormat="1" x14ac:dyDescent="0.4">
      <c r="A1313" s="493">
        <v>59178</v>
      </c>
      <c r="B1313" s="105" t="s">
        <v>329</v>
      </c>
      <c r="C1313" s="493" t="s">
        <v>330</v>
      </c>
      <c r="D1313" s="105" t="s">
        <v>1483</v>
      </c>
      <c r="E1313" s="105" t="s">
        <v>1484</v>
      </c>
      <c r="F1313" s="493">
        <v>58440</v>
      </c>
      <c r="G1313" s="105" t="s">
        <v>33</v>
      </c>
      <c r="H1313" s="105" t="s">
        <v>342</v>
      </c>
      <c r="I1313" s="105" t="s">
        <v>334</v>
      </c>
      <c r="J1313" s="493">
        <v>22</v>
      </c>
      <c r="K1313" s="493">
        <v>2</v>
      </c>
      <c r="L1313" s="105" t="s">
        <v>343</v>
      </c>
      <c r="M1313" s="105" t="s">
        <v>655</v>
      </c>
      <c r="N1313" s="105" t="s">
        <v>656</v>
      </c>
      <c r="O1313" s="105" t="s">
        <v>656</v>
      </c>
      <c r="P1313" s="105" t="s">
        <v>339</v>
      </c>
      <c r="Q1313" s="494">
        <v>0</v>
      </c>
      <c r="R1313" s="494">
        <v>0</v>
      </c>
      <c r="S1313" s="494">
        <v>14237</v>
      </c>
      <c r="T1313" s="494">
        <v>14237</v>
      </c>
      <c r="U1313" s="494">
        <v>4173</v>
      </c>
      <c r="V1313" s="493">
        <v>2024</v>
      </c>
      <c r="W1313" s="495"/>
      <c r="X1313" s="496">
        <f t="shared" si="85"/>
        <v>3.4116942247783371</v>
      </c>
      <c r="Y1313" s="497" t="str">
        <f t="shared" si="86"/>
        <v/>
      </c>
      <c r="Z1313" s="497" t="str">
        <f t="shared" si="86"/>
        <v/>
      </c>
    </row>
    <row r="1314" spans="1:26" s="82" customFormat="1" x14ac:dyDescent="0.4">
      <c r="A1314" s="493">
        <v>59179</v>
      </c>
      <c r="B1314" s="105" t="s">
        <v>329</v>
      </c>
      <c r="C1314" s="493" t="s">
        <v>330</v>
      </c>
      <c r="D1314" s="105" t="s">
        <v>1485</v>
      </c>
      <c r="E1314" s="105" t="s">
        <v>1484</v>
      </c>
      <c r="F1314" s="493">
        <v>58440</v>
      </c>
      <c r="G1314" s="105" t="s">
        <v>33</v>
      </c>
      <c r="H1314" s="105" t="s">
        <v>342</v>
      </c>
      <c r="I1314" s="105" t="s">
        <v>334</v>
      </c>
      <c r="J1314" s="493">
        <v>22</v>
      </c>
      <c r="K1314" s="493">
        <v>2</v>
      </c>
      <c r="L1314" s="105" t="s">
        <v>343</v>
      </c>
      <c r="M1314" s="105" t="s">
        <v>655</v>
      </c>
      <c r="N1314" s="105" t="s">
        <v>656</v>
      </c>
      <c r="O1314" s="105" t="s">
        <v>656</v>
      </c>
      <c r="P1314" s="105" t="s">
        <v>339</v>
      </c>
      <c r="Q1314" s="494">
        <v>0</v>
      </c>
      <c r="R1314" s="494">
        <v>0</v>
      </c>
      <c r="S1314" s="494">
        <v>18425</v>
      </c>
      <c r="T1314" s="494">
        <v>18425</v>
      </c>
      <c r="U1314" s="494">
        <v>5400</v>
      </c>
      <c r="V1314" s="493">
        <v>2024</v>
      </c>
      <c r="W1314" s="495"/>
      <c r="X1314" s="496">
        <f t="shared" si="85"/>
        <v>3.4120370370370372</v>
      </c>
      <c r="Y1314" s="497" t="str">
        <f t="shared" si="86"/>
        <v/>
      </c>
      <c r="Z1314" s="497" t="str">
        <f t="shared" si="86"/>
        <v/>
      </c>
    </row>
    <row r="1315" spans="1:26" s="82" customFormat="1" x14ac:dyDescent="0.4">
      <c r="A1315" s="493">
        <v>59222</v>
      </c>
      <c r="B1315" s="105" t="s">
        <v>329</v>
      </c>
      <c r="C1315" s="493" t="s">
        <v>330</v>
      </c>
      <c r="D1315" s="105" t="s">
        <v>1486</v>
      </c>
      <c r="E1315" s="105" t="s">
        <v>1487</v>
      </c>
      <c r="F1315" s="493">
        <v>17650</v>
      </c>
      <c r="G1315" s="105" t="s">
        <v>34</v>
      </c>
      <c r="H1315" s="105" t="s">
        <v>342</v>
      </c>
      <c r="I1315" s="105" t="s">
        <v>334</v>
      </c>
      <c r="J1315" s="493">
        <v>22</v>
      </c>
      <c r="K1315" s="493">
        <v>2</v>
      </c>
      <c r="L1315" s="105" t="s">
        <v>343</v>
      </c>
      <c r="M1315" s="105" t="s">
        <v>695</v>
      </c>
      <c r="N1315" s="105" t="s">
        <v>696</v>
      </c>
      <c r="O1315" s="105" t="s">
        <v>696</v>
      </c>
      <c r="P1315" s="105" t="s">
        <v>339</v>
      </c>
      <c r="Q1315" s="494">
        <v>0</v>
      </c>
      <c r="R1315" s="494">
        <v>0</v>
      </c>
      <c r="S1315" s="494">
        <v>436064</v>
      </c>
      <c r="T1315" s="494">
        <v>436064</v>
      </c>
      <c r="U1315" s="494">
        <v>127803</v>
      </c>
      <c r="V1315" s="493">
        <v>2024</v>
      </c>
      <c r="W1315" s="495"/>
      <c r="X1315" s="496">
        <f t="shared" si="85"/>
        <v>3.4120012832249635</v>
      </c>
      <c r="Y1315" s="497" t="str">
        <f t="shared" si="86"/>
        <v/>
      </c>
      <c r="Z1315" s="497" t="str">
        <f t="shared" si="86"/>
        <v/>
      </c>
    </row>
    <row r="1316" spans="1:26" s="82" customFormat="1" x14ac:dyDescent="0.4">
      <c r="A1316" s="493">
        <v>59241</v>
      </c>
      <c r="B1316" s="105" t="s">
        <v>329</v>
      </c>
      <c r="C1316" s="493" t="s">
        <v>330</v>
      </c>
      <c r="D1316" s="105" t="s">
        <v>1488</v>
      </c>
      <c r="E1316" s="105" t="s">
        <v>1431</v>
      </c>
      <c r="F1316" s="493">
        <v>58801</v>
      </c>
      <c r="G1316" s="105" t="s">
        <v>33</v>
      </c>
      <c r="H1316" s="105" t="s">
        <v>342</v>
      </c>
      <c r="I1316" s="105" t="s">
        <v>334</v>
      </c>
      <c r="J1316" s="493">
        <v>22</v>
      </c>
      <c r="K1316" s="493">
        <v>2</v>
      </c>
      <c r="L1316" s="105" t="s">
        <v>343</v>
      </c>
      <c r="M1316" s="105" t="s">
        <v>655</v>
      </c>
      <c r="N1316" s="105" t="s">
        <v>656</v>
      </c>
      <c r="O1316" s="105" t="s">
        <v>656</v>
      </c>
      <c r="P1316" s="105" t="s">
        <v>339</v>
      </c>
      <c r="Q1316" s="494">
        <v>0</v>
      </c>
      <c r="R1316" s="494">
        <v>0</v>
      </c>
      <c r="S1316" s="494">
        <v>17645</v>
      </c>
      <c r="T1316" s="494">
        <v>17645</v>
      </c>
      <c r="U1316" s="494">
        <v>5172</v>
      </c>
      <c r="V1316" s="493">
        <v>2024</v>
      </c>
      <c r="W1316" s="495"/>
      <c r="X1316" s="496">
        <f t="shared" si="85"/>
        <v>3.4116395978344936</v>
      </c>
      <c r="Y1316" s="497" t="str">
        <f t="shared" si="86"/>
        <v/>
      </c>
      <c r="Z1316" s="497" t="str">
        <f t="shared" si="86"/>
        <v/>
      </c>
    </row>
    <row r="1317" spans="1:26" s="82" customFormat="1" x14ac:dyDescent="0.4">
      <c r="A1317" s="493">
        <v>59242</v>
      </c>
      <c r="B1317" s="105" t="s">
        <v>329</v>
      </c>
      <c r="C1317" s="493" t="s">
        <v>330</v>
      </c>
      <c r="D1317" s="105" t="s">
        <v>1489</v>
      </c>
      <c r="E1317" s="105" t="s">
        <v>1431</v>
      </c>
      <c r="F1317" s="493">
        <v>58801</v>
      </c>
      <c r="G1317" s="105" t="s">
        <v>33</v>
      </c>
      <c r="H1317" s="105" t="s">
        <v>342</v>
      </c>
      <c r="I1317" s="105" t="s">
        <v>334</v>
      </c>
      <c r="J1317" s="493">
        <v>22</v>
      </c>
      <c r="K1317" s="493">
        <v>2</v>
      </c>
      <c r="L1317" s="105" t="s">
        <v>343</v>
      </c>
      <c r="M1317" s="105" t="s">
        <v>655</v>
      </c>
      <c r="N1317" s="105" t="s">
        <v>656</v>
      </c>
      <c r="O1317" s="105" t="s">
        <v>656</v>
      </c>
      <c r="P1317" s="105" t="s">
        <v>339</v>
      </c>
      <c r="Q1317" s="494">
        <v>0</v>
      </c>
      <c r="R1317" s="494">
        <v>0</v>
      </c>
      <c r="S1317" s="494">
        <v>10764</v>
      </c>
      <c r="T1317" s="494">
        <v>10764</v>
      </c>
      <c r="U1317" s="494">
        <v>3155</v>
      </c>
      <c r="V1317" s="493">
        <v>2024</v>
      </c>
      <c r="W1317" s="495"/>
      <c r="X1317" s="496">
        <f t="shared" si="85"/>
        <v>3.4117274167987324</v>
      </c>
      <c r="Y1317" s="497" t="str">
        <f t="shared" si="86"/>
        <v/>
      </c>
      <c r="Z1317" s="497" t="str">
        <f t="shared" si="86"/>
        <v/>
      </c>
    </row>
    <row r="1318" spans="1:26" s="82" customFormat="1" ht="32" x14ac:dyDescent="0.4">
      <c r="A1318" s="493">
        <v>59254</v>
      </c>
      <c r="B1318" s="105" t="s">
        <v>329</v>
      </c>
      <c r="C1318" s="493" t="s">
        <v>330</v>
      </c>
      <c r="D1318" s="105" t="s">
        <v>1490</v>
      </c>
      <c r="E1318" s="105" t="s">
        <v>912</v>
      </c>
      <c r="F1318" s="493">
        <v>56889</v>
      </c>
      <c r="G1318" s="105" t="s">
        <v>38</v>
      </c>
      <c r="H1318" s="105" t="s">
        <v>342</v>
      </c>
      <c r="I1318" s="105" t="s">
        <v>334</v>
      </c>
      <c r="J1318" s="493">
        <v>22</v>
      </c>
      <c r="K1318" s="493">
        <v>2</v>
      </c>
      <c r="L1318" s="105" t="s">
        <v>343</v>
      </c>
      <c r="M1318" s="105" t="s">
        <v>380</v>
      </c>
      <c r="N1318" s="105" t="s">
        <v>252</v>
      </c>
      <c r="O1318" s="105" t="s">
        <v>688</v>
      </c>
      <c r="P1318" s="105" t="s">
        <v>356</v>
      </c>
      <c r="Q1318" s="494">
        <v>0</v>
      </c>
      <c r="R1318" s="494">
        <v>0</v>
      </c>
      <c r="S1318" s="494">
        <v>0</v>
      </c>
      <c r="T1318" s="494">
        <v>0</v>
      </c>
      <c r="U1318" s="494">
        <v>51096.69</v>
      </c>
      <c r="V1318" s="493">
        <v>2024</v>
      </c>
      <c r="W1318" s="495"/>
      <c r="X1318" s="496" t="str">
        <f t="shared" si="85"/>
        <v/>
      </c>
      <c r="Y1318" s="497" t="str">
        <f t="shared" si="86"/>
        <v/>
      </c>
      <c r="Z1318" s="497" t="str">
        <f t="shared" si="86"/>
        <v/>
      </c>
    </row>
    <row r="1319" spans="1:26" s="82" customFormat="1" ht="32" x14ac:dyDescent="0.4">
      <c r="A1319" s="493">
        <v>59254</v>
      </c>
      <c r="B1319" s="105" t="s">
        <v>329</v>
      </c>
      <c r="C1319" s="493" t="s">
        <v>330</v>
      </c>
      <c r="D1319" s="105" t="s">
        <v>1490</v>
      </c>
      <c r="E1319" s="105" t="s">
        <v>912</v>
      </c>
      <c r="F1319" s="493">
        <v>56889</v>
      </c>
      <c r="G1319" s="105" t="s">
        <v>38</v>
      </c>
      <c r="H1319" s="105" t="s">
        <v>342</v>
      </c>
      <c r="I1319" s="105" t="s">
        <v>334</v>
      </c>
      <c r="J1319" s="493">
        <v>22</v>
      </c>
      <c r="K1319" s="493">
        <v>2</v>
      </c>
      <c r="L1319" s="105" t="s">
        <v>343</v>
      </c>
      <c r="M1319" s="105" t="s">
        <v>37</v>
      </c>
      <c r="N1319" s="105" t="s">
        <v>252</v>
      </c>
      <c r="O1319" s="105" t="s">
        <v>688</v>
      </c>
      <c r="P1319" s="105" t="s">
        <v>356</v>
      </c>
      <c r="Q1319" s="494">
        <v>3924709</v>
      </c>
      <c r="R1319" s="494">
        <v>3924709</v>
      </c>
      <c r="S1319" s="494">
        <v>1935011</v>
      </c>
      <c r="T1319" s="494">
        <v>1935011</v>
      </c>
      <c r="U1319" s="494">
        <v>144002.32</v>
      </c>
      <c r="V1319" s="493">
        <v>2024</v>
      </c>
      <c r="W1319" s="495"/>
      <c r="X1319" s="496">
        <f t="shared" si="85"/>
        <v>13.437359898090531</v>
      </c>
      <c r="Y1319" s="497" t="str">
        <f t="shared" si="86"/>
        <v/>
      </c>
      <c r="Z1319" s="497" t="str">
        <f t="shared" si="86"/>
        <v/>
      </c>
    </row>
    <row r="1320" spans="1:26" s="82" customFormat="1" x14ac:dyDescent="0.4">
      <c r="A1320" s="493">
        <v>59274</v>
      </c>
      <c r="B1320" s="105" t="s">
        <v>329</v>
      </c>
      <c r="C1320" s="493" t="s">
        <v>330</v>
      </c>
      <c r="D1320" s="105" t="s">
        <v>1491</v>
      </c>
      <c r="E1320" s="105" t="s">
        <v>1448</v>
      </c>
      <c r="F1320" s="493">
        <v>61012</v>
      </c>
      <c r="G1320" s="105" t="s">
        <v>52</v>
      </c>
      <c r="H1320" s="105" t="s">
        <v>333</v>
      </c>
      <c r="I1320" s="105" t="s">
        <v>334</v>
      </c>
      <c r="J1320" s="493">
        <v>22</v>
      </c>
      <c r="K1320" s="493">
        <v>2</v>
      </c>
      <c r="L1320" s="105" t="s">
        <v>343</v>
      </c>
      <c r="M1320" s="105" t="s">
        <v>655</v>
      </c>
      <c r="N1320" s="105" t="s">
        <v>656</v>
      </c>
      <c r="O1320" s="105" t="s">
        <v>656</v>
      </c>
      <c r="P1320" s="105" t="s">
        <v>339</v>
      </c>
      <c r="Q1320" s="494">
        <v>0</v>
      </c>
      <c r="R1320" s="494">
        <v>0</v>
      </c>
      <c r="S1320" s="494">
        <v>28600</v>
      </c>
      <c r="T1320" s="494">
        <v>28600</v>
      </c>
      <c r="U1320" s="494">
        <v>8382</v>
      </c>
      <c r="V1320" s="493">
        <v>2024</v>
      </c>
      <c r="W1320" s="495"/>
      <c r="X1320" s="496">
        <f t="shared" si="85"/>
        <v>3.4120734908136483</v>
      </c>
      <c r="Y1320" s="497" t="str">
        <f t="shared" si="86"/>
        <v/>
      </c>
      <c r="Z1320" s="497" t="str">
        <f t="shared" si="86"/>
        <v/>
      </c>
    </row>
    <row r="1321" spans="1:26" s="82" customFormat="1" x14ac:dyDescent="0.4">
      <c r="A1321" s="493">
        <v>59275</v>
      </c>
      <c r="B1321" s="105" t="s">
        <v>329</v>
      </c>
      <c r="C1321" s="493" t="s">
        <v>330</v>
      </c>
      <c r="D1321" s="105" t="s">
        <v>1492</v>
      </c>
      <c r="E1321" s="105" t="s">
        <v>1448</v>
      </c>
      <c r="F1321" s="493">
        <v>61012</v>
      </c>
      <c r="G1321" s="105" t="s">
        <v>52</v>
      </c>
      <c r="H1321" s="105" t="s">
        <v>333</v>
      </c>
      <c r="I1321" s="105" t="s">
        <v>334</v>
      </c>
      <c r="J1321" s="493">
        <v>22</v>
      </c>
      <c r="K1321" s="493">
        <v>2</v>
      </c>
      <c r="L1321" s="105" t="s">
        <v>343</v>
      </c>
      <c r="M1321" s="105" t="s">
        <v>655</v>
      </c>
      <c r="N1321" s="105" t="s">
        <v>656</v>
      </c>
      <c r="O1321" s="105" t="s">
        <v>656</v>
      </c>
      <c r="P1321" s="105" t="s">
        <v>339</v>
      </c>
      <c r="Q1321" s="494">
        <v>0</v>
      </c>
      <c r="R1321" s="494">
        <v>0</v>
      </c>
      <c r="S1321" s="494">
        <v>7386</v>
      </c>
      <c r="T1321" s="494">
        <v>7386</v>
      </c>
      <c r="U1321" s="494">
        <v>2165</v>
      </c>
      <c r="V1321" s="493">
        <v>2024</v>
      </c>
      <c r="W1321" s="495"/>
      <c r="X1321" s="496">
        <f t="shared" si="85"/>
        <v>3.4115473441108546</v>
      </c>
      <c r="Y1321" s="497" t="str">
        <f t="shared" si="86"/>
        <v/>
      </c>
      <c r="Z1321" s="497" t="str">
        <f t="shared" si="86"/>
        <v/>
      </c>
    </row>
    <row r="1322" spans="1:26" s="82" customFormat="1" x14ac:dyDescent="0.4">
      <c r="A1322" s="493">
        <v>59276</v>
      </c>
      <c r="B1322" s="105" t="s">
        <v>329</v>
      </c>
      <c r="C1322" s="493" t="s">
        <v>330</v>
      </c>
      <c r="D1322" s="105" t="s">
        <v>1493</v>
      </c>
      <c r="E1322" s="105" t="s">
        <v>1448</v>
      </c>
      <c r="F1322" s="493">
        <v>61012</v>
      </c>
      <c r="G1322" s="105" t="s">
        <v>52</v>
      </c>
      <c r="H1322" s="105" t="s">
        <v>333</v>
      </c>
      <c r="I1322" s="105" t="s">
        <v>334</v>
      </c>
      <c r="J1322" s="493">
        <v>22</v>
      </c>
      <c r="K1322" s="493">
        <v>2</v>
      </c>
      <c r="L1322" s="105" t="s">
        <v>343</v>
      </c>
      <c r="M1322" s="105" t="s">
        <v>655</v>
      </c>
      <c r="N1322" s="105" t="s">
        <v>656</v>
      </c>
      <c r="O1322" s="105" t="s">
        <v>656</v>
      </c>
      <c r="P1322" s="105" t="s">
        <v>339</v>
      </c>
      <c r="Q1322" s="494">
        <v>0</v>
      </c>
      <c r="R1322" s="494">
        <v>0</v>
      </c>
      <c r="S1322" s="494">
        <v>57660</v>
      </c>
      <c r="T1322" s="494">
        <v>57660</v>
      </c>
      <c r="U1322" s="494">
        <v>16899</v>
      </c>
      <c r="V1322" s="493">
        <v>2024</v>
      </c>
      <c r="W1322" s="495"/>
      <c r="X1322" s="496">
        <f t="shared" si="85"/>
        <v>3.4120362151606605</v>
      </c>
      <c r="Y1322" s="497" t="str">
        <f t="shared" si="86"/>
        <v/>
      </c>
      <c r="Z1322" s="497" t="str">
        <f t="shared" si="86"/>
        <v/>
      </c>
    </row>
    <row r="1323" spans="1:26" s="82" customFormat="1" x14ac:dyDescent="0.4">
      <c r="A1323" s="493">
        <v>59295</v>
      </c>
      <c r="B1323" s="105" t="s">
        <v>329</v>
      </c>
      <c r="C1323" s="493" t="s">
        <v>330</v>
      </c>
      <c r="D1323" s="105" t="s">
        <v>1494</v>
      </c>
      <c r="E1323" s="105" t="s">
        <v>1495</v>
      </c>
      <c r="F1323" s="493">
        <v>59097</v>
      </c>
      <c r="G1323" s="105" t="s">
        <v>38</v>
      </c>
      <c r="H1323" s="105" t="s">
        <v>342</v>
      </c>
      <c r="I1323" s="105" t="s">
        <v>334</v>
      </c>
      <c r="J1323" s="493">
        <v>22</v>
      </c>
      <c r="K1323" s="493">
        <v>2</v>
      </c>
      <c r="L1323" s="105" t="s">
        <v>343</v>
      </c>
      <c r="M1323" s="105" t="s">
        <v>695</v>
      </c>
      <c r="N1323" s="105" t="s">
        <v>696</v>
      </c>
      <c r="O1323" s="105" t="s">
        <v>696</v>
      </c>
      <c r="P1323" s="105" t="s">
        <v>339</v>
      </c>
      <c r="Q1323" s="494">
        <v>0</v>
      </c>
      <c r="R1323" s="494">
        <v>0</v>
      </c>
      <c r="S1323" s="494">
        <v>8209</v>
      </c>
      <c r="T1323" s="494">
        <v>8209</v>
      </c>
      <c r="U1323" s="494">
        <v>2406</v>
      </c>
      <c r="V1323" s="493">
        <v>2024</v>
      </c>
      <c r="W1323" s="495"/>
      <c r="X1323" s="496">
        <f t="shared" si="85"/>
        <v>3.4118869492934332</v>
      </c>
      <c r="Y1323" s="497" t="str">
        <f t="shared" si="86"/>
        <v/>
      </c>
      <c r="Z1323" s="497" t="str">
        <f t="shared" si="86"/>
        <v/>
      </c>
    </row>
    <row r="1324" spans="1:26" s="82" customFormat="1" x14ac:dyDescent="0.4">
      <c r="A1324" s="493">
        <v>59301</v>
      </c>
      <c r="B1324" s="105" t="s">
        <v>329</v>
      </c>
      <c r="C1324" s="493" t="s">
        <v>330</v>
      </c>
      <c r="D1324" s="105" t="s">
        <v>1496</v>
      </c>
      <c r="E1324" s="105" t="s">
        <v>1497</v>
      </c>
      <c r="F1324" s="493">
        <v>59105</v>
      </c>
      <c r="G1324" s="105" t="s">
        <v>38</v>
      </c>
      <c r="H1324" s="105" t="s">
        <v>342</v>
      </c>
      <c r="I1324" s="105" t="s">
        <v>334</v>
      </c>
      <c r="J1324" s="493">
        <v>22</v>
      </c>
      <c r="K1324" s="493">
        <v>2</v>
      </c>
      <c r="L1324" s="105" t="s">
        <v>343</v>
      </c>
      <c r="M1324" s="105" t="s">
        <v>695</v>
      </c>
      <c r="N1324" s="105" t="s">
        <v>696</v>
      </c>
      <c r="O1324" s="105" t="s">
        <v>696</v>
      </c>
      <c r="P1324" s="105" t="s">
        <v>339</v>
      </c>
      <c r="Q1324" s="494">
        <v>0</v>
      </c>
      <c r="R1324" s="494">
        <v>0</v>
      </c>
      <c r="S1324" s="494">
        <v>8240</v>
      </c>
      <c r="T1324" s="494">
        <v>8240</v>
      </c>
      <c r="U1324" s="494">
        <v>2415</v>
      </c>
      <c r="V1324" s="493">
        <v>2024</v>
      </c>
      <c r="W1324" s="495"/>
      <c r="X1324" s="496">
        <f t="shared" si="85"/>
        <v>3.4120082815734989</v>
      </c>
      <c r="Y1324" s="497" t="str">
        <f t="shared" si="86"/>
        <v/>
      </c>
      <c r="Z1324" s="497" t="str">
        <f t="shared" si="86"/>
        <v/>
      </c>
    </row>
    <row r="1325" spans="1:26" s="82" customFormat="1" x14ac:dyDescent="0.4">
      <c r="A1325" s="493">
        <v>59302</v>
      </c>
      <c r="B1325" s="105" t="s">
        <v>329</v>
      </c>
      <c r="C1325" s="493" t="s">
        <v>330</v>
      </c>
      <c r="D1325" s="105" t="s">
        <v>1498</v>
      </c>
      <c r="E1325" s="105" t="s">
        <v>1499</v>
      </c>
      <c r="F1325" s="493">
        <v>59106</v>
      </c>
      <c r="G1325" s="105" t="s">
        <v>38</v>
      </c>
      <c r="H1325" s="105" t="s">
        <v>342</v>
      </c>
      <c r="I1325" s="105" t="s">
        <v>334</v>
      </c>
      <c r="J1325" s="493">
        <v>22</v>
      </c>
      <c r="K1325" s="493">
        <v>2</v>
      </c>
      <c r="L1325" s="105" t="s">
        <v>343</v>
      </c>
      <c r="M1325" s="105" t="s">
        <v>695</v>
      </c>
      <c r="N1325" s="105" t="s">
        <v>696</v>
      </c>
      <c r="O1325" s="105" t="s">
        <v>696</v>
      </c>
      <c r="P1325" s="105" t="s">
        <v>339</v>
      </c>
      <c r="Q1325" s="494">
        <v>0</v>
      </c>
      <c r="R1325" s="494">
        <v>0</v>
      </c>
      <c r="S1325" s="494">
        <v>22812</v>
      </c>
      <c r="T1325" s="494">
        <v>22812</v>
      </c>
      <c r="U1325" s="494">
        <v>6686</v>
      </c>
      <c r="V1325" s="493">
        <v>2024</v>
      </c>
      <c r="W1325" s="495"/>
      <c r="X1325" s="496">
        <f t="shared" si="85"/>
        <v>3.4119054741250374</v>
      </c>
      <c r="Y1325" s="497" t="str">
        <f t="shared" si="86"/>
        <v/>
      </c>
      <c r="Z1325" s="497" t="str">
        <f t="shared" si="86"/>
        <v/>
      </c>
    </row>
    <row r="1326" spans="1:26" s="82" customFormat="1" ht="32" x14ac:dyDescent="0.4">
      <c r="A1326" s="493">
        <v>59305</v>
      </c>
      <c r="B1326" s="105" t="s">
        <v>329</v>
      </c>
      <c r="C1326" s="493" t="s">
        <v>330</v>
      </c>
      <c r="D1326" s="105" t="s">
        <v>1500</v>
      </c>
      <c r="E1326" s="105" t="s">
        <v>1501</v>
      </c>
      <c r="F1326" s="493">
        <v>59107</v>
      </c>
      <c r="G1326" s="105" t="s">
        <v>38</v>
      </c>
      <c r="H1326" s="105" t="s">
        <v>342</v>
      </c>
      <c r="I1326" s="105" t="s">
        <v>334</v>
      </c>
      <c r="J1326" s="493">
        <v>22</v>
      </c>
      <c r="K1326" s="493">
        <v>2</v>
      </c>
      <c r="L1326" s="105" t="s">
        <v>343</v>
      </c>
      <c r="M1326" s="105" t="s">
        <v>695</v>
      </c>
      <c r="N1326" s="105" t="s">
        <v>696</v>
      </c>
      <c r="O1326" s="105" t="s">
        <v>696</v>
      </c>
      <c r="P1326" s="105" t="s">
        <v>339</v>
      </c>
      <c r="Q1326" s="494">
        <v>0</v>
      </c>
      <c r="R1326" s="494">
        <v>0</v>
      </c>
      <c r="S1326" s="494">
        <v>7574</v>
      </c>
      <c r="T1326" s="494">
        <v>7574</v>
      </c>
      <c r="U1326" s="494">
        <v>2220</v>
      </c>
      <c r="V1326" s="493">
        <v>2024</v>
      </c>
      <c r="W1326" s="495"/>
      <c r="X1326" s="496">
        <f t="shared" si="85"/>
        <v>3.4117117117117117</v>
      </c>
      <c r="Y1326" s="497" t="str">
        <f t="shared" si="86"/>
        <v/>
      </c>
      <c r="Z1326" s="497" t="str">
        <f t="shared" si="86"/>
        <v/>
      </c>
    </row>
    <row r="1327" spans="1:26" s="82" customFormat="1" x14ac:dyDescent="0.4">
      <c r="A1327" s="493">
        <v>59306</v>
      </c>
      <c r="B1327" s="105" t="s">
        <v>329</v>
      </c>
      <c r="C1327" s="493" t="s">
        <v>330</v>
      </c>
      <c r="D1327" s="105" t="s">
        <v>1502</v>
      </c>
      <c r="E1327" s="105" t="s">
        <v>1503</v>
      </c>
      <c r="F1327" s="493">
        <v>59108</v>
      </c>
      <c r="G1327" s="105" t="s">
        <v>38</v>
      </c>
      <c r="H1327" s="105" t="s">
        <v>342</v>
      </c>
      <c r="I1327" s="105" t="s">
        <v>334</v>
      </c>
      <c r="J1327" s="493">
        <v>22</v>
      </c>
      <c r="K1327" s="493">
        <v>2</v>
      </c>
      <c r="L1327" s="105" t="s">
        <v>343</v>
      </c>
      <c r="M1327" s="105" t="s">
        <v>695</v>
      </c>
      <c r="N1327" s="105" t="s">
        <v>696</v>
      </c>
      <c r="O1327" s="105" t="s">
        <v>696</v>
      </c>
      <c r="P1327" s="105" t="s">
        <v>339</v>
      </c>
      <c r="Q1327" s="494">
        <v>0</v>
      </c>
      <c r="R1327" s="494">
        <v>0</v>
      </c>
      <c r="S1327" s="494">
        <v>7722</v>
      </c>
      <c r="T1327" s="494">
        <v>7722</v>
      </c>
      <c r="U1327" s="494">
        <v>2264</v>
      </c>
      <c r="V1327" s="493">
        <v>2024</v>
      </c>
      <c r="W1327" s="495"/>
      <c r="X1327" s="496">
        <f t="shared" si="85"/>
        <v>3.4107773851590104</v>
      </c>
      <c r="Y1327" s="497" t="str">
        <f t="shared" si="86"/>
        <v/>
      </c>
      <c r="Z1327" s="497" t="str">
        <f t="shared" si="86"/>
        <v/>
      </c>
    </row>
    <row r="1328" spans="1:26" s="82" customFormat="1" ht="48" x14ac:dyDescent="0.4">
      <c r="A1328" s="493">
        <v>59313</v>
      </c>
      <c r="B1328" s="105" t="s">
        <v>329</v>
      </c>
      <c r="C1328" s="493" t="s">
        <v>330</v>
      </c>
      <c r="D1328" s="105" t="s">
        <v>1504</v>
      </c>
      <c r="E1328" s="105" t="s">
        <v>1354</v>
      </c>
      <c r="F1328" s="493">
        <v>60025</v>
      </c>
      <c r="G1328" s="105" t="s">
        <v>38</v>
      </c>
      <c r="H1328" s="105" t="s">
        <v>342</v>
      </c>
      <c r="I1328" s="105" t="s">
        <v>334</v>
      </c>
      <c r="J1328" s="493">
        <v>22</v>
      </c>
      <c r="K1328" s="493">
        <v>2</v>
      </c>
      <c r="L1328" s="105" t="s">
        <v>343</v>
      </c>
      <c r="M1328" s="105" t="s">
        <v>695</v>
      </c>
      <c r="N1328" s="105" t="s">
        <v>696</v>
      </c>
      <c r="O1328" s="105" t="s">
        <v>696</v>
      </c>
      <c r="P1328" s="105" t="s">
        <v>339</v>
      </c>
      <c r="Q1328" s="494">
        <v>0</v>
      </c>
      <c r="R1328" s="494">
        <v>0</v>
      </c>
      <c r="S1328" s="494">
        <v>9452</v>
      </c>
      <c r="T1328" s="494">
        <v>9452</v>
      </c>
      <c r="U1328" s="494">
        <v>2770</v>
      </c>
      <c r="V1328" s="493">
        <v>2024</v>
      </c>
      <c r="W1328" s="495"/>
      <c r="X1328" s="496">
        <f t="shared" si="85"/>
        <v>3.412274368231047</v>
      </c>
      <c r="Y1328" s="497" t="str">
        <f t="shared" ref="Y1328:Z1347" si="87">IF(AND($M1328=$Y$2,$N1328=$Y$3,NOT($Q1328=$R1328),NOT($U1328=0)),IF($K1328=5,$S1328/($U1328+(8/5)*$U1328),IF($K1328=7,$S1328/($U1328+(29/25)*$U1328),"")),"")</f>
        <v/>
      </c>
      <c r="Z1328" s="497" t="str">
        <f t="shared" si="87"/>
        <v/>
      </c>
    </row>
    <row r="1329" spans="1:26" s="82" customFormat="1" ht="48" x14ac:dyDescent="0.4">
      <c r="A1329" s="493">
        <v>59314</v>
      </c>
      <c r="B1329" s="105" t="s">
        <v>329</v>
      </c>
      <c r="C1329" s="493" t="s">
        <v>330</v>
      </c>
      <c r="D1329" s="105" t="s">
        <v>1505</v>
      </c>
      <c r="E1329" s="105" t="s">
        <v>1354</v>
      </c>
      <c r="F1329" s="493">
        <v>60025</v>
      </c>
      <c r="G1329" s="105" t="s">
        <v>38</v>
      </c>
      <c r="H1329" s="105" t="s">
        <v>342</v>
      </c>
      <c r="I1329" s="105" t="s">
        <v>334</v>
      </c>
      <c r="J1329" s="493">
        <v>22</v>
      </c>
      <c r="K1329" s="493">
        <v>2</v>
      </c>
      <c r="L1329" s="105" t="s">
        <v>343</v>
      </c>
      <c r="M1329" s="105" t="s">
        <v>695</v>
      </c>
      <c r="N1329" s="105" t="s">
        <v>696</v>
      </c>
      <c r="O1329" s="105" t="s">
        <v>696</v>
      </c>
      <c r="P1329" s="105" t="s">
        <v>339</v>
      </c>
      <c r="Q1329" s="494">
        <v>0</v>
      </c>
      <c r="R1329" s="494">
        <v>0</v>
      </c>
      <c r="S1329" s="494">
        <v>22314</v>
      </c>
      <c r="T1329" s="494">
        <v>22314</v>
      </c>
      <c r="U1329" s="494">
        <v>6540</v>
      </c>
      <c r="V1329" s="493">
        <v>2024</v>
      </c>
      <c r="W1329" s="495"/>
      <c r="X1329" s="496">
        <f t="shared" si="85"/>
        <v>3.4119266055045872</v>
      </c>
      <c r="Y1329" s="497" t="str">
        <f t="shared" si="87"/>
        <v/>
      </c>
      <c r="Z1329" s="497" t="str">
        <f t="shared" si="87"/>
        <v/>
      </c>
    </row>
    <row r="1330" spans="1:26" s="82" customFormat="1" ht="32" x14ac:dyDescent="0.4">
      <c r="A1330" s="493">
        <v>59358</v>
      </c>
      <c r="B1330" s="105" t="s">
        <v>329</v>
      </c>
      <c r="C1330" s="493" t="s">
        <v>330</v>
      </c>
      <c r="D1330" s="105" t="s">
        <v>1506</v>
      </c>
      <c r="E1330" s="105" t="s">
        <v>1313</v>
      </c>
      <c r="F1330" s="493">
        <v>60281</v>
      </c>
      <c r="G1330" s="105" t="s">
        <v>33</v>
      </c>
      <c r="H1330" s="105" t="s">
        <v>342</v>
      </c>
      <c r="I1330" s="105" t="s">
        <v>334</v>
      </c>
      <c r="J1330" s="493">
        <v>22</v>
      </c>
      <c r="K1330" s="493">
        <v>2</v>
      </c>
      <c r="L1330" s="105" t="s">
        <v>343</v>
      </c>
      <c r="M1330" s="105" t="s">
        <v>655</v>
      </c>
      <c r="N1330" s="105" t="s">
        <v>656</v>
      </c>
      <c r="O1330" s="105" t="s">
        <v>656</v>
      </c>
      <c r="P1330" s="105" t="s">
        <v>339</v>
      </c>
      <c r="Q1330" s="494">
        <v>0</v>
      </c>
      <c r="R1330" s="494">
        <v>0</v>
      </c>
      <c r="S1330" s="494">
        <v>16634</v>
      </c>
      <c r="T1330" s="494">
        <v>16634</v>
      </c>
      <c r="U1330" s="494">
        <v>4875</v>
      </c>
      <c r="V1330" s="493">
        <v>2024</v>
      </c>
      <c r="W1330" s="495"/>
      <c r="X1330" s="496">
        <f t="shared" si="85"/>
        <v>3.4121025641025642</v>
      </c>
      <c r="Y1330" s="497" t="str">
        <f t="shared" si="87"/>
        <v/>
      </c>
      <c r="Z1330" s="497" t="str">
        <f t="shared" si="87"/>
        <v/>
      </c>
    </row>
    <row r="1331" spans="1:26" s="82" customFormat="1" ht="32" x14ac:dyDescent="0.4">
      <c r="A1331" s="493">
        <v>59361</v>
      </c>
      <c r="B1331" s="105" t="s">
        <v>329</v>
      </c>
      <c r="C1331" s="493" t="s">
        <v>330</v>
      </c>
      <c r="D1331" s="105" t="s">
        <v>1507</v>
      </c>
      <c r="E1331" s="105" t="s">
        <v>1318</v>
      </c>
      <c r="F1331" s="493">
        <v>65432</v>
      </c>
      <c r="G1331" s="105" t="s">
        <v>33</v>
      </c>
      <c r="H1331" s="105" t="s">
        <v>342</v>
      </c>
      <c r="I1331" s="105" t="s">
        <v>334</v>
      </c>
      <c r="J1331" s="493">
        <v>22</v>
      </c>
      <c r="K1331" s="493">
        <v>2</v>
      </c>
      <c r="L1331" s="105" t="s">
        <v>343</v>
      </c>
      <c r="M1331" s="105" t="s">
        <v>655</v>
      </c>
      <c r="N1331" s="105" t="s">
        <v>656</v>
      </c>
      <c r="O1331" s="105" t="s">
        <v>656</v>
      </c>
      <c r="P1331" s="105" t="s">
        <v>339</v>
      </c>
      <c r="Q1331" s="494">
        <v>0</v>
      </c>
      <c r="R1331" s="494">
        <v>0</v>
      </c>
      <c r="S1331" s="494">
        <v>4053</v>
      </c>
      <c r="T1331" s="494">
        <v>4053</v>
      </c>
      <c r="U1331" s="494">
        <v>1188</v>
      </c>
      <c r="V1331" s="493">
        <v>2024</v>
      </c>
      <c r="W1331" s="495"/>
      <c r="X1331" s="496">
        <f t="shared" si="85"/>
        <v>3.4116161616161618</v>
      </c>
      <c r="Y1331" s="497" t="str">
        <f t="shared" si="87"/>
        <v/>
      </c>
      <c r="Z1331" s="497" t="str">
        <f t="shared" si="87"/>
        <v/>
      </c>
    </row>
    <row r="1332" spans="1:26" s="82" customFormat="1" ht="32" x14ac:dyDescent="0.4">
      <c r="A1332" s="493">
        <v>59362</v>
      </c>
      <c r="B1332" s="105" t="s">
        <v>329</v>
      </c>
      <c r="C1332" s="493" t="s">
        <v>330</v>
      </c>
      <c r="D1332" s="105" t="s">
        <v>1508</v>
      </c>
      <c r="E1332" s="105" t="s">
        <v>1318</v>
      </c>
      <c r="F1332" s="493">
        <v>65432</v>
      </c>
      <c r="G1332" s="105" t="s">
        <v>33</v>
      </c>
      <c r="H1332" s="105" t="s">
        <v>342</v>
      </c>
      <c r="I1332" s="105" t="s">
        <v>334</v>
      </c>
      <c r="J1332" s="493">
        <v>22</v>
      </c>
      <c r="K1332" s="493">
        <v>2</v>
      </c>
      <c r="L1332" s="105" t="s">
        <v>343</v>
      </c>
      <c r="M1332" s="105" t="s">
        <v>655</v>
      </c>
      <c r="N1332" s="105" t="s">
        <v>656</v>
      </c>
      <c r="O1332" s="105" t="s">
        <v>656</v>
      </c>
      <c r="P1332" s="105" t="s">
        <v>339</v>
      </c>
      <c r="Q1332" s="494">
        <v>0</v>
      </c>
      <c r="R1332" s="494">
        <v>0</v>
      </c>
      <c r="S1332" s="494">
        <v>5189</v>
      </c>
      <c r="T1332" s="494">
        <v>5189</v>
      </c>
      <c r="U1332" s="494">
        <v>1521</v>
      </c>
      <c r="V1332" s="493">
        <v>2024</v>
      </c>
      <c r="W1332" s="495"/>
      <c r="X1332" s="496">
        <f t="shared" si="85"/>
        <v>3.4115713346482579</v>
      </c>
      <c r="Y1332" s="497" t="str">
        <f t="shared" si="87"/>
        <v/>
      </c>
      <c r="Z1332" s="497" t="str">
        <f t="shared" si="87"/>
        <v/>
      </c>
    </row>
    <row r="1333" spans="1:26" s="82" customFormat="1" ht="32" x14ac:dyDescent="0.4">
      <c r="A1333" s="493">
        <v>59363</v>
      </c>
      <c r="B1333" s="105" t="s">
        <v>329</v>
      </c>
      <c r="C1333" s="493" t="s">
        <v>330</v>
      </c>
      <c r="D1333" s="105" t="s">
        <v>1509</v>
      </c>
      <c r="E1333" s="105" t="s">
        <v>1318</v>
      </c>
      <c r="F1333" s="493">
        <v>65432</v>
      </c>
      <c r="G1333" s="105" t="s">
        <v>33</v>
      </c>
      <c r="H1333" s="105" t="s">
        <v>342</v>
      </c>
      <c r="I1333" s="105" t="s">
        <v>334</v>
      </c>
      <c r="J1333" s="493">
        <v>22</v>
      </c>
      <c r="K1333" s="493">
        <v>2</v>
      </c>
      <c r="L1333" s="105" t="s">
        <v>343</v>
      </c>
      <c r="M1333" s="105" t="s">
        <v>655</v>
      </c>
      <c r="N1333" s="105" t="s">
        <v>656</v>
      </c>
      <c r="O1333" s="105" t="s">
        <v>656</v>
      </c>
      <c r="P1333" s="105" t="s">
        <v>339</v>
      </c>
      <c r="Q1333" s="494">
        <v>0</v>
      </c>
      <c r="R1333" s="494">
        <v>0</v>
      </c>
      <c r="S1333" s="494">
        <v>5095</v>
      </c>
      <c r="T1333" s="494">
        <v>5095</v>
      </c>
      <c r="U1333" s="494">
        <v>1493</v>
      </c>
      <c r="V1333" s="493">
        <v>2024</v>
      </c>
      <c r="W1333" s="495"/>
      <c r="X1333" s="496">
        <f t="shared" si="85"/>
        <v>3.4125920964501004</v>
      </c>
      <c r="Y1333" s="497" t="str">
        <f t="shared" si="87"/>
        <v/>
      </c>
      <c r="Z1333" s="497" t="str">
        <f t="shared" si="87"/>
        <v/>
      </c>
    </row>
    <row r="1334" spans="1:26" s="82" customFormat="1" x14ac:dyDescent="0.4">
      <c r="A1334" s="493">
        <v>59368</v>
      </c>
      <c r="B1334" s="105" t="s">
        <v>329</v>
      </c>
      <c r="C1334" s="493" t="s">
        <v>330</v>
      </c>
      <c r="D1334" s="105" t="s">
        <v>1510</v>
      </c>
      <c r="E1334" s="105" t="s">
        <v>1511</v>
      </c>
      <c r="F1334" s="493">
        <v>58258</v>
      </c>
      <c r="G1334" s="105" t="s">
        <v>33</v>
      </c>
      <c r="H1334" s="105" t="s">
        <v>342</v>
      </c>
      <c r="I1334" s="105" t="s">
        <v>334</v>
      </c>
      <c r="J1334" s="493">
        <v>22</v>
      </c>
      <c r="K1334" s="493">
        <v>2</v>
      </c>
      <c r="L1334" s="105" t="s">
        <v>343</v>
      </c>
      <c r="M1334" s="105" t="s">
        <v>655</v>
      </c>
      <c r="N1334" s="105" t="s">
        <v>656</v>
      </c>
      <c r="O1334" s="105" t="s">
        <v>656</v>
      </c>
      <c r="P1334" s="105" t="s">
        <v>339</v>
      </c>
      <c r="Q1334" s="494">
        <v>0</v>
      </c>
      <c r="R1334" s="494">
        <v>0</v>
      </c>
      <c r="S1334" s="494">
        <v>8435</v>
      </c>
      <c r="T1334" s="494">
        <v>8435</v>
      </c>
      <c r="U1334" s="494">
        <v>2472</v>
      </c>
      <c r="V1334" s="493">
        <v>2024</v>
      </c>
      <c r="W1334" s="495"/>
      <c r="X1334" s="496">
        <f t="shared" si="85"/>
        <v>3.4122168284789645</v>
      </c>
      <c r="Y1334" s="497" t="str">
        <f t="shared" si="87"/>
        <v/>
      </c>
      <c r="Z1334" s="497" t="str">
        <f t="shared" si="87"/>
        <v/>
      </c>
    </row>
    <row r="1335" spans="1:26" s="82" customFormat="1" x14ac:dyDescent="0.4">
      <c r="A1335" s="493">
        <v>59390</v>
      </c>
      <c r="B1335" s="105" t="s">
        <v>329</v>
      </c>
      <c r="C1335" s="493" t="s">
        <v>330</v>
      </c>
      <c r="D1335" s="105" t="s">
        <v>1512</v>
      </c>
      <c r="E1335" s="105" t="s">
        <v>1416</v>
      </c>
      <c r="F1335" s="493">
        <v>58677</v>
      </c>
      <c r="G1335" s="105" t="s">
        <v>33</v>
      </c>
      <c r="H1335" s="105" t="s">
        <v>342</v>
      </c>
      <c r="I1335" s="105" t="s">
        <v>334</v>
      </c>
      <c r="J1335" s="493">
        <v>22</v>
      </c>
      <c r="K1335" s="493">
        <v>2</v>
      </c>
      <c r="L1335" s="105" t="s">
        <v>343</v>
      </c>
      <c r="M1335" s="105" t="s">
        <v>655</v>
      </c>
      <c r="N1335" s="105" t="s">
        <v>656</v>
      </c>
      <c r="O1335" s="105" t="s">
        <v>656</v>
      </c>
      <c r="P1335" s="105" t="s">
        <v>339</v>
      </c>
      <c r="Q1335" s="494">
        <v>0</v>
      </c>
      <c r="R1335" s="494">
        <v>0</v>
      </c>
      <c r="S1335" s="494">
        <v>21635</v>
      </c>
      <c r="T1335" s="494">
        <v>21635</v>
      </c>
      <c r="U1335" s="494">
        <v>6341</v>
      </c>
      <c r="V1335" s="493">
        <v>2024</v>
      </c>
      <c r="W1335" s="495"/>
      <c r="X1335" s="496">
        <f t="shared" si="85"/>
        <v>3.4119224097145562</v>
      </c>
      <c r="Y1335" s="497" t="str">
        <f t="shared" si="87"/>
        <v/>
      </c>
      <c r="Z1335" s="497" t="str">
        <f t="shared" si="87"/>
        <v/>
      </c>
    </row>
    <row r="1336" spans="1:26" s="82" customFormat="1" x14ac:dyDescent="0.4">
      <c r="A1336" s="493">
        <v>59394</v>
      </c>
      <c r="B1336" s="105" t="s">
        <v>329</v>
      </c>
      <c r="C1336" s="493" t="s">
        <v>330</v>
      </c>
      <c r="D1336" s="105" t="s">
        <v>1513</v>
      </c>
      <c r="E1336" s="105" t="s">
        <v>1484</v>
      </c>
      <c r="F1336" s="493">
        <v>58440</v>
      </c>
      <c r="G1336" s="105" t="s">
        <v>33</v>
      </c>
      <c r="H1336" s="105" t="s">
        <v>342</v>
      </c>
      <c r="I1336" s="105" t="s">
        <v>334</v>
      </c>
      <c r="J1336" s="493">
        <v>22</v>
      </c>
      <c r="K1336" s="493">
        <v>2</v>
      </c>
      <c r="L1336" s="105" t="s">
        <v>343</v>
      </c>
      <c r="M1336" s="105" t="s">
        <v>655</v>
      </c>
      <c r="N1336" s="105" t="s">
        <v>656</v>
      </c>
      <c r="O1336" s="105" t="s">
        <v>656</v>
      </c>
      <c r="P1336" s="105" t="s">
        <v>339</v>
      </c>
      <c r="Q1336" s="494">
        <v>0</v>
      </c>
      <c r="R1336" s="494">
        <v>0</v>
      </c>
      <c r="S1336" s="494">
        <v>6965</v>
      </c>
      <c r="T1336" s="494">
        <v>6965</v>
      </c>
      <c r="U1336" s="494">
        <v>2041</v>
      </c>
      <c r="V1336" s="493">
        <v>2024</v>
      </c>
      <c r="W1336" s="495"/>
      <c r="X1336" s="496">
        <f t="shared" si="85"/>
        <v>3.4125428711415973</v>
      </c>
      <c r="Y1336" s="497" t="str">
        <f t="shared" si="87"/>
        <v/>
      </c>
      <c r="Z1336" s="497" t="str">
        <f t="shared" si="87"/>
        <v/>
      </c>
    </row>
    <row r="1337" spans="1:26" s="82" customFormat="1" x14ac:dyDescent="0.4">
      <c r="A1337" s="493">
        <v>59396</v>
      </c>
      <c r="B1337" s="105" t="s">
        <v>329</v>
      </c>
      <c r="C1337" s="493" t="s">
        <v>330</v>
      </c>
      <c r="D1337" s="105" t="s">
        <v>1514</v>
      </c>
      <c r="E1337" s="105" t="s">
        <v>1515</v>
      </c>
      <c r="F1337" s="493">
        <v>59174</v>
      </c>
      <c r="G1337" s="105" t="s">
        <v>33</v>
      </c>
      <c r="H1337" s="105" t="s">
        <v>342</v>
      </c>
      <c r="I1337" s="105" t="s">
        <v>334</v>
      </c>
      <c r="J1337" s="493">
        <v>22</v>
      </c>
      <c r="K1337" s="493">
        <v>2</v>
      </c>
      <c r="L1337" s="105" t="s">
        <v>343</v>
      </c>
      <c r="M1337" s="105" t="s">
        <v>655</v>
      </c>
      <c r="N1337" s="105" t="s">
        <v>656</v>
      </c>
      <c r="O1337" s="105" t="s">
        <v>656</v>
      </c>
      <c r="P1337" s="105" t="s">
        <v>339</v>
      </c>
      <c r="Q1337" s="494">
        <v>0</v>
      </c>
      <c r="R1337" s="494">
        <v>0</v>
      </c>
      <c r="S1337" s="494">
        <v>22887</v>
      </c>
      <c r="T1337" s="494">
        <v>22887</v>
      </c>
      <c r="U1337" s="494">
        <v>6708</v>
      </c>
      <c r="V1337" s="493">
        <v>2024</v>
      </c>
      <c r="W1337" s="495"/>
      <c r="X1337" s="496">
        <f t="shared" si="85"/>
        <v>3.4118962432915922</v>
      </c>
      <c r="Y1337" s="497" t="str">
        <f t="shared" si="87"/>
        <v/>
      </c>
      <c r="Z1337" s="497" t="str">
        <f t="shared" si="87"/>
        <v/>
      </c>
    </row>
    <row r="1338" spans="1:26" s="82" customFormat="1" ht="32" x14ac:dyDescent="0.4">
      <c r="A1338" s="493">
        <v>59415</v>
      </c>
      <c r="B1338" s="105" t="s">
        <v>329</v>
      </c>
      <c r="C1338" s="493" t="s">
        <v>330</v>
      </c>
      <c r="D1338" s="105" t="s">
        <v>1516</v>
      </c>
      <c r="E1338" s="105" t="s">
        <v>1251</v>
      </c>
      <c r="F1338" s="493">
        <v>4180</v>
      </c>
      <c r="G1338" s="105" t="s">
        <v>37</v>
      </c>
      <c r="H1338" s="105" t="s">
        <v>342</v>
      </c>
      <c r="I1338" s="105" t="s">
        <v>334</v>
      </c>
      <c r="J1338" s="493">
        <v>22</v>
      </c>
      <c r="K1338" s="493">
        <v>1</v>
      </c>
      <c r="L1338" s="105" t="s">
        <v>335</v>
      </c>
      <c r="M1338" s="105" t="s">
        <v>359</v>
      </c>
      <c r="N1338" s="105" t="s">
        <v>226</v>
      </c>
      <c r="O1338" s="105" t="s">
        <v>226</v>
      </c>
      <c r="P1338" s="105" t="s">
        <v>350</v>
      </c>
      <c r="Q1338" s="494">
        <v>1654</v>
      </c>
      <c r="R1338" s="494">
        <v>1654</v>
      </c>
      <c r="S1338" s="494">
        <v>9627</v>
      </c>
      <c r="T1338" s="494">
        <v>9627</v>
      </c>
      <c r="U1338" s="494">
        <v>983</v>
      </c>
      <c r="V1338" s="493">
        <v>2024</v>
      </c>
      <c r="W1338" s="495"/>
      <c r="X1338" s="496">
        <f t="shared" si="85"/>
        <v>9.7934893184130214</v>
      </c>
      <c r="Y1338" s="497" t="str">
        <f t="shared" si="87"/>
        <v/>
      </c>
      <c r="Z1338" s="497" t="str">
        <f t="shared" si="87"/>
        <v/>
      </c>
    </row>
    <row r="1339" spans="1:26" s="82" customFormat="1" ht="32" x14ac:dyDescent="0.4">
      <c r="A1339" s="493">
        <v>59437</v>
      </c>
      <c r="B1339" s="105" t="s">
        <v>329</v>
      </c>
      <c r="C1339" s="493" t="s">
        <v>330</v>
      </c>
      <c r="D1339" s="105" t="s">
        <v>1517</v>
      </c>
      <c r="E1339" s="105" t="s">
        <v>399</v>
      </c>
      <c r="F1339" s="493">
        <v>59178</v>
      </c>
      <c r="G1339" s="105" t="s">
        <v>34</v>
      </c>
      <c r="H1339" s="105" t="s">
        <v>342</v>
      </c>
      <c r="I1339" s="105" t="s">
        <v>334</v>
      </c>
      <c r="J1339" s="493">
        <v>22</v>
      </c>
      <c r="K1339" s="493">
        <v>2</v>
      </c>
      <c r="L1339" s="105" t="s">
        <v>343</v>
      </c>
      <c r="M1339" s="105" t="s">
        <v>336</v>
      </c>
      <c r="N1339" s="105" t="s">
        <v>337</v>
      </c>
      <c r="O1339" s="105" t="s">
        <v>338</v>
      </c>
      <c r="P1339" s="105" t="s">
        <v>339</v>
      </c>
      <c r="Q1339" s="494">
        <v>0</v>
      </c>
      <c r="R1339" s="494">
        <v>0</v>
      </c>
      <c r="S1339" s="494">
        <v>35875</v>
      </c>
      <c r="T1339" s="494">
        <v>35875</v>
      </c>
      <c r="U1339" s="494">
        <v>10514</v>
      </c>
      <c r="V1339" s="493">
        <v>2024</v>
      </c>
      <c r="W1339" s="495"/>
      <c r="X1339" s="496">
        <f t="shared" si="85"/>
        <v>3.4121171770972039</v>
      </c>
      <c r="Y1339" s="497" t="str">
        <f t="shared" si="87"/>
        <v/>
      </c>
      <c r="Z1339" s="497" t="str">
        <f t="shared" si="87"/>
        <v/>
      </c>
    </row>
    <row r="1340" spans="1:26" s="82" customFormat="1" ht="32" x14ac:dyDescent="0.4">
      <c r="A1340" s="493">
        <v>59438</v>
      </c>
      <c r="B1340" s="105" t="s">
        <v>329</v>
      </c>
      <c r="C1340" s="493" t="s">
        <v>330</v>
      </c>
      <c r="D1340" s="105" t="s">
        <v>1518</v>
      </c>
      <c r="E1340" s="105" t="s">
        <v>399</v>
      </c>
      <c r="F1340" s="493">
        <v>59178</v>
      </c>
      <c r="G1340" s="105" t="s">
        <v>34</v>
      </c>
      <c r="H1340" s="105" t="s">
        <v>342</v>
      </c>
      <c r="I1340" s="105" t="s">
        <v>334</v>
      </c>
      <c r="J1340" s="493">
        <v>22</v>
      </c>
      <c r="K1340" s="493">
        <v>2</v>
      </c>
      <c r="L1340" s="105" t="s">
        <v>343</v>
      </c>
      <c r="M1340" s="105" t="s">
        <v>336</v>
      </c>
      <c r="N1340" s="105" t="s">
        <v>337</v>
      </c>
      <c r="O1340" s="105" t="s">
        <v>338</v>
      </c>
      <c r="P1340" s="105" t="s">
        <v>339</v>
      </c>
      <c r="Q1340" s="494">
        <v>0</v>
      </c>
      <c r="R1340" s="494">
        <v>0</v>
      </c>
      <c r="S1340" s="494">
        <v>72562</v>
      </c>
      <c r="T1340" s="494">
        <v>72562</v>
      </c>
      <c r="U1340" s="494">
        <v>21267</v>
      </c>
      <c r="V1340" s="493">
        <v>2024</v>
      </c>
      <c r="W1340" s="495"/>
      <c r="X1340" s="496">
        <f t="shared" si="85"/>
        <v>3.4119527907086096</v>
      </c>
      <c r="Y1340" s="497" t="str">
        <f t="shared" si="87"/>
        <v/>
      </c>
      <c r="Z1340" s="497" t="str">
        <f t="shared" si="87"/>
        <v/>
      </c>
    </row>
    <row r="1341" spans="1:26" s="82" customFormat="1" ht="32" x14ac:dyDescent="0.4">
      <c r="A1341" s="493">
        <v>59445</v>
      </c>
      <c r="B1341" s="105" t="s">
        <v>329</v>
      </c>
      <c r="C1341" s="493" t="s">
        <v>330</v>
      </c>
      <c r="D1341" s="105" t="s">
        <v>1519</v>
      </c>
      <c r="E1341" s="105" t="s">
        <v>1520</v>
      </c>
      <c r="F1341" s="493">
        <v>59215</v>
      </c>
      <c r="G1341" s="105" t="s">
        <v>36</v>
      </c>
      <c r="H1341" s="105" t="s">
        <v>342</v>
      </c>
      <c r="I1341" s="105" t="s">
        <v>334</v>
      </c>
      <c r="J1341" s="493">
        <v>22</v>
      </c>
      <c r="K1341" s="493">
        <v>2</v>
      </c>
      <c r="L1341" s="105" t="s">
        <v>343</v>
      </c>
      <c r="M1341" s="105" t="s">
        <v>655</v>
      </c>
      <c r="N1341" s="105" t="s">
        <v>656</v>
      </c>
      <c r="O1341" s="105" t="s">
        <v>656</v>
      </c>
      <c r="P1341" s="105" t="s">
        <v>339</v>
      </c>
      <c r="Q1341" s="494">
        <v>0</v>
      </c>
      <c r="R1341" s="494">
        <v>0</v>
      </c>
      <c r="S1341" s="494">
        <v>6932</v>
      </c>
      <c r="T1341" s="494">
        <v>6932</v>
      </c>
      <c r="U1341" s="494">
        <v>2031</v>
      </c>
      <c r="V1341" s="493">
        <v>2024</v>
      </c>
      <c r="W1341" s="495"/>
      <c r="X1341" s="496">
        <f t="shared" si="85"/>
        <v>3.4130969965534219</v>
      </c>
      <c r="Y1341" s="497" t="str">
        <f t="shared" si="87"/>
        <v/>
      </c>
      <c r="Z1341" s="497" t="str">
        <f t="shared" si="87"/>
        <v/>
      </c>
    </row>
    <row r="1342" spans="1:26" s="82" customFormat="1" ht="32" x14ac:dyDescent="0.4">
      <c r="A1342" s="493">
        <v>59453</v>
      </c>
      <c r="B1342" s="105" t="s">
        <v>433</v>
      </c>
      <c r="C1342" s="493" t="s">
        <v>330</v>
      </c>
      <c r="D1342" s="105" t="s">
        <v>1521</v>
      </c>
      <c r="E1342" s="105" t="s">
        <v>1522</v>
      </c>
      <c r="F1342" s="493">
        <v>59219</v>
      </c>
      <c r="G1342" s="105" t="s">
        <v>52</v>
      </c>
      <c r="H1342" s="105" t="s">
        <v>333</v>
      </c>
      <c r="I1342" s="105" t="s">
        <v>334</v>
      </c>
      <c r="J1342" s="493">
        <v>622</v>
      </c>
      <c r="K1342" s="493">
        <v>5</v>
      </c>
      <c r="L1342" s="105" t="s">
        <v>771</v>
      </c>
      <c r="M1342" s="105" t="s">
        <v>295</v>
      </c>
      <c r="N1342" s="105" t="s">
        <v>228</v>
      </c>
      <c r="O1342" s="105" t="s">
        <v>228</v>
      </c>
      <c r="P1342" s="105" t="s">
        <v>356</v>
      </c>
      <c r="Q1342" s="494">
        <v>390563</v>
      </c>
      <c r="R1342" s="494">
        <v>127736</v>
      </c>
      <c r="S1342" s="494">
        <v>401889</v>
      </c>
      <c r="T1342" s="494">
        <v>131441</v>
      </c>
      <c r="U1342" s="494">
        <v>21944.698</v>
      </c>
      <c r="V1342" s="493">
        <v>2024</v>
      </c>
      <c r="W1342" s="495"/>
      <c r="X1342" s="496" t="str">
        <f t="shared" si="85"/>
        <v/>
      </c>
      <c r="Y1342" s="497">
        <f t="shared" si="87"/>
        <v>7.0437375035961898</v>
      </c>
      <c r="Z1342" s="497">
        <f t="shared" si="87"/>
        <v>7.0437375035961898</v>
      </c>
    </row>
    <row r="1343" spans="1:26" s="82" customFormat="1" ht="32" x14ac:dyDescent="0.4">
      <c r="A1343" s="493">
        <v>59453</v>
      </c>
      <c r="B1343" s="105" t="s">
        <v>329</v>
      </c>
      <c r="C1343" s="493" t="s">
        <v>330</v>
      </c>
      <c r="D1343" s="105" t="s">
        <v>1521</v>
      </c>
      <c r="E1343" s="105" t="s">
        <v>1522</v>
      </c>
      <c r="F1343" s="493">
        <v>59219</v>
      </c>
      <c r="G1343" s="105" t="s">
        <v>52</v>
      </c>
      <c r="H1343" s="105" t="s">
        <v>333</v>
      </c>
      <c r="I1343" s="105" t="s">
        <v>334</v>
      </c>
      <c r="J1343" s="493">
        <v>622</v>
      </c>
      <c r="K1343" s="493">
        <v>4</v>
      </c>
      <c r="L1343" s="105" t="s">
        <v>766</v>
      </c>
      <c r="M1343" s="105" t="s">
        <v>295</v>
      </c>
      <c r="N1343" s="105" t="s">
        <v>228</v>
      </c>
      <c r="O1343" s="105" t="s">
        <v>228</v>
      </c>
      <c r="P1343" s="105" t="s">
        <v>356</v>
      </c>
      <c r="Q1343" s="494">
        <v>122025</v>
      </c>
      <c r="R1343" s="494">
        <v>122025</v>
      </c>
      <c r="S1343" s="494">
        <v>125564</v>
      </c>
      <c r="T1343" s="494">
        <v>125564</v>
      </c>
      <c r="U1343" s="494">
        <v>6856.3019999999997</v>
      </c>
      <c r="V1343" s="493">
        <v>2024</v>
      </c>
      <c r="W1343" s="495"/>
      <c r="X1343" s="496" t="str">
        <f t="shared" si="85"/>
        <v/>
      </c>
      <c r="Y1343" s="497" t="str">
        <f t="shared" si="87"/>
        <v/>
      </c>
      <c r="Z1343" s="497" t="str">
        <f t="shared" si="87"/>
        <v/>
      </c>
    </row>
    <row r="1344" spans="1:26" s="82" customFormat="1" ht="32" x14ac:dyDescent="0.4">
      <c r="A1344" s="493">
        <v>59463</v>
      </c>
      <c r="B1344" s="105" t="s">
        <v>329</v>
      </c>
      <c r="C1344" s="493" t="s">
        <v>330</v>
      </c>
      <c r="D1344" s="105" t="s">
        <v>1523</v>
      </c>
      <c r="E1344" s="105" t="s">
        <v>1313</v>
      </c>
      <c r="F1344" s="493">
        <v>60281</v>
      </c>
      <c r="G1344" s="105" t="s">
        <v>33</v>
      </c>
      <c r="H1344" s="105" t="s">
        <v>342</v>
      </c>
      <c r="I1344" s="105" t="s">
        <v>334</v>
      </c>
      <c r="J1344" s="493">
        <v>22</v>
      </c>
      <c r="K1344" s="493">
        <v>2</v>
      </c>
      <c r="L1344" s="105" t="s">
        <v>343</v>
      </c>
      <c r="M1344" s="105" t="s">
        <v>655</v>
      </c>
      <c r="N1344" s="105" t="s">
        <v>656</v>
      </c>
      <c r="O1344" s="105" t="s">
        <v>656</v>
      </c>
      <c r="P1344" s="105" t="s">
        <v>339</v>
      </c>
      <c r="Q1344" s="494">
        <v>0</v>
      </c>
      <c r="R1344" s="494">
        <v>0</v>
      </c>
      <c r="S1344" s="494">
        <v>9388</v>
      </c>
      <c r="T1344" s="494">
        <v>9388</v>
      </c>
      <c r="U1344" s="494">
        <v>2751</v>
      </c>
      <c r="V1344" s="493">
        <v>2024</v>
      </c>
      <c r="W1344" s="495"/>
      <c r="X1344" s="496">
        <f t="shared" si="85"/>
        <v>3.4125772446383134</v>
      </c>
      <c r="Y1344" s="497" t="str">
        <f t="shared" si="87"/>
        <v/>
      </c>
      <c r="Z1344" s="497" t="str">
        <f t="shared" si="87"/>
        <v/>
      </c>
    </row>
    <row r="1345" spans="1:26" s="82" customFormat="1" ht="32" x14ac:dyDescent="0.4">
      <c r="A1345" s="493">
        <v>59464</v>
      </c>
      <c r="B1345" s="105" t="s">
        <v>329</v>
      </c>
      <c r="C1345" s="493" t="s">
        <v>330</v>
      </c>
      <c r="D1345" s="105" t="s">
        <v>1524</v>
      </c>
      <c r="E1345" s="105" t="s">
        <v>1313</v>
      </c>
      <c r="F1345" s="493">
        <v>60281</v>
      </c>
      <c r="G1345" s="105" t="s">
        <v>33</v>
      </c>
      <c r="H1345" s="105" t="s">
        <v>342</v>
      </c>
      <c r="I1345" s="105" t="s">
        <v>334</v>
      </c>
      <c r="J1345" s="493">
        <v>22</v>
      </c>
      <c r="K1345" s="493">
        <v>2</v>
      </c>
      <c r="L1345" s="105" t="s">
        <v>343</v>
      </c>
      <c r="M1345" s="105" t="s">
        <v>655</v>
      </c>
      <c r="N1345" s="105" t="s">
        <v>656</v>
      </c>
      <c r="O1345" s="105" t="s">
        <v>656</v>
      </c>
      <c r="P1345" s="105" t="s">
        <v>339</v>
      </c>
      <c r="Q1345" s="494">
        <v>0</v>
      </c>
      <c r="R1345" s="494">
        <v>0</v>
      </c>
      <c r="S1345" s="494">
        <v>13536</v>
      </c>
      <c r="T1345" s="494">
        <v>13536</v>
      </c>
      <c r="U1345" s="494">
        <v>3967</v>
      </c>
      <c r="V1345" s="493">
        <v>2024</v>
      </c>
      <c r="W1345" s="495"/>
      <c r="X1345" s="496">
        <f t="shared" si="85"/>
        <v>3.4121502394756744</v>
      </c>
      <c r="Y1345" s="497" t="str">
        <f t="shared" si="87"/>
        <v/>
      </c>
      <c r="Z1345" s="497" t="str">
        <f t="shared" si="87"/>
        <v/>
      </c>
    </row>
    <row r="1346" spans="1:26" s="82" customFormat="1" ht="32" x14ac:dyDescent="0.4">
      <c r="A1346" s="493">
        <v>59465</v>
      </c>
      <c r="B1346" s="105" t="s">
        <v>329</v>
      </c>
      <c r="C1346" s="493" t="s">
        <v>330</v>
      </c>
      <c r="D1346" s="105" t="s">
        <v>1525</v>
      </c>
      <c r="E1346" s="105" t="s">
        <v>1313</v>
      </c>
      <c r="F1346" s="493">
        <v>60281</v>
      </c>
      <c r="G1346" s="105" t="s">
        <v>33</v>
      </c>
      <c r="H1346" s="105" t="s">
        <v>342</v>
      </c>
      <c r="I1346" s="105" t="s">
        <v>334</v>
      </c>
      <c r="J1346" s="493">
        <v>22</v>
      </c>
      <c r="K1346" s="493">
        <v>2</v>
      </c>
      <c r="L1346" s="105" t="s">
        <v>343</v>
      </c>
      <c r="M1346" s="105" t="s">
        <v>655</v>
      </c>
      <c r="N1346" s="105" t="s">
        <v>656</v>
      </c>
      <c r="O1346" s="105" t="s">
        <v>656</v>
      </c>
      <c r="P1346" s="105" t="s">
        <v>339</v>
      </c>
      <c r="Q1346" s="494">
        <v>0</v>
      </c>
      <c r="R1346" s="494">
        <v>0</v>
      </c>
      <c r="S1346" s="494">
        <v>7398</v>
      </c>
      <c r="T1346" s="494">
        <v>7398</v>
      </c>
      <c r="U1346" s="494">
        <v>2168</v>
      </c>
      <c r="V1346" s="493">
        <v>2024</v>
      </c>
      <c r="W1346" s="495"/>
      <c r="X1346" s="496">
        <f t="shared" si="85"/>
        <v>3.4123616236162362</v>
      </c>
      <c r="Y1346" s="497" t="str">
        <f t="shared" si="87"/>
        <v/>
      </c>
      <c r="Z1346" s="497" t="str">
        <f t="shared" si="87"/>
        <v/>
      </c>
    </row>
    <row r="1347" spans="1:26" s="82" customFormat="1" ht="32" x14ac:dyDescent="0.4">
      <c r="A1347" s="493">
        <v>59466</v>
      </c>
      <c r="B1347" s="105" t="s">
        <v>329</v>
      </c>
      <c r="C1347" s="493" t="s">
        <v>330</v>
      </c>
      <c r="D1347" s="105" t="s">
        <v>1526</v>
      </c>
      <c r="E1347" s="105" t="s">
        <v>1313</v>
      </c>
      <c r="F1347" s="493">
        <v>60281</v>
      </c>
      <c r="G1347" s="105" t="s">
        <v>33</v>
      </c>
      <c r="H1347" s="105" t="s">
        <v>342</v>
      </c>
      <c r="I1347" s="105" t="s">
        <v>334</v>
      </c>
      <c r="J1347" s="493">
        <v>22</v>
      </c>
      <c r="K1347" s="493">
        <v>2</v>
      </c>
      <c r="L1347" s="105" t="s">
        <v>343</v>
      </c>
      <c r="M1347" s="105" t="s">
        <v>655</v>
      </c>
      <c r="N1347" s="105" t="s">
        <v>656</v>
      </c>
      <c r="O1347" s="105" t="s">
        <v>656</v>
      </c>
      <c r="P1347" s="105" t="s">
        <v>339</v>
      </c>
      <c r="Q1347" s="494">
        <v>0</v>
      </c>
      <c r="R1347" s="494">
        <v>0</v>
      </c>
      <c r="S1347" s="494">
        <v>8469</v>
      </c>
      <c r="T1347" s="494">
        <v>8469</v>
      </c>
      <c r="U1347" s="494">
        <v>2482</v>
      </c>
      <c r="V1347" s="493">
        <v>2024</v>
      </c>
      <c r="W1347" s="495"/>
      <c r="X1347" s="496">
        <f t="shared" si="85"/>
        <v>3.412167606768735</v>
      </c>
      <c r="Y1347" s="497" t="str">
        <f t="shared" si="87"/>
        <v/>
      </c>
      <c r="Z1347" s="497" t="str">
        <f t="shared" si="87"/>
        <v/>
      </c>
    </row>
    <row r="1348" spans="1:26" s="82" customFormat="1" x14ac:dyDescent="0.4">
      <c r="A1348" s="493">
        <v>59468</v>
      </c>
      <c r="B1348" s="105" t="s">
        <v>329</v>
      </c>
      <c r="C1348" s="493" t="s">
        <v>330</v>
      </c>
      <c r="D1348" s="105" t="s">
        <v>1527</v>
      </c>
      <c r="E1348" s="105" t="s">
        <v>1528</v>
      </c>
      <c r="F1348" s="493">
        <v>59232</v>
      </c>
      <c r="G1348" s="105" t="s">
        <v>33</v>
      </c>
      <c r="H1348" s="105" t="s">
        <v>342</v>
      </c>
      <c r="I1348" s="105" t="s">
        <v>334</v>
      </c>
      <c r="J1348" s="493">
        <v>22</v>
      </c>
      <c r="K1348" s="493">
        <v>2</v>
      </c>
      <c r="L1348" s="105" t="s">
        <v>343</v>
      </c>
      <c r="M1348" s="105" t="s">
        <v>655</v>
      </c>
      <c r="N1348" s="105" t="s">
        <v>656</v>
      </c>
      <c r="O1348" s="105" t="s">
        <v>656</v>
      </c>
      <c r="P1348" s="105" t="s">
        <v>339</v>
      </c>
      <c r="Q1348" s="494">
        <v>0</v>
      </c>
      <c r="R1348" s="494">
        <v>0</v>
      </c>
      <c r="S1348" s="494">
        <v>10021</v>
      </c>
      <c r="T1348" s="494">
        <v>10021</v>
      </c>
      <c r="U1348" s="494">
        <v>2937</v>
      </c>
      <c r="V1348" s="493">
        <v>2024</v>
      </c>
      <c r="W1348" s="495"/>
      <c r="X1348" s="496">
        <f t="shared" si="85"/>
        <v>3.4119850187265919</v>
      </c>
      <c r="Y1348" s="497" t="str">
        <f t="shared" ref="Y1348:Z1367" si="88">IF(AND($M1348=$Y$2,$N1348=$Y$3,NOT($Q1348=$R1348),NOT($U1348=0)),IF($K1348=5,$S1348/($U1348+(8/5)*$U1348),IF($K1348=7,$S1348/($U1348+(29/25)*$U1348),"")),"")</f>
        <v/>
      </c>
      <c r="Z1348" s="497" t="str">
        <f t="shared" si="88"/>
        <v/>
      </c>
    </row>
    <row r="1349" spans="1:26" s="82" customFormat="1" x14ac:dyDescent="0.4">
      <c r="A1349" s="493">
        <v>59470</v>
      </c>
      <c r="B1349" s="105" t="s">
        <v>329</v>
      </c>
      <c r="C1349" s="493" t="s">
        <v>330</v>
      </c>
      <c r="D1349" s="105" t="s">
        <v>1529</v>
      </c>
      <c r="E1349" s="105" t="s">
        <v>1530</v>
      </c>
      <c r="F1349" s="493">
        <v>59237</v>
      </c>
      <c r="G1349" s="105" t="s">
        <v>52</v>
      </c>
      <c r="H1349" s="105" t="s">
        <v>333</v>
      </c>
      <c r="I1349" s="105" t="s">
        <v>334</v>
      </c>
      <c r="J1349" s="493">
        <v>22</v>
      </c>
      <c r="K1349" s="493">
        <v>2</v>
      </c>
      <c r="L1349" s="105" t="s">
        <v>343</v>
      </c>
      <c r="M1349" s="105" t="s">
        <v>655</v>
      </c>
      <c r="N1349" s="105" t="s">
        <v>656</v>
      </c>
      <c r="O1349" s="105" t="s">
        <v>656</v>
      </c>
      <c r="P1349" s="105" t="s">
        <v>339</v>
      </c>
      <c r="Q1349" s="494">
        <v>0</v>
      </c>
      <c r="R1349" s="494">
        <v>0</v>
      </c>
      <c r="S1349" s="494">
        <v>5398</v>
      </c>
      <c r="T1349" s="494">
        <v>5398</v>
      </c>
      <c r="U1349" s="494">
        <v>1582</v>
      </c>
      <c r="V1349" s="493">
        <v>2024</v>
      </c>
      <c r="W1349" s="495"/>
      <c r="X1349" s="496">
        <f t="shared" si="85"/>
        <v>3.4121365360303413</v>
      </c>
      <c r="Y1349" s="497" t="str">
        <f t="shared" si="88"/>
        <v/>
      </c>
      <c r="Z1349" s="497" t="str">
        <f t="shared" si="88"/>
        <v/>
      </c>
    </row>
    <row r="1350" spans="1:26" s="82" customFormat="1" ht="32" x14ac:dyDescent="0.4">
      <c r="A1350" s="493">
        <v>59476</v>
      </c>
      <c r="B1350" s="105" t="s">
        <v>329</v>
      </c>
      <c r="C1350" s="493" t="s">
        <v>330</v>
      </c>
      <c r="D1350" s="105" t="s">
        <v>1531</v>
      </c>
      <c r="E1350" s="105" t="s">
        <v>1532</v>
      </c>
      <c r="F1350" s="493">
        <v>59240</v>
      </c>
      <c r="G1350" s="105" t="s">
        <v>36</v>
      </c>
      <c r="H1350" s="105" t="s">
        <v>342</v>
      </c>
      <c r="I1350" s="105" t="s">
        <v>334</v>
      </c>
      <c r="J1350" s="493">
        <v>22</v>
      </c>
      <c r="K1350" s="493">
        <v>2</v>
      </c>
      <c r="L1350" s="105" t="s">
        <v>343</v>
      </c>
      <c r="M1350" s="105" t="s">
        <v>655</v>
      </c>
      <c r="N1350" s="105" t="s">
        <v>656</v>
      </c>
      <c r="O1350" s="105" t="s">
        <v>656</v>
      </c>
      <c r="P1350" s="105" t="s">
        <v>339</v>
      </c>
      <c r="Q1350" s="494">
        <v>0</v>
      </c>
      <c r="R1350" s="494">
        <v>0</v>
      </c>
      <c r="S1350" s="494">
        <v>10116</v>
      </c>
      <c r="T1350" s="494">
        <v>10116</v>
      </c>
      <c r="U1350" s="494">
        <v>2965</v>
      </c>
      <c r="V1350" s="493">
        <v>2024</v>
      </c>
      <c r="W1350" s="495"/>
      <c r="X1350" s="496">
        <f t="shared" si="85"/>
        <v>3.411804384485666</v>
      </c>
      <c r="Y1350" s="497" t="str">
        <f t="shared" si="88"/>
        <v/>
      </c>
      <c r="Z1350" s="497" t="str">
        <f t="shared" si="88"/>
        <v/>
      </c>
    </row>
    <row r="1351" spans="1:26" s="82" customFormat="1" ht="32" x14ac:dyDescent="0.4">
      <c r="A1351" s="493">
        <v>59477</v>
      </c>
      <c r="B1351" s="105" t="s">
        <v>329</v>
      </c>
      <c r="C1351" s="493" t="s">
        <v>330</v>
      </c>
      <c r="D1351" s="105" t="s">
        <v>1533</v>
      </c>
      <c r="E1351" s="105" t="s">
        <v>1534</v>
      </c>
      <c r="F1351" s="493">
        <v>59241</v>
      </c>
      <c r="G1351" s="105" t="s">
        <v>36</v>
      </c>
      <c r="H1351" s="105" t="s">
        <v>342</v>
      </c>
      <c r="I1351" s="105" t="s">
        <v>334</v>
      </c>
      <c r="J1351" s="493">
        <v>22</v>
      </c>
      <c r="K1351" s="493">
        <v>2</v>
      </c>
      <c r="L1351" s="105" t="s">
        <v>343</v>
      </c>
      <c r="M1351" s="105" t="s">
        <v>655</v>
      </c>
      <c r="N1351" s="105" t="s">
        <v>656</v>
      </c>
      <c r="O1351" s="105" t="s">
        <v>656</v>
      </c>
      <c r="P1351" s="105" t="s">
        <v>339</v>
      </c>
      <c r="Q1351" s="494">
        <v>0</v>
      </c>
      <c r="R1351" s="494">
        <v>0</v>
      </c>
      <c r="S1351" s="494">
        <v>12170</v>
      </c>
      <c r="T1351" s="494">
        <v>12170</v>
      </c>
      <c r="U1351" s="494">
        <v>3567</v>
      </c>
      <c r="V1351" s="493">
        <v>2024</v>
      </c>
      <c r="W1351" s="495"/>
      <c r="X1351" s="496">
        <f t="shared" si="85"/>
        <v>3.4118306700308381</v>
      </c>
      <c r="Y1351" s="497" t="str">
        <f t="shared" si="88"/>
        <v/>
      </c>
      <c r="Z1351" s="497" t="str">
        <f t="shared" si="88"/>
        <v/>
      </c>
    </row>
    <row r="1352" spans="1:26" s="82" customFormat="1" ht="32" x14ac:dyDescent="0.4">
      <c r="A1352" s="493">
        <v>59484</v>
      </c>
      <c r="B1352" s="105" t="s">
        <v>329</v>
      </c>
      <c r="C1352" s="493" t="s">
        <v>330</v>
      </c>
      <c r="D1352" s="105" t="s">
        <v>1535</v>
      </c>
      <c r="E1352" s="105" t="s">
        <v>1441</v>
      </c>
      <c r="F1352" s="493">
        <v>59254</v>
      </c>
      <c r="G1352" s="105" t="s">
        <v>33</v>
      </c>
      <c r="H1352" s="105" t="s">
        <v>342</v>
      </c>
      <c r="I1352" s="105" t="s">
        <v>334</v>
      </c>
      <c r="J1352" s="493">
        <v>22</v>
      </c>
      <c r="K1352" s="493">
        <v>2</v>
      </c>
      <c r="L1352" s="105" t="s">
        <v>343</v>
      </c>
      <c r="M1352" s="105" t="s">
        <v>655</v>
      </c>
      <c r="N1352" s="105" t="s">
        <v>656</v>
      </c>
      <c r="O1352" s="105" t="s">
        <v>656</v>
      </c>
      <c r="P1352" s="105" t="s">
        <v>339</v>
      </c>
      <c r="Q1352" s="494">
        <v>0</v>
      </c>
      <c r="R1352" s="494">
        <v>0</v>
      </c>
      <c r="S1352" s="494">
        <v>11725</v>
      </c>
      <c r="T1352" s="494">
        <v>11725</v>
      </c>
      <c r="U1352" s="494">
        <v>3436</v>
      </c>
      <c r="V1352" s="493">
        <v>2024</v>
      </c>
      <c r="W1352" s="495"/>
      <c r="X1352" s="496">
        <f t="shared" si="85"/>
        <v>3.412398137369034</v>
      </c>
      <c r="Y1352" s="497" t="str">
        <f t="shared" si="88"/>
        <v/>
      </c>
      <c r="Z1352" s="497" t="str">
        <f t="shared" si="88"/>
        <v/>
      </c>
    </row>
    <row r="1353" spans="1:26" s="82" customFormat="1" ht="32" x14ac:dyDescent="0.4">
      <c r="A1353" s="493">
        <v>59485</v>
      </c>
      <c r="B1353" s="105" t="s">
        <v>329</v>
      </c>
      <c r="C1353" s="493" t="s">
        <v>330</v>
      </c>
      <c r="D1353" s="105" t="s">
        <v>1536</v>
      </c>
      <c r="E1353" s="105" t="s">
        <v>1441</v>
      </c>
      <c r="F1353" s="493">
        <v>59254</v>
      </c>
      <c r="G1353" s="105" t="s">
        <v>33</v>
      </c>
      <c r="H1353" s="105" t="s">
        <v>342</v>
      </c>
      <c r="I1353" s="105" t="s">
        <v>334</v>
      </c>
      <c r="J1353" s="493">
        <v>22</v>
      </c>
      <c r="K1353" s="493">
        <v>2</v>
      </c>
      <c r="L1353" s="105" t="s">
        <v>343</v>
      </c>
      <c r="M1353" s="105" t="s">
        <v>655</v>
      </c>
      <c r="N1353" s="105" t="s">
        <v>656</v>
      </c>
      <c r="O1353" s="105" t="s">
        <v>656</v>
      </c>
      <c r="P1353" s="105" t="s">
        <v>339</v>
      </c>
      <c r="Q1353" s="494">
        <v>0</v>
      </c>
      <c r="R1353" s="494">
        <v>0</v>
      </c>
      <c r="S1353" s="494">
        <v>4721</v>
      </c>
      <c r="T1353" s="494">
        <v>4721</v>
      </c>
      <c r="U1353" s="494">
        <v>1384</v>
      </c>
      <c r="V1353" s="493">
        <v>2024</v>
      </c>
      <c r="W1353" s="495"/>
      <c r="X1353" s="496">
        <f t="shared" ref="X1353:X1416" si="89">IF(OR(K1353&gt;3,T1353=0,NOT(U1353&gt;0)),"",T1353/U1353)</f>
        <v>3.4111271676300579</v>
      </c>
      <c r="Y1353" s="497" t="str">
        <f t="shared" si="88"/>
        <v/>
      </c>
      <c r="Z1353" s="497" t="str">
        <f t="shared" si="88"/>
        <v/>
      </c>
    </row>
    <row r="1354" spans="1:26" s="82" customFormat="1" x14ac:dyDescent="0.4">
      <c r="A1354" s="493">
        <v>59495</v>
      </c>
      <c r="B1354" s="105" t="s">
        <v>329</v>
      </c>
      <c r="C1354" s="493" t="s">
        <v>330</v>
      </c>
      <c r="D1354" s="105" t="s">
        <v>1537</v>
      </c>
      <c r="E1354" s="105" t="s">
        <v>1383</v>
      </c>
      <c r="F1354" s="493">
        <v>61944</v>
      </c>
      <c r="G1354" s="105" t="s">
        <v>37</v>
      </c>
      <c r="H1354" s="105" t="s">
        <v>342</v>
      </c>
      <c r="I1354" s="105" t="s">
        <v>334</v>
      </c>
      <c r="J1354" s="493">
        <v>22</v>
      </c>
      <c r="K1354" s="493">
        <v>2</v>
      </c>
      <c r="L1354" s="105" t="s">
        <v>343</v>
      </c>
      <c r="M1354" s="105" t="s">
        <v>655</v>
      </c>
      <c r="N1354" s="105" t="s">
        <v>656</v>
      </c>
      <c r="O1354" s="105" t="s">
        <v>656</v>
      </c>
      <c r="P1354" s="105" t="s">
        <v>339</v>
      </c>
      <c r="Q1354" s="494">
        <v>0</v>
      </c>
      <c r="R1354" s="494">
        <v>0</v>
      </c>
      <c r="S1354" s="494">
        <v>11587</v>
      </c>
      <c r="T1354" s="494">
        <v>11587</v>
      </c>
      <c r="U1354" s="494">
        <v>3396</v>
      </c>
      <c r="V1354" s="493">
        <v>2024</v>
      </c>
      <c r="W1354" s="495"/>
      <c r="X1354" s="496">
        <f t="shared" si="89"/>
        <v>3.4119552414605416</v>
      </c>
      <c r="Y1354" s="497" t="str">
        <f t="shared" si="88"/>
        <v/>
      </c>
      <c r="Z1354" s="497" t="str">
        <f t="shared" si="88"/>
        <v/>
      </c>
    </row>
    <row r="1355" spans="1:26" s="82" customFormat="1" ht="32" x14ac:dyDescent="0.4">
      <c r="A1355" s="493">
        <v>59543</v>
      </c>
      <c r="B1355" s="105" t="s">
        <v>329</v>
      </c>
      <c r="C1355" s="493" t="s">
        <v>330</v>
      </c>
      <c r="D1355" s="105" t="s">
        <v>1538</v>
      </c>
      <c r="E1355" s="105" t="s">
        <v>1425</v>
      </c>
      <c r="F1355" s="493">
        <v>59286</v>
      </c>
      <c r="G1355" s="105" t="s">
        <v>33</v>
      </c>
      <c r="H1355" s="105" t="s">
        <v>342</v>
      </c>
      <c r="I1355" s="105" t="s">
        <v>334</v>
      </c>
      <c r="J1355" s="493">
        <v>92</v>
      </c>
      <c r="K1355" s="493">
        <v>4</v>
      </c>
      <c r="L1355" s="105" t="s">
        <v>766</v>
      </c>
      <c r="M1355" s="105" t="s">
        <v>655</v>
      </c>
      <c r="N1355" s="105" t="s">
        <v>656</v>
      </c>
      <c r="O1355" s="105" t="s">
        <v>656</v>
      </c>
      <c r="P1355" s="105" t="s">
        <v>339</v>
      </c>
      <c r="Q1355" s="494">
        <v>0</v>
      </c>
      <c r="R1355" s="494">
        <v>0</v>
      </c>
      <c r="S1355" s="494">
        <v>6206</v>
      </c>
      <c r="T1355" s="494">
        <v>6206</v>
      </c>
      <c r="U1355" s="494">
        <v>1819</v>
      </c>
      <c r="V1355" s="493">
        <v>2024</v>
      </c>
      <c r="W1355" s="495"/>
      <c r="X1355" s="496" t="str">
        <f t="shared" si="89"/>
        <v/>
      </c>
      <c r="Y1355" s="497" t="str">
        <f t="shared" si="88"/>
        <v/>
      </c>
      <c r="Z1355" s="497" t="str">
        <f t="shared" si="88"/>
        <v/>
      </c>
    </row>
    <row r="1356" spans="1:26" s="82" customFormat="1" x14ac:dyDescent="0.4">
      <c r="A1356" s="493">
        <v>59573</v>
      </c>
      <c r="B1356" s="105" t="s">
        <v>329</v>
      </c>
      <c r="C1356" s="493" t="s">
        <v>330</v>
      </c>
      <c r="D1356" s="105" t="s">
        <v>1539</v>
      </c>
      <c r="E1356" s="105" t="s">
        <v>1466</v>
      </c>
      <c r="F1356" s="493">
        <v>65305</v>
      </c>
      <c r="G1356" s="105" t="s">
        <v>33</v>
      </c>
      <c r="H1356" s="105" t="s">
        <v>342</v>
      </c>
      <c r="I1356" s="105" t="s">
        <v>334</v>
      </c>
      <c r="J1356" s="493">
        <v>22</v>
      </c>
      <c r="K1356" s="493">
        <v>2</v>
      </c>
      <c r="L1356" s="105" t="s">
        <v>343</v>
      </c>
      <c r="M1356" s="105" t="s">
        <v>655</v>
      </c>
      <c r="N1356" s="105" t="s">
        <v>656</v>
      </c>
      <c r="O1356" s="105" t="s">
        <v>656</v>
      </c>
      <c r="P1356" s="105" t="s">
        <v>339</v>
      </c>
      <c r="Q1356" s="494">
        <v>0</v>
      </c>
      <c r="R1356" s="494">
        <v>0</v>
      </c>
      <c r="S1356" s="494">
        <v>5139</v>
      </c>
      <c r="T1356" s="494">
        <v>5139</v>
      </c>
      <c r="U1356" s="494">
        <v>1506</v>
      </c>
      <c r="V1356" s="493">
        <v>2024</v>
      </c>
      <c r="W1356" s="495"/>
      <c r="X1356" s="496">
        <f t="shared" si="89"/>
        <v>3.4123505976095618</v>
      </c>
      <c r="Y1356" s="497" t="str">
        <f t="shared" si="88"/>
        <v/>
      </c>
      <c r="Z1356" s="497" t="str">
        <f t="shared" si="88"/>
        <v/>
      </c>
    </row>
    <row r="1357" spans="1:26" s="82" customFormat="1" ht="32" x14ac:dyDescent="0.4">
      <c r="A1357" s="493">
        <v>59613</v>
      </c>
      <c r="B1357" s="105" t="s">
        <v>329</v>
      </c>
      <c r="C1357" s="493" t="s">
        <v>330</v>
      </c>
      <c r="D1357" s="105" t="s">
        <v>1540</v>
      </c>
      <c r="E1357" s="105" t="s">
        <v>1383</v>
      </c>
      <c r="F1357" s="493">
        <v>61944</v>
      </c>
      <c r="G1357" s="105" t="s">
        <v>52</v>
      </c>
      <c r="H1357" s="105" t="s">
        <v>333</v>
      </c>
      <c r="I1357" s="105" t="s">
        <v>334</v>
      </c>
      <c r="J1357" s="493">
        <v>562212</v>
      </c>
      <c r="K1357" s="493">
        <v>4</v>
      </c>
      <c r="L1357" s="105" t="s">
        <v>766</v>
      </c>
      <c r="M1357" s="105" t="s">
        <v>655</v>
      </c>
      <c r="N1357" s="105" t="s">
        <v>656</v>
      </c>
      <c r="O1357" s="105" t="s">
        <v>656</v>
      </c>
      <c r="P1357" s="105" t="s">
        <v>339</v>
      </c>
      <c r="Q1357" s="494">
        <v>0</v>
      </c>
      <c r="R1357" s="494">
        <v>0</v>
      </c>
      <c r="S1357" s="494">
        <v>4859</v>
      </c>
      <c r="T1357" s="494">
        <v>4859</v>
      </c>
      <c r="U1357" s="494">
        <v>1424</v>
      </c>
      <c r="V1357" s="493">
        <v>2024</v>
      </c>
      <c r="W1357" s="495"/>
      <c r="X1357" s="496" t="str">
        <f t="shared" si="89"/>
        <v/>
      </c>
      <c r="Y1357" s="497" t="str">
        <f t="shared" si="88"/>
        <v/>
      </c>
      <c r="Z1357" s="497" t="str">
        <f t="shared" si="88"/>
        <v/>
      </c>
    </row>
    <row r="1358" spans="1:26" s="82" customFormat="1" ht="32" x14ac:dyDescent="0.4">
      <c r="A1358" s="493">
        <v>59622</v>
      </c>
      <c r="B1358" s="105" t="s">
        <v>329</v>
      </c>
      <c r="C1358" s="493" t="s">
        <v>330</v>
      </c>
      <c r="D1358" s="105" t="s">
        <v>1541</v>
      </c>
      <c r="E1358" s="105" t="s">
        <v>1295</v>
      </c>
      <c r="F1358" s="493">
        <v>57365</v>
      </c>
      <c r="G1358" s="105" t="s">
        <v>33</v>
      </c>
      <c r="H1358" s="105" t="s">
        <v>342</v>
      </c>
      <c r="I1358" s="105" t="s">
        <v>334</v>
      </c>
      <c r="J1358" s="493">
        <v>22</v>
      </c>
      <c r="K1358" s="493">
        <v>2</v>
      </c>
      <c r="L1358" s="105" t="s">
        <v>343</v>
      </c>
      <c r="M1358" s="105" t="s">
        <v>695</v>
      </c>
      <c r="N1358" s="105" t="s">
        <v>696</v>
      </c>
      <c r="O1358" s="105" t="s">
        <v>696</v>
      </c>
      <c r="P1358" s="105" t="s">
        <v>339</v>
      </c>
      <c r="Q1358" s="494">
        <v>0</v>
      </c>
      <c r="R1358" s="494">
        <v>0</v>
      </c>
      <c r="S1358" s="494">
        <v>48171</v>
      </c>
      <c r="T1358" s="494">
        <v>48171</v>
      </c>
      <c r="U1358" s="494">
        <v>14118</v>
      </c>
      <c r="V1358" s="493">
        <v>2024</v>
      </c>
      <c r="W1358" s="495"/>
      <c r="X1358" s="496">
        <f t="shared" si="89"/>
        <v>3.4120271993200171</v>
      </c>
      <c r="Y1358" s="497" t="str">
        <f t="shared" si="88"/>
        <v/>
      </c>
      <c r="Z1358" s="497" t="str">
        <f t="shared" si="88"/>
        <v/>
      </c>
    </row>
    <row r="1359" spans="1:26" s="82" customFormat="1" x14ac:dyDescent="0.4">
      <c r="A1359" s="493">
        <v>59623</v>
      </c>
      <c r="B1359" s="105" t="s">
        <v>329</v>
      </c>
      <c r="C1359" s="493" t="s">
        <v>330</v>
      </c>
      <c r="D1359" s="105" t="s">
        <v>1542</v>
      </c>
      <c r="E1359" s="105" t="s">
        <v>1448</v>
      </c>
      <c r="F1359" s="493">
        <v>61012</v>
      </c>
      <c r="G1359" s="105" t="s">
        <v>52</v>
      </c>
      <c r="H1359" s="105" t="s">
        <v>333</v>
      </c>
      <c r="I1359" s="105" t="s">
        <v>334</v>
      </c>
      <c r="J1359" s="493">
        <v>22</v>
      </c>
      <c r="K1359" s="493">
        <v>2</v>
      </c>
      <c r="L1359" s="105" t="s">
        <v>343</v>
      </c>
      <c r="M1359" s="105" t="s">
        <v>655</v>
      </c>
      <c r="N1359" s="105" t="s">
        <v>656</v>
      </c>
      <c r="O1359" s="105" t="s">
        <v>656</v>
      </c>
      <c r="P1359" s="105" t="s">
        <v>339</v>
      </c>
      <c r="Q1359" s="494">
        <v>0</v>
      </c>
      <c r="R1359" s="494">
        <v>0</v>
      </c>
      <c r="S1359" s="494">
        <v>6443</v>
      </c>
      <c r="T1359" s="494">
        <v>6443</v>
      </c>
      <c r="U1359" s="494">
        <v>1888</v>
      </c>
      <c r="V1359" s="493">
        <v>2024</v>
      </c>
      <c r="W1359" s="495"/>
      <c r="X1359" s="496">
        <f t="shared" si="89"/>
        <v>3.4126059322033897</v>
      </c>
      <c r="Y1359" s="497" t="str">
        <f t="shared" si="88"/>
        <v/>
      </c>
      <c r="Z1359" s="497" t="str">
        <f t="shared" si="88"/>
        <v/>
      </c>
    </row>
    <row r="1360" spans="1:26" s="82" customFormat="1" ht="32" x14ac:dyDescent="0.4">
      <c r="A1360" s="493">
        <v>59624</v>
      </c>
      <c r="B1360" s="105" t="s">
        <v>329</v>
      </c>
      <c r="C1360" s="493" t="s">
        <v>330</v>
      </c>
      <c r="D1360" s="105" t="s">
        <v>1543</v>
      </c>
      <c r="E1360" s="105" t="s">
        <v>1452</v>
      </c>
      <c r="F1360" s="493">
        <v>58871</v>
      </c>
      <c r="G1360" s="105" t="s">
        <v>33</v>
      </c>
      <c r="H1360" s="105" t="s">
        <v>342</v>
      </c>
      <c r="I1360" s="105" t="s">
        <v>334</v>
      </c>
      <c r="J1360" s="493">
        <v>22</v>
      </c>
      <c r="K1360" s="493">
        <v>2</v>
      </c>
      <c r="L1360" s="105" t="s">
        <v>343</v>
      </c>
      <c r="M1360" s="105" t="s">
        <v>655</v>
      </c>
      <c r="N1360" s="105" t="s">
        <v>656</v>
      </c>
      <c r="O1360" s="105" t="s">
        <v>656</v>
      </c>
      <c r="P1360" s="105" t="s">
        <v>339</v>
      </c>
      <c r="Q1360" s="494">
        <v>0</v>
      </c>
      <c r="R1360" s="494">
        <v>0</v>
      </c>
      <c r="S1360" s="494">
        <v>7427</v>
      </c>
      <c r="T1360" s="494">
        <v>7427</v>
      </c>
      <c r="U1360" s="494">
        <v>2177</v>
      </c>
      <c r="V1360" s="493">
        <v>2024</v>
      </c>
      <c r="W1360" s="495"/>
      <c r="X1360" s="496">
        <f t="shared" si="89"/>
        <v>3.4115755627009645</v>
      </c>
      <c r="Y1360" s="497" t="str">
        <f t="shared" si="88"/>
        <v/>
      </c>
      <c r="Z1360" s="497" t="str">
        <f t="shared" si="88"/>
        <v/>
      </c>
    </row>
    <row r="1361" spans="1:26" s="82" customFormat="1" ht="32" x14ac:dyDescent="0.4">
      <c r="A1361" s="493">
        <v>59625</v>
      </c>
      <c r="B1361" s="105" t="s">
        <v>329</v>
      </c>
      <c r="C1361" s="493" t="s">
        <v>330</v>
      </c>
      <c r="D1361" s="105" t="s">
        <v>1544</v>
      </c>
      <c r="E1361" s="105" t="s">
        <v>1452</v>
      </c>
      <c r="F1361" s="493">
        <v>58871</v>
      </c>
      <c r="G1361" s="105" t="s">
        <v>33</v>
      </c>
      <c r="H1361" s="105" t="s">
        <v>342</v>
      </c>
      <c r="I1361" s="105" t="s">
        <v>334</v>
      </c>
      <c r="J1361" s="493">
        <v>22</v>
      </c>
      <c r="K1361" s="493">
        <v>2</v>
      </c>
      <c r="L1361" s="105" t="s">
        <v>343</v>
      </c>
      <c r="M1361" s="105" t="s">
        <v>655</v>
      </c>
      <c r="N1361" s="105" t="s">
        <v>656</v>
      </c>
      <c r="O1361" s="105" t="s">
        <v>656</v>
      </c>
      <c r="P1361" s="105" t="s">
        <v>339</v>
      </c>
      <c r="Q1361" s="494">
        <v>0</v>
      </c>
      <c r="R1361" s="494">
        <v>0</v>
      </c>
      <c r="S1361" s="494">
        <v>10457</v>
      </c>
      <c r="T1361" s="494">
        <v>10457</v>
      </c>
      <c r="U1361" s="494">
        <v>3065</v>
      </c>
      <c r="V1361" s="493">
        <v>2024</v>
      </c>
      <c r="W1361" s="495"/>
      <c r="X1361" s="496">
        <f t="shared" si="89"/>
        <v>3.4117455138662316</v>
      </c>
      <c r="Y1361" s="497" t="str">
        <f t="shared" si="88"/>
        <v/>
      </c>
      <c r="Z1361" s="497" t="str">
        <f t="shared" si="88"/>
        <v/>
      </c>
    </row>
    <row r="1362" spans="1:26" s="82" customFormat="1" ht="32" x14ac:dyDescent="0.4">
      <c r="A1362" s="493">
        <v>59626</v>
      </c>
      <c r="B1362" s="105" t="s">
        <v>329</v>
      </c>
      <c r="C1362" s="493" t="s">
        <v>330</v>
      </c>
      <c r="D1362" s="105" t="s">
        <v>1545</v>
      </c>
      <c r="E1362" s="105" t="s">
        <v>1452</v>
      </c>
      <c r="F1362" s="493">
        <v>58871</v>
      </c>
      <c r="G1362" s="105" t="s">
        <v>33</v>
      </c>
      <c r="H1362" s="105" t="s">
        <v>342</v>
      </c>
      <c r="I1362" s="105" t="s">
        <v>334</v>
      </c>
      <c r="J1362" s="493">
        <v>22</v>
      </c>
      <c r="K1362" s="493">
        <v>2</v>
      </c>
      <c r="L1362" s="105" t="s">
        <v>343</v>
      </c>
      <c r="M1362" s="105" t="s">
        <v>655</v>
      </c>
      <c r="N1362" s="105" t="s">
        <v>656</v>
      </c>
      <c r="O1362" s="105" t="s">
        <v>656</v>
      </c>
      <c r="P1362" s="105" t="s">
        <v>339</v>
      </c>
      <c r="Q1362" s="494">
        <v>0</v>
      </c>
      <c r="R1362" s="494">
        <v>0</v>
      </c>
      <c r="S1362" s="494">
        <v>7531</v>
      </c>
      <c r="T1362" s="494">
        <v>7531</v>
      </c>
      <c r="U1362" s="494">
        <v>2207</v>
      </c>
      <c r="V1362" s="493">
        <v>2024</v>
      </c>
      <c r="W1362" s="495"/>
      <c r="X1362" s="496">
        <f t="shared" si="89"/>
        <v>3.4123244222927052</v>
      </c>
      <c r="Y1362" s="497" t="str">
        <f t="shared" si="88"/>
        <v/>
      </c>
      <c r="Z1362" s="497" t="str">
        <f t="shared" si="88"/>
        <v/>
      </c>
    </row>
    <row r="1363" spans="1:26" s="82" customFormat="1" ht="32" x14ac:dyDescent="0.4">
      <c r="A1363" s="493">
        <v>59629</v>
      </c>
      <c r="B1363" s="105" t="s">
        <v>329</v>
      </c>
      <c r="C1363" s="493" t="s">
        <v>330</v>
      </c>
      <c r="D1363" s="105" t="s">
        <v>1546</v>
      </c>
      <c r="E1363" s="105" t="s">
        <v>1546</v>
      </c>
      <c r="F1363" s="493">
        <v>59362</v>
      </c>
      <c r="G1363" s="105" t="s">
        <v>52</v>
      </c>
      <c r="H1363" s="105" t="s">
        <v>333</v>
      </c>
      <c r="I1363" s="105" t="s">
        <v>334</v>
      </c>
      <c r="J1363" s="493">
        <v>22</v>
      </c>
      <c r="K1363" s="493">
        <v>2</v>
      </c>
      <c r="L1363" s="105" t="s">
        <v>343</v>
      </c>
      <c r="M1363" s="105" t="s">
        <v>695</v>
      </c>
      <c r="N1363" s="105" t="s">
        <v>696</v>
      </c>
      <c r="O1363" s="105" t="s">
        <v>696</v>
      </c>
      <c r="P1363" s="105" t="s">
        <v>339</v>
      </c>
      <c r="Q1363" s="494">
        <v>0</v>
      </c>
      <c r="R1363" s="494">
        <v>0</v>
      </c>
      <c r="S1363" s="494">
        <v>706360</v>
      </c>
      <c r="T1363" s="494">
        <v>706360</v>
      </c>
      <c r="U1363" s="494">
        <v>207022</v>
      </c>
      <c r="V1363" s="493">
        <v>2024</v>
      </c>
      <c r="W1363" s="495"/>
      <c r="X1363" s="496">
        <f t="shared" si="89"/>
        <v>3.4120045212586101</v>
      </c>
      <c r="Y1363" s="497" t="str">
        <f t="shared" si="88"/>
        <v/>
      </c>
      <c r="Z1363" s="497" t="str">
        <f t="shared" si="88"/>
        <v/>
      </c>
    </row>
    <row r="1364" spans="1:26" s="82" customFormat="1" x14ac:dyDescent="0.4">
      <c r="A1364" s="493">
        <v>59636</v>
      </c>
      <c r="B1364" s="105" t="s">
        <v>329</v>
      </c>
      <c r="C1364" s="493" t="s">
        <v>330</v>
      </c>
      <c r="D1364" s="105" t="s">
        <v>1547</v>
      </c>
      <c r="E1364" s="105" t="s">
        <v>1548</v>
      </c>
      <c r="F1364" s="493">
        <v>59388</v>
      </c>
      <c r="G1364" s="105" t="s">
        <v>33</v>
      </c>
      <c r="H1364" s="105" t="s">
        <v>342</v>
      </c>
      <c r="I1364" s="105" t="s">
        <v>334</v>
      </c>
      <c r="J1364" s="493">
        <v>22</v>
      </c>
      <c r="K1364" s="493">
        <v>2</v>
      </c>
      <c r="L1364" s="105" t="s">
        <v>343</v>
      </c>
      <c r="M1364" s="105" t="s">
        <v>655</v>
      </c>
      <c r="N1364" s="105" t="s">
        <v>656</v>
      </c>
      <c r="O1364" s="105" t="s">
        <v>656</v>
      </c>
      <c r="P1364" s="105" t="s">
        <v>339</v>
      </c>
      <c r="Q1364" s="494">
        <v>0</v>
      </c>
      <c r="R1364" s="494">
        <v>0</v>
      </c>
      <c r="S1364" s="494">
        <v>18404</v>
      </c>
      <c r="T1364" s="494">
        <v>18404</v>
      </c>
      <c r="U1364" s="494">
        <v>5394</v>
      </c>
      <c r="V1364" s="493">
        <v>2024</v>
      </c>
      <c r="W1364" s="495"/>
      <c r="X1364" s="496">
        <f t="shared" si="89"/>
        <v>3.4119391916944752</v>
      </c>
      <c r="Y1364" s="497" t="str">
        <f t="shared" si="88"/>
        <v/>
      </c>
      <c r="Z1364" s="497" t="str">
        <f t="shared" si="88"/>
        <v/>
      </c>
    </row>
    <row r="1365" spans="1:26" s="82" customFormat="1" ht="32" x14ac:dyDescent="0.4">
      <c r="A1365" s="493">
        <v>59639</v>
      </c>
      <c r="B1365" s="105" t="s">
        <v>329</v>
      </c>
      <c r="C1365" s="493" t="s">
        <v>330</v>
      </c>
      <c r="D1365" s="105" t="s">
        <v>1549</v>
      </c>
      <c r="E1365" s="105" t="s">
        <v>1549</v>
      </c>
      <c r="F1365" s="493">
        <v>59395</v>
      </c>
      <c r="G1365" s="105" t="s">
        <v>33</v>
      </c>
      <c r="H1365" s="105" t="s">
        <v>342</v>
      </c>
      <c r="I1365" s="105" t="s">
        <v>334</v>
      </c>
      <c r="J1365" s="493">
        <v>335</v>
      </c>
      <c r="K1365" s="493">
        <v>6</v>
      </c>
      <c r="L1365" s="105" t="s">
        <v>729</v>
      </c>
      <c r="M1365" s="105" t="s">
        <v>695</v>
      </c>
      <c r="N1365" s="105" t="s">
        <v>696</v>
      </c>
      <c r="O1365" s="105" t="s">
        <v>696</v>
      </c>
      <c r="P1365" s="105" t="s">
        <v>339</v>
      </c>
      <c r="Q1365" s="494">
        <v>0</v>
      </c>
      <c r="R1365" s="494">
        <v>0</v>
      </c>
      <c r="S1365" s="494">
        <v>0</v>
      </c>
      <c r="T1365" s="494">
        <v>0</v>
      </c>
      <c r="U1365" s="494">
        <v>0</v>
      </c>
      <c r="V1365" s="493">
        <v>2024</v>
      </c>
      <c r="W1365" s="495"/>
      <c r="X1365" s="496" t="str">
        <f t="shared" si="89"/>
        <v/>
      </c>
      <c r="Y1365" s="497" t="str">
        <f t="shared" si="88"/>
        <v/>
      </c>
      <c r="Z1365" s="497" t="str">
        <f t="shared" si="88"/>
        <v/>
      </c>
    </row>
    <row r="1366" spans="1:26" s="82" customFormat="1" ht="48" x14ac:dyDescent="0.4">
      <c r="A1366" s="493">
        <v>59682</v>
      </c>
      <c r="B1366" s="105" t="s">
        <v>329</v>
      </c>
      <c r="C1366" s="493" t="s">
        <v>330</v>
      </c>
      <c r="D1366" s="105" t="s">
        <v>1550</v>
      </c>
      <c r="E1366" s="105" t="s">
        <v>1354</v>
      </c>
      <c r="F1366" s="493">
        <v>60025</v>
      </c>
      <c r="G1366" s="105" t="s">
        <v>36</v>
      </c>
      <c r="H1366" s="105" t="s">
        <v>342</v>
      </c>
      <c r="I1366" s="105" t="s">
        <v>334</v>
      </c>
      <c r="J1366" s="493">
        <v>22</v>
      </c>
      <c r="K1366" s="493">
        <v>2</v>
      </c>
      <c r="L1366" s="105" t="s">
        <v>343</v>
      </c>
      <c r="M1366" s="105" t="s">
        <v>655</v>
      </c>
      <c r="N1366" s="105" t="s">
        <v>656</v>
      </c>
      <c r="O1366" s="105" t="s">
        <v>656</v>
      </c>
      <c r="P1366" s="105" t="s">
        <v>339</v>
      </c>
      <c r="Q1366" s="494">
        <v>0</v>
      </c>
      <c r="R1366" s="494">
        <v>0</v>
      </c>
      <c r="S1366" s="494">
        <v>7602</v>
      </c>
      <c r="T1366" s="494">
        <v>7602</v>
      </c>
      <c r="U1366" s="494">
        <v>2228</v>
      </c>
      <c r="V1366" s="493">
        <v>2024</v>
      </c>
      <c r="W1366" s="495"/>
      <c r="X1366" s="496">
        <f t="shared" si="89"/>
        <v>3.4120287253141832</v>
      </c>
      <c r="Y1366" s="497" t="str">
        <f t="shared" si="88"/>
        <v/>
      </c>
      <c r="Z1366" s="497" t="str">
        <f t="shared" si="88"/>
        <v/>
      </c>
    </row>
    <row r="1367" spans="1:26" s="82" customFormat="1" ht="32" x14ac:dyDescent="0.4">
      <c r="A1367" s="493">
        <v>59692</v>
      </c>
      <c r="B1367" s="105" t="s">
        <v>329</v>
      </c>
      <c r="C1367" s="493" t="s">
        <v>330</v>
      </c>
      <c r="D1367" s="105" t="s">
        <v>1551</v>
      </c>
      <c r="E1367" s="105" t="s">
        <v>1552</v>
      </c>
      <c r="F1367" s="493">
        <v>59463</v>
      </c>
      <c r="G1367" s="105" t="s">
        <v>38</v>
      </c>
      <c r="H1367" s="105" t="s">
        <v>342</v>
      </c>
      <c r="I1367" s="105" t="s">
        <v>334</v>
      </c>
      <c r="J1367" s="493">
        <v>22132</v>
      </c>
      <c r="K1367" s="493">
        <v>4</v>
      </c>
      <c r="L1367" s="105" t="s">
        <v>766</v>
      </c>
      <c r="M1367" s="105" t="s">
        <v>695</v>
      </c>
      <c r="N1367" s="105" t="s">
        <v>696</v>
      </c>
      <c r="O1367" s="105" t="s">
        <v>696</v>
      </c>
      <c r="P1367" s="105" t="s">
        <v>339</v>
      </c>
      <c r="Q1367" s="494">
        <v>0</v>
      </c>
      <c r="R1367" s="494">
        <v>0</v>
      </c>
      <c r="S1367" s="494">
        <v>19949</v>
      </c>
      <c r="T1367" s="494">
        <v>19949</v>
      </c>
      <c r="U1367" s="494">
        <v>5847</v>
      </c>
      <c r="V1367" s="493">
        <v>2024</v>
      </c>
      <c r="W1367" s="495"/>
      <c r="X1367" s="496" t="str">
        <f t="shared" si="89"/>
        <v/>
      </c>
      <c r="Y1367" s="497" t="str">
        <f t="shared" si="88"/>
        <v/>
      </c>
      <c r="Z1367" s="497" t="str">
        <f t="shared" si="88"/>
        <v/>
      </c>
    </row>
    <row r="1368" spans="1:26" s="82" customFormat="1" ht="32" x14ac:dyDescent="0.4">
      <c r="A1368" s="493">
        <v>59701</v>
      </c>
      <c r="B1368" s="105" t="s">
        <v>329</v>
      </c>
      <c r="C1368" s="493" t="s">
        <v>330</v>
      </c>
      <c r="D1368" s="105" t="s">
        <v>1553</v>
      </c>
      <c r="E1368" s="105" t="s">
        <v>1251</v>
      </c>
      <c r="F1368" s="493">
        <v>4180</v>
      </c>
      <c r="G1368" s="105" t="s">
        <v>37</v>
      </c>
      <c r="H1368" s="105" t="s">
        <v>342</v>
      </c>
      <c r="I1368" s="105" t="s">
        <v>334</v>
      </c>
      <c r="J1368" s="493">
        <v>22</v>
      </c>
      <c r="K1368" s="493">
        <v>1</v>
      </c>
      <c r="L1368" s="105" t="s">
        <v>335</v>
      </c>
      <c r="M1368" s="105" t="s">
        <v>990</v>
      </c>
      <c r="N1368" s="105" t="s">
        <v>228</v>
      </c>
      <c r="O1368" s="105" t="s">
        <v>228</v>
      </c>
      <c r="P1368" s="105" t="s">
        <v>356</v>
      </c>
      <c r="Q1368" s="494">
        <v>295780</v>
      </c>
      <c r="R1368" s="494">
        <v>295780</v>
      </c>
      <c r="S1368" s="494">
        <v>307021</v>
      </c>
      <c r="T1368" s="494">
        <v>307021</v>
      </c>
      <c r="U1368" s="494">
        <v>43080</v>
      </c>
      <c r="V1368" s="493">
        <v>2024</v>
      </c>
      <c r="W1368" s="495"/>
      <c r="X1368" s="496">
        <f t="shared" si="89"/>
        <v>7.1267641597028781</v>
      </c>
      <c r="Y1368" s="497" t="str">
        <f t="shared" ref="Y1368:Z1387" si="90">IF(AND($M1368=$Y$2,$N1368=$Y$3,NOT($Q1368=$R1368),NOT($U1368=0)),IF($K1368=5,$S1368/($U1368+(8/5)*$U1368),IF($K1368=7,$S1368/($U1368+(29/25)*$U1368),"")),"")</f>
        <v/>
      </c>
      <c r="Z1368" s="497" t="str">
        <f t="shared" si="90"/>
        <v/>
      </c>
    </row>
    <row r="1369" spans="1:26" s="82" customFormat="1" x14ac:dyDescent="0.4">
      <c r="A1369" s="493">
        <v>59705</v>
      </c>
      <c r="B1369" s="105" t="s">
        <v>329</v>
      </c>
      <c r="C1369" s="493" t="s">
        <v>330</v>
      </c>
      <c r="D1369" s="105" t="s">
        <v>1554</v>
      </c>
      <c r="E1369" s="105" t="s">
        <v>1356</v>
      </c>
      <c r="F1369" s="493">
        <v>65164</v>
      </c>
      <c r="G1369" s="105" t="s">
        <v>52</v>
      </c>
      <c r="H1369" s="105" t="s">
        <v>333</v>
      </c>
      <c r="I1369" s="105" t="s">
        <v>334</v>
      </c>
      <c r="J1369" s="493">
        <v>22</v>
      </c>
      <c r="K1369" s="493">
        <v>2</v>
      </c>
      <c r="L1369" s="105" t="s">
        <v>343</v>
      </c>
      <c r="M1369" s="105" t="s">
        <v>655</v>
      </c>
      <c r="N1369" s="105" t="s">
        <v>656</v>
      </c>
      <c r="O1369" s="105" t="s">
        <v>656</v>
      </c>
      <c r="P1369" s="105" t="s">
        <v>339</v>
      </c>
      <c r="Q1369" s="494">
        <v>0</v>
      </c>
      <c r="R1369" s="494">
        <v>0</v>
      </c>
      <c r="S1369" s="494">
        <v>14945</v>
      </c>
      <c r="T1369" s="494">
        <v>14945</v>
      </c>
      <c r="U1369" s="494">
        <v>4380</v>
      </c>
      <c r="V1369" s="493">
        <v>2024</v>
      </c>
      <c r="W1369" s="495"/>
      <c r="X1369" s="496">
        <f t="shared" si="89"/>
        <v>3.4121004566210047</v>
      </c>
      <c r="Y1369" s="497" t="str">
        <f t="shared" si="90"/>
        <v/>
      </c>
      <c r="Z1369" s="497" t="str">
        <f t="shared" si="90"/>
        <v/>
      </c>
    </row>
    <row r="1370" spans="1:26" s="82" customFormat="1" ht="32" x14ac:dyDescent="0.4">
      <c r="A1370" s="493">
        <v>59717</v>
      </c>
      <c r="B1370" s="105" t="s">
        <v>329</v>
      </c>
      <c r="C1370" s="493" t="s">
        <v>330</v>
      </c>
      <c r="D1370" s="105" t="s">
        <v>1555</v>
      </c>
      <c r="E1370" s="105" t="s">
        <v>1556</v>
      </c>
      <c r="F1370" s="493">
        <v>59484</v>
      </c>
      <c r="G1370" s="105" t="s">
        <v>33</v>
      </c>
      <c r="H1370" s="105" t="s">
        <v>342</v>
      </c>
      <c r="I1370" s="105" t="s">
        <v>334</v>
      </c>
      <c r="J1370" s="493">
        <v>611</v>
      </c>
      <c r="K1370" s="493">
        <v>4</v>
      </c>
      <c r="L1370" s="105" t="s">
        <v>766</v>
      </c>
      <c r="M1370" s="105" t="s">
        <v>359</v>
      </c>
      <c r="N1370" s="105" t="s">
        <v>226</v>
      </c>
      <c r="O1370" s="105" t="s">
        <v>226</v>
      </c>
      <c r="P1370" s="105" t="s">
        <v>350</v>
      </c>
      <c r="Q1370" s="494">
        <v>59</v>
      </c>
      <c r="R1370" s="494">
        <v>59</v>
      </c>
      <c r="S1370" s="494">
        <v>348</v>
      </c>
      <c r="T1370" s="494">
        <v>348</v>
      </c>
      <c r="U1370" s="494">
        <v>27</v>
      </c>
      <c r="V1370" s="493">
        <v>2024</v>
      </c>
      <c r="W1370" s="495"/>
      <c r="X1370" s="496" t="str">
        <f t="shared" si="89"/>
        <v/>
      </c>
      <c r="Y1370" s="497" t="str">
        <f t="shared" si="90"/>
        <v/>
      </c>
      <c r="Z1370" s="497" t="str">
        <f t="shared" si="90"/>
        <v/>
      </c>
    </row>
    <row r="1371" spans="1:26" s="82" customFormat="1" ht="32" x14ac:dyDescent="0.4">
      <c r="A1371" s="493">
        <v>59717</v>
      </c>
      <c r="B1371" s="105" t="s">
        <v>329</v>
      </c>
      <c r="C1371" s="493" t="s">
        <v>330</v>
      </c>
      <c r="D1371" s="105" t="s">
        <v>1555</v>
      </c>
      <c r="E1371" s="105" t="s">
        <v>1556</v>
      </c>
      <c r="F1371" s="493">
        <v>59484</v>
      </c>
      <c r="G1371" s="105" t="s">
        <v>33</v>
      </c>
      <c r="H1371" s="105" t="s">
        <v>342</v>
      </c>
      <c r="I1371" s="105" t="s">
        <v>334</v>
      </c>
      <c r="J1371" s="493">
        <v>611</v>
      </c>
      <c r="K1371" s="493">
        <v>4</v>
      </c>
      <c r="L1371" s="105" t="s">
        <v>766</v>
      </c>
      <c r="M1371" s="105" t="s">
        <v>359</v>
      </c>
      <c r="N1371" s="105" t="s">
        <v>228</v>
      </c>
      <c r="O1371" s="105" t="s">
        <v>228</v>
      </c>
      <c r="P1371" s="105" t="s">
        <v>356</v>
      </c>
      <c r="Q1371" s="494">
        <v>0</v>
      </c>
      <c r="R1371" s="494">
        <v>0</v>
      </c>
      <c r="S1371" s="494">
        <v>0</v>
      </c>
      <c r="T1371" s="494">
        <v>0</v>
      </c>
      <c r="U1371" s="494">
        <v>0</v>
      </c>
      <c r="V1371" s="493">
        <v>2024</v>
      </c>
      <c r="W1371" s="495"/>
      <c r="X1371" s="496" t="str">
        <f t="shared" si="89"/>
        <v/>
      </c>
      <c r="Y1371" s="497" t="str">
        <f t="shared" si="90"/>
        <v/>
      </c>
      <c r="Z1371" s="497" t="str">
        <f t="shared" si="90"/>
        <v/>
      </c>
    </row>
    <row r="1372" spans="1:26" s="82" customFormat="1" ht="32" x14ac:dyDescent="0.4">
      <c r="A1372" s="493">
        <v>59717</v>
      </c>
      <c r="B1372" s="105" t="s">
        <v>329</v>
      </c>
      <c r="C1372" s="493" t="s">
        <v>330</v>
      </c>
      <c r="D1372" s="105" t="s">
        <v>1555</v>
      </c>
      <c r="E1372" s="105" t="s">
        <v>1556</v>
      </c>
      <c r="F1372" s="493">
        <v>59484</v>
      </c>
      <c r="G1372" s="105" t="s">
        <v>33</v>
      </c>
      <c r="H1372" s="105" t="s">
        <v>342</v>
      </c>
      <c r="I1372" s="105" t="s">
        <v>334</v>
      </c>
      <c r="J1372" s="493">
        <v>611</v>
      </c>
      <c r="K1372" s="493">
        <v>4</v>
      </c>
      <c r="L1372" s="105" t="s">
        <v>766</v>
      </c>
      <c r="M1372" s="105" t="s">
        <v>655</v>
      </c>
      <c r="N1372" s="105" t="s">
        <v>656</v>
      </c>
      <c r="O1372" s="105" t="s">
        <v>656</v>
      </c>
      <c r="P1372" s="105" t="s">
        <v>339</v>
      </c>
      <c r="Q1372" s="494">
        <v>0</v>
      </c>
      <c r="R1372" s="494">
        <v>0</v>
      </c>
      <c r="S1372" s="494">
        <v>195</v>
      </c>
      <c r="T1372" s="494">
        <v>195</v>
      </c>
      <c r="U1372" s="494">
        <v>57</v>
      </c>
      <c r="V1372" s="493">
        <v>2024</v>
      </c>
      <c r="W1372" s="495"/>
      <c r="X1372" s="496" t="str">
        <f t="shared" si="89"/>
        <v/>
      </c>
      <c r="Y1372" s="497" t="str">
        <f t="shared" si="90"/>
        <v/>
      </c>
      <c r="Z1372" s="497" t="str">
        <f t="shared" si="90"/>
        <v/>
      </c>
    </row>
    <row r="1373" spans="1:26" s="82" customFormat="1" ht="32" x14ac:dyDescent="0.4">
      <c r="A1373" s="493">
        <v>59719</v>
      </c>
      <c r="B1373" s="105" t="s">
        <v>329</v>
      </c>
      <c r="C1373" s="493" t="s">
        <v>330</v>
      </c>
      <c r="D1373" s="105" t="s">
        <v>1557</v>
      </c>
      <c r="E1373" s="105" t="s">
        <v>1313</v>
      </c>
      <c r="F1373" s="493">
        <v>60281</v>
      </c>
      <c r="G1373" s="105" t="s">
        <v>36</v>
      </c>
      <c r="H1373" s="105" t="s">
        <v>342</v>
      </c>
      <c r="I1373" s="105" t="s">
        <v>334</v>
      </c>
      <c r="J1373" s="493">
        <v>22</v>
      </c>
      <c r="K1373" s="493">
        <v>2</v>
      </c>
      <c r="L1373" s="105" t="s">
        <v>343</v>
      </c>
      <c r="M1373" s="105" t="s">
        <v>655</v>
      </c>
      <c r="N1373" s="105" t="s">
        <v>656</v>
      </c>
      <c r="O1373" s="105" t="s">
        <v>656</v>
      </c>
      <c r="P1373" s="105" t="s">
        <v>339</v>
      </c>
      <c r="Q1373" s="494">
        <v>0</v>
      </c>
      <c r="R1373" s="494">
        <v>0</v>
      </c>
      <c r="S1373" s="494">
        <v>10217</v>
      </c>
      <c r="T1373" s="494">
        <v>10217</v>
      </c>
      <c r="U1373" s="494">
        <v>2995</v>
      </c>
      <c r="V1373" s="493">
        <v>2024</v>
      </c>
      <c r="W1373" s="495"/>
      <c r="X1373" s="496">
        <f t="shared" si="89"/>
        <v>3.4113522537562604</v>
      </c>
      <c r="Y1373" s="497" t="str">
        <f t="shared" si="90"/>
        <v/>
      </c>
      <c r="Z1373" s="497" t="str">
        <f t="shared" si="90"/>
        <v/>
      </c>
    </row>
    <row r="1374" spans="1:26" s="82" customFormat="1" x14ac:dyDescent="0.4">
      <c r="A1374" s="493">
        <v>59724</v>
      </c>
      <c r="B1374" s="105" t="s">
        <v>329</v>
      </c>
      <c r="C1374" s="493" t="s">
        <v>330</v>
      </c>
      <c r="D1374" s="105" t="s">
        <v>1558</v>
      </c>
      <c r="E1374" s="105" t="s">
        <v>1559</v>
      </c>
      <c r="F1374" s="493">
        <v>59493</v>
      </c>
      <c r="G1374" s="105" t="s">
        <v>33</v>
      </c>
      <c r="H1374" s="105" t="s">
        <v>342</v>
      </c>
      <c r="I1374" s="105" t="s">
        <v>334</v>
      </c>
      <c r="J1374" s="493">
        <v>22</v>
      </c>
      <c r="K1374" s="493">
        <v>2</v>
      </c>
      <c r="L1374" s="105" t="s">
        <v>343</v>
      </c>
      <c r="M1374" s="105" t="s">
        <v>695</v>
      </c>
      <c r="N1374" s="105" t="s">
        <v>696</v>
      </c>
      <c r="O1374" s="105" t="s">
        <v>696</v>
      </c>
      <c r="P1374" s="105" t="s">
        <v>339</v>
      </c>
      <c r="Q1374" s="494">
        <v>0</v>
      </c>
      <c r="R1374" s="494">
        <v>0</v>
      </c>
      <c r="S1374" s="494">
        <v>8031</v>
      </c>
      <c r="T1374" s="494">
        <v>8031</v>
      </c>
      <c r="U1374" s="494">
        <v>2354</v>
      </c>
      <c r="V1374" s="493">
        <v>2024</v>
      </c>
      <c r="W1374" s="495"/>
      <c r="X1374" s="496">
        <f t="shared" si="89"/>
        <v>3.4116397621070518</v>
      </c>
      <c r="Y1374" s="497" t="str">
        <f t="shared" si="90"/>
        <v/>
      </c>
      <c r="Z1374" s="497" t="str">
        <f t="shared" si="90"/>
        <v/>
      </c>
    </row>
    <row r="1375" spans="1:26" s="82" customFormat="1" x14ac:dyDescent="0.4">
      <c r="A1375" s="493">
        <v>59725</v>
      </c>
      <c r="B1375" s="105" t="s">
        <v>329</v>
      </c>
      <c r="C1375" s="493" t="s">
        <v>330</v>
      </c>
      <c r="D1375" s="105" t="s">
        <v>1560</v>
      </c>
      <c r="E1375" s="105" t="s">
        <v>1561</v>
      </c>
      <c r="F1375" s="493">
        <v>59494</v>
      </c>
      <c r="G1375" s="105" t="s">
        <v>33</v>
      </c>
      <c r="H1375" s="105" t="s">
        <v>342</v>
      </c>
      <c r="I1375" s="105" t="s">
        <v>334</v>
      </c>
      <c r="J1375" s="493">
        <v>22</v>
      </c>
      <c r="K1375" s="493">
        <v>2</v>
      </c>
      <c r="L1375" s="105" t="s">
        <v>343</v>
      </c>
      <c r="M1375" s="105" t="s">
        <v>695</v>
      </c>
      <c r="N1375" s="105" t="s">
        <v>696</v>
      </c>
      <c r="O1375" s="105" t="s">
        <v>696</v>
      </c>
      <c r="P1375" s="105" t="s">
        <v>339</v>
      </c>
      <c r="Q1375" s="494">
        <v>0</v>
      </c>
      <c r="R1375" s="494">
        <v>0</v>
      </c>
      <c r="S1375" s="494">
        <v>12576</v>
      </c>
      <c r="T1375" s="494">
        <v>12576</v>
      </c>
      <c r="U1375" s="494">
        <v>3686</v>
      </c>
      <c r="V1375" s="493">
        <v>2024</v>
      </c>
      <c r="W1375" s="495"/>
      <c r="X1375" s="496">
        <f t="shared" si="89"/>
        <v>3.4118285404232229</v>
      </c>
      <c r="Y1375" s="497" t="str">
        <f t="shared" si="90"/>
        <v/>
      </c>
      <c r="Z1375" s="497" t="str">
        <f t="shared" si="90"/>
        <v/>
      </c>
    </row>
    <row r="1376" spans="1:26" s="82" customFormat="1" x14ac:dyDescent="0.4">
      <c r="A1376" s="493">
        <v>59731</v>
      </c>
      <c r="B1376" s="105" t="s">
        <v>329</v>
      </c>
      <c r="C1376" s="493" t="s">
        <v>330</v>
      </c>
      <c r="D1376" s="105" t="s">
        <v>1562</v>
      </c>
      <c r="E1376" s="105" t="s">
        <v>1563</v>
      </c>
      <c r="F1376" s="493">
        <v>59500</v>
      </c>
      <c r="G1376" s="105" t="s">
        <v>33</v>
      </c>
      <c r="H1376" s="105" t="s">
        <v>342</v>
      </c>
      <c r="I1376" s="105" t="s">
        <v>334</v>
      </c>
      <c r="J1376" s="493">
        <v>22</v>
      </c>
      <c r="K1376" s="493">
        <v>2</v>
      </c>
      <c r="L1376" s="105" t="s">
        <v>343</v>
      </c>
      <c r="M1376" s="105" t="s">
        <v>655</v>
      </c>
      <c r="N1376" s="105" t="s">
        <v>656</v>
      </c>
      <c r="O1376" s="105" t="s">
        <v>656</v>
      </c>
      <c r="P1376" s="105" t="s">
        <v>339</v>
      </c>
      <c r="Q1376" s="494">
        <v>0</v>
      </c>
      <c r="R1376" s="494">
        <v>0</v>
      </c>
      <c r="S1376" s="494">
        <v>16109</v>
      </c>
      <c r="T1376" s="494">
        <v>16109</v>
      </c>
      <c r="U1376" s="494">
        <v>4721</v>
      </c>
      <c r="V1376" s="493">
        <v>2024</v>
      </c>
      <c r="W1376" s="495"/>
      <c r="X1376" s="496">
        <f t="shared" si="89"/>
        <v>3.412200804914213</v>
      </c>
      <c r="Y1376" s="497" t="str">
        <f t="shared" si="90"/>
        <v/>
      </c>
      <c r="Z1376" s="497" t="str">
        <f t="shared" si="90"/>
        <v/>
      </c>
    </row>
    <row r="1377" spans="1:26" s="82" customFormat="1" x14ac:dyDescent="0.4">
      <c r="A1377" s="493">
        <v>59741</v>
      </c>
      <c r="B1377" s="105" t="s">
        <v>329</v>
      </c>
      <c r="C1377" s="493" t="s">
        <v>330</v>
      </c>
      <c r="D1377" s="105" t="s">
        <v>1564</v>
      </c>
      <c r="E1377" s="105" t="s">
        <v>1565</v>
      </c>
      <c r="F1377" s="493">
        <v>59508</v>
      </c>
      <c r="G1377" s="105" t="s">
        <v>36</v>
      </c>
      <c r="H1377" s="105" t="s">
        <v>342</v>
      </c>
      <c r="I1377" s="105" t="s">
        <v>334</v>
      </c>
      <c r="J1377" s="493">
        <v>22</v>
      </c>
      <c r="K1377" s="493">
        <v>2</v>
      </c>
      <c r="L1377" s="105" t="s">
        <v>343</v>
      </c>
      <c r="M1377" s="105" t="s">
        <v>655</v>
      </c>
      <c r="N1377" s="105" t="s">
        <v>656</v>
      </c>
      <c r="O1377" s="105" t="s">
        <v>656</v>
      </c>
      <c r="P1377" s="105" t="s">
        <v>339</v>
      </c>
      <c r="Q1377" s="494">
        <v>0</v>
      </c>
      <c r="R1377" s="494">
        <v>0</v>
      </c>
      <c r="S1377" s="494">
        <v>8210</v>
      </c>
      <c r="T1377" s="494">
        <v>8210</v>
      </c>
      <c r="U1377" s="494">
        <v>2406</v>
      </c>
      <c r="V1377" s="493">
        <v>2024</v>
      </c>
      <c r="W1377" s="495"/>
      <c r="X1377" s="496">
        <f t="shared" si="89"/>
        <v>3.4123025768911055</v>
      </c>
      <c r="Y1377" s="497" t="str">
        <f t="shared" si="90"/>
        <v/>
      </c>
      <c r="Z1377" s="497" t="str">
        <f t="shared" si="90"/>
        <v/>
      </c>
    </row>
    <row r="1378" spans="1:26" s="82" customFormat="1" x14ac:dyDescent="0.4">
      <c r="A1378" s="493">
        <v>59745</v>
      </c>
      <c r="B1378" s="105" t="s">
        <v>329</v>
      </c>
      <c r="C1378" s="493" t="s">
        <v>330</v>
      </c>
      <c r="D1378" s="105" t="s">
        <v>1566</v>
      </c>
      <c r="E1378" s="105" t="s">
        <v>1567</v>
      </c>
      <c r="F1378" s="493">
        <v>59511</v>
      </c>
      <c r="G1378" s="105" t="s">
        <v>33</v>
      </c>
      <c r="H1378" s="105" t="s">
        <v>342</v>
      </c>
      <c r="I1378" s="105" t="s">
        <v>334</v>
      </c>
      <c r="J1378" s="493">
        <v>22</v>
      </c>
      <c r="K1378" s="493">
        <v>2</v>
      </c>
      <c r="L1378" s="105" t="s">
        <v>343</v>
      </c>
      <c r="M1378" s="105" t="s">
        <v>655</v>
      </c>
      <c r="N1378" s="105" t="s">
        <v>656</v>
      </c>
      <c r="O1378" s="105" t="s">
        <v>656</v>
      </c>
      <c r="P1378" s="105" t="s">
        <v>339</v>
      </c>
      <c r="Q1378" s="494">
        <v>0</v>
      </c>
      <c r="R1378" s="494">
        <v>0</v>
      </c>
      <c r="S1378" s="494">
        <v>10903</v>
      </c>
      <c r="T1378" s="494">
        <v>10903</v>
      </c>
      <c r="U1378" s="494">
        <v>3195</v>
      </c>
      <c r="V1378" s="493">
        <v>2024</v>
      </c>
      <c r="W1378" s="495"/>
      <c r="X1378" s="496">
        <f t="shared" si="89"/>
        <v>3.4125195618153366</v>
      </c>
      <c r="Y1378" s="497" t="str">
        <f t="shared" si="90"/>
        <v/>
      </c>
      <c r="Z1378" s="497" t="str">
        <f t="shared" si="90"/>
        <v/>
      </c>
    </row>
    <row r="1379" spans="1:26" s="82" customFormat="1" x14ac:dyDescent="0.4">
      <c r="A1379" s="493">
        <v>59750</v>
      </c>
      <c r="B1379" s="105" t="s">
        <v>329</v>
      </c>
      <c r="C1379" s="493" t="s">
        <v>330</v>
      </c>
      <c r="D1379" s="105" t="s">
        <v>1568</v>
      </c>
      <c r="E1379" s="105" t="s">
        <v>1569</v>
      </c>
      <c r="F1379" s="493">
        <v>58473</v>
      </c>
      <c r="G1379" s="105" t="s">
        <v>33</v>
      </c>
      <c r="H1379" s="105" t="s">
        <v>342</v>
      </c>
      <c r="I1379" s="105" t="s">
        <v>334</v>
      </c>
      <c r="J1379" s="493">
        <v>22</v>
      </c>
      <c r="K1379" s="493">
        <v>2</v>
      </c>
      <c r="L1379" s="105" t="s">
        <v>343</v>
      </c>
      <c r="M1379" s="105" t="s">
        <v>655</v>
      </c>
      <c r="N1379" s="105" t="s">
        <v>656</v>
      </c>
      <c r="O1379" s="105" t="s">
        <v>656</v>
      </c>
      <c r="P1379" s="105" t="s">
        <v>339</v>
      </c>
      <c r="Q1379" s="494">
        <v>0</v>
      </c>
      <c r="R1379" s="494">
        <v>0</v>
      </c>
      <c r="S1379" s="494">
        <v>12457</v>
      </c>
      <c r="T1379" s="494">
        <v>12457</v>
      </c>
      <c r="U1379" s="494">
        <v>3651</v>
      </c>
      <c r="V1379" s="493">
        <v>2024</v>
      </c>
      <c r="W1379" s="495"/>
      <c r="X1379" s="496">
        <f t="shared" si="89"/>
        <v>3.4119419337167898</v>
      </c>
      <c r="Y1379" s="497" t="str">
        <f t="shared" si="90"/>
        <v/>
      </c>
      <c r="Z1379" s="497" t="str">
        <f t="shared" si="90"/>
        <v/>
      </c>
    </row>
    <row r="1380" spans="1:26" s="82" customFormat="1" ht="32" x14ac:dyDescent="0.4">
      <c r="A1380" s="493">
        <v>59752</v>
      </c>
      <c r="B1380" s="105" t="s">
        <v>329</v>
      </c>
      <c r="C1380" s="493" t="s">
        <v>330</v>
      </c>
      <c r="D1380" s="105" t="s">
        <v>1570</v>
      </c>
      <c r="E1380" s="105" t="s">
        <v>1571</v>
      </c>
      <c r="F1380" s="493">
        <v>59519</v>
      </c>
      <c r="G1380" s="105" t="s">
        <v>33</v>
      </c>
      <c r="H1380" s="105" t="s">
        <v>342</v>
      </c>
      <c r="I1380" s="105" t="s">
        <v>334</v>
      </c>
      <c r="J1380" s="493">
        <v>22</v>
      </c>
      <c r="K1380" s="493">
        <v>2</v>
      </c>
      <c r="L1380" s="105" t="s">
        <v>343</v>
      </c>
      <c r="M1380" s="105" t="s">
        <v>655</v>
      </c>
      <c r="N1380" s="105" t="s">
        <v>656</v>
      </c>
      <c r="O1380" s="105" t="s">
        <v>656</v>
      </c>
      <c r="P1380" s="105" t="s">
        <v>339</v>
      </c>
      <c r="Q1380" s="494">
        <v>0</v>
      </c>
      <c r="R1380" s="494">
        <v>0</v>
      </c>
      <c r="S1380" s="494">
        <v>6235</v>
      </c>
      <c r="T1380" s="494">
        <v>6235</v>
      </c>
      <c r="U1380" s="494">
        <v>1827</v>
      </c>
      <c r="V1380" s="493">
        <v>2024</v>
      </c>
      <c r="W1380" s="495"/>
      <c r="X1380" s="496">
        <f t="shared" si="89"/>
        <v>3.4126984126984126</v>
      </c>
      <c r="Y1380" s="497" t="str">
        <f t="shared" si="90"/>
        <v/>
      </c>
      <c r="Z1380" s="497" t="str">
        <f t="shared" si="90"/>
        <v/>
      </c>
    </row>
    <row r="1381" spans="1:26" s="82" customFormat="1" ht="32" x14ac:dyDescent="0.4">
      <c r="A1381" s="493">
        <v>59755</v>
      </c>
      <c r="B1381" s="105" t="s">
        <v>329</v>
      </c>
      <c r="C1381" s="493" t="s">
        <v>330</v>
      </c>
      <c r="D1381" s="105" t="s">
        <v>1572</v>
      </c>
      <c r="E1381" s="105" t="s">
        <v>1313</v>
      </c>
      <c r="F1381" s="493">
        <v>60281</v>
      </c>
      <c r="G1381" s="105" t="s">
        <v>36</v>
      </c>
      <c r="H1381" s="105" t="s">
        <v>342</v>
      </c>
      <c r="I1381" s="105" t="s">
        <v>334</v>
      </c>
      <c r="J1381" s="493">
        <v>22</v>
      </c>
      <c r="K1381" s="493">
        <v>2</v>
      </c>
      <c r="L1381" s="105" t="s">
        <v>343</v>
      </c>
      <c r="M1381" s="105" t="s">
        <v>655</v>
      </c>
      <c r="N1381" s="105" t="s">
        <v>656</v>
      </c>
      <c r="O1381" s="105" t="s">
        <v>656</v>
      </c>
      <c r="P1381" s="105" t="s">
        <v>339</v>
      </c>
      <c r="Q1381" s="494">
        <v>0</v>
      </c>
      <c r="R1381" s="494">
        <v>0</v>
      </c>
      <c r="S1381" s="494">
        <v>8875</v>
      </c>
      <c r="T1381" s="494">
        <v>8875</v>
      </c>
      <c r="U1381" s="494">
        <v>2601</v>
      </c>
      <c r="V1381" s="493">
        <v>2024</v>
      </c>
      <c r="W1381" s="495"/>
      <c r="X1381" s="496">
        <f t="shared" si="89"/>
        <v>3.4121491733948481</v>
      </c>
      <c r="Y1381" s="497" t="str">
        <f t="shared" si="90"/>
        <v/>
      </c>
      <c r="Z1381" s="497" t="str">
        <f t="shared" si="90"/>
        <v/>
      </c>
    </row>
    <row r="1382" spans="1:26" s="82" customFormat="1" x14ac:dyDescent="0.4">
      <c r="A1382" s="493">
        <v>59765</v>
      </c>
      <c r="B1382" s="105" t="s">
        <v>329</v>
      </c>
      <c r="C1382" s="493" t="s">
        <v>330</v>
      </c>
      <c r="D1382" s="105" t="s">
        <v>1573</v>
      </c>
      <c r="E1382" s="105" t="s">
        <v>1528</v>
      </c>
      <c r="F1382" s="493">
        <v>59232</v>
      </c>
      <c r="G1382" s="105" t="s">
        <v>33</v>
      </c>
      <c r="H1382" s="105" t="s">
        <v>342</v>
      </c>
      <c r="I1382" s="105" t="s">
        <v>334</v>
      </c>
      <c r="J1382" s="493">
        <v>22</v>
      </c>
      <c r="K1382" s="493">
        <v>2</v>
      </c>
      <c r="L1382" s="105" t="s">
        <v>343</v>
      </c>
      <c r="M1382" s="105" t="s">
        <v>655</v>
      </c>
      <c r="N1382" s="105" t="s">
        <v>656</v>
      </c>
      <c r="O1382" s="105" t="s">
        <v>656</v>
      </c>
      <c r="P1382" s="105" t="s">
        <v>339</v>
      </c>
      <c r="Q1382" s="494">
        <v>0</v>
      </c>
      <c r="R1382" s="494">
        <v>0</v>
      </c>
      <c r="S1382" s="494">
        <v>9657</v>
      </c>
      <c r="T1382" s="494">
        <v>9657</v>
      </c>
      <c r="U1382" s="494">
        <v>2830</v>
      </c>
      <c r="V1382" s="493">
        <v>2024</v>
      </c>
      <c r="W1382" s="495"/>
      <c r="X1382" s="496">
        <f t="shared" si="89"/>
        <v>3.4123674911660777</v>
      </c>
      <c r="Y1382" s="497" t="str">
        <f t="shared" si="90"/>
        <v/>
      </c>
      <c r="Z1382" s="497" t="str">
        <f t="shared" si="90"/>
        <v/>
      </c>
    </row>
    <row r="1383" spans="1:26" s="82" customFormat="1" x14ac:dyDescent="0.4">
      <c r="A1383" s="493">
        <v>59766</v>
      </c>
      <c r="B1383" s="105" t="s">
        <v>329</v>
      </c>
      <c r="C1383" s="493" t="s">
        <v>330</v>
      </c>
      <c r="D1383" s="105" t="s">
        <v>1574</v>
      </c>
      <c r="E1383" s="105" t="s">
        <v>1528</v>
      </c>
      <c r="F1383" s="493">
        <v>59232</v>
      </c>
      <c r="G1383" s="105" t="s">
        <v>33</v>
      </c>
      <c r="H1383" s="105" t="s">
        <v>342</v>
      </c>
      <c r="I1383" s="105" t="s">
        <v>334</v>
      </c>
      <c r="J1383" s="493">
        <v>22</v>
      </c>
      <c r="K1383" s="493">
        <v>2</v>
      </c>
      <c r="L1383" s="105" t="s">
        <v>343</v>
      </c>
      <c r="M1383" s="105" t="s">
        <v>655</v>
      </c>
      <c r="N1383" s="105" t="s">
        <v>656</v>
      </c>
      <c r="O1383" s="105" t="s">
        <v>656</v>
      </c>
      <c r="P1383" s="105" t="s">
        <v>339</v>
      </c>
      <c r="Q1383" s="494">
        <v>0</v>
      </c>
      <c r="R1383" s="494">
        <v>0</v>
      </c>
      <c r="S1383" s="494">
        <v>7563</v>
      </c>
      <c r="T1383" s="494">
        <v>7563</v>
      </c>
      <c r="U1383" s="494">
        <v>2217</v>
      </c>
      <c r="V1383" s="493">
        <v>2024</v>
      </c>
      <c r="W1383" s="495"/>
      <c r="X1383" s="496">
        <f t="shared" si="89"/>
        <v>3.4113667117726658</v>
      </c>
      <c r="Y1383" s="497" t="str">
        <f t="shared" si="90"/>
        <v/>
      </c>
      <c r="Z1383" s="497" t="str">
        <f t="shared" si="90"/>
        <v/>
      </c>
    </row>
    <row r="1384" spans="1:26" s="82" customFormat="1" x14ac:dyDescent="0.4">
      <c r="A1384" s="493">
        <v>59767</v>
      </c>
      <c r="B1384" s="105" t="s">
        <v>329</v>
      </c>
      <c r="C1384" s="493" t="s">
        <v>330</v>
      </c>
      <c r="D1384" s="105" t="s">
        <v>1575</v>
      </c>
      <c r="E1384" s="105" t="s">
        <v>1528</v>
      </c>
      <c r="F1384" s="493">
        <v>59232</v>
      </c>
      <c r="G1384" s="105" t="s">
        <v>33</v>
      </c>
      <c r="H1384" s="105" t="s">
        <v>342</v>
      </c>
      <c r="I1384" s="105" t="s">
        <v>334</v>
      </c>
      <c r="J1384" s="493">
        <v>22</v>
      </c>
      <c r="K1384" s="493">
        <v>2</v>
      </c>
      <c r="L1384" s="105" t="s">
        <v>343</v>
      </c>
      <c r="M1384" s="105" t="s">
        <v>655</v>
      </c>
      <c r="N1384" s="105" t="s">
        <v>656</v>
      </c>
      <c r="O1384" s="105" t="s">
        <v>656</v>
      </c>
      <c r="P1384" s="105" t="s">
        <v>339</v>
      </c>
      <c r="Q1384" s="494">
        <v>0</v>
      </c>
      <c r="R1384" s="494">
        <v>0</v>
      </c>
      <c r="S1384" s="494">
        <v>20643</v>
      </c>
      <c r="T1384" s="494">
        <v>20643</v>
      </c>
      <c r="U1384" s="494">
        <v>6050</v>
      </c>
      <c r="V1384" s="493">
        <v>2024</v>
      </c>
      <c r="W1384" s="495"/>
      <c r="X1384" s="496">
        <f t="shared" si="89"/>
        <v>3.4120661157024794</v>
      </c>
      <c r="Y1384" s="497" t="str">
        <f t="shared" si="90"/>
        <v/>
      </c>
      <c r="Z1384" s="497" t="str">
        <f t="shared" si="90"/>
        <v/>
      </c>
    </row>
    <row r="1385" spans="1:26" s="82" customFormat="1" x14ac:dyDescent="0.4">
      <c r="A1385" s="493">
        <v>59768</v>
      </c>
      <c r="B1385" s="105" t="s">
        <v>329</v>
      </c>
      <c r="C1385" s="493" t="s">
        <v>330</v>
      </c>
      <c r="D1385" s="105" t="s">
        <v>1576</v>
      </c>
      <c r="E1385" s="105" t="s">
        <v>1528</v>
      </c>
      <c r="F1385" s="493">
        <v>59232</v>
      </c>
      <c r="G1385" s="105" t="s">
        <v>33</v>
      </c>
      <c r="H1385" s="105" t="s">
        <v>342</v>
      </c>
      <c r="I1385" s="105" t="s">
        <v>334</v>
      </c>
      <c r="J1385" s="493">
        <v>22</v>
      </c>
      <c r="K1385" s="493">
        <v>2</v>
      </c>
      <c r="L1385" s="105" t="s">
        <v>343</v>
      </c>
      <c r="M1385" s="105" t="s">
        <v>655</v>
      </c>
      <c r="N1385" s="105" t="s">
        <v>656</v>
      </c>
      <c r="O1385" s="105" t="s">
        <v>656</v>
      </c>
      <c r="P1385" s="105" t="s">
        <v>339</v>
      </c>
      <c r="Q1385" s="494">
        <v>0</v>
      </c>
      <c r="R1385" s="494">
        <v>0</v>
      </c>
      <c r="S1385" s="494">
        <v>6984</v>
      </c>
      <c r="T1385" s="494">
        <v>6984</v>
      </c>
      <c r="U1385" s="494">
        <v>2047</v>
      </c>
      <c r="V1385" s="493">
        <v>2024</v>
      </c>
      <c r="W1385" s="495"/>
      <c r="X1385" s="496">
        <f t="shared" si="89"/>
        <v>3.4118221787982415</v>
      </c>
      <c r="Y1385" s="497" t="str">
        <f t="shared" si="90"/>
        <v/>
      </c>
      <c r="Z1385" s="497" t="str">
        <f t="shared" si="90"/>
        <v/>
      </c>
    </row>
    <row r="1386" spans="1:26" s="82" customFormat="1" ht="32" x14ac:dyDescent="0.4">
      <c r="A1386" s="493">
        <v>59775</v>
      </c>
      <c r="B1386" s="105" t="s">
        <v>329</v>
      </c>
      <c r="C1386" s="493" t="s">
        <v>330</v>
      </c>
      <c r="D1386" s="105" t="s">
        <v>1577</v>
      </c>
      <c r="E1386" s="105" t="s">
        <v>1313</v>
      </c>
      <c r="F1386" s="493">
        <v>60281</v>
      </c>
      <c r="G1386" s="105" t="s">
        <v>33</v>
      </c>
      <c r="H1386" s="105" t="s">
        <v>342</v>
      </c>
      <c r="I1386" s="105" t="s">
        <v>334</v>
      </c>
      <c r="J1386" s="493">
        <v>22</v>
      </c>
      <c r="K1386" s="493">
        <v>2</v>
      </c>
      <c r="L1386" s="105" t="s">
        <v>343</v>
      </c>
      <c r="M1386" s="105" t="s">
        <v>655</v>
      </c>
      <c r="N1386" s="105" t="s">
        <v>656</v>
      </c>
      <c r="O1386" s="105" t="s">
        <v>656</v>
      </c>
      <c r="P1386" s="105" t="s">
        <v>339</v>
      </c>
      <c r="Q1386" s="494">
        <v>0</v>
      </c>
      <c r="R1386" s="494">
        <v>0</v>
      </c>
      <c r="S1386" s="494">
        <v>11725</v>
      </c>
      <c r="T1386" s="494">
        <v>11725</v>
      </c>
      <c r="U1386" s="494">
        <v>3437</v>
      </c>
      <c r="V1386" s="493">
        <v>2024</v>
      </c>
      <c r="W1386" s="495"/>
      <c r="X1386" s="496">
        <f t="shared" si="89"/>
        <v>3.4114052953156824</v>
      </c>
      <c r="Y1386" s="497" t="str">
        <f t="shared" si="90"/>
        <v/>
      </c>
      <c r="Z1386" s="497" t="str">
        <f t="shared" si="90"/>
        <v/>
      </c>
    </row>
    <row r="1387" spans="1:26" s="82" customFormat="1" ht="32" x14ac:dyDescent="0.4">
      <c r="A1387" s="493">
        <v>59777</v>
      </c>
      <c r="B1387" s="105" t="s">
        <v>329</v>
      </c>
      <c r="C1387" s="493" t="s">
        <v>330</v>
      </c>
      <c r="D1387" s="105" t="s">
        <v>1578</v>
      </c>
      <c r="E1387" s="105" t="s">
        <v>1571</v>
      </c>
      <c r="F1387" s="493">
        <v>59519</v>
      </c>
      <c r="G1387" s="105" t="s">
        <v>33</v>
      </c>
      <c r="H1387" s="105" t="s">
        <v>342</v>
      </c>
      <c r="I1387" s="105" t="s">
        <v>334</v>
      </c>
      <c r="J1387" s="493">
        <v>22</v>
      </c>
      <c r="K1387" s="493">
        <v>2</v>
      </c>
      <c r="L1387" s="105" t="s">
        <v>343</v>
      </c>
      <c r="M1387" s="105" t="s">
        <v>655</v>
      </c>
      <c r="N1387" s="105" t="s">
        <v>656</v>
      </c>
      <c r="O1387" s="105" t="s">
        <v>656</v>
      </c>
      <c r="P1387" s="105" t="s">
        <v>339</v>
      </c>
      <c r="Q1387" s="494">
        <v>0</v>
      </c>
      <c r="R1387" s="494">
        <v>0</v>
      </c>
      <c r="S1387" s="494">
        <v>5810</v>
      </c>
      <c r="T1387" s="494">
        <v>5810</v>
      </c>
      <c r="U1387" s="494">
        <v>1702</v>
      </c>
      <c r="V1387" s="493">
        <v>2024</v>
      </c>
      <c r="W1387" s="495"/>
      <c r="X1387" s="496">
        <f t="shared" si="89"/>
        <v>3.4136310223266744</v>
      </c>
      <c r="Y1387" s="497" t="str">
        <f t="shared" si="90"/>
        <v/>
      </c>
      <c r="Z1387" s="497" t="str">
        <f t="shared" si="90"/>
        <v/>
      </c>
    </row>
    <row r="1388" spans="1:26" s="82" customFormat="1" x14ac:dyDescent="0.4">
      <c r="A1388" s="493">
        <v>59780</v>
      </c>
      <c r="B1388" s="105" t="s">
        <v>329</v>
      </c>
      <c r="C1388" s="493" t="s">
        <v>330</v>
      </c>
      <c r="D1388" s="105" t="s">
        <v>1579</v>
      </c>
      <c r="E1388" s="105" t="s">
        <v>1580</v>
      </c>
      <c r="F1388" s="493">
        <v>59545</v>
      </c>
      <c r="G1388" s="105" t="s">
        <v>33</v>
      </c>
      <c r="H1388" s="105" t="s">
        <v>342</v>
      </c>
      <c r="I1388" s="105" t="s">
        <v>334</v>
      </c>
      <c r="J1388" s="493">
        <v>22</v>
      </c>
      <c r="K1388" s="493">
        <v>2</v>
      </c>
      <c r="L1388" s="105" t="s">
        <v>343</v>
      </c>
      <c r="M1388" s="105" t="s">
        <v>655</v>
      </c>
      <c r="N1388" s="105" t="s">
        <v>656</v>
      </c>
      <c r="O1388" s="105" t="s">
        <v>656</v>
      </c>
      <c r="P1388" s="105" t="s">
        <v>339</v>
      </c>
      <c r="Q1388" s="494">
        <v>0</v>
      </c>
      <c r="R1388" s="494">
        <v>0</v>
      </c>
      <c r="S1388" s="494">
        <v>23770</v>
      </c>
      <c r="T1388" s="494">
        <v>23770</v>
      </c>
      <c r="U1388" s="494">
        <v>6966</v>
      </c>
      <c r="V1388" s="493">
        <v>2024</v>
      </c>
      <c r="W1388" s="495"/>
      <c r="X1388" s="496">
        <f t="shared" si="89"/>
        <v>3.4122882572494975</v>
      </c>
      <c r="Y1388" s="497" t="str">
        <f t="shared" ref="Y1388:Z1407" si="91">IF(AND($M1388=$Y$2,$N1388=$Y$3,NOT($Q1388=$R1388),NOT($U1388=0)),IF($K1388=5,$S1388/($U1388+(8/5)*$U1388),IF($K1388=7,$S1388/($U1388+(29/25)*$U1388),"")),"")</f>
        <v/>
      </c>
      <c r="Z1388" s="497" t="str">
        <f t="shared" si="91"/>
        <v/>
      </c>
    </row>
    <row r="1389" spans="1:26" s="82" customFormat="1" ht="32" x14ac:dyDescent="0.4">
      <c r="A1389" s="493">
        <v>59781</v>
      </c>
      <c r="B1389" s="105" t="s">
        <v>329</v>
      </c>
      <c r="C1389" s="493" t="s">
        <v>330</v>
      </c>
      <c r="D1389" s="105" t="s">
        <v>1581</v>
      </c>
      <c r="E1389" s="105" t="s">
        <v>1582</v>
      </c>
      <c r="F1389" s="493">
        <v>59546</v>
      </c>
      <c r="G1389" s="105" t="s">
        <v>33</v>
      </c>
      <c r="H1389" s="105" t="s">
        <v>342</v>
      </c>
      <c r="I1389" s="105" t="s">
        <v>334</v>
      </c>
      <c r="J1389" s="493">
        <v>22</v>
      </c>
      <c r="K1389" s="493">
        <v>2</v>
      </c>
      <c r="L1389" s="105" t="s">
        <v>343</v>
      </c>
      <c r="M1389" s="105" t="s">
        <v>655</v>
      </c>
      <c r="N1389" s="105" t="s">
        <v>656</v>
      </c>
      <c r="O1389" s="105" t="s">
        <v>656</v>
      </c>
      <c r="P1389" s="105" t="s">
        <v>339</v>
      </c>
      <c r="Q1389" s="494">
        <v>0</v>
      </c>
      <c r="R1389" s="494">
        <v>0</v>
      </c>
      <c r="S1389" s="494">
        <v>24758</v>
      </c>
      <c r="T1389" s="494">
        <v>24758</v>
      </c>
      <c r="U1389" s="494">
        <v>7256</v>
      </c>
      <c r="V1389" s="493">
        <v>2024</v>
      </c>
      <c r="W1389" s="495"/>
      <c r="X1389" s="496">
        <f t="shared" si="89"/>
        <v>3.4120727673649394</v>
      </c>
      <c r="Y1389" s="497" t="str">
        <f t="shared" si="91"/>
        <v/>
      </c>
      <c r="Z1389" s="497" t="str">
        <f t="shared" si="91"/>
        <v/>
      </c>
    </row>
    <row r="1390" spans="1:26" s="82" customFormat="1" x14ac:dyDescent="0.4">
      <c r="A1390" s="493">
        <v>59788</v>
      </c>
      <c r="B1390" s="105" t="s">
        <v>329</v>
      </c>
      <c r="C1390" s="493" t="s">
        <v>330</v>
      </c>
      <c r="D1390" s="105" t="s">
        <v>1583</v>
      </c>
      <c r="E1390" s="105" t="s">
        <v>1393</v>
      </c>
      <c r="F1390" s="493">
        <v>57313</v>
      </c>
      <c r="G1390" s="105" t="s">
        <v>37</v>
      </c>
      <c r="H1390" s="105" t="s">
        <v>342</v>
      </c>
      <c r="I1390" s="105" t="s">
        <v>334</v>
      </c>
      <c r="J1390" s="493">
        <v>22</v>
      </c>
      <c r="K1390" s="493">
        <v>2</v>
      </c>
      <c r="L1390" s="105" t="s">
        <v>343</v>
      </c>
      <c r="M1390" s="105" t="s">
        <v>655</v>
      </c>
      <c r="N1390" s="105" t="s">
        <v>656</v>
      </c>
      <c r="O1390" s="105" t="s">
        <v>656</v>
      </c>
      <c r="P1390" s="105" t="s">
        <v>339</v>
      </c>
      <c r="Q1390" s="494">
        <v>0</v>
      </c>
      <c r="R1390" s="494">
        <v>0</v>
      </c>
      <c r="S1390" s="494">
        <v>3653</v>
      </c>
      <c r="T1390" s="494">
        <v>3653</v>
      </c>
      <c r="U1390" s="494">
        <v>1071</v>
      </c>
      <c r="V1390" s="493">
        <v>2024</v>
      </c>
      <c r="W1390" s="495"/>
      <c r="X1390" s="496">
        <f t="shared" si="89"/>
        <v>3.4108309990662931</v>
      </c>
      <c r="Y1390" s="497" t="str">
        <f t="shared" si="91"/>
        <v/>
      </c>
      <c r="Z1390" s="497" t="str">
        <f t="shared" si="91"/>
        <v/>
      </c>
    </row>
    <row r="1391" spans="1:26" s="82" customFormat="1" x14ac:dyDescent="0.4">
      <c r="A1391" s="493">
        <v>59789</v>
      </c>
      <c r="B1391" s="105" t="s">
        <v>329</v>
      </c>
      <c r="C1391" s="493" t="s">
        <v>330</v>
      </c>
      <c r="D1391" s="105" t="s">
        <v>1584</v>
      </c>
      <c r="E1391" s="105" t="s">
        <v>1393</v>
      </c>
      <c r="F1391" s="493">
        <v>57313</v>
      </c>
      <c r="G1391" s="105" t="s">
        <v>52</v>
      </c>
      <c r="H1391" s="105" t="s">
        <v>333</v>
      </c>
      <c r="I1391" s="105" t="s">
        <v>334</v>
      </c>
      <c r="J1391" s="493">
        <v>22</v>
      </c>
      <c r="K1391" s="493">
        <v>2</v>
      </c>
      <c r="L1391" s="105" t="s">
        <v>343</v>
      </c>
      <c r="M1391" s="105" t="s">
        <v>655</v>
      </c>
      <c r="N1391" s="105" t="s">
        <v>656</v>
      </c>
      <c r="O1391" s="105" t="s">
        <v>656</v>
      </c>
      <c r="P1391" s="105" t="s">
        <v>339</v>
      </c>
      <c r="Q1391" s="494">
        <v>0</v>
      </c>
      <c r="R1391" s="494">
        <v>0</v>
      </c>
      <c r="S1391" s="494">
        <v>6141</v>
      </c>
      <c r="T1391" s="494">
        <v>6141</v>
      </c>
      <c r="U1391" s="494">
        <v>1800</v>
      </c>
      <c r="V1391" s="493">
        <v>2024</v>
      </c>
      <c r="W1391" s="495"/>
      <c r="X1391" s="496">
        <f t="shared" si="89"/>
        <v>3.4116666666666666</v>
      </c>
      <c r="Y1391" s="497" t="str">
        <f t="shared" si="91"/>
        <v/>
      </c>
      <c r="Z1391" s="497" t="str">
        <f t="shared" si="91"/>
        <v/>
      </c>
    </row>
    <row r="1392" spans="1:26" s="82" customFormat="1" ht="32" x14ac:dyDescent="0.4">
      <c r="A1392" s="493">
        <v>59815</v>
      </c>
      <c r="B1392" s="105" t="s">
        <v>329</v>
      </c>
      <c r="C1392" s="493" t="s">
        <v>330</v>
      </c>
      <c r="D1392" s="105" t="s">
        <v>1585</v>
      </c>
      <c r="E1392" s="105" t="s">
        <v>1586</v>
      </c>
      <c r="F1392" s="493">
        <v>59596</v>
      </c>
      <c r="G1392" s="105" t="s">
        <v>33</v>
      </c>
      <c r="H1392" s="105" t="s">
        <v>342</v>
      </c>
      <c r="I1392" s="105" t="s">
        <v>334</v>
      </c>
      <c r="J1392" s="493">
        <v>22</v>
      </c>
      <c r="K1392" s="493">
        <v>2</v>
      </c>
      <c r="L1392" s="105" t="s">
        <v>343</v>
      </c>
      <c r="M1392" s="105" t="s">
        <v>359</v>
      </c>
      <c r="N1392" s="105" t="s">
        <v>252</v>
      </c>
      <c r="O1392" s="105" t="s">
        <v>688</v>
      </c>
      <c r="P1392" s="105" t="s">
        <v>356</v>
      </c>
      <c r="Q1392" s="494">
        <v>141780</v>
      </c>
      <c r="R1392" s="494">
        <v>141780</v>
      </c>
      <c r="S1392" s="494">
        <v>56713</v>
      </c>
      <c r="T1392" s="494">
        <v>56713</v>
      </c>
      <c r="U1392" s="494">
        <v>3113</v>
      </c>
      <c r="V1392" s="493">
        <v>2024</v>
      </c>
      <c r="W1392" s="495"/>
      <c r="X1392" s="496">
        <f t="shared" si="89"/>
        <v>18.218117571474462</v>
      </c>
      <c r="Y1392" s="497" t="str">
        <f t="shared" si="91"/>
        <v/>
      </c>
      <c r="Z1392" s="497" t="str">
        <f t="shared" si="91"/>
        <v/>
      </c>
    </row>
    <row r="1393" spans="1:26" s="82" customFormat="1" ht="32" x14ac:dyDescent="0.4">
      <c r="A1393" s="493">
        <v>59816</v>
      </c>
      <c r="B1393" s="105" t="s">
        <v>329</v>
      </c>
      <c r="C1393" s="493" t="s">
        <v>330</v>
      </c>
      <c r="D1393" s="105" t="s">
        <v>1587</v>
      </c>
      <c r="E1393" s="105" t="s">
        <v>1588</v>
      </c>
      <c r="F1393" s="493">
        <v>59597</v>
      </c>
      <c r="G1393" s="105" t="s">
        <v>52</v>
      </c>
      <c r="H1393" s="105" t="s">
        <v>333</v>
      </c>
      <c r="I1393" s="105" t="s">
        <v>334</v>
      </c>
      <c r="J1393" s="493">
        <v>22</v>
      </c>
      <c r="K1393" s="493">
        <v>2</v>
      </c>
      <c r="L1393" s="105" t="s">
        <v>343</v>
      </c>
      <c r="M1393" s="105" t="s">
        <v>359</v>
      </c>
      <c r="N1393" s="105" t="s">
        <v>252</v>
      </c>
      <c r="O1393" s="105" t="s">
        <v>688</v>
      </c>
      <c r="P1393" s="105" t="s">
        <v>356</v>
      </c>
      <c r="Q1393" s="494">
        <v>781243</v>
      </c>
      <c r="R1393" s="494">
        <v>781243</v>
      </c>
      <c r="S1393" s="494">
        <v>281248</v>
      </c>
      <c r="T1393" s="494">
        <v>281248</v>
      </c>
      <c r="U1393" s="494">
        <v>28181</v>
      </c>
      <c r="V1393" s="493">
        <v>2024</v>
      </c>
      <c r="W1393" s="495"/>
      <c r="X1393" s="496">
        <f t="shared" si="89"/>
        <v>9.980057485539902</v>
      </c>
      <c r="Y1393" s="497" t="str">
        <f t="shared" si="91"/>
        <v/>
      </c>
      <c r="Z1393" s="497" t="str">
        <f t="shared" si="91"/>
        <v/>
      </c>
    </row>
    <row r="1394" spans="1:26" s="82" customFormat="1" ht="32" x14ac:dyDescent="0.4">
      <c r="A1394" s="493">
        <v>59820</v>
      </c>
      <c r="B1394" s="105" t="s">
        <v>329</v>
      </c>
      <c r="C1394" s="493" t="s">
        <v>330</v>
      </c>
      <c r="D1394" s="105" t="s">
        <v>1589</v>
      </c>
      <c r="E1394" s="105" t="s">
        <v>1313</v>
      </c>
      <c r="F1394" s="493">
        <v>60281</v>
      </c>
      <c r="G1394" s="105" t="s">
        <v>33</v>
      </c>
      <c r="H1394" s="105" t="s">
        <v>342</v>
      </c>
      <c r="I1394" s="105" t="s">
        <v>334</v>
      </c>
      <c r="J1394" s="493">
        <v>22</v>
      </c>
      <c r="K1394" s="493">
        <v>2</v>
      </c>
      <c r="L1394" s="105" t="s">
        <v>343</v>
      </c>
      <c r="M1394" s="105" t="s">
        <v>655</v>
      </c>
      <c r="N1394" s="105" t="s">
        <v>656</v>
      </c>
      <c r="O1394" s="105" t="s">
        <v>656</v>
      </c>
      <c r="P1394" s="105" t="s">
        <v>339</v>
      </c>
      <c r="Q1394" s="494">
        <v>0</v>
      </c>
      <c r="R1394" s="494">
        <v>0</v>
      </c>
      <c r="S1394" s="494">
        <v>11591</v>
      </c>
      <c r="T1394" s="494">
        <v>11591</v>
      </c>
      <c r="U1394" s="494">
        <v>3397</v>
      </c>
      <c r="V1394" s="493">
        <v>2024</v>
      </c>
      <c r="W1394" s="495"/>
      <c r="X1394" s="496">
        <f t="shared" si="89"/>
        <v>3.412128348542832</v>
      </c>
      <c r="Y1394" s="497" t="str">
        <f t="shared" si="91"/>
        <v/>
      </c>
      <c r="Z1394" s="497" t="str">
        <f t="shared" si="91"/>
        <v/>
      </c>
    </row>
    <row r="1395" spans="1:26" s="82" customFormat="1" ht="32" x14ac:dyDescent="0.4">
      <c r="A1395" s="493">
        <v>59821</v>
      </c>
      <c r="B1395" s="105" t="s">
        <v>329</v>
      </c>
      <c r="C1395" s="493" t="s">
        <v>330</v>
      </c>
      <c r="D1395" s="105" t="s">
        <v>1590</v>
      </c>
      <c r="E1395" s="105" t="s">
        <v>1313</v>
      </c>
      <c r="F1395" s="493">
        <v>60281</v>
      </c>
      <c r="G1395" s="105" t="s">
        <v>33</v>
      </c>
      <c r="H1395" s="105" t="s">
        <v>342</v>
      </c>
      <c r="I1395" s="105" t="s">
        <v>334</v>
      </c>
      <c r="J1395" s="493">
        <v>22</v>
      </c>
      <c r="K1395" s="493">
        <v>2</v>
      </c>
      <c r="L1395" s="105" t="s">
        <v>343</v>
      </c>
      <c r="M1395" s="105" t="s">
        <v>655</v>
      </c>
      <c r="N1395" s="105" t="s">
        <v>656</v>
      </c>
      <c r="O1395" s="105" t="s">
        <v>656</v>
      </c>
      <c r="P1395" s="105" t="s">
        <v>339</v>
      </c>
      <c r="Q1395" s="494">
        <v>0</v>
      </c>
      <c r="R1395" s="494">
        <v>0</v>
      </c>
      <c r="S1395" s="494">
        <v>9724</v>
      </c>
      <c r="T1395" s="494">
        <v>9724</v>
      </c>
      <c r="U1395" s="494">
        <v>2850</v>
      </c>
      <c r="V1395" s="493">
        <v>2024</v>
      </c>
      <c r="W1395" s="495"/>
      <c r="X1395" s="496">
        <f t="shared" si="89"/>
        <v>3.4119298245614034</v>
      </c>
      <c r="Y1395" s="497" t="str">
        <f t="shared" si="91"/>
        <v/>
      </c>
      <c r="Z1395" s="497" t="str">
        <f t="shared" si="91"/>
        <v/>
      </c>
    </row>
    <row r="1396" spans="1:26" s="82" customFormat="1" ht="32" x14ac:dyDescent="0.4">
      <c r="A1396" s="493">
        <v>59822</v>
      </c>
      <c r="B1396" s="105" t="s">
        <v>329</v>
      </c>
      <c r="C1396" s="493" t="s">
        <v>330</v>
      </c>
      <c r="D1396" s="105" t="s">
        <v>1591</v>
      </c>
      <c r="E1396" s="105" t="s">
        <v>1313</v>
      </c>
      <c r="F1396" s="493">
        <v>60281</v>
      </c>
      <c r="G1396" s="105" t="s">
        <v>33</v>
      </c>
      <c r="H1396" s="105" t="s">
        <v>342</v>
      </c>
      <c r="I1396" s="105" t="s">
        <v>334</v>
      </c>
      <c r="J1396" s="493">
        <v>22</v>
      </c>
      <c r="K1396" s="493">
        <v>2</v>
      </c>
      <c r="L1396" s="105" t="s">
        <v>343</v>
      </c>
      <c r="M1396" s="105" t="s">
        <v>655</v>
      </c>
      <c r="N1396" s="105" t="s">
        <v>656</v>
      </c>
      <c r="O1396" s="105" t="s">
        <v>656</v>
      </c>
      <c r="P1396" s="105" t="s">
        <v>339</v>
      </c>
      <c r="Q1396" s="494">
        <v>0</v>
      </c>
      <c r="R1396" s="494">
        <v>0</v>
      </c>
      <c r="S1396" s="494">
        <v>7243</v>
      </c>
      <c r="T1396" s="494">
        <v>7243</v>
      </c>
      <c r="U1396" s="494">
        <v>2123</v>
      </c>
      <c r="V1396" s="493">
        <v>2024</v>
      </c>
      <c r="W1396" s="495"/>
      <c r="X1396" s="496">
        <f t="shared" si="89"/>
        <v>3.4116815826660387</v>
      </c>
      <c r="Y1396" s="497" t="str">
        <f t="shared" si="91"/>
        <v/>
      </c>
      <c r="Z1396" s="497" t="str">
        <f t="shared" si="91"/>
        <v/>
      </c>
    </row>
    <row r="1397" spans="1:26" s="82" customFormat="1" x14ac:dyDescent="0.4">
      <c r="A1397" s="493">
        <v>59839</v>
      </c>
      <c r="B1397" s="105" t="s">
        <v>329</v>
      </c>
      <c r="C1397" s="493" t="s">
        <v>330</v>
      </c>
      <c r="D1397" s="105" t="s">
        <v>1592</v>
      </c>
      <c r="E1397" s="105" t="s">
        <v>1448</v>
      </c>
      <c r="F1397" s="493">
        <v>61012</v>
      </c>
      <c r="G1397" s="105" t="s">
        <v>33</v>
      </c>
      <c r="H1397" s="105" t="s">
        <v>342</v>
      </c>
      <c r="I1397" s="105" t="s">
        <v>334</v>
      </c>
      <c r="J1397" s="493">
        <v>22</v>
      </c>
      <c r="K1397" s="493">
        <v>2</v>
      </c>
      <c r="L1397" s="105" t="s">
        <v>343</v>
      </c>
      <c r="M1397" s="105" t="s">
        <v>655</v>
      </c>
      <c r="N1397" s="105" t="s">
        <v>656</v>
      </c>
      <c r="O1397" s="105" t="s">
        <v>656</v>
      </c>
      <c r="P1397" s="105" t="s">
        <v>339</v>
      </c>
      <c r="Q1397" s="494">
        <v>0</v>
      </c>
      <c r="R1397" s="494">
        <v>0</v>
      </c>
      <c r="S1397" s="494">
        <v>850</v>
      </c>
      <c r="T1397" s="494">
        <v>850</v>
      </c>
      <c r="U1397" s="494">
        <v>249</v>
      </c>
      <c r="V1397" s="493">
        <v>2024</v>
      </c>
      <c r="W1397" s="495"/>
      <c r="X1397" s="496">
        <f t="shared" si="89"/>
        <v>3.4136546184738954</v>
      </c>
      <c r="Y1397" s="497" t="str">
        <f t="shared" si="91"/>
        <v/>
      </c>
      <c r="Z1397" s="497" t="str">
        <f t="shared" si="91"/>
        <v/>
      </c>
    </row>
    <row r="1398" spans="1:26" s="82" customFormat="1" x14ac:dyDescent="0.4">
      <c r="A1398" s="493">
        <v>59858</v>
      </c>
      <c r="B1398" s="105" t="s">
        <v>329</v>
      </c>
      <c r="C1398" s="493" t="s">
        <v>330</v>
      </c>
      <c r="D1398" s="105" t="s">
        <v>1593</v>
      </c>
      <c r="E1398" s="105" t="s">
        <v>1594</v>
      </c>
      <c r="F1398" s="493">
        <v>59209</v>
      </c>
      <c r="G1398" s="105" t="s">
        <v>38</v>
      </c>
      <c r="H1398" s="105" t="s">
        <v>342</v>
      </c>
      <c r="I1398" s="105" t="s">
        <v>334</v>
      </c>
      <c r="J1398" s="493">
        <v>22</v>
      </c>
      <c r="K1398" s="493">
        <v>2</v>
      </c>
      <c r="L1398" s="105" t="s">
        <v>343</v>
      </c>
      <c r="M1398" s="105" t="s">
        <v>655</v>
      </c>
      <c r="N1398" s="105" t="s">
        <v>656</v>
      </c>
      <c r="O1398" s="105" t="s">
        <v>656</v>
      </c>
      <c r="P1398" s="105" t="s">
        <v>339</v>
      </c>
      <c r="Q1398" s="494">
        <v>0</v>
      </c>
      <c r="R1398" s="494">
        <v>0</v>
      </c>
      <c r="S1398" s="494">
        <v>5776</v>
      </c>
      <c r="T1398" s="494">
        <v>5776</v>
      </c>
      <c r="U1398" s="494">
        <v>1693</v>
      </c>
      <c r="V1398" s="493">
        <v>2024</v>
      </c>
      <c r="W1398" s="495"/>
      <c r="X1398" s="496">
        <f t="shared" si="89"/>
        <v>3.4116952155936207</v>
      </c>
      <c r="Y1398" s="497" t="str">
        <f t="shared" si="91"/>
        <v/>
      </c>
      <c r="Z1398" s="497" t="str">
        <f t="shared" si="91"/>
        <v/>
      </c>
    </row>
    <row r="1399" spans="1:26" s="82" customFormat="1" x14ac:dyDescent="0.4">
      <c r="A1399" s="493">
        <v>59873</v>
      </c>
      <c r="B1399" s="105" t="s">
        <v>329</v>
      </c>
      <c r="C1399" s="493" t="s">
        <v>330</v>
      </c>
      <c r="D1399" s="105" t="s">
        <v>1595</v>
      </c>
      <c r="E1399" s="105" t="s">
        <v>1425</v>
      </c>
      <c r="F1399" s="493">
        <v>59286</v>
      </c>
      <c r="G1399" s="105" t="s">
        <v>33</v>
      </c>
      <c r="H1399" s="105" t="s">
        <v>342</v>
      </c>
      <c r="I1399" s="105" t="s">
        <v>334</v>
      </c>
      <c r="J1399" s="493">
        <v>22</v>
      </c>
      <c r="K1399" s="493">
        <v>2</v>
      </c>
      <c r="L1399" s="105" t="s">
        <v>343</v>
      </c>
      <c r="M1399" s="105" t="s">
        <v>655</v>
      </c>
      <c r="N1399" s="105" t="s">
        <v>656</v>
      </c>
      <c r="O1399" s="105" t="s">
        <v>656</v>
      </c>
      <c r="P1399" s="105" t="s">
        <v>339</v>
      </c>
      <c r="Q1399" s="494">
        <v>0</v>
      </c>
      <c r="R1399" s="494">
        <v>0</v>
      </c>
      <c r="S1399" s="494">
        <v>4644</v>
      </c>
      <c r="T1399" s="494">
        <v>4644</v>
      </c>
      <c r="U1399" s="494">
        <v>1361</v>
      </c>
      <c r="V1399" s="493">
        <v>2024</v>
      </c>
      <c r="W1399" s="495"/>
      <c r="X1399" s="496">
        <f t="shared" si="89"/>
        <v>3.4121969140337987</v>
      </c>
      <c r="Y1399" s="497" t="str">
        <f t="shared" si="91"/>
        <v/>
      </c>
      <c r="Z1399" s="497" t="str">
        <f t="shared" si="91"/>
        <v/>
      </c>
    </row>
    <row r="1400" spans="1:26" s="82" customFormat="1" x14ac:dyDescent="0.4">
      <c r="A1400" s="493">
        <v>59880</v>
      </c>
      <c r="B1400" s="105" t="s">
        <v>329</v>
      </c>
      <c r="C1400" s="493" t="s">
        <v>330</v>
      </c>
      <c r="D1400" s="105" t="s">
        <v>1596</v>
      </c>
      <c r="E1400" s="105" t="s">
        <v>1597</v>
      </c>
      <c r="F1400" s="493">
        <v>62710</v>
      </c>
      <c r="G1400" s="105" t="s">
        <v>52</v>
      </c>
      <c r="H1400" s="105" t="s">
        <v>333</v>
      </c>
      <c r="I1400" s="105" t="s">
        <v>334</v>
      </c>
      <c r="J1400" s="493">
        <v>22</v>
      </c>
      <c r="K1400" s="493">
        <v>2</v>
      </c>
      <c r="L1400" s="105" t="s">
        <v>343</v>
      </c>
      <c r="M1400" s="105" t="s">
        <v>655</v>
      </c>
      <c r="N1400" s="105" t="s">
        <v>656</v>
      </c>
      <c r="O1400" s="105" t="s">
        <v>656</v>
      </c>
      <c r="P1400" s="105" t="s">
        <v>339</v>
      </c>
      <c r="Q1400" s="494">
        <v>0</v>
      </c>
      <c r="R1400" s="494">
        <v>0</v>
      </c>
      <c r="S1400" s="494">
        <v>9135</v>
      </c>
      <c r="T1400" s="494">
        <v>9135</v>
      </c>
      <c r="U1400" s="494">
        <v>2677</v>
      </c>
      <c r="V1400" s="493">
        <v>2024</v>
      </c>
      <c r="W1400" s="495"/>
      <c r="X1400" s="496">
        <f t="shared" si="89"/>
        <v>3.4124019424729175</v>
      </c>
      <c r="Y1400" s="497" t="str">
        <f t="shared" si="91"/>
        <v/>
      </c>
      <c r="Z1400" s="497" t="str">
        <f t="shared" si="91"/>
        <v/>
      </c>
    </row>
    <row r="1401" spans="1:26" s="82" customFormat="1" x14ac:dyDescent="0.4">
      <c r="A1401" s="493">
        <v>59881</v>
      </c>
      <c r="B1401" s="105" t="s">
        <v>329</v>
      </c>
      <c r="C1401" s="493" t="s">
        <v>330</v>
      </c>
      <c r="D1401" s="105" t="s">
        <v>1598</v>
      </c>
      <c r="E1401" s="105" t="s">
        <v>1597</v>
      </c>
      <c r="F1401" s="493">
        <v>62710</v>
      </c>
      <c r="G1401" s="105" t="s">
        <v>52</v>
      </c>
      <c r="H1401" s="105" t="s">
        <v>333</v>
      </c>
      <c r="I1401" s="105" t="s">
        <v>334</v>
      </c>
      <c r="J1401" s="493">
        <v>22</v>
      </c>
      <c r="K1401" s="493">
        <v>2</v>
      </c>
      <c r="L1401" s="105" t="s">
        <v>343</v>
      </c>
      <c r="M1401" s="105" t="s">
        <v>655</v>
      </c>
      <c r="N1401" s="105" t="s">
        <v>656</v>
      </c>
      <c r="O1401" s="105" t="s">
        <v>656</v>
      </c>
      <c r="P1401" s="105" t="s">
        <v>339</v>
      </c>
      <c r="Q1401" s="494">
        <v>0</v>
      </c>
      <c r="R1401" s="494">
        <v>0</v>
      </c>
      <c r="S1401" s="494">
        <v>9135</v>
      </c>
      <c r="T1401" s="494">
        <v>9135</v>
      </c>
      <c r="U1401" s="494">
        <v>2677</v>
      </c>
      <c r="V1401" s="493">
        <v>2024</v>
      </c>
      <c r="W1401" s="495"/>
      <c r="X1401" s="496">
        <f t="shared" si="89"/>
        <v>3.4124019424729175</v>
      </c>
      <c r="Y1401" s="497" t="str">
        <f t="shared" si="91"/>
        <v/>
      </c>
      <c r="Z1401" s="497" t="str">
        <f t="shared" si="91"/>
        <v/>
      </c>
    </row>
    <row r="1402" spans="1:26" s="82" customFormat="1" x14ac:dyDescent="0.4">
      <c r="A1402" s="493">
        <v>59882</v>
      </c>
      <c r="B1402" s="105" t="s">
        <v>329</v>
      </c>
      <c r="C1402" s="493" t="s">
        <v>330</v>
      </c>
      <c r="D1402" s="105" t="s">
        <v>1599</v>
      </c>
      <c r="E1402" s="105" t="s">
        <v>429</v>
      </c>
      <c r="F1402" s="493">
        <v>6035</v>
      </c>
      <c r="G1402" s="105" t="s">
        <v>33</v>
      </c>
      <c r="H1402" s="105" t="s">
        <v>342</v>
      </c>
      <c r="I1402" s="105" t="s">
        <v>334</v>
      </c>
      <c r="J1402" s="493">
        <v>22</v>
      </c>
      <c r="K1402" s="493">
        <v>2</v>
      </c>
      <c r="L1402" s="105" t="s">
        <v>343</v>
      </c>
      <c r="M1402" s="105" t="s">
        <v>295</v>
      </c>
      <c r="N1402" s="105" t="s">
        <v>242</v>
      </c>
      <c r="O1402" s="105" t="s">
        <v>349</v>
      </c>
      <c r="P1402" s="105" t="s">
        <v>350</v>
      </c>
      <c r="Q1402" s="494">
        <v>2558</v>
      </c>
      <c r="R1402" s="494">
        <v>2558</v>
      </c>
      <c r="S1402" s="494">
        <v>14381</v>
      </c>
      <c r="T1402" s="494">
        <v>14381</v>
      </c>
      <c r="U1402" s="494">
        <v>1431.9469999999999</v>
      </c>
      <c r="V1402" s="493">
        <v>2024</v>
      </c>
      <c r="W1402" s="495" t="s">
        <v>355</v>
      </c>
      <c r="X1402" s="496">
        <f t="shared" si="89"/>
        <v>10.042969467445374</v>
      </c>
      <c r="Y1402" s="497" t="str">
        <f t="shared" si="91"/>
        <v/>
      </c>
      <c r="Z1402" s="497" t="str">
        <f t="shared" si="91"/>
        <v/>
      </c>
    </row>
    <row r="1403" spans="1:26" s="82" customFormat="1" x14ac:dyDescent="0.4">
      <c r="A1403" s="493">
        <v>59882</v>
      </c>
      <c r="B1403" s="105" t="s">
        <v>329</v>
      </c>
      <c r="C1403" s="493" t="s">
        <v>330</v>
      </c>
      <c r="D1403" s="105" t="s">
        <v>1599</v>
      </c>
      <c r="E1403" s="105" t="s">
        <v>429</v>
      </c>
      <c r="F1403" s="493">
        <v>6035</v>
      </c>
      <c r="G1403" s="105" t="s">
        <v>33</v>
      </c>
      <c r="H1403" s="105" t="s">
        <v>342</v>
      </c>
      <c r="I1403" s="105" t="s">
        <v>334</v>
      </c>
      <c r="J1403" s="493">
        <v>22</v>
      </c>
      <c r="K1403" s="493">
        <v>2</v>
      </c>
      <c r="L1403" s="105" t="s">
        <v>343</v>
      </c>
      <c r="M1403" s="105" t="s">
        <v>295</v>
      </c>
      <c r="N1403" s="105" t="s">
        <v>228</v>
      </c>
      <c r="O1403" s="105" t="s">
        <v>228</v>
      </c>
      <c r="P1403" s="105" t="s">
        <v>356</v>
      </c>
      <c r="Q1403" s="494">
        <v>1950757</v>
      </c>
      <c r="R1403" s="494">
        <v>1950757</v>
      </c>
      <c r="S1403" s="494">
        <v>2019033</v>
      </c>
      <c r="T1403" s="494">
        <v>2019033</v>
      </c>
      <c r="U1403" s="494">
        <v>199740.05</v>
      </c>
      <c r="V1403" s="493">
        <v>2024</v>
      </c>
      <c r="W1403" s="495" t="s">
        <v>355</v>
      </c>
      <c r="X1403" s="496">
        <f t="shared" si="89"/>
        <v>10.108303267171507</v>
      </c>
      <c r="Y1403" s="497" t="str">
        <f t="shared" si="91"/>
        <v/>
      </c>
      <c r="Z1403" s="497" t="str">
        <f t="shared" si="91"/>
        <v/>
      </c>
    </row>
    <row r="1404" spans="1:26" s="82" customFormat="1" ht="32" x14ac:dyDescent="0.4">
      <c r="A1404" s="493">
        <v>59927</v>
      </c>
      <c r="B1404" s="105" t="s">
        <v>329</v>
      </c>
      <c r="C1404" s="493" t="s">
        <v>330</v>
      </c>
      <c r="D1404" s="105" t="s">
        <v>1600</v>
      </c>
      <c r="E1404" s="105" t="s">
        <v>1452</v>
      </c>
      <c r="F1404" s="493">
        <v>58871</v>
      </c>
      <c r="G1404" s="105" t="s">
        <v>33</v>
      </c>
      <c r="H1404" s="105" t="s">
        <v>342</v>
      </c>
      <c r="I1404" s="105" t="s">
        <v>334</v>
      </c>
      <c r="J1404" s="493">
        <v>22</v>
      </c>
      <c r="K1404" s="493">
        <v>2</v>
      </c>
      <c r="L1404" s="105" t="s">
        <v>343</v>
      </c>
      <c r="M1404" s="105" t="s">
        <v>655</v>
      </c>
      <c r="N1404" s="105" t="s">
        <v>656</v>
      </c>
      <c r="O1404" s="105" t="s">
        <v>656</v>
      </c>
      <c r="P1404" s="105" t="s">
        <v>339</v>
      </c>
      <c r="Q1404" s="494">
        <v>0</v>
      </c>
      <c r="R1404" s="494">
        <v>0</v>
      </c>
      <c r="S1404" s="494">
        <v>24642</v>
      </c>
      <c r="T1404" s="494">
        <v>24642</v>
      </c>
      <c r="U1404" s="494">
        <v>7222</v>
      </c>
      <c r="V1404" s="493">
        <v>2024</v>
      </c>
      <c r="W1404" s="495"/>
      <c r="X1404" s="496">
        <f t="shared" si="89"/>
        <v>3.4120742176682359</v>
      </c>
      <c r="Y1404" s="497" t="str">
        <f t="shared" si="91"/>
        <v/>
      </c>
      <c r="Z1404" s="497" t="str">
        <f t="shared" si="91"/>
        <v/>
      </c>
    </row>
    <row r="1405" spans="1:26" s="82" customFormat="1" x14ac:dyDescent="0.4">
      <c r="A1405" s="493">
        <v>59953</v>
      </c>
      <c r="B1405" s="105" t="s">
        <v>329</v>
      </c>
      <c r="C1405" s="493" t="s">
        <v>330</v>
      </c>
      <c r="D1405" s="105" t="s">
        <v>1601</v>
      </c>
      <c r="E1405" s="105" t="s">
        <v>1602</v>
      </c>
      <c r="F1405" s="493">
        <v>59714</v>
      </c>
      <c r="G1405" s="105" t="s">
        <v>35</v>
      </c>
      <c r="H1405" s="105" t="s">
        <v>342</v>
      </c>
      <c r="I1405" s="105" t="s">
        <v>334</v>
      </c>
      <c r="J1405" s="493">
        <v>22</v>
      </c>
      <c r="K1405" s="493">
        <v>2</v>
      </c>
      <c r="L1405" s="105" t="s">
        <v>343</v>
      </c>
      <c r="M1405" s="105" t="s">
        <v>695</v>
      </c>
      <c r="N1405" s="105" t="s">
        <v>696</v>
      </c>
      <c r="O1405" s="105" t="s">
        <v>696</v>
      </c>
      <c r="P1405" s="105" t="s">
        <v>339</v>
      </c>
      <c r="Q1405" s="494">
        <v>0</v>
      </c>
      <c r="R1405" s="494">
        <v>0</v>
      </c>
      <c r="S1405" s="494">
        <v>242116</v>
      </c>
      <c r="T1405" s="494">
        <v>242116</v>
      </c>
      <c r="U1405" s="494">
        <v>70960</v>
      </c>
      <c r="V1405" s="493">
        <v>2024</v>
      </c>
      <c r="W1405" s="495"/>
      <c r="X1405" s="496">
        <f t="shared" si="89"/>
        <v>3.4120067643742953</v>
      </c>
      <c r="Y1405" s="497" t="str">
        <f t="shared" si="91"/>
        <v/>
      </c>
      <c r="Z1405" s="497" t="str">
        <f t="shared" si="91"/>
        <v/>
      </c>
    </row>
    <row r="1406" spans="1:26" s="82" customFormat="1" ht="32" x14ac:dyDescent="0.4">
      <c r="A1406" s="493">
        <v>59967</v>
      </c>
      <c r="B1406" s="105" t="s">
        <v>433</v>
      </c>
      <c r="C1406" s="493" t="s">
        <v>330</v>
      </c>
      <c r="D1406" s="105" t="s">
        <v>1603</v>
      </c>
      <c r="E1406" s="105" t="s">
        <v>1604</v>
      </c>
      <c r="F1406" s="493">
        <v>59724</v>
      </c>
      <c r="G1406" s="105" t="s">
        <v>37</v>
      </c>
      <c r="H1406" s="105" t="s">
        <v>342</v>
      </c>
      <c r="I1406" s="105" t="s">
        <v>334</v>
      </c>
      <c r="J1406" s="493">
        <v>311</v>
      </c>
      <c r="K1406" s="493">
        <v>7</v>
      </c>
      <c r="L1406" s="105" t="s">
        <v>727</v>
      </c>
      <c r="M1406" s="105" t="s">
        <v>990</v>
      </c>
      <c r="N1406" s="105" t="s">
        <v>228</v>
      </c>
      <c r="O1406" s="105" t="s">
        <v>228</v>
      </c>
      <c r="P1406" s="105" t="s">
        <v>356</v>
      </c>
      <c r="Q1406" s="494">
        <v>122353</v>
      </c>
      <c r="R1406" s="494">
        <v>75405</v>
      </c>
      <c r="S1406" s="494">
        <v>122353</v>
      </c>
      <c r="T1406" s="494">
        <v>75405</v>
      </c>
      <c r="U1406" s="494">
        <v>15452.76</v>
      </c>
      <c r="V1406" s="493">
        <v>2024</v>
      </c>
      <c r="W1406" s="495"/>
      <c r="X1406" s="496" t="str">
        <f t="shared" si="89"/>
        <v/>
      </c>
      <c r="Y1406" s="497" t="str">
        <f t="shared" si="91"/>
        <v/>
      </c>
      <c r="Z1406" s="497" t="str">
        <f t="shared" si="91"/>
        <v/>
      </c>
    </row>
    <row r="1407" spans="1:26" s="82" customFormat="1" x14ac:dyDescent="0.4">
      <c r="A1407" s="493">
        <v>59980</v>
      </c>
      <c r="B1407" s="105" t="s">
        <v>329</v>
      </c>
      <c r="C1407" s="493" t="s">
        <v>330</v>
      </c>
      <c r="D1407" s="105" t="s">
        <v>1605</v>
      </c>
      <c r="E1407" s="105" t="s">
        <v>1606</v>
      </c>
      <c r="F1407" s="493">
        <v>61227</v>
      </c>
      <c r="G1407" s="105" t="s">
        <v>33</v>
      </c>
      <c r="H1407" s="105" t="s">
        <v>342</v>
      </c>
      <c r="I1407" s="105" t="s">
        <v>334</v>
      </c>
      <c r="J1407" s="493">
        <v>22</v>
      </c>
      <c r="K1407" s="493">
        <v>2</v>
      </c>
      <c r="L1407" s="105" t="s">
        <v>343</v>
      </c>
      <c r="M1407" s="105" t="s">
        <v>655</v>
      </c>
      <c r="N1407" s="105" t="s">
        <v>656</v>
      </c>
      <c r="O1407" s="105" t="s">
        <v>656</v>
      </c>
      <c r="P1407" s="105" t="s">
        <v>339</v>
      </c>
      <c r="Q1407" s="494">
        <v>0</v>
      </c>
      <c r="R1407" s="494">
        <v>0</v>
      </c>
      <c r="S1407" s="494">
        <v>7766</v>
      </c>
      <c r="T1407" s="494">
        <v>7766</v>
      </c>
      <c r="U1407" s="494">
        <v>2276</v>
      </c>
      <c r="V1407" s="493">
        <v>2024</v>
      </c>
      <c r="W1407" s="495"/>
      <c r="X1407" s="496">
        <f t="shared" si="89"/>
        <v>3.4121265377855887</v>
      </c>
      <c r="Y1407" s="497" t="str">
        <f t="shared" si="91"/>
        <v/>
      </c>
      <c r="Z1407" s="497" t="str">
        <f t="shared" si="91"/>
        <v/>
      </c>
    </row>
    <row r="1408" spans="1:26" s="82" customFormat="1" x14ac:dyDescent="0.4">
      <c r="A1408" s="493">
        <v>60004</v>
      </c>
      <c r="B1408" s="105" t="s">
        <v>329</v>
      </c>
      <c r="C1408" s="493" t="s">
        <v>330</v>
      </c>
      <c r="D1408" s="105" t="s">
        <v>1607</v>
      </c>
      <c r="E1408" s="105" t="s">
        <v>1608</v>
      </c>
      <c r="F1408" s="493">
        <v>60790</v>
      </c>
      <c r="G1408" s="105" t="s">
        <v>52</v>
      </c>
      <c r="H1408" s="105" t="s">
        <v>333</v>
      </c>
      <c r="I1408" s="105" t="s">
        <v>334</v>
      </c>
      <c r="J1408" s="493">
        <v>22</v>
      </c>
      <c r="K1408" s="493">
        <v>2</v>
      </c>
      <c r="L1408" s="105" t="s">
        <v>343</v>
      </c>
      <c r="M1408" s="105" t="s">
        <v>655</v>
      </c>
      <c r="N1408" s="105" t="s">
        <v>656</v>
      </c>
      <c r="O1408" s="105" t="s">
        <v>656</v>
      </c>
      <c r="P1408" s="105" t="s">
        <v>339</v>
      </c>
      <c r="Q1408" s="494">
        <v>0</v>
      </c>
      <c r="R1408" s="494">
        <v>0</v>
      </c>
      <c r="S1408" s="494">
        <v>8467</v>
      </c>
      <c r="T1408" s="494">
        <v>8467</v>
      </c>
      <c r="U1408" s="494">
        <v>2482</v>
      </c>
      <c r="V1408" s="493">
        <v>2024</v>
      </c>
      <c r="W1408" s="495"/>
      <c r="X1408" s="496">
        <f t="shared" si="89"/>
        <v>3.4113618049959711</v>
      </c>
      <c r="Y1408" s="497" t="str">
        <f t="shared" ref="Y1408:Z1427" si="92">IF(AND($M1408=$Y$2,$N1408=$Y$3,NOT($Q1408=$R1408),NOT($U1408=0)),IF($K1408=5,$S1408/($U1408+(8/5)*$U1408),IF($K1408=7,$S1408/($U1408+(29/25)*$U1408),"")),"")</f>
        <v/>
      </c>
      <c r="Z1408" s="497" t="str">
        <f t="shared" si="92"/>
        <v/>
      </c>
    </row>
    <row r="1409" spans="1:26" s="82" customFormat="1" ht="32" x14ac:dyDescent="0.4">
      <c r="A1409" s="493">
        <v>60022</v>
      </c>
      <c r="B1409" s="105" t="s">
        <v>329</v>
      </c>
      <c r="C1409" s="493" t="s">
        <v>330</v>
      </c>
      <c r="D1409" s="105" t="s">
        <v>1609</v>
      </c>
      <c r="E1409" s="105" t="s">
        <v>1610</v>
      </c>
      <c r="F1409" s="493">
        <v>63621</v>
      </c>
      <c r="G1409" s="105" t="s">
        <v>33</v>
      </c>
      <c r="H1409" s="105" t="s">
        <v>342</v>
      </c>
      <c r="I1409" s="105" t="s">
        <v>334</v>
      </c>
      <c r="J1409" s="493">
        <v>22</v>
      </c>
      <c r="K1409" s="493">
        <v>2</v>
      </c>
      <c r="L1409" s="105" t="s">
        <v>343</v>
      </c>
      <c r="M1409" s="105" t="s">
        <v>655</v>
      </c>
      <c r="N1409" s="105" t="s">
        <v>656</v>
      </c>
      <c r="O1409" s="105" t="s">
        <v>656</v>
      </c>
      <c r="P1409" s="105" t="s">
        <v>339</v>
      </c>
      <c r="Q1409" s="494">
        <v>0</v>
      </c>
      <c r="R1409" s="494">
        <v>0</v>
      </c>
      <c r="S1409" s="494">
        <v>14247</v>
      </c>
      <c r="T1409" s="494">
        <v>14247</v>
      </c>
      <c r="U1409" s="494">
        <v>4175</v>
      </c>
      <c r="V1409" s="493">
        <v>2024</v>
      </c>
      <c r="W1409" s="495"/>
      <c r="X1409" s="496">
        <f t="shared" si="89"/>
        <v>3.4124550898203592</v>
      </c>
      <c r="Y1409" s="497" t="str">
        <f t="shared" si="92"/>
        <v/>
      </c>
      <c r="Z1409" s="497" t="str">
        <f t="shared" si="92"/>
        <v/>
      </c>
    </row>
    <row r="1410" spans="1:26" s="82" customFormat="1" x14ac:dyDescent="0.4">
      <c r="A1410" s="493">
        <v>60040</v>
      </c>
      <c r="B1410" s="105" t="s">
        <v>329</v>
      </c>
      <c r="C1410" s="493" t="s">
        <v>330</v>
      </c>
      <c r="D1410" s="105" t="s">
        <v>1611</v>
      </c>
      <c r="E1410" s="105" t="s">
        <v>1612</v>
      </c>
      <c r="F1410" s="493">
        <v>19497</v>
      </c>
      <c r="G1410" s="105" t="s">
        <v>37</v>
      </c>
      <c r="H1410" s="105" t="s">
        <v>342</v>
      </c>
      <c r="I1410" s="105" t="s">
        <v>334</v>
      </c>
      <c r="J1410" s="493">
        <v>22</v>
      </c>
      <c r="K1410" s="493">
        <v>1</v>
      </c>
      <c r="L1410" s="105" t="s">
        <v>335</v>
      </c>
      <c r="M1410" s="105" t="s">
        <v>990</v>
      </c>
      <c r="N1410" s="105" t="s">
        <v>228</v>
      </c>
      <c r="O1410" s="105" t="s">
        <v>228</v>
      </c>
      <c r="P1410" s="105" t="s">
        <v>356</v>
      </c>
      <c r="Q1410" s="494">
        <v>169533</v>
      </c>
      <c r="R1410" s="494">
        <v>169533</v>
      </c>
      <c r="S1410" s="494">
        <v>175267</v>
      </c>
      <c r="T1410" s="494">
        <v>175267</v>
      </c>
      <c r="U1410" s="494">
        <v>17319</v>
      </c>
      <c r="V1410" s="493">
        <v>2024</v>
      </c>
      <c r="W1410" s="495"/>
      <c r="X1410" s="496">
        <f t="shared" si="89"/>
        <v>10.119926092730527</v>
      </c>
      <c r="Y1410" s="497" t="str">
        <f t="shared" si="92"/>
        <v/>
      </c>
      <c r="Z1410" s="497" t="str">
        <f t="shared" si="92"/>
        <v/>
      </c>
    </row>
    <row r="1411" spans="1:26" s="82" customFormat="1" ht="32" x14ac:dyDescent="0.4">
      <c r="A1411" s="493">
        <v>60045</v>
      </c>
      <c r="B1411" s="105" t="s">
        <v>329</v>
      </c>
      <c r="C1411" s="493" t="s">
        <v>330</v>
      </c>
      <c r="D1411" s="105" t="s">
        <v>1613</v>
      </c>
      <c r="E1411" s="105" t="s">
        <v>1614</v>
      </c>
      <c r="F1411" s="493">
        <v>65411</v>
      </c>
      <c r="G1411" s="105" t="s">
        <v>52</v>
      </c>
      <c r="H1411" s="105" t="s">
        <v>333</v>
      </c>
      <c r="I1411" s="105" t="s">
        <v>334</v>
      </c>
      <c r="J1411" s="493">
        <v>22</v>
      </c>
      <c r="K1411" s="493">
        <v>2</v>
      </c>
      <c r="L1411" s="105" t="s">
        <v>343</v>
      </c>
      <c r="M1411" s="105" t="s">
        <v>655</v>
      </c>
      <c r="N1411" s="105" t="s">
        <v>656</v>
      </c>
      <c r="O1411" s="105" t="s">
        <v>656</v>
      </c>
      <c r="P1411" s="105" t="s">
        <v>339</v>
      </c>
      <c r="Q1411" s="494">
        <v>0</v>
      </c>
      <c r="R1411" s="494">
        <v>0</v>
      </c>
      <c r="S1411" s="494">
        <v>168171</v>
      </c>
      <c r="T1411" s="494">
        <v>168171</v>
      </c>
      <c r="U1411" s="494">
        <v>49288</v>
      </c>
      <c r="V1411" s="493">
        <v>2024</v>
      </c>
      <c r="W1411" s="495"/>
      <c r="X1411" s="496">
        <f t="shared" si="89"/>
        <v>3.4120069793864634</v>
      </c>
      <c r="Y1411" s="497" t="str">
        <f t="shared" si="92"/>
        <v/>
      </c>
      <c r="Z1411" s="497" t="str">
        <f t="shared" si="92"/>
        <v/>
      </c>
    </row>
    <row r="1412" spans="1:26" s="82" customFormat="1" x14ac:dyDescent="0.4">
      <c r="A1412" s="493">
        <v>60054</v>
      </c>
      <c r="B1412" s="105" t="s">
        <v>329</v>
      </c>
      <c r="C1412" s="493" t="s">
        <v>330</v>
      </c>
      <c r="D1412" s="105" t="s">
        <v>1615</v>
      </c>
      <c r="E1412" s="105" t="s">
        <v>1612</v>
      </c>
      <c r="F1412" s="493">
        <v>19497</v>
      </c>
      <c r="G1412" s="105" t="s">
        <v>37</v>
      </c>
      <c r="H1412" s="105" t="s">
        <v>342</v>
      </c>
      <c r="I1412" s="105" t="s">
        <v>334</v>
      </c>
      <c r="J1412" s="493">
        <v>22</v>
      </c>
      <c r="K1412" s="493">
        <v>1</v>
      </c>
      <c r="L1412" s="105" t="s">
        <v>335</v>
      </c>
      <c r="M1412" s="105" t="s">
        <v>990</v>
      </c>
      <c r="N1412" s="105" t="s">
        <v>228</v>
      </c>
      <c r="O1412" s="105" t="s">
        <v>228</v>
      </c>
      <c r="P1412" s="105" t="s">
        <v>356</v>
      </c>
      <c r="Q1412" s="494">
        <v>158779</v>
      </c>
      <c r="R1412" s="494">
        <v>158779</v>
      </c>
      <c r="S1412" s="494">
        <v>164152</v>
      </c>
      <c r="T1412" s="494">
        <v>164152</v>
      </c>
      <c r="U1412" s="494">
        <v>18336</v>
      </c>
      <c r="V1412" s="493">
        <v>2024</v>
      </c>
      <c r="W1412" s="495"/>
      <c r="X1412" s="496">
        <f t="shared" si="89"/>
        <v>8.9524432809773131</v>
      </c>
      <c r="Y1412" s="497" t="str">
        <f t="shared" si="92"/>
        <v/>
      </c>
      <c r="Z1412" s="497" t="str">
        <f t="shared" si="92"/>
        <v/>
      </c>
    </row>
    <row r="1413" spans="1:26" s="82" customFormat="1" x14ac:dyDescent="0.4">
      <c r="A1413" s="493">
        <v>60054</v>
      </c>
      <c r="B1413" s="105" t="s">
        <v>329</v>
      </c>
      <c r="C1413" s="493" t="s">
        <v>330</v>
      </c>
      <c r="D1413" s="105" t="s">
        <v>1615</v>
      </c>
      <c r="E1413" s="105" t="s">
        <v>1612</v>
      </c>
      <c r="F1413" s="493">
        <v>19497</v>
      </c>
      <c r="G1413" s="105" t="s">
        <v>37</v>
      </c>
      <c r="H1413" s="105" t="s">
        <v>342</v>
      </c>
      <c r="I1413" s="105" t="s">
        <v>334</v>
      </c>
      <c r="J1413" s="493">
        <v>22</v>
      </c>
      <c r="K1413" s="493">
        <v>1</v>
      </c>
      <c r="L1413" s="105" t="s">
        <v>335</v>
      </c>
      <c r="M1413" s="105" t="s">
        <v>655</v>
      </c>
      <c r="N1413" s="105" t="s">
        <v>656</v>
      </c>
      <c r="O1413" s="105" t="s">
        <v>656</v>
      </c>
      <c r="P1413" s="105" t="s">
        <v>339</v>
      </c>
      <c r="Q1413" s="494">
        <v>0</v>
      </c>
      <c r="R1413" s="494">
        <v>0</v>
      </c>
      <c r="S1413" s="494">
        <v>6731</v>
      </c>
      <c r="T1413" s="494">
        <v>6731</v>
      </c>
      <c r="U1413" s="494">
        <v>1973</v>
      </c>
      <c r="V1413" s="493">
        <v>2024</v>
      </c>
      <c r="W1413" s="495"/>
      <c r="X1413" s="496">
        <f t="shared" si="89"/>
        <v>3.4115560060821086</v>
      </c>
      <c r="Y1413" s="497" t="str">
        <f t="shared" si="92"/>
        <v/>
      </c>
      <c r="Z1413" s="497" t="str">
        <f t="shared" si="92"/>
        <v/>
      </c>
    </row>
    <row r="1414" spans="1:26" s="82" customFormat="1" x14ac:dyDescent="0.4">
      <c r="A1414" s="493">
        <v>60056</v>
      </c>
      <c r="B1414" s="105" t="s">
        <v>329</v>
      </c>
      <c r="C1414" s="493" t="s">
        <v>330</v>
      </c>
      <c r="D1414" s="105" t="s">
        <v>1616</v>
      </c>
      <c r="E1414" s="105" t="s">
        <v>1616</v>
      </c>
      <c r="F1414" s="493">
        <v>59785</v>
      </c>
      <c r="G1414" s="105" t="s">
        <v>33</v>
      </c>
      <c r="H1414" s="105" t="s">
        <v>342</v>
      </c>
      <c r="I1414" s="105" t="s">
        <v>334</v>
      </c>
      <c r="J1414" s="493">
        <v>22</v>
      </c>
      <c r="K1414" s="493">
        <v>2</v>
      </c>
      <c r="L1414" s="105" t="s">
        <v>343</v>
      </c>
      <c r="M1414" s="105" t="s">
        <v>655</v>
      </c>
      <c r="N1414" s="105" t="s">
        <v>656</v>
      </c>
      <c r="O1414" s="105" t="s">
        <v>656</v>
      </c>
      <c r="P1414" s="105" t="s">
        <v>339</v>
      </c>
      <c r="Q1414" s="494">
        <v>0</v>
      </c>
      <c r="R1414" s="494">
        <v>0</v>
      </c>
      <c r="S1414" s="494">
        <v>25214</v>
      </c>
      <c r="T1414" s="494">
        <v>25214</v>
      </c>
      <c r="U1414" s="494">
        <v>7390</v>
      </c>
      <c r="V1414" s="493">
        <v>2024</v>
      </c>
      <c r="W1414" s="495"/>
      <c r="X1414" s="496">
        <f t="shared" si="89"/>
        <v>3.4119079837618402</v>
      </c>
      <c r="Y1414" s="497" t="str">
        <f t="shared" si="92"/>
        <v/>
      </c>
      <c r="Z1414" s="497" t="str">
        <f t="shared" si="92"/>
        <v/>
      </c>
    </row>
    <row r="1415" spans="1:26" s="82" customFormat="1" ht="32" x14ac:dyDescent="0.4">
      <c r="A1415" s="493">
        <v>60065</v>
      </c>
      <c r="B1415" s="105" t="s">
        <v>329</v>
      </c>
      <c r="C1415" s="493" t="s">
        <v>330</v>
      </c>
      <c r="D1415" s="105" t="s">
        <v>1617</v>
      </c>
      <c r="E1415" s="105" t="s">
        <v>1618</v>
      </c>
      <c r="F1415" s="493">
        <v>59804</v>
      </c>
      <c r="G1415" s="105" t="s">
        <v>33</v>
      </c>
      <c r="H1415" s="105" t="s">
        <v>342</v>
      </c>
      <c r="I1415" s="105" t="s">
        <v>334</v>
      </c>
      <c r="J1415" s="493">
        <v>22</v>
      </c>
      <c r="K1415" s="493">
        <v>2</v>
      </c>
      <c r="L1415" s="105" t="s">
        <v>343</v>
      </c>
      <c r="M1415" s="105" t="s">
        <v>655</v>
      </c>
      <c r="N1415" s="105" t="s">
        <v>656</v>
      </c>
      <c r="O1415" s="105" t="s">
        <v>656</v>
      </c>
      <c r="P1415" s="105" t="s">
        <v>339</v>
      </c>
      <c r="Q1415" s="494">
        <v>0</v>
      </c>
      <c r="R1415" s="494">
        <v>0</v>
      </c>
      <c r="S1415" s="494">
        <v>26061</v>
      </c>
      <c r="T1415" s="494">
        <v>26061</v>
      </c>
      <c r="U1415" s="494">
        <v>7638</v>
      </c>
      <c r="V1415" s="493">
        <v>2024</v>
      </c>
      <c r="W1415" s="495"/>
      <c r="X1415" s="496">
        <f t="shared" si="89"/>
        <v>3.4120188531029063</v>
      </c>
      <c r="Y1415" s="497" t="str">
        <f t="shared" si="92"/>
        <v/>
      </c>
      <c r="Z1415" s="497" t="str">
        <f t="shared" si="92"/>
        <v/>
      </c>
    </row>
    <row r="1416" spans="1:26" s="82" customFormat="1" ht="32" x14ac:dyDescent="0.4">
      <c r="A1416" s="493">
        <v>60067</v>
      </c>
      <c r="B1416" s="105" t="s">
        <v>329</v>
      </c>
      <c r="C1416" s="493" t="s">
        <v>330</v>
      </c>
      <c r="D1416" s="105" t="s">
        <v>1619</v>
      </c>
      <c r="E1416" s="105" t="s">
        <v>1620</v>
      </c>
      <c r="F1416" s="493">
        <v>59805</v>
      </c>
      <c r="G1416" s="105" t="s">
        <v>33</v>
      </c>
      <c r="H1416" s="105" t="s">
        <v>342</v>
      </c>
      <c r="I1416" s="105" t="s">
        <v>334</v>
      </c>
      <c r="J1416" s="493">
        <v>22</v>
      </c>
      <c r="K1416" s="493">
        <v>2</v>
      </c>
      <c r="L1416" s="105" t="s">
        <v>343</v>
      </c>
      <c r="M1416" s="105" t="s">
        <v>655</v>
      </c>
      <c r="N1416" s="105" t="s">
        <v>656</v>
      </c>
      <c r="O1416" s="105" t="s">
        <v>656</v>
      </c>
      <c r="P1416" s="105" t="s">
        <v>339</v>
      </c>
      <c r="Q1416" s="494">
        <v>0</v>
      </c>
      <c r="R1416" s="494">
        <v>0</v>
      </c>
      <c r="S1416" s="494">
        <v>10380</v>
      </c>
      <c r="T1416" s="494">
        <v>10380</v>
      </c>
      <c r="U1416" s="494">
        <v>3043</v>
      </c>
      <c r="V1416" s="493">
        <v>2024</v>
      </c>
      <c r="W1416" s="495"/>
      <c r="X1416" s="496">
        <f t="shared" si="89"/>
        <v>3.4111074597436741</v>
      </c>
      <c r="Y1416" s="497" t="str">
        <f t="shared" si="92"/>
        <v/>
      </c>
      <c r="Z1416" s="497" t="str">
        <f t="shared" si="92"/>
        <v/>
      </c>
    </row>
    <row r="1417" spans="1:26" s="82" customFormat="1" ht="32" x14ac:dyDescent="0.4">
      <c r="A1417" s="493">
        <v>60073</v>
      </c>
      <c r="B1417" s="105" t="s">
        <v>329</v>
      </c>
      <c r="C1417" s="493" t="s">
        <v>330</v>
      </c>
      <c r="D1417" s="105" t="s">
        <v>1621</v>
      </c>
      <c r="E1417" s="105" t="s">
        <v>1622</v>
      </c>
      <c r="F1417" s="493">
        <v>59822</v>
      </c>
      <c r="G1417" s="105" t="s">
        <v>33</v>
      </c>
      <c r="H1417" s="105" t="s">
        <v>342</v>
      </c>
      <c r="I1417" s="105" t="s">
        <v>334</v>
      </c>
      <c r="J1417" s="493">
        <v>22</v>
      </c>
      <c r="K1417" s="493">
        <v>2</v>
      </c>
      <c r="L1417" s="105" t="s">
        <v>343</v>
      </c>
      <c r="M1417" s="105" t="s">
        <v>655</v>
      </c>
      <c r="N1417" s="105" t="s">
        <v>656</v>
      </c>
      <c r="O1417" s="105" t="s">
        <v>656</v>
      </c>
      <c r="P1417" s="105" t="s">
        <v>339</v>
      </c>
      <c r="Q1417" s="494">
        <v>0</v>
      </c>
      <c r="R1417" s="494">
        <v>0</v>
      </c>
      <c r="S1417" s="494">
        <v>10281</v>
      </c>
      <c r="T1417" s="494">
        <v>10281</v>
      </c>
      <c r="U1417" s="494">
        <v>3013</v>
      </c>
      <c r="V1417" s="493">
        <v>2024</v>
      </c>
      <c r="W1417" s="495"/>
      <c r="X1417" s="496">
        <f t="shared" ref="X1417:X1480" si="93">IF(OR(K1417&gt;3,T1417=0,NOT(U1417&gt;0)),"",T1417/U1417)</f>
        <v>3.4122137404580153</v>
      </c>
      <c r="Y1417" s="497" t="str">
        <f t="shared" si="92"/>
        <v/>
      </c>
      <c r="Z1417" s="497" t="str">
        <f t="shared" si="92"/>
        <v/>
      </c>
    </row>
    <row r="1418" spans="1:26" s="82" customFormat="1" ht="32" x14ac:dyDescent="0.4">
      <c r="A1418" s="493">
        <v>60074</v>
      </c>
      <c r="B1418" s="105" t="s">
        <v>329</v>
      </c>
      <c r="C1418" s="493" t="s">
        <v>330</v>
      </c>
      <c r="D1418" s="105" t="s">
        <v>1623</v>
      </c>
      <c r="E1418" s="105" t="s">
        <v>1624</v>
      </c>
      <c r="F1418" s="493">
        <v>59823</v>
      </c>
      <c r="G1418" s="105" t="s">
        <v>33</v>
      </c>
      <c r="H1418" s="105" t="s">
        <v>342</v>
      </c>
      <c r="I1418" s="105" t="s">
        <v>334</v>
      </c>
      <c r="J1418" s="493">
        <v>22</v>
      </c>
      <c r="K1418" s="493">
        <v>2</v>
      </c>
      <c r="L1418" s="105" t="s">
        <v>343</v>
      </c>
      <c r="M1418" s="105" t="s">
        <v>655</v>
      </c>
      <c r="N1418" s="105" t="s">
        <v>656</v>
      </c>
      <c r="O1418" s="105" t="s">
        <v>656</v>
      </c>
      <c r="P1418" s="105" t="s">
        <v>339</v>
      </c>
      <c r="Q1418" s="494">
        <v>0</v>
      </c>
      <c r="R1418" s="494">
        <v>0</v>
      </c>
      <c r="S1418" s="494">
        <v>11940</v>
      </c>
      <c r="T1418" s="494">
        <v>11940</v>
      </c>
      <c r="U1418" s="494">
        <v>3499</v>
      </c>
      <c r="V1418" s="493">
        <v>2024</v>
      </c>
      <c r="W1418" s="495"/>
      <c r="X1418" s="496">
        <f t="shared" si="93"/>
        <v>3.4124035438696771</v>
      </c>
      <c r="Y1418" s="497" t="str">
        <f t="shared" si="92"/>
        <v/>
      </c>
      <c r="Z1418" s="497" t="str">
        <f t="shared" si="92"/>
        <v/>
      </c>
    </row>
    <row r="1419" spans="1:26" s="82" customFormat="1" x14ac:dyDescent="0.4">
      <c r="A1419" s="493">
        <v>60075</v>
      </c>
      <c r="B1419" s="105" t="s">
        <v>329</v>
      </c>
      <c r="C1419" s="493" t="s">
        <v>330</v>
      </c>
      <c r="D1419" s="105" t="s">
        <v>1625</v>
      </c>
      <c r="E1419" s="105" t="s">
        <v>1626</v>
      </c>
      <c r="F1419" s="493">
        <v>59824</v>
      </c>
      <c r="G1419" s="105" t="s">
        <v>33</v>
      </c>
      <c r="H1419" s="105" t="s">
        <v>342</v>
      </c>
      <c r="I1419" s="105" t="s">
        <v>334</v>
      </c>
      <c r="J1419" s="493">
        <v>22</v>
      </c>
      <c r="K1419" s="493">
        <v>2</v>
      </c>
      <c r="L1419" s="105" t="s">
        <v>343</v>
      </c>
      <c r="M1419" s="105" t="s">
        <v>655</v>
      </c>
      <c r="N1419" s="105" t="s">
        <v>656</v>
      </c>
      <c r="O1419" s="105" t="s">
        <v>656</v>
      </c>
      <c r="P1419" s="105" t="s">
        <v>339</v>
      </c>
      <c r="Q1419" s="494">
        <v>0</v>
      </c>
      <c r="R1419" s="494">
        <v>0</v>
      </c>
      <c r="S1419" s="494">
        <v>26449</v>
      </c>
      <c r="T1419" s="494">
        <v>26449</v>
      </c>
      <c r="U1419" s="494">
        <v>7752</v>
      </c>
      <c r="V1419" s="493">
        <v>2024</v>
      </c>
      <c r="W1419" s="495"/>
      <c r="X1419" s="496">
        <f t="shared" si="93"/>
        <v>3.4118937048503613</v>
      </c>
      <c r="Y1419" s="497" t="str">
        <f t="shared" si="92"/>
        <v/>
      </c>
      <c r="Z1419" s="497" t="str">
        <f t="shared" si="92"/>
        <v/>
      </c>
    </row>
    <row r="1420" spans="1:26" s="82" customFormat="1" ht="32" x14ac:dyDescent="0.4">
      <c r="A1420" s="493">
        <v>60076</v>
      </c>
      <c r="B1420" s="105" t="s">
        <v>329</v>
      </c>
      <c r="C1420" s="493" t="s">
        <v>330</v>
      </c>
      <c r="D1420" s="105" t="s">
        <v>1627</v>
      </c>
      <c r="E1420" s="105" t="s">
        <v>1628</v>
      </c>
      <c r="F1420" s="493">
        <v>59826</v>
      </c>
      <c r="G1420" s="105" t="s">
        <v>33</v>
      </c>
      <c r="H1420" s="105" t="s">
        <v>342</v>
      </c>
      <c r="I1420" s="105" t="s">
        <v>334</v>
      </c>
      <c r="J1420" s="493">
        <v>22</v>
      </c>
      <c r="K1420" s="493">
        <v>2</v>
      </c>
      <c r="L1420" s="105" t="s">
        <v>343</v>
      </c>
      <c r="M1420" s="105" t="s">
        <v>655</v>
      </c>
      <c r="N1420" s="105" t="s">
        <v>656</v>
      </c>
      <c r="O1420" s="105" t="s">
        <v>656</v>
      </c>
      <c r="P1420" s="105" t="s">
        <v>339</v>
      </c>
      <c r="Q1420" s="494">
        <v>0</v>
      </c>
      <c r="R1420" s="494">
        <v>0</v>
      </c>
      <c r="S1420" s="494">
        <v>21380</v>
      </c>
      <c r="T1420" s="494">
        <v>21380</v>
      </c>
      <c r="U1420" s="494">
        <v>6266</v>
      </c>
      <c r="V1420" s="493">
        <v>2024</v>
      </c>
      <c r="W1420" s="495"/>
      <c r="X1420" s="496">
        <f t="shared" si="93"/>
        <v>3.4120651133099265</v>
      </c>
      <c r="Y1420" s="497" t="str">
        <f t="shared" si="92"/>
        <v/>
      </c>
      <c r="Z1420" s="497" t="str">
        <f t="shared" si="92"/>
        <v/>
      </c>
    </row>
    <row r="1421" spans="1:26" s="82" customFormat="1" x14ac:dyDescent="0.4">
      <c r="A1421" s="493">
        <v>60097</v>
      </c>
      <c r="B1421" s="105" t="s">
        <v>329</v>
      </c>
      <c r="C1421" s="493" t="s">
        <v>330</v>
      </c>
      <c r="D1421" s="105" t="s">
        <v>1629</v>
      </c>
      <c r="E1421" s="105" t="s">
        <v>1393</v>
      </c>
      <c r="F1421" s="493">
        <v>57313</v>
      </c>
      <c r="G1421" s="105" t="s">
        <v>52</v>
      </c>
      <c r="H1421" s="105" t="s">
        <v>333</v>
      </c>
      <c r="I1421" s="105" t="s">
        <v>334</v>
      </c>
      <c r="J1421" s="493">
        <v>22</v>
      </c>
      <c r="K1421" s="493">
        <v>2</v>
      </c>
      <c r="L1421" s="105" t="s">
        <v>343</v>
      </c>
      <c r="M1421" s="105" t="s">
        <v>655</v>
      </c>
      <c r="N1421" s="105" t="s">
        <v>656</v>
      </c>
      <c r="O1421" s="105" t="s">
        <v>656</v>
      </c>
      <c r="P1421" s="105" t="s">
        <v>339</v>
      </c>
      <c r="Q1421" s="494">
        <v>0</v>
      </c>
      <c r="R1421" s="494">
        <v>0</v>
      </c>
      <c r="S1421" s="494">
        <v>3749</v>
      </c>
      <c r="T1421" s="494">
        <v>3749</v>
      </c>
      <c r="U1421" s="494">
        <v>1099</v>
      </c>
      <c r="V1421" s="493">
        <v>2024</v>
      </c>
      <c r="W1421" s="495"/>
      <c r="X1421" s="496">
        <f t="shared" si="93"/>
        <v>3.4112829845313923</v>
      </c>
      <c r="Y1421" s="497" t="str">
        <f t="shared" si="92"/>
        <v/>
      </c>
      <c r="Z1421" s="497" t="str">
        <f t="shared" si="92"/>
        <v/>
      </c>
    </row>
    <row r="1422" spans="1:26" s="82" customFormat="1" x14ac:dyDescent="0.4">
      <c r="A1422" s="493">
        <v>60098</v>
      </c>
      <c r="B1422" s="105" t="s">
        <v>329</v>
      </c>
      <c r="C1422" s="493" t="s">
        <v>330</v>
      </c>
      <c r="D1422" s="105" t="s">
        <v>1630</v>
      </c>
      <c r="E1422" s="105" t="s">
        <v>1393</v>
      </c>
      <c r="F1422" s="493">
        <v>57313</v>
      </c>
      <c r="G1422" s="105" t="s">
        <v>52</v>
      </c>
      <c r="H1422" s="105" t="s">
        <v>333</v>
      </c>
      <c r="I1422" s="105" t="s">
        <v>334</v>
      </c>
      <c r="J1422" s="493">
        <v>22</v>
      </c>
      <c r="K1422" s="493">
        <v>2</v>
      </c>
      <c r="L1422" s="105" t="s">
        <v>343</v>
      </c>
      <c r="M1422" s="105" t="s">
        <v>655</v>
      </c>
      <c r="N1422" s="105" t="s">
        <v>656</v>
      </c>
      <c r="O1422" s="105" t="s">
        <v>656</v>
      </c>
      <c r="P1422" s="105" t="s">
        <v>339</v>
      </c>
      <c r="Q1422" s="494">
        <v>0</v>
      </c>
      <c r="R1422" s="494">
        <v>0</v>
      </c>
      <c r="S1422" s="494">
        <v>8360</v>
      </c>
      <c r="T1422" s="494">
        <v>8360</v>
      </c>
      <c r="U1422" s="494">
        <v>2450</v>
      </c>
      <c r="V1422" s="493">
        <v>2024</v>
      </c>
      <c r="W1422" s="495"/>
      <c r="X1422" s="496">
        <f t="shared" si="93"/>
        <v>3.4122448979591837</v>
      </c>
      <c r="Y1422" s="497" t="str">
        <f t="shared" si="92"/>
        <v/>
      </c>
      <c r="Z1422" s="497" t="str">
        <f t="shared" si="92"/>
        <v/>
      </c>
    </row>
    <row r="1423" spans="1:26" s="82" customFormat="1" x14ac:dyDescent="0.4">
      <c r="A1423" s="493">
        <v>60099</v>
      </c>
      <c r="B1423" s="105" t="s">
        <v>329</v>
      </c>
      <c r="C1423" s="493" t="s">
        <v>330</v>
      </c>
      <c r="D1423" s="105" t="s">
        <v>1631</v>
      </c>
      <c r="E1423" s="105" t="s">
        <v>1393</v>
      </c>
      <c r="F1423" s="493">
        <v>57313</v>
      </c>
      <c r="G1423" s="105" t="s">
        <v>33</v>
      </c>
      <c r="H1423" s="105" t="s">
        <v>342</v>
      </c>
      <c r="I1423" s="105" t="s">
        <v>334</v>
      </c>
      <c r="J1423" s="493">
        <v>22</v>
      </c>
      <c r="K1423" s="493">
        <v>2</v>
      </c>
      <c r="L1423" s="105" t="s">
        <v>343</v>
      </c>
      <c r="M1423" s="105" t="s">
        <v>655</v>
      </c>
      <c r="N1423" s="105" t="s">
        <v>656</v>
      </c>
      <c r="O1423" s="105" t="s">
        <v>656</v>
      </c>
      <c r="P1423" s="105" t="s">
        <v>339</v>
      </c>
      <c r="Q1423" s="494">
        <v>0</v>
      </c>
      <c r="R1423" s="494">
        <v>0</v>
      </c>
      <c r="S1423" s="494">
        <v>7861</v>
      </c>
      <c r="T1423" s="494">
        <v>7861</v>
      </c>
      <c r="U1423" s="494">
        <v>2304</v>
      </c>
      <c r="V1423" s="493">
        <v>2024</v>
      </c>
      <c r="W1423" s="495"/>
      <c r="X1423" s="496">
        <f t="shared" si="93"/>
        <v>3.4118923611111112</v>
      </c>
      <c r="Y1423" s="497" t="str">
        <f t="shared" si="92"/>
        <v/>
      </c>
      <c r="Z1423" s="497" t="str">
        <f t="shared" si="92"/>
        <v/>
      </c>
    </row>
    <row r="1424" spans="1:26" s="82" customFormat="1" ht="32" x14ac:dyDescent="0.4">
      <c r="A1424" s="493">
        <v>60109</v>
      </c>
      <c r="B1424" s="105" t="s">
        <v>329</v>
      </c>
      <c r="C1424" s="493" t="s">
        <v>330</v>
      </c>
      <c r="D1424" s="105" t="s">
        <v>1632</v>
      </c>
      <c r="E1424" s="105" t="s">
        <v>1633</v>
      </c>
      <c r="F1424" s="493">
        <v>59885</v>
      </c>
      <c r="G1424" s="105" t="s">
        <v>37</v>
      </c>
      <c r="H1424" s="105" t="s">
        <v>342</v>
      </c>
      <c r="I1424" s="105" t="s">
        <v>334</v>
      </c>
      <c r="J1424" s="493">
        <v>22</v>
      </c>
      <c r="K1424" s="493">
        <v>2</v>
      </c>
      <c r="L1424" s="105" t="s">
        <v>343</v>
      </c>
      <c r="M1424" s="105" t="s">
        <v>990</v>
      </c>
      <c r="N1424" s="105" t="s">
        <v>228</v>
      </c>
      <c r="O1424" s="105" t="s">
        <v>228</v>
      </c>
      <c r="P1424" s="105" t="s">
        <v>356</v>
      </c>
      <c r="Q1424" s="494">
        <v>150942</v>
      </c>
      <c r="R1424" s="494">
        <v>150942</v>
      </c>
      <c r="S1424" s="494">
        <v>156074</v>
      </c>
      <c r="T1424" s="494">
        <v>156074</v>
      </c>
      <c r="U1424" s="494">
        <v>17669</v>
      </c>
      <c r="V1424" s="493">
        <v>2024</v>
      </c>
      <c r="W1424" s="495"/>
      <c r="X1424" s="496">
        <f t="shared" si="93"/>
        <v>8.8332107080196955</v>
      </c>
      <c r="Y1424" s="497" t="str">
        <f t="shared" si="92"/>
        <v/>
      </c>
      <c r="Z1424" s="497" t="str">
        <f t="shared" si="92"/>
        <v/>
      </c>
    </row>
    <row r="1425" spans="1:26" s="82" customFormat="1" x14ac:dyDescent="0.4">
      <c r="A1425" s="493">
        <v>60110</v>
      </c>
      <c r="B1425" s="105" t="s">
        <v>329</v>
      </c>
      <c r="C1425" s="493" t="s">
        <v>330</v>
      </c>
      <c r="D1425" s="105" t="s">
        <v>1634</v>
      </c>
      <c r="E1425" s="105" t="s">
        <v>1393</v>
      </c>
      <c r="F1425" s="493">
        <v>57313</v>
      </c>
      <c r="G1425" s="105" t="s">
        <v>33</v>
      </c>
      <c r="H1425" s="105" t="s">
        <v>342</v>
      </c>
      <c r="I1425" s="105" t="s">
        <v>334</v>
      </c>
      <c r="J1425" s="493">
        <v>22</v>
      </c>
      <c r="K1425" s="493">
        <v>2</v>
      </c>
      <c r="L1425" s="105" t="s">
        <v>343</v>
      </c>
      <c r="M1425" s="105" t="s">
        <v>655</v>
      </c>
      <c r="N1425" s="105" t="s">
        <v>656</v>
      </c>
      <c r="O1425" s="105" t="s">
        <v>656</v>
      </c>
      <c r="P1425" s="105" t="s">
        <v>339</v>
      </c>
      <c r="Q1425" s="494">
        <v>0</v>
      </c>
      <c r="R1425" s="494">
        <v>0</v>
      </c>
      <c r="S1425" s="494">
        <v>11408</v>
      </c>
      <c r="T1425" s="494">
        <v>11408</v>
      </c>
      <c r="U1425" s="494">
        <v>3344</v>
      </c>
      <c r="V1425" s="493">
        <v>2024</v>
      </c>
      <c r="W1425" s="495"/>
      <c r="X1425" s="496">
        <f t="shared" si="93"/>
        <v>3.4114832535885169</v>
      </c>
      <c r="Y1425" s="497" t="str">
        <f t="shared" si="92"/>
        <v/>
      </c>
      <c r="Z1425" s="497" t="str">
        <f t="shared" si="92"/>
        <v/>
      </c>
    </row>
    <row r="1426" spans="1:26" s="82" customFormat="1" x14ac:dyDescent="0.4">
      <c r="A1426" s="493">
        <v>60111</v>
      </c>
      <c r="B1426" s="105" t="s">
        <v>329</v>
      </c>
      <c r="C1426" s="493" t="s">
        <v>330</v>
      </c>
      <c r="D1426" s="105" t="s">
        <v>1635</v>
      </c>
      <c r="E1426" s="105" t="s">
        <v>1393</v>
      </c>
      <c r="F1426" s="493">
        <v>57313</v>
      </c>
      <c r="G1426" s="105" t="s">
        <v>33</v>
      </c>
      <c r="H1426" s="105" t="s">
        <v>342</v>
      </c>
      <c r="I1426" s="105" t="s">
        <v>334</v>
      </c>
      <c r="J1426" s="493">
        <v>22</v>
      </c>
      <c r="K1426" s="493">
        <v>2</v>
      </c>
      <c r="L1426" s="105" t="s">
        <v>343</v>
      </c>
      <c r="M1426" s="105" t="s">
        <v>655</v>
      </c>
      <c r="N1426" s="105" t="s">
        <v>656</v>
      </c>
      <c r="O1426" s="105" t="s">
        <v>656</v>
      </c>
      <c r="P1426" s="105" t="s">
        <v>339</v>
      </c>
      <c r="Q1426" s="494">
        <v>0</v>
      </c>
      <c r="R1426" s="494">
        <v>0</v>
      </c>
      <c r="S1426" s="494">
        <v>10226</v>
      </c>
      <c r="T1426" s="494">
        <v>10226</v>
      </c>
      <c r="U1426" s="494">
        <v>2997</v>
      </c>
      <c r="V1426" s="493">
        <v>2024</v>
      </c>
      <c r="W1426" s="495"/>
      <c r="X1426" s="496">
        <f t="shared" si="93"/>
        <v>3.4120787454120789</v>
      </c>
      <c r="Y1426" s="497" t="str">
        <f t="shared" si="92"/>
        <v/>
      </c>
      <c r="Z1426" s="497" t="str">
        <f t="shared" si="92"/>
        <v/>
      </c>
    </row>
    <row r="1427" spans="1:26" s="82" customFormat="1" x14ac:dyDescent="0.4">
      <c r="A1427" s="493">
        <v>60114</v>
      </c>
      <c r="B1427" s="105" t="s">
        <v>329</v>
      </c>
      <c r="C1427" s="493" t="s">
        <v>330</v>
      </c>
      <c r="D1427" s="105" t="s">
        <v>1636</v>
      </c>
      <c r="E1427" s="105" t="s">
        <v>1393</v>
      </c>
      <c r="F1427" s="493">
        <v>57313</v>
      </c>
      <c r="G1427" s="105" t="s">
        <v>52</v>
      </c>
      <c r="H1427" s="105" t="s">
        <v>333</v>
      </c>
      <c r="I1427" s="105" t="s">
        <v>334</v>
      </c>
      <c r="J1427" s="493">
        <v>22</v>
      </c>
      <c r="K1427" s="493">
        <v>2</v>
      </c>
      <c r="L1427" s="105" t="s">
        <v>343</v>
      </c>
      <c r="M1427" s="105" t="s">
        <v>655</v>
      </c>
      <c r="N1427" s="105" t="s">
        <v>656</v>
      </c>
      <c r="O1427" s="105" t="s">
        <v>656</v>
      </c>
      <c r="P1427" s="105" t="s">
        <v>339</v>
      </c>
      <c r="Q1427" s="494">
        <v>0</v>
      </c>
      <c r="R1427" s="494">
        <v>0</v>
      </c>
      <c r="S1427" s="494">
        <v>6059</v>
      </c>
      <c r="T1427" s="494">
        <v>6059</v>
      </c>
      <c r="U1427" s="494">
        <v>1776</v>
      </c>
      <c r="V1427" s="493">
        <v>2024</v>
      </c>
      <c r="W1427" s="495"/>
      <c r="X1427" s="496">
        <f t="shared" si="93"/>
        <v>3.411599099099099</v>
      </c>
      <c r="Y1427" s="497" t="str">
        <f t="shared" si="92"/>
        <v/>
      </c>
      <c r="Z1427" s="497" t="str">
        <f t="shared" si="92"/>
        <v/>
      </c>
    </row>
    <row r="1428" spans="1:26" s="82" customFormat="1" x14ac:dyDescent="0.4">
      <c r="A1428" s="493">
        <v>60115</v>
      </c>
      <c r="B1428" s="105" t="s">
        <v>329</v>
      </c>
      <c r="C1428" s="493" t="s">
        <v>330</v>
      </c>
      <c r="D1428" s="105" t="s">
        <v>1637</v>
      </c>
      <c r="E1428" s="105" t="s">
        <v>1393</v>
      </c>
      <c r="F1428" s="493">
        <v>57313</v>
      </c>
      <c r="G1428" s="105" t="s">
        <v>52</v>
      </c>
      <c r="H1428" s="105" t="s">
        <v>333</v>
      </c>
      <c r="I1428" s="105" t="s">
        <v>334</v>
      </c>
      <c r="J1428" s="493">
        <v>22</v>
      </c>
      <c r="K1428" s="493">
        <v>2</v>
      </c>
      <c r="L1428" s="105" t="s">
        <v>343</v>
      </c>
      <c r="M1428" s="105" t="s">
        <v>655</v>
      </c>
      <c r="N1428" s="105" t="s">
        <v>656</v>
      </c>
      <c r="O1428" s="105" t="s">
        <v>656</v>
      </c>
      <c r="P1428" s="105" t="s">
        <v>339</v>
      </c>
      <c r="Q1428" s="494">
        <v>0</v>
      </c>
      <c r="R1428" s="494">
        <v>0</v>
      </c>
      <c r="S1428" s="494">
        <v>4965</v>
      </c>
      <c r="T1428" s="494">
        <v>4965</v>
      </c>
      <c r="U1428" s="494">
        <v>1455</v>
      </c>
      <c r="V1428" s="493">
        <v>2024</v>
      </c>
      <c r="W1428" s="495"/>
      <c r="X1428" s="496">
        <f t="shared" si="93"/>
        <v>3.4123711340206184</v>
      </c>
      <c r="Y1428" s="497" t="str">
        <f t="shared" ref="Y1428:Z1447" si="94">IF(AND($M1428=$Y$2,$N1428=$Y$3,NOT($Q1428=$R1428),NOT($U1428=0)),IF($K1428=5,$S1428/($U1428+(8/5)*$U1428),IF($K1428=7,$S1428/($U1428+(29/25)*$U1428),"")),"")</f>
        <v/>
      </c>
      <c r="Z1428" s="497" t="str">
        <f t="shared" si="94"/>
        <v/>
      </c>
    </row>
    <row r="1429" spans="1:26" s="82" customFormat="1" x14ac:dyDescent="0.4">
      <c r="A1429" s="493">
        <v>60116</v>
      </c>
      <c r="B1429" s="105" t="s">
        <v>329</v>
      </c>
      <c r="C1429" s="493" t="s">
        <v>330</v>
      </c>
      <c r="D1429" s="105" t="s">
        <v>1638</v>
      </c>
      <c r="E1429" s="105" t="s">
        <v>1393</v>
      </c>
      <c r="F1429" s="493">
        <v>57313</v>
      </c>
      <c r="G1429" s="105" t="s">
        <v>33</v>
      </c>
      <c r="H1429" s="105" t="s">
        <v>342</v>
      </c>
      <c r="I1429" s="105" t="s">
        <v>334</v>
      </c>
      <c r="J1429" s="493">
        <v>22</v>
      </c>
      <c r="K1429" s="493">
        <v>2</v>
      </c>
      <c r="L1429" s="105" t="s">
        <v>343</v>
      </c>
      <c r="M1429" s="105" t="s">
        <v>655</v>
      </c>
      <c r="N1429" s="105" t="s">
        <v>656</v>
      </c>
      <c r="O1429" s="105" t="s">
        <v>656</v>
      </c>
      <c r="P1429" s="105" t="s">
        <v>339</v>
      </c>
      <c r="Q1429" s="494">
        <v>0</v>
      </c>
      <c r="R1429" s="494">
        <v>0</v>
      </c>
      <c r="S1429" s="494">
        <v>921</v>
      </c>
      <c r="T1429" s="494">
        <v>921</v>
      </c>
      <c r="U1429" s="494">
        <v>270</v>
      </c>
      <c r="V1429" s="493">
        <v>2024</v>
      </c>
      <c r="W1429" s="495"/>
      <c r="X1429" s="496">
        <f t="shared" si="93"/>
        <v>3.411111111111111</v>
      </c>
      <c r="Y1429" s="497" t="str">
        <f t="shared" si="94"/>
        <v/>
      </c>
      <c r="Z1429" s="497" t="str">
        <f t="shared" si="94"/>
        <v/>
      </c>
    </row>
    <row r="1430" spans="1:26" s="82" customFormat="1" x14ac:dyDescent="0.4">
      <c r="A1430" s="493">
        <v>60150</v>
      </c>
      <c r="B1430" s="105" t="s">
        <v>329</v>
      </c>
      <c r="C1430" s="493" t="s">
        <v>330</v>
      </c>
      <c r="D1430" s="105" t="s">
        <v>1639</v>
      </c>
      <c r="E1430" s="105" t="s">
        <v>1640</v>
      </c>
      <c r="F1430" s="493">
        <v>59942</v>
      </c>
      <c r="G1430" s="105" t="s">
        <v>52</v>
      </c>
      <c r="H1430" s="105" t="s">
        <v>333</v>
      </c>
      <c r="I1430" s="105" t="s">
        <v>334</v>
      </c>
      <c r="J1430" s="493">
        <v>22</v>
      </c>
      <c r="K1430" s="493">
        <v>2</v>
      </c>
      <c r="L1430" s="105" t="s">
        <v>343</v>
      </c>
      <c r="M1430" s="105" t="s">
        <v>655</v>
      </c>
      <c r="N1430" s="105" t="s">
        <v>656</v>
      </c>
      <c r="O1430" s="105" t="s">
        <v>656</v>
      </c>
      <c r="P1430" s="105" t="s">
        <v>339</v>
      </c>
      <c r="Q1430" s="494">
        <v>0</v>
      </c>
      <c r="R1430" s="494">
        <v>0</v>
      </c>
      <c r="S1430" s="494">
        <v>10819</v>
      </c>
      <c r="T1430" s="494">
        <v>10819</v>
      </c>
      <c r="U1430" s="494">
        <v>3171</v>
      </c>
      <c r="V1430" s="493">
        <v>2024</v>
      </c>
      <c r="W1430" s="495"/>
      <c r="X1430" s="496">
        <f t="shared" si="93"/>
        <v>3.4118574582150742</v>
      </c>
      <c r="Y1430" s="497" t="str">
        <f t="shared" si="94"/>
        <v/>
      </c>
      <c r="Z1430" s="497" t="str">
        <f t="shared" si="94"/>
        <v/>
      </c>
    </row>
    <row r="1431" spans="1:26" s="82" customFormat="1" x14ac:dyDescent="0.4">
      <c r="A1431" s="493">
        <v>60225</v>
      </c>
      <c r="B1431" s="105" t="s">
        <v>329</v>
      </c>
      <c r="C1431" s="493" t="s">
        <v>330</v>
      </c>
      <c r="D1431" s="105" t="s">
        <v>1641</v>
      </c>
      <c r="E1431" s="105" t="s">
        <v>1393</v>
      </c>
      <c r="F1431" s="493">
        <v>57313</v>
      </c>
      <c r="G1431" s="105" t="s">
        <v>37</v>
      </c>
      <c r="H1431" s="105" t="s">
        <v>342</v>
      </c>
      <c r="I1431" s="105" t="s">
        <v>334</v>
      </c>
      <c r="J1431" s="493">
        <v>22</v>
      </c>
      <c r="K1431" s="493">
        <v>2</v>
      </c>
      <c r="L1431" s="105" t="s">
        <v>343</v>
      </c>
      <c r="M1431" s="105" t="s">
        <v>655</v>
      </c>
      <c r="N1431" s="105" t="s">
        <v>656</v>
      </c>
      <c r="O1431" s="105" t="s">
        <v>656</v>
      </c>
      <c r="P1431" s="105" t="s">
        <v>339</v>
      </c>
      <c r="Q1431" s="494">
        <v>0</v>
      </c>
      <c r="R1431" s="494">
        <v>0</v>
      </c>
      <c r="S1431" s="494">
        <v>10345</v>
      </c>
      <c r="T1431" s="494">
        <v>10345</v>
      </c>
      <c r="U1431" s="494">
        <v>3032</v>
      </c>
      <c r="V1431" s="493">
        <v>2024</v>
      </c>
      <c r="W1431" s="495"/>
      <c r="X1431" s="496">
        <f t="shared" si="93"/>
        <v>3.4119393139841687</v>
      </c>
      <c r="Y1431" s="497" t="str">
        <f t="shared" si="94"/>
        <v/>
      </c>
      <c r="Z1431" s="497" t="str">
        <f t="shared" si="94"/>
        <v/>
      </c>
    </row>
    <row r="1432" spans="1:26" s="82" customFormat="1" x14ac:dyDescent="0.4">
      <c r="A1432" s="493">
        <v>60228</v>
      </c>
      <c r="B1432" s="105" t="s">
        <v>329</v>
      </c>
      <c r="C1432" s="493" t="s">
        <v>330</v>
      </c>
      <c r="D1432" s="105" t="s">
        <v>1642</v>
      </c>
      <c r="E1432" s="105" t="s">
        <v>1393</v>
      </c>
      <c r="F1432" s="493">
        <v>57313</v>
      </c>
      <c r="G1432" s="105" t="s">
        <v>37</v>
      </c>
      <c r="H1432" s="105" t="s">
        <v>342</v>
      </c>
      <c r="I1432" s="105" t="s">
        <v>334</v>
      </c>
      <c r="J1432" s="493">
        <v>22</v>
      </c>
      <c r="K1432" s="493">
        <v>2</v>
      </c>
      <c r="L1432" s="105" t="s">
        <v>343</v>
      </c>
      <c r="M1432" s="105" t="s">
        <v>655</v>
      </c>
      <c r="N1432" s="105" t="s">
        <v>656</v>
      </c>
      <c r="O1432" s="105" t="s">
        <v>656</v>
      </c>
      <c r="P1432" s="105" t="s">
        <v>339</v>
      </c>
      <c r="Q1432" s="494">
        <v>0</v>
      </c>
      <c r="R1432" s="494">
        <v>0</v>
      </c>
      <c r="S1432" s="494">
        <v>3898</v>
      </c>
      <c r="T1432" s="494">
        <v>3898</v>
      </c>
      <c r="U1432" s="494">
        <v>1142</v>
      </c>
      <c r="V1432" s="493">
        <v>2024</v>
      </c>
      <c r="W1432" s="495"/>
      <c r="X1432" s="496">
        <f t="shared" si="93"/>
        <v>3.4133099824868651</v>
      </c>
      <c r="Y1432" s="497" t="str">
        <f t="shared" si="94"/>
        <v/>
      </c>
      <c r="Z1432" s="497" t="str">
        <f t="shared" si="94"/>
        <v/>
      </c>
    </row>
    <row r="1433" spans="1:26" s="82" customFormat="1" x14ac:dyDescent="0.4">
      <c r="A1433" s="493">
        <v>60229</v>
      </c>
      <c r="B1433" s="105" t="s">
        <v>329</v>
      </c>
      <c r="C1433" s="493" t="s">
        <v>330</v>
      </c>
      <c r="D1433" s="105" t="s">
        <v>1643</v>
      </c>
      <c r="E1433" s="105" t="s">
        <v>1393</v>
      </c>
      <c r="F1433" s="493">
        <v>57313</v>
      </c>
      <c r="G1433" s="105" t="s">
        <v>52</v>
      </c>
      <c r="H1433" s="105" t="s">
        <v>333</v>
      </c>
      <c r="I1433" s="105" t="s">
        <v>334</v>
      </c>
      <c r="J1433" s="493">
        <v>22</v>
      </c>
      <c r="K1433" s="493">
        <v>2</v>
      </c>
      <c r="L1433" s="105" t="s">
        <v>343</v>
      </c>
      <c r="M1433" s="105" t="s">
        <v>655</v>
      </c>
      <c r="N1433" s="105" t="s">
        <v>656</v>
      </c>
      <c r="O1433" s="105" t="s">
        <v>656</v>
      </c>
      <c r="P1433" s="105" t="s">
        <v>339</v>
      </c>
      <c r="Q1433" s="494">
        <v>0</v>
      </c>
      <c r="R1433" s="494">
        <v>0</v>
      </c>
      <c r="S1433" s="494">
        <v>8384</v>
      </c>
      <c r="T1433" s="494">
        <v>8384</v>
      </c>
      <c r="U1433" s="494">
        <v>2457</v>
      </c>
      <c r="V1433" s="493">
        <v>2024</v>
      </c>
      <c r="W1433" s="495"/>
      <c r="X1433" s="496">
        <f t="shared" si="93"/>
        <v>3.4122914122914123</v>
      </c>
      <c r="Y1433" s="497" t="str">
        <f t="shared" si="94"/>
        <v/>
      </c>
      <c r="Z1433" s="497" t="str">
        <f t="shared" si="94"/>
        <v/>
      </c>
    </row>
    <row r="1434" spans="1:26" s="82" customFormat="1" x14ac:dyDescent="0.4">
      <c r="A1434" s="493">
        <v>60232</v>
      </c>
      <c r="B1434" s="105" t="s">
        <v>329</v>
      </c>
      <c r="C1434" s="493" t="s">
        <v>330</v>
      </c>
      <c r="D1434" s="105" t="s">
        <v>1644</v>
      </c>
      <c r="E1434" s="105" t="s">
        <v>1393</v>
      </c>
      <c r="F1434" s="493">
        <v>57313</v>
      </c>
      <c r="G1434" s="105" t="s">
        <v>52</v>
      </c>
      <c r="H1434" s="105" t="s">
        <v>333</v>
      </c>
      <c r="I1434" s="105" t="s">
        <v>334</v>
      </c>
      <c r="J1434" s="493">
        <v>22</v>
      </c>
      <c r="K1434" s="493">
        <v>2</v>
      </c>
      <c r="L1434" s="105" t="s">
        <v>343</v>
      </c>
      <c r="M1434" s="105" t="s">
        <v>655</v>
      </c>
      <c r="N1434" s="105" t="s">
        <v>656</v>
      </c>
      <c r="O1434" s="105" t="s">
        <v>656</v>
      </c>
      <c r="P1434" s="105" t="s">
        <v>339</v>
      </c>
      <c r="Q1434" s="494">
        <v>0</v>
      </c>
      <c r="R1434" s="494">
        <v>0</v>
      </c>
      <c r="S1434" s="494">
        <v>6381</v>
      </c>
      <c r="T1434" s="494">
        <v>6381</v>
      </c>
      <c r="U1434" s="494">
        <v>1870</v>
      </c>
      <c r="V1434" s="493">
        <v>2024</v>
      </c>
      <c r="W1434" s="495"/>
      <c r="X1434" s="496">
        <f t="shared" si="93"/>
        <v>3.4122994652406415</v>
      </c>
      <c r="Y1434" s="497" t="str">
        <f t="shared" si="94"/>
        <v/>
      </c>
      <c r="Z1434" s="497" t="str">
        <f t="shared" si="94"/>
        <v/>
      </c>
    </row>
    <row r="1435" spans="1:26" s="82" customFormat="1" ht="32" x14ac:dyDescent="0.4">
      <c r="A1435" s="493">
        <v>60274</v>
      </c>
      <c r="B1435" s="105" t="s">
        <v>329</v>
      </c>
      <c r="C1435" s="493" t="s">
        <v>330</v>
      </c>
      <c r="D1435" s="105" t="s">
        <v>1645</v>
      </c>
      <c r="E1435" s="105" t="s">
        <v>1243</v>
      </c>
      <c r="F1435" s="493">
        <v>56769</v>
      </c>
      <c r="G1435" s="105" t="s">
        <v>33</v>
      </c>
      <c r="H1435" s="105" t="s">
        <v>342</v>
      </c>
      <c r="I1435" s="105" t="s">
        <v>334</v>
      </c>
      <c r="J1435" s="493">
        <v>22</v>
      </c>
      <c r="K1435" s="493">
        <v>2</v>
      </c>
      <c r="L1435" s="105" t="s">
        <v>343</v>
      </c>
      <c r="M1435" s="105" t="s">
        <v>655</v>
      </c>
      <c r="N1435" s="105" t="s">
        <v>656</v>
      </c>
      <c r="O1435" s="105" t="s">
        <v>656</v>
      </c>
      <c r="P1435" s="105" t="s">
        <v>339</v>
      </c>
      <c r="Q1435" s="494">
        <v>0</v>
      </c>
      <c r="R1435" s="494">
        <v>0</v>
      </c>
      <c r="S1435" s="494">
        <v>10894</v>
      </c>
      <c r="T1435" s="494">
        <v>10894</v>
      </c>
      <c r="U1435" s="494">
        <v>3193</v>
      </c>
      <c r="V1435" s="493">
        <v>2024</v>
      </c>
      <c r="W1435" s="495"/>
      <c r="X1435" s="496">
        <f t="shared" si="93"/>
        <v>3.4118383964923269</v>
      </c>
      <c r="Y1435" s="497" t="str">
        <f t="shared" si="94"/>
        <v/>
      </c>
      <c r="Z1435" s="497" t="str">
        <f t="shared" si="94"/>
        <v/>
      </c>
    </row>
    <row r="1436" spans="1:26" s="82" customFormat="1" ht="32" x14ac:dyDescent="0.4">
      <c r="A1436" s="493">
        <v>60276</v>
      </c>
      <c r="B1436" s="105" t="s">
        <v>433</v>
      </c>
      <c r="C1436" s="493" t="s">
        <v>330</v>
      </c>
      <c r="D1436" s="105" t="s">
        <v>1646</v>
      </c>
      <c r="E1436" s="105" t="s">
        <v>1647</v>
      </c>
      <c r="F1436" s="493">
        <v>60058</v>
      </c>
      <c r="G1436" s="105" t="s">
        <v>33</v>
      </c>
      <c r="H1436" s="105" t="s">
        <v>342</v>
      </c>
      <c r="I1436" s="105" t="s">
        <v>334</v>
      </c>
      <c r="J1436" s="493">
        <v>322</v>
      </c>
      <c r="K1436" s="493">
        <v>7</v>
      </c>
      <c r="L1436" s="105" t="s">
        <v>727</v>
      </c>
      <c r="M1436" s="105" t="s">
        <v>295</v>
      </c>
      <c r="N1436" s="105" t="s">
        <v>228</v>
      </c>
      <c r="O1436" s="105" t="s">
        <v>228</v>
      </c>
      <c r="P1436" s="105" t="s">
        <v>356</v>
      </c>
      <c r="Q1436" s="494">
        <v>330780</v>
      </c>
      <c r="R1436" s="494">
        <v>105790</v>
      </c>
      <c r="S1436" s="494">
        <v>340703</v>
      </c>
      <c r="T1436" s="494">
        <v>108965</v>
      </c>
      <c r="U1436" s="494">
        <v>21969</v>
      </c>
      <c r="V1436" s="493">
        <v>2024</v>
      </c>
      <c r="W1436" s="495"/>
      <c r="X1436" s="496" t="str">
        <f t="shared" si="93"/>
        <v/>
      </c>
      <c r="Y1436" s="497">
        <f t="shared" si="94"/>
        <v>7.1797929068401105</v>
      </c>
      <c r="Z1436" s="497">
        <f t="shared" si="94"/>
        <v>7.1797929068401105</v>
      </c>
    </row>
    <row r="1437" spans="1:26" s="82" customFormat="1" x14ac:dyDescent="0.4">
      <c r="A1437" s="493">
        <v>60278</v>
      </c>
      <c r="B1437" s="105" t="s">
        <v>329</v>
      </c>
      <c r="C1437" s="493" t="s">
        <v>330</v>
      </c>
      <c r="D1437" s="105" t="s">
        <v>1648</v>
      </c>
      <c r="E1437" s="105" t="s">
        <v>1448</v>
      </c>
      <c r="F1437" s="493">
        <v>61012</v>
      </c>
      <c r="G1437" s="105" t="s">
        <v>33</v>
      </c>
      <c r="H1437" s="105" t="s">
        <v>342</v>
      </c>
      <c r="I1437" s="105" t="s">
        <v>334</v>
      </c>
      <c r="J1437" s="493">
        <v>22</v>
      </c>
      <c r="K1437" s="493">
        <v>2</v>
      </c>
      <c r="L1437" s="105" t="s">
        <v>343</v>
      </c>
      <c r="M1437" s="105" t="s">
        <v>655</v>
      </c>
      <c r="N1437" s="105" t="s">
        <v>656</v>
      </c>
      <c r="O1437" s="105" t="s">
        <v>656</v>
      </c>
      <c r="P1437" s="105" t="s">
        <v>339</v>
      </c>
      <c r="Q1437" s="494">
        <v>0</v>
      </c>
      <c r="R1437" s="494">
        <v>0</v>
      </c>
      <c r="S1437" s="494">
        <v>8471</v>
      </c>
      <c r="T1437" s="494">
        <v>8471</v>
      </c>
      <c r="U1437" s="494">
        <v>2483</v>
      </c>
      <c r="V1437" s="493">
        <v>2024</v>
      </c>
      <c r="W1437" s="495"/>
      <c r="X1437" s="496">
        <f t="shared" si="93"/>
        <v>3.4115988723318567</v>
      </c>
      <c r="Y1437" s="497" t="str">
        <f t="shared" si="94"/>
        <v/>
      </c>
      <c r="Z1437" s="497" t="str">
        <f t="shared" si="94"/>
        <v/>
      </c>
    </row>
    <row r="1438" spans="1:26" s="82" customFormat="1" x14ac:dyDescent="0.4">
      <c r="A1438" s="493">
        <v>60344</v>
      </c>
      <c r="B1438" s="105" t="s">
        <v>329</v>
      </c>
      <c r="C1438" s="493" t="s">
        <v>330</v>
      </c>
      <c r="D1438" s="105" t="s">
        <v>1649</v>
      </c>
      <c r="E1438" s="105" t="s">
        <v>1650</v>
      </c>
      <c r="F1438" s="493">
        <v>58135</v>
      </c>
      <c r="G1438" s="105" t="s">
        <v>36</v>
      </c>
      <c r="H1438" s="105" t="s">
        <v>342</v>
      </c>
      <c r="I1438" s="105" t="s">
        <v>334</v>
      </c>
      <c r="J1438" s="493">
        <v>22</v>
      </c>
      <c r="K1438" s="493">
        <v>2</v>
      </c>
      <c r="L1438" s="105" t="s">
        <v>343</v>
      </c>
      <c r="M1438" s="105" t="s">
        <v>655</v>
      </c>
      <c r="N1438" s="105" t="s">
        <v>656</v>
      </c>
      <c r="O1438" s="105" t="s">
        <v>656</v>
      </c>
      <c r="P1438" s="105" t="s">
        <v>339</v>
      </c>
      <c r="Q1438" s="494">
        <v>0</v>
      </c>
      <c r="R1438" s="494">
        <v>0</v>
      </c>
      <c r="S1438" s="494">
        <v>6103</v>
      </c>
      <c r="T1438" s="494">
        <v>6103</v>
      </c>
      <c r="U1438" s="494">
        <v>1789</v>
      </c>
      <c r="V1438" s="493">
        <v>2024</v>
      </c>
      <c r="W1438" s="495"/>
      <c r="X1438" s="496">
        <f t="shared" si="93"/>
        <v>3.4114030184460593</v>
      </c>
      <c r="Y1438" s="497" t="str">
        <f t="shared" si="94"/>
        <v/>
      </c>
      <c r="Z1438" s="497" t="str">
        <f t="shared" si="94"/>
        <v/>
      </c>
    </row>
    <row r="1439" spans="1:26" s="82" customFormat="1" ht="32" x14ac:dyDescent="0.4">
      <c r="A1439" s="493">
        <v>60365</v>
      </c>
      <c r="B1439" s="105" t="s">
        <v>329</v>
      </c>
      <c r="C1439" s="493" t="s">
        <v>330</v>
      </c>
      <c r="D1439" s="105" t="s">
        <v>1651</v>
      </c>
      <c r="E1439" s="105" t="s">
        <v>1652</v>
      </c>
      <c r="F1439" s="493">
        <v>60800</v>
      </c>
      <c r="G1439" s="105" t="s">
        <v>52</v>
      </c>
      <c r="H1439" s="105" t="s">
        <v>333</v>
      </c>
      <c r="I1439" s="105" t="s">
        <v>334</v>
      </c>
      <c r="J1439" s="493">
        <v>22</v>
      </c>
      <c r="K1439" s="493">
        <v>2</v>
      </c>
      <c r="L1439" s="105" t="s">
        <v>343</v>
      </c>
      <c r="M1439" s="105" t="s">
        <v>655</v>
      </c>
      <c r="N1439" s="105" t="s">
        <v>656</v>
      </c>
      <c r="O1439" s="105" t="s">
        <v>656</v>
      </c>
      <c r="P1439" s="105" t="s">
        <v>339</v>
      </c>
      <c r="Q1439" s="494">
        <v>0</v>
      </c>
      <c r="R1439" s="494">
        <v>0</v>
      </c>
      <c r="S1439" s="494">
        <v>6835</v>
      </c>
      <c r="T1439" s="494">
        <v>6835</v>
      </c>
      <c r="U1439" s="494">
        <v>2003</v>
      </c>
      <c r="V1439" s="493">
        <v>2024</v>
      </c>
      <c r="W1439" s="495"/>
      <c r="X1439" s="496">
        <f t="shared" si="93"/>
        <v>3.4123814278582127</v>
      </c>
      <c r="Y1439" s="497" t="str">
        <f t="shared" si="94"/>
        <v/>
      </c>
      <c r="Z1439" s="497" t="str">
        <f t="shared" si="94"/>
        <v/>
      </c>
    </row>
    <row r="1440" spans="1:26" s="82" customFormat="1" x14ac:dyDescent="0.4">
      <c r="A1440" s="493">
        <v>60391</v>
      </c>
      <c r="B1440" s="105" t="s">
        <v>329</v>
      </c>
      <c r="C1440" s="493" t="s">
        <v>330</v>
      </c>
      <c r="D1440" s="105" t="s">
        <v>1653</v>
      </c>
      <c r="E1440" s="105" t="s">
        <v>1654</v>
      </c>
      <c r="F1440" s="493">
        <v>60189</v>
      </c>
      <c r="G1440" s="105" t="s">
        <v>33</v>
      </c>
      <c r="H1440" s="105" t="s">
        <v>342</v>
      </c>
      <c r="I1440" s="105" t="s">
        <v>334</v>
      </c>
      <c r="J1440" s="493">
        <v>22</v>
      </c>
      <c r="K1440" s="493">
        <v>2</v>
      </c>
      <c r="L1440" s="105" t="s">
        <v>343</v>
      </c>
      <c r="M1440" s="105" t="s">
        <v>655</v>
      </c>
      <c r="N1440" s="105" t="s">
        <v>656</v>
      </c>
      <c r="O1440" s="105" t="s">
        <v>656</v>
      </c>
      <c r="P1440" s="105" t="s">
        <v>339</v>
      </c>
      <c r="Q1440" s="494">
        <v>0</v>
      </c>
      <c r="R1440" s="494">
        <v>0</v>
      </c>
      <c r="S1440" s="494">
        <v>93024</v>
      </c>
      <c r="T1440" s="494">
        <v>93024</v>
      </c>
      <c r="U1440" s="494">
        <v>27264</v>
      </c>
      <c r="V1440" s="493">
        <v>2024</v>
      </c>
      <c r="W1440" s="495"/>
      <c r="X1440" s="496">
        <f t="shared" si="93"/>
        <v>3.4119718309859155</v>
      </c>
      <c r="Y1440" s="497" t="str">
        <f t="shared" si="94"/>
        <v/>
      </c>
      <c r="Z1440" s="497" t="str">
        <f t="shared" si="94"/>
        <v/>
      </c>
    </row>
    <row r="1441" spans="1:26" s="82" customFormat="1" x14ac:dyDescent="0.4">
      <c r="A1441" s="493">
        <v>60392</v>
      </c>
      <c r="B1441" s="105" t="s">
        <v>433</v>
      </c>
      <c r="C1441" s="493" t="s">
        <v>330</v>
      </c>
      <c r="D1441" s="105" t="s">
        <v>1655</v>
      </c>
      <c r="E1441" s="105" t="s">
        <v>1656</v>
      </c>
      <c r="F1441" s="493">
        <v>62093</v>
      </c>
      <c r="G1441" s="105" t="s">
        <v>37</v>
      </c>
      <c r="H1441" s="105" t="s">
        <v>342</v>
      </c>
      <c r="I1441" s="105" t="s">
        <v>334</v>
      </c>
      <c r="J1441" s="493">
        <v>22</v>
      </c>
      <c r="K1441" s="493">
        <v>3</v>
      </c>
      <c r="L1441" s="105" t="s">
        <v>436</v>
      </c>
      <c r="M1441" s="105" t="s">
        <v>990</v>
      </c>
      <c r="N1441" s="105" t="s">
        <v>228</v>
      </c>
      <c r="O1441" s="105" t="s">
        <v>228</v>
      </c>
      <c r="P1441" s="105" t="s">
        <v>356</v>
      </c>
      <c r="Q1441" s="494">
        <v>262812</v>
      </c>
      <c r="R1441" s="494">
        <v>262812</v>
      </c>
      <c r="S1441" s="494">
        <v>241523</v>
      </c>
      <c r="T1441" s="494">
        <v>241523</v>
      </c>
      <c r="U1441" s="494">
        <v>30112</v>
      </c>
      <c r="V1441" s="493">
        <v>2024</v>
      </c>
      <c r="W1441" s="495"/>
      <c r="X1441" s="496">
        <f t="shared" si="93"/>
        <v>8.020822263549416</v>
      </c>
      <c r="Y1441" s="497" t="str">
        <f t="shared" si="94"/>
        <v/>
      </c>
      <c r="Z1441" s="497" t="str">
        <f t="shared" si="94"/>
        <v/>
      </c>
    </row>
    <row r="1442" spans="1:26" s="82" customFormat="1" x14ac:dyDescent="0.4">
      <c r="A1442" s="493">
        <v>60404</v>
      </c>
      <c r="B1442" s="105" t="s">
        <v>329</v>
      </c>
      <c r="C1442" s="493" t="s">
        <v>330</v>
      </c>
      <c r="D1442" s="105" t="s">
        <v>1657</v>
      </c>
      <c r="E1442" s="105" t="s">
        <v>1658</v>
      </c>
      <c r="F1442" s="493">
        <v>60207</v>
      </c>
      <c r="G1442" s="105" t="s">
        <v>34</v>
      </c>
      <c r="H1442" s="105" t="s">
        <v>342</v>
      </c>
      <c r="I1442" s="105" t="s">
        <v>334</v>
      </c>
      <c r="J1442" s="493">
        <v>22</v>
      </c>
      <c r="K1442" s="493">
        <v>2</v>
      </c>
      <c r="L1442" s="105" t="s">
        <v>343</v>
      </c>
      <c r="M1442" s="105" t="s">
        <v>695</v>
      </c>
      <c r="N1442" s="105" t="s">
        <v>696</v>
      </c>
      <c r="O1442" s="105" t="s">
        <v>696</v>
      </c>
      <c r="P1442" s="105" t="s">
        <v>339</v>
      </c>
      <c r="Q1442" s="494">
        <v>0</v>
      </c>
      <c r="R1442" s="494">
        <v>0</v>
      </c>
      <c r="S1442" s="494">
        <v>86198</v>
      </c>
      <c r="T1442" s="494">
        <v>86198</v>
      </c>
      <c r="U1442" s="494">
        <v>25263</v>
      </c>
      <c r="V1442" s="493">
        <v>2024</v>
      </c>
      <c r="W1442" s="495"/>
      <c r="X1442" s="496">
        <f t="shared" si="93"/>
        <v>3.4120254918259905</v>
      </c>
      <c r="Y1442" s="497" t="str">
        <f t="shared" si="94"/>
        <v/>
      </c>
      <c r="Z1442" s="497" t="str">
        <f t="shared" si="94"/>
        <v/>
      </c>
    </row>
    <row r="1443" spans="1:26" s="82" customFormat="1" ht="32" x14ac:dyDescent="0.4">
      <c r="A1443" s="493">
        <v>60411</v>
      </c>
      <c r="B1443" s="105" t="s">
        <v>329</v>
      </c>
      <c r="C1443" s="493" t="s">
        <v>330</v>
      </c>
      <c r="D1443" s="105" t="s">
        <v>1659</v>
      </c>
      <c r="E1443" s="105" t="s">
        <v>1659</v>
      </c>
      <c r="F1443" s="493">
        <v>60801</v>
      </c>
      <c r="G1443" s="105" t="s">
        <v>36</v>
      </c>
      <c r="H1443" s="105" t="s">
        <v>342</v>
      </c>
      <c r="I1443" s="105" t="s">
        <v>334</v>
      </c>
      <c r="J1443" s="493">
        <v>22</v>
      </c>
      <c r="K1443" s="493">
        <v>2</v>
      </c>
      <c r="L1443" s="105" t="s">
        <v>343</v>
      </c>
      <c r="M1443" s="105" t="s">
        <v>655</v>
      </c>
      <c r="N1443" s="105" t="s">
        <v>656</v>
      </c>
      <c r="O1443" s="105" t="s">
        <v>656</v>
      </c>
      <c r="P1443" s="105" t="s">
        <v>339</v>
      </c>
      <c r="Q1443" s="494">
        <v>0</v>
      </c>
      <c r="R1443" s="494">
        <v>0</v>
      </c>
      <c r="S1443" s="494">
        <v>7646</v>
      </c>
      <c r="T1443" s="494">
        <v>7646</v>
      </c>
      <c r="U1443" s="494">
        <v>2241</v>
      </c>
      <c r="V1443" s="493">
        <v>2024</v>
      </c>
      <c r="W1443" s="495"/>
      <c r="X1443" s="496">
        <f t="shared" si="93"/>
        <v>3.4118697010263275</v>
      </c>
      <c r="Y1443" s="497" t="str">
        <f t="shared" si="94"/>
        <v/>
      </c>
      <c r="Z1443" s="497" t="str">
        <f t="shared" si="94"/>
        <v/>
      </c>
    </row>
    <row r="1444" spans="1:26" s="82" customFormat="1" x14ac:dyDescent="0.4">
      <c r="A1444" s="493">
        <v>60423</v>
      </c>
      <c r="B1444" s="105" t="s">
        <v>329</v>
      </c>
      <c r="C1444" s="493" t="s">
        <v>330</v>
      </c>
      <c r="D1444" s="105" t="s">
        <v>1660</v>
      </c>
      <c r="E1444" s="105" t="s">
        <v>1383</v>
      </c>
      <c r="F1444" s="493">
        <v>61944</v>
      </c>
      <c r="G1444" s="105" t="s">
        <v>33</v>
      </c>
      <c r="H1444" s="105" t="s">
        <v>342</v>
      </c>
      <c r="I1444" s="105" t="s">
        <v>334</v>
      </c>
      <c r="J1444" s="493">
        <v>22</v>
      </c>
      <c r="K1444" s="493">
        <v>2</v>
      </c>
      <c r="L1444" s="105" t="s">
        <v>343</v>
      </c>
      <c r="M1444" s="105" t="s">
        <v>655</v>
      </c>
      <c r="N1444" s="105" t="s">
        <v>656</v>
      </c>
      <c r="O1444" s="105" t="s">
        <v>656</v>
      </c>
      <c r="P1444" s="105" t="s">
        <v>339</v>
      </c>
      <c r="Q1444" s="494">
        <v>0</v>
      </c>
      <c r="R1444" s="494">
        <v>0</v>
      </c>
      <c r="S1444" s="494">
        <v>9883</v>
      </c>
      <c r="T1444" s="494">
        <v>9883</v>
      </c>
      <c r="U1444" s="494">
        <v>2896</v>
      </c>
      <c r="V1444" s="493">
        <v>2024</v>
      </c>
      <c r="W1444" s="495"/>
      <c r="X1444" s="496">
        <f t="shared" si="93"/>
        <v>3.4126381215469612</v>
      </c>
      <c r="Y1444" s="497" t="str">
        <f t="shared" si="94"/>
        <v/>
      </c>
      <c r="Z1444" s="497" t="str">
        <f t="shared" si="94"/>
        <v/>
      </c>
    </row>
    <row r="1445" spans="1:26" s="82" customFormat="1" x14ac:dyDescent="0.4">
      <c r="A1445" s="493">
        <v>60424</v>
      </c>
      <c r="B1445" s="105" t="s">
        <v>329</v>
      </c>
      <c r="C1445" s="493" t="s">
        <v>330</v>
      </c>
      <c r="D1445" s="105" t="s">
        <v>1661</v>
      </c>
      <c r="E1445" s="105" t="s">
        <v>1383</v>
      </c>
      <c r="F1445" s="493">
        <v>61944</v>
      </c>
      <c r="G1445" s="105" t="s">
        <v>33</v>
      </c>
      <c r="H1445" s="105" t="s">
        <v>342</v>
      </c>
      <c r="I1445" s="105" t="s">
        <v>334</v>
      </c>
      <c r="J1445" s="493">
        <v>22</v>
      </c>
      <c r="K1445" s="493">
        <v>2</v>
      </c>
      <c r="L1445" s="105" t="s">
        <v>343</v>
      </c>
      <c r="M1445" s="105" t="s">
        <v>655</v>
      </c>
      <c r="N1445" s="105" t="s">
        <v>656</v>
      </c>
      <c r="O1445" s="105" t="s">
        <v>656</v>
      </c>
      <c r="P1445" s="105" t="s">
        <v>339</v>
      </c>
      <c r="Q1445" s="494">
        <v>0</v>
      </c>
      <c r="R1445" s="494">
        <v>0</v>
      </c>
      <c r="S1445" s="494">
        <v>9157</v>
      </c>
      <c r="T1445" s="494">
        <v>9157</v>
      </c>
      <c r="U1445" s="494">
        <v>2684</v>
      </c>
      <c r="V1445" s="493">
        <v>2024</v>
      </c>
      <c r="W1445" s="495"/>
      <c r="X1445" s="496">
        <f t="shared" si="93"/>
        <v>3.4116989567809242</v>
      </c>
      <c r="Y1445" s="497" t="str">
        <f t="shared" si="94"/>
        <v/>
      </c>
      <c r="Z1445" s="497" t="str">
        <f t="shared" si="94"/>
        <v/>
      </c>
    </row>
    <row r="1446" spans="1:26" s="82" customFormat="1" x14ac:dyDescent="0.4">
      <c r="A1446" s="493">
        <v>60425</v>
      </c>
      <c r="B1446" s="105" t="s">
        <v>329</v>
      </c>
      <c r="C1446" s="493" t="s">
        <v>330</v>
      </c>
      <c r="D1446" s="105" t="s">
        <v>1662</v>
      </c>
      <c r="E1446" s="105" t="s">
        <v>1375</v>
      </c>
      <c r="F1446" s="493">
        <v>63249</v>
      </c>
      <c r="G1446" s="105" t="s">
        <v>52</v>
      </c>
      <c r="H1446" s="105" t="s">
        <v>333</v>
      </c>
      <c r="I1446" s="105" t="s">
        <v>334</v>
      </c>
      <c r="J1446" s="493">
        <v>22</v>
      </c>
      <c r="K1446" s="493">
        <v>2</v>
      </c>
      <c r="L1446" s="105" t="s">
        <v>343</v>
      </c>
      <c r="M1446" s="105" t="s">
        <v>655</v>
      </c>
      <c r="N1446" s="105" t="s">
        <v>656</v>
      </c>
      <c r="O1446" s="105" t="s">
        <v>656</v>
      </c>
      <c r="P1446" s="105" t="s">
        <v>339</v>
      </c>
      <c r="Q1446" s="494">
        <v>0</v>
      </c>
      <c r="R1446" s="494">
        <v>0</v>
      </c>
      <c r="S1446" s="494">
        <v>7598</v>
      </c>
      <c r="T1446" s="494">
        <v>7598</v>
      </c>
      <c r="U1446" s="494">
        <v>2227</v>
      </c>
      <c r="V1446" s="493">
        <v>2024</v>
      </c>
      <c r="W1446" s="495"/>
      <c r="X1446" s="496">
        <f t="shared" si="93"/>
        <v>3.4117647058823528</v>
      </c>
      <c r="Y1446" s="497" t="str">
        <f t="shared" si="94"/>
        <v/>
      </c>
      <c r="Z1446" s="497" t="str">
        <f t="shared" si="94"/>
        <v/>
      </c>
    </row>
    <row r="1447" spans="1:26" s="82" customFormat="1" ht="32" x14ac:dyDescent="0.4">
      <c r="A1447" s="493">
        <v>60431</v>
      </c>
      <c r="B1447" s="105" t="s">
        <v>329</v>
      </c>
      <c r="C1447" s="493" t="s">
        <v>330</v>
      </c>
      <c r="D1447" s="105" t="s">
        <v>1663</v>
      </c>
      <c r="E1447" s="105" t="s">
        <v>1664</v>
      </c>
      <c r="F1447" s="493">
        <v>60231</v>
      </c>
      <c r="G1447" s="105" t="s">
        <v>52</v>
      </c>
      <c r="H1447" s="105" t="s">
        <v>333</v>
      </c>
      <c r="I1447" s="105" t="s">
        <v>334</v>
      </c>
      <c r="J1447" s="493">
        <v>22</v>
      </c>
      <c r="K1447" s="493">
        <v>2</v>
      </c>
      <c r="L1447" s="105" t="s">
        <v>343</v>
      </c>
      <c r="M1447" s="105" t="s">
        <v>655</v>
      </c>
      <c r="N1447" s="105" t="s">
        <v>656</v>
      </c>
      <c r="O1447" s="105" t="s">
        <v>656</v>
      </c>
      <c r="P1447" s="105" t="s">
        <v>339</v>
      </c>
      <c r="Q1447" s="494">
        <v>0</v>
      </c>
      <c r="R1447" s="494">
        <v>0</v>
      </c>
      <c r="S1447" s="494">
        <v>8355</v>
      </c>
      <c r="T1447" s="494">
        <v>8355</v>
      </c>
      <c r="U1447" s="494">
        <v>2449</v>
      </c>
      <c r="V1447" s="493">
        <v>2024</v>
      </c>
      <c r="W1447" s="495"/>
      <c r="X1447" s="496">
        <f t="shared" si="93"/>
        <v>3.4115965700285833</v>
      </c>
      <c r="Y1447" s="497" t="str">
        <f t="shared" si="94"/>
        <v/>
      </c>
      <c r="Z1447" s="497" t="str">
        <f t="shared" si="94"/>
        <v/>
      </c>
    </row>
    <row r="1448" spans="1:26" s="82" customFormat="1" x14ac:dyDescent="0.4">
      <c r="A1448" s="493">
        <v>60442</v>
      </c>
      <c r="B1448" s="105" t="s">
        <v>329</v>
      </c>
      <c r="C1448" s="493" t="s">
        <v>330</v>
      </c>
      <c r="D1448" s="105" t="s">
        <v>1665</v>
      </c>
      <c r="E1448" s="105" t="s">
        <v>1666</v>
      </c>
      <c r="F1448" s="493">
        <v>62836</v>
      </c>
      <c r="G1448" s="105" t="s">
        <v>33</v>
      </c>
      <c r="H1448" s="105" t="s">
        <v>342</v>
      </c>
      <c r="I1448" s="105" t="s">
        <v>334</v>
      </c>
      <c r="J1448" s="493">
        <v>22</v>
      </c>
      <c r="K1448" s="493">
        <v>2</v>
      </c>
      <c r="L1448" s="105" t="s">
        <v>343</v>
      </c>
      <c r="M1448" s="105" t="s">
        <v>655</v>
      </c>
      <c r="N1448" s="105" t="s">
        <v>656</v>
      </c>
      <c r="O1448" s="105" t="s">
        <v>656</v>
      </c>
      <c r="P1448" s="105" t="s">
        <v>339</v>
      </c>
      <c r="Q1448" s="494">
        <v>0</v>
      </c>
      <c r="R1448" s="494">
        <v>0</v>
      </c>
      <c r="S1448" s="494">
        <v>10151</v>
      </c>
      <c r="T1448" s="494">
        <v>10151</v>
      </c>
      <c r="U1448" s="494">
        <v>2975</v>
      </c>
      <c r="V1448" s="493">
        <v>2024</v>
      </c>
      <c r="W1448" s="495"/>
      <c r="X1448" s="496">
        <f t="shared" si="93"/>
        <v>3.4121008403361346</v>
      </c>
      <c r="Y1448" s="497" t="str">
        <f t="shared" ref="Y1448:Z1467" si="95">IF(AND($M1448=$Y$2,$N1448=$Y$3,NOT($Q1448=$R1448),NOT($U1448=0)),IF($K1448=5,$S1448/($U1448+(8/5)*$U1448),IF($K1448=7,$S1448/($U1448+(29/25)*$U1448),"")),"")</f>
        <v/>
      </c>
      <c r="Z1448" s="497" t="str">
        <f t="shared" si="95"/>
        <v/>
      </c>
    </row>
    <row r="1449" spans="1:26" s="82" customFormat="1" x14ac:dyDescent="0.4">
      <c r="A1449" s="493">
        <v>60443</v>
      </c>
      <c r="B1449" s="105" t="s">
        <v>329</v>
      </c>
      <c r="C1449" s="493" t="s">
        <v>330</v>
      </c>
      <c r="D1449" s="105" t="s">
        <v>1667</v>
      </c>
      <c r="E1449" s="105" t="s">
        <v>1666</v>
      </c>
      <c r="F1449" s="493">
        <v>62836</v>
      </c>
      <c r="G1449" s="105" t="s">
        <v>33</v>
      </c>
      <c r="H1449" s="105" t="s">
        <v>342</v>
      </c>
      <c r="I1449" s="105" t="s">
        <v>334</v>
      </c>
      <c r="J1449" s="493">
        <v>22</v>
      </c>
      <c r="K1449" s="493">
        <v>2</v>
      </c>
      <c r="L1449" s="105" t="s">
        <v>343</v>
      </c>
      <c r="M1449" s="105" t="s">
        <v>655</v>
      </c>
      <c r="N1449" s="105" t="s">
        <v>656</v>
      </c>
      <c r="O1449" s="105" t="s">
        <v>656</v>
      </c>
      <c r="P1449" s="105" t="s">
        <v>339</v>
      </c>
      <c r="Q1449" s="494">
        <v>0</v>
      </c>
      <c r="R1449" s="494">
        <v>0</v>
      </c>
      <c r="S1449" s="494">
        <v>10683</v>
      </c>
      <c r="T1449" s="494">
        <v>10683</v>
      </c>
      <c r="U1449" s="494">
        <v>3131</v>
      </c>
      <c r="V1449" s="493">
        <v>2024</v>
      </c>
      <c r="W1449" s="495"/>
      <c r="X1449" s="496">
        <f t="shared" si="93"/>
        <v>3.4120089428297669</v>
      </c>
      <c r="Y1449" s="497" t="str">
        <f t="shared" si="95"/>
        <v/>
      </c>
      <c r="Z1449" s="497" t="str">
        <f t="shared" si="95"/>
        <v/>
      </c>
    </row>
    <row r="1450" spans="1:26" s="82" customFormat="1" x14ac:dyDescent="0.4">
      <c r="A1450" s="493">
        <v>60451</v>
      </c>
      <c r="B1450" s="105" t="s">
        <v>329</v>
      </c>
      <c r="C1450" s="493" t="s">
        <v>330</v>
      </c>
      <c r="D1450" s="105" t="s">
        <v>1668</v>
      </c>
      <c r="E1450" s="105" t="s">
        <v>1375</v>
      </c>
      <c r="F1450" s="493">
        <v>63249</v>
      </c>
      <c r="G1450" s="105" t="s">
        <v>38</v>
      </c>
      <c r="H1450" s="105" t="s">
        <v>342</v>
      </c>
      <c r="I1450" s="105" t="s">
        <v>334</v>
      </c>
      <c r="J1450" s="493">
        <v>22</v>
      </c>
      <c r="K1450" s="493">
        <v>2</v>
      </c>
      <c r="L1450" s="105" t="s">
        <v>343</v>
      </c>
      <c r="M1450" s="105" t="s">
        <v>655</v>
      </c>
      <c r="N1450" s="105" t="s">
        <v>656</v>
      </c>
      <c r="O1450" s="105" t="s">
        <v>656</v>
      </c>
      <c r="P1450" s="105" t="s">
        <v>339</v>
      </c>
      <c r="Q1450" s="494">
        <v>0</v>
      </c>
      <c r="R1450" s="494">
        <v>0</v>
      </c>
      <c r="S1450" s="494">
        <v>5227</v>
      </c>
      <c r="T1450" s="494">
        <v>5227</v>
      </c>
      <c r="U1450" s="494">
        <v>1532</v>
      </c>
      <c r="V1450" s="493">
        <v>2024</v>
      </c>
      <c r="W1450" s="495"/>
      <c r="X1450" s="496">
        <f t="shared" si="93"/>
        <v>3.4118798955613578</v>
      </c>
      <c r="Y1450" s="497" t="str">
        <f t="shared" si="95"/>
        <v/>
      </c>
      <c r="Z1450" s="497" t="str">
        <f t="shared" si="95"/>
        <v/>
      </c>
    </row>
    <row r="1451" spans="1:26" s="82" customFormat="1" x14ac:dyDescent="0.4">
      <c r="A1451" s="493">
        <v>60452</v>
      </c>
      <c r="B1451" s="105" t="s">
        <v>329</v>
      </c>
      <c r="C1451" s="493" t="s">
        <v>330</v>
      </c>
      <c r="D1451" s="105" t="s">
        <v>1669</v>
      </c>
      <c r="E1451" s="105" t="s">
        <v>1375</v>
      </c>
      <c r="F1451" s="493">
        <v>63249</v>
      </c>
      <c r="G1451" s="105" t="s">
        <v>52</v>
      </c>
      <c r="H1451" s="105" t="s">
        <v>333</v>
      </c>
      <c r="I1451" s="105" t="s">
        <v>334</v>
      </c>
      <c r="J1451" s="493">
        <v>22</v>
      </c>
      <c r="K1451" s="493">
        <v>2</v>
      </c>
      <c r="L1451" s="105" t="s">
        <v>343</v>
      </c>
      <c r="M1451" s="105" t="s">
        <v>655</v>
      </c>
      <c r="N1451" s="105" t="s">
        <v>656</v>
      </c>
      <c r="O1451" s="105" t="s">
        <v>656</v>
      </c>
      <c r="P1451" s="105" t="s">
        <v>339</v>
      </c>
      <c r="Q1451" s="494">
        <v>0</v>
      </c>
      <c r="R1451" s="494">
        <v>0</v>
      </c>
      <c r="S1451" s="494">
        <v>15334</v>
      </c>
      <c r="T1451" s="494">
        <v>15334</v>
      </c>
      <c r="U1451" s="494">
        <v>4494</v>
      </c>
      <c r="V1451" s="493">
        <v>2024</v>
      </c>
      <c r="W1451" s="495"/>
      <c r="X1451" s="496">
        <f t="shared" si="93"/>
        <v>3.412105028927459</v>
      </c>
      <c r="Y1451" s="497" t="str">
        <f t="shared" si="95"/>
        <v/>
      </c>
      <c r="Z1451" s="497" t="str">
        <f t="shared" si="95"/>
        <v/>
      </c>
    </row>
    <row r="1452" spans="1:26" s="82" customFormat="1" x14ac:dyDescent="0.4">
      <c r="A1452" s="493">
        <v>60453</v>
      </c>
      <c r="B1452" s="105" t="s">
        <v>329</v>
      </c>
      <c r="C1452" s="493" t="s">
        <v>330</v>
      </c>
      <c r="D1452" s="105" t="s">
        <v>1670</v>
      </c>
      <c r="E1452" s="105" t="s">
        <v>1375</v>
      </c>
      <c r="F1452" s="493">
        <v>63249</v>
      </c>
      <c r="G1452" s="105" t="s">
        <v>52</v>
      </c>
      <c r="H1452" s="105" t="s">
        <v>333</v>
      </c>
      <c r="I1452" s="105" t="s">
        <v>334</v>
      </c>
      <c r="J1452" s="493">
        <v>22</v>
      </c>
      <c r="K1452" s="493">
        <v>2</v>
      </c>
      <c r="L1452" s="105" t="s">
        <v>343</v>
      </c>
      <c r="M1452" s="105" t="s">
        <v>655</v>
      </c>
      <c r="N1452" s="105" t="s">
        <v>656</v>
      </c>
      <c r="O1452" s="105" t="s">
        <v>656</v>
      </c>
      <c r="P1452" s="105" t="s">
        <v>339</v>
      </c>
      <c r="Q1452" s="494">
        <v>0</v>
      </c>
      <c r="R1452" s="494">
        <v>0</v>
      </c>
      <c r="S1452" s="494">
        <v>5068</v>
      </c>
      <c r="T1452" s="494">
        <v>5068</v>
      </c>
      <c r="U1452" s="494">
        <v>1486</v>
      </c>
      <c r="V1452" s="493">
        <v>2024</v>
      </c>
      <c r="W1452" s="495"/>
      <c r="X1452" s="496">
        <f t="shared" si="93"/>
        <v>3.4104979811574698</v>
      </c>
      <c r="Y1452" s="497" t="str">
        <f t="shared" si="95"/>
        <v/>
      </c>
      <c r="Z1452" s="497" t="str">
        <f t="shared" si="95"/>
        <v/>
      </c>
    </row>
    <row r="1453" spans="1:26" s="82" customFormat="1" x14ac:dyDescent="0.4">
      <c r="A1453" s="493">
        <v>60454</v>
      </c>
      <c r="B1453" s="105" t="s">
        <v>329</v>
      </c>
      <c r="C1453" s="493" t="s">
        <v>330</v>
      </c>
      <c r="D1453" s="105" t="s">
        <v>1671</v>
      </c>
      <c r="E1453" s="105" t="s">
        <v>1375</v>
      </c>
      <c r="F1453" s="493">
        <v>63249</v>
      </c>
      <c r="G1453" s="105" t="s">
        <v>52</v>
      </c>
      <c r="H1453" s="105" t="s">
        <v>333</v>
      </c>
      <c r="I1453" s="105" t="s">
        <v>334</v>
      </c>
      <c r="J1453" s="493">
        <v>22</v>
      </c>
      <c r="K1453" s="493">
        <v>2</v>
      </c>
      <c r="L1453" s="105" t="s">
        <v>343</v>
      </c>
      <c r="M1453" s="105" t="s">
        <v>655</v>
      </c>
      <c r="N1453" s="105" t="s">
        <v>656</v>
      </c>
      <c r="O1453" s="105" t="s">
        <v>656</v>
      </c>
      <c r="P1453" s="105" t="s">
        <v>339</v>
      </c>
      <c r="Q1453" s="494">
        <v>0</v>
      </c>
      <c r="R1453" s="494">
        <v>0</v>
      </c>
      <c r="S1453" s="494">
        <v>6835</v>
      </c>
      <c r="T1453" s="494">
        <v>6835</v>
      </c>
      <c r="U1453" s="494">
        <v>2003</v>
      </c>
      <c r="V1453" s="493">
        <v>2024</v>
      </c>
      <c r="W1453" s="495"/>
      <c r="X1453" s="496">
        <f t="shared" si="93"/>
        <v>3.4123814278582127</v>
      </c>
      <c r="Y1453" s="497" t="str">
        <f t="shared" si="95"/>
        <v/>
      </c>
      <c r="Z1453" s="497" t="str">
        <f t="shared" si="95"/>
        <v/>
      </c>
    </row>
    <row r="1454" spans="1:26" s="82" customFormat="1" x14ac:dyDescent="0.4">
      <c r="A1454" s="493">
        <v>60455</v>
      </c>
      <c r="B1454" s="105" t="s">
        <v>329</v>
      </c>
      <c r="C1454" s="493" t="s">
        <v>330</v>
      </c>
      <c r="D1454" s="105" t="s">
        <v>1672</v>
      </c>
      <c r="E1454" s="105" t="s">
        <v>1673</v>
      </c>
      <c r="F1454" s="493">
        <v>60239</v>
      </c>
      <c r="G1454" s="105" t="s">
        <v>52</v>
      </c>
      <c r="H1454" s="105" t="s">
        <v>333</v>
      </c>
      <c r="I1454" s="105" t="s">
        <v>334</v>
      </c>
      <c r="J1454" s="493">
        <v>22</v>
      </c>
      <c r="K1454" s="493">
        <v>2</v>
      </c>
      <c r="L1454" s="105" t="s">
        <v>343</v>
      </c>
      <c r="M1454" s="105" t="s">
        <v>655</v>
      </c>
      <c r="N1454" s="105" t="s">
        <v>656</v>
      </c>
      <c r="O1454" s="105" t="s">
        <v>656</v>
      </c>
      <c r="P1454" s="105" t="s">
        <v>339</v>
      </c>
      <c r="Q1454" s="494">
        <v>0</v>
      </c>
      <c r="R1454" s="494">
        <v>0</v>
      </c>
      <c r="S1454" s="494">
        <v>8481</v>
      </c>
      <c r="T1454" s="494">
        <v>8481</v>
      </c>
      <c r="U1454" s="494">
        <v>2485</v>
      </c>
      <c r="V1454" s="493">
        <v>2024</v>
      </c>
      <c r="W1454" s="495"/>
      <c r="X1454" s="496">
        <f t="shared" si="93"/>
        <v>3.412877263581489</v>
      </c>
      <c r="Y1454" s="497" t="str">
        <f t="shared" si="95"/>
        <v/>
      </c>
      <c r="Z1454" s="497" t="str">
        <f t="shared" si="95"/>
        <v/>
      </c>
    </row>
    <row r="1455" spans="1:26" s="82" customFormat="1" x14ac:dyDescent="0.4">
      <c r="A1455" s="493">
        <v>60456</v>
      </c>
      <c r="B1455" s="105" t="s">
        <v>329</v>
      </c>
      <c r="C1455" s="493" t="s">
        <v>330</v>
      </c>
      <c r="D1455" s="105" t="s">
        <v>1674</v>
      </c>
      <c r="E1455" s="105" t="s">
        <v>1673</v>
      </c>
      <c r="F1455" s="493">
        <v>60239</v>
      </c>
      <c r="G1455" s="105" t="s">
        <v>52</v>
      </c>
      <c r="H1455" s="105" t="s">
        <v>333</v>
      </c>
      <c r="I1455" s="105" t="s">
        <v>334</v>
      </c>
      <c r="J1455" s="493">
        <v>22</v>
      </c>
      <c r="K1455" s="493">
        <v>2</v>
      </c>
      <c r="L1455" s="105" t="s">
        <v>343</v>
      </c>
      <c r="M1455" s="105" t="s">
        <v>655</v>
      </c>
      <c r="N1455" s="105" t="s">
        <v>656</v>
      </c>
      <c r="O1455" s="105" t="s">
        <v>656</v>
      </c>
      <c r="P1455" s="105" t="s">
        <v>339</v>
      </c>
      <c r="Q1455" s="494">
        <v>0</v>
      </c>
      <c r="R1455" s="494">
        <v>0</v>
      </c>
      <c r="S1455" s="494">
        <v>8481</v>
      </c>
      <c r="T1455" s="494">
        <v>8481</v>
      </c>
      <c r="U1455" s="494">
        <v>2485</v>
      </c>
      <c r="V1455" s="493">
        <v>2024</v>
      </c>
      <c r="W1455" s="495"/>
      <c r="X1455" s="496">
        <f t="shared" si="93"/>
        <v>3.412877263581489</v>
      </c>
      <c r="Y1455" s="497" t="str">
        <f t="shared" si="95"/>
        <v/>
      </c>
      <c r="Z1455" s="497" t="str">
        <f t="shared" si="95"/>
        <v/>
      </c>
    </row>
    <row r="1456" spans="1:26" s="82" customFormat="1" x14ac:dyDescent="0.4">
      <c r="A1456" s="493">
        <v>60457</v>
      </c>
      <c r="B1456" s="105" t="s">
        <v>329</v>
      </c>
      <c r="C1456" s="493" t="s">
        <v>330</v>
      </c>
      <c r="D1456" s="105" t="s">
        <v>1675</v>
      </c>
      <c r="E1456" s="105" t="s">
        <v>1676</v>
      </c>
      <c r="F1456" s="493">
        <v>60242</v>
      </c>
      <c r="G1456" s="105" t="s">
        <v>34</v>
      </c>
      <c r="H1456" s="105" t="s">
        <v>342</v>
      </c>
      <c r="I1456" s="105" t="s">
        <v>334</v>
      </c>
      <c r="J1456" s="493">
        <v>22</v>
      </c>
      <c r="K1456" s="493">
        <v>2</v>
      </c>
      <c r="L1456" s="105" t="s">
        <v>343</v>
      </c>
      <c r="M1456" s="105" t="s">
        <v>1677</v>
      </c>
      <c r="N1456" s="105" t="s">
        <v>258</v>
      </c>
      <c r="O1456" s="105" t="s">
        <v>387</v>
      </c>
      <c r="P1456" s="105" t="s">
        <v>388</v>
      </c>
      <c r="Q1456" s="494">
        <v>99399</v>
      </c>
      <c r="R1456" s="494">
        <v>99399</v>
      </c>
      <c r="S1456" s="494">
        <v>844894</v>
      </c>
      <c r="T1456" s="494">
        <v>844894</v>
      </c>
      <c r="U1456" s="494">
        <v>58244</v>
      </c>
      <c r="V1456" s="493">
        <v>2024</v>
      </c>
      <c r="W1456" s="495"/>
      <c r="X1456" s="496">
        <f t="shared" si="93"/>
        <v>14.506112217567475</v>
      </c>
      <c r="Y1456" s="497" t="str">
        <f t="shared" si="95"/>
        <v/>
      </c>
      <c r="Z1456" s="497" t="str">
        <f t="shared" si="95"/>
        <v/>
      </c>
    </row>
    <row r="1457" spans="1:26" s="82" customFormat="1" ht="32" x14ac:dyDescent="0.4">
      <c r="A1457" s="493">
        <v>60458</v>
      </c>
      <c r="B1457" s="105" t="s">
        <v>329</v>
      </c>
      <c r="C1457" s="493" t="s">
        <v>330</v>
      </c>
      <c r="D1457" s="105" t="s">
        <v>1678</v>
      </c>
      <c r="E1457" s="105" t="s">
        <v>1679</v>
      </c>
      <c r="F1457" s="493">
        <v>60240</v>
      </c>
      <c r="G1457" s="105" t="s">
        <v>33</v>
      </c>
      <c r="H1457" s="105" t="s">
        <v>342</v>
      </c>
      <c r="I1457" s="105" t="s">
        <v>334</v>
      </c>
      <c r="J1457" s="493">
        <v>22</v>
      </c>
      <c r="K1457" s="493">
        <v>2</v>
      </c>
      <c r="L1457" s="105" t="s">
        <v>343</v>
      </c>
      <c r="M1457" s="105" t="s">
        <v>655</v>
      </c>
      <c r="N1457" s="105" t="s">
        <v>656</v>
      </c>
      <c r="O1457" s="105" t="s">
        <v>656</v>
      </c>
      <c r="P1457" s="105" t="s">
        <v>339</v>
      </c>
      <c r="Q1457" s="494">
        <v>0</v>
      </c>
      <c r="R1457" s="494">
        <v>0</v>
      </c>
      <c r="S1457" s="494">
        <v>8994</v>
      </c>
      <c r="T1457" s="494">
        <v>8994</v>
      </c>
      <c r="U1457" s="494">
        <v>2636</v>
      </c>
      <c r="V1457" s="493">
        <v>2024</v>
      </c>
      <c r="W1457" s="495"/>
      <c r="X1457" s="496">
        <f t="shared" si="93"/>
        <v>3.4119878603945373</v>
      </c>
      <c r="Y1457" s="497" t="str">
        <f t="shared" si="95"/>
        <v/>
      </c>
      <c r="Z1457" s="497" t="str">
        <f t="shared" si="95"/>
        <v/>
      </c>
    </row>
    <row r="1458" spans="1:26" s="82" customFormat="1" x14ac:dyDescent="0.4">
      <c r="A1458" s="493">
        <v>60462</v>
      </c>
      <c r="B1458" s="105" t="s">
        <v>329</v>
      </c>
      <c r="C1458" s="493" t="s">
        <v>330</v>
      </c>
      <c r="D1458" s="105" t="s">
        <v>1680</v>
      </c>
      <c r="E1458" s="105" t="s">
        <v>1393</v>
      </c>
      <c r="F1458" s="493">
        <v>57313</v>
      </c>
      <c r="G1458" s="105" t="s">
        <v>52</v>
      </c>
      <c r="H1458" s="105" t="s">
        <v>333</v>
      </c>
      <c r="I1458" s="105" t="s">
        <v>334</v>
      </c>
      <c r="J1458" s="493">
        <v>22</v>
      </c>
      <c r="K1458" s="493">
        <v>2</v>
      </c>
      <c r="L1458" s="105" t="s">
        <v>343</v>
      </c>
      <c r="M1458" s="105" t="s">
        <v>655</v>
      </c>
      <c r="N1458" s="105" t="s">
        <v>656</v>
      </c>
      <c r="O1458" s="105" t="s">
        <v>656</v>
      </c>
      <c r="P1458" s="105" t="s">
        <v>339</v>
      </c>
      <c r="Q1458" s="494">
        <v>0</v>
      </c>
      <c r="R1458" s="494">
        <v>0</v>
      </c>
      <c r="S1458" s="494">
        <v>9688</v>
      </c>
      <c r="T1458" s="494">
        <v>9688</v>
      </c>
      <c r="U1458" s="494">
        <v>2839</v>
      </c>
      <c r="V1458" s="493">
        <v>2024</v>
      </c>
      <c r="W1458" s="495"/>
      <c r="X1458" s="496">
        <f t="shared" si="93"/>
        <v>3.412469179288482</v>
      </c>
      <c r="Y1458" s="497" t="str">
        <f t="shared" si="95"/>
        <v/>
      </c>
      <c r="Z1458" s="497" t="str">
        <f t="shared" si="95"/>
        <v/>
      </c>
    </row>
    <row r="1459" spans="1:26" s="82" customFormat="1" x14ac:dyDescent="0.4">
      <c r="A1459" s="493">
        <v>60463</v>
      </c>
      <c r="B1459" s="105" t="s">
        <v>329</v>
      </c>
      <c r="C1459" s="493" t="s">
        <v>330</v>
      </c>
      <c r="D1459" s="105" t="s">
        <v>1681</v>
      </c>
      <c r="E1459" s="105" t="s">
        <v>1393</v>
      </c>
      <c r="F1459" s="493">
        <v>57313</v>
      </c>
      <c r="G1459" s="105" t="s">
        <v>52</v>
      </c>
      <c r="H1459" s="105" t="s">
        <v>333</v>
      </c>
      <c r="I1459" s="105" t="s">
        <v>334</v>
      </c>
      <c r="J1459" s="493">
        <v>22</v>
      </c>
      <c r="K1459" s="493">
        <v>2</v>
      </c>
      <c r="L1459" s="105" t="s">
        <v>343</v>
      </c>
      <c r="M1459" s="105" t="s">
        <v>655</v>
      </c>
      <c r="N1459" s="105" t="s">
        <v>656</v>
      </c>
      <c r="O1459" s="105" t="s">
        <v>656</v>
      </c>
      <c r="P1459" s="105" t="s">
        <v>339</v>
      </c>
      <c r="Q1459" s="494">
        <v>0</v>
      </c>
      <c r="R1459" s="494">
        <v>0</v>
      </c>
      <c r="S1459" s="494">
        <v>5825</v>
      </c>
      <c r="T1459" s="494">
        <v>5825</v>
      </c>
      <c r="U1459" s="494">
        <v>1707</v>
      </c>
      <c r="V1459" s="493">
        <v>2024</v>
      </c>
      <c r="W1459" s="495"/>
      <c r="X1459" s="496">
        <f t="shared" si="93"/>
        <v>3.4124194493263036</v>
      </c>
      <c r="Y1459" s="497" t="str">
        <f t="shared" si="95"/>
        <v/>
      </c>
      <c r="Z1459" s="497" t="str">
        <f t="shared" si="95"/>
        <v/>
      </c>
    </row>
    <row r="1460" spans="1:26" s="82" customFormat="1" x14ac:dyDescent="0.4">
      <c r="A1460" s="493">
        <v>60473</v>
      </c>
      <c r="B1460" s="105" t="s">
        <v>329</v>
      </c>
      <c r="C1460" s="493" t="s">
        <v>330</v>
      </c>
      <c r="D1460" s="105" t="s">
        <v>1682</v>
      </c>
      <c r="E1460" s="105" t="s">
        <v>1666</v>
      </c>
      <c r="F1460" s="493">
        <v>62836</v>
      </c>
      <c r="G1460" s="105" t="s">
        <v>33</v>
      </c>
      <c r="H1460" s="105" t="s">
        <v>342</v>
      </c>
      <c r="I1460" s="105" t="s">
        <v>334</v>
      </c>
      <c r="J1460" s="493">
        <v>22</v>
      </c>
      <c r="K1460" s="493">
        <v>2</v>
      </c>
      <c r="L1460" s="105" t="s">
        <v>343</v>
      </c>
      <c r="M1460" s="105" t="s">
        <v>655</v>
      </c>
      <c r="N1460" s="105" t="s">
        <v>656</v>
      </c>
      <c r="O1460" s="105" t="s">
        <v>656</v>
      </c>
      <c r="P1460" s="105" t="s">
        <v>339</v>
      </c>
      <c r="Q1460" s="494">
        <v>0</v>
      </c>
      <c r="R1460" s="494">
        <v>0</v>
      </c>
      <c r="S1460" s="494">
        <v>7247</v>
      </c>
      <c r="T1460" s="494">
        <v>7247</v>
      </c>
      <c r="U1460" s="494">
        <v>2124</v>
      </c>
      <c r="V1460" s="493">
        <v>2024</v>
      </c>
      <c r="W1460" s="495"/>
      <c r="X1460" s="496">
        <f t="shared" si="93"/>
        <v>3.4119585687382297</v>
      </c>
      <c r="Y1460" s="497" t="str">
        <f t="shared" si="95"/>
        <v/>
      </c>
      <c r="Z1460" s="497" t="str">
        <f t="shared" si="95"/>
        <v/>
      </c>
    </row>
    <row r="1461" spans="1:26" s="82" customFormat="1" x14ac:dyDescent="0.4">
      <c r="A1461" s="493">
        <v>60476</v>
      </c>
      <c r="B1461" s="105" t="s">
        <v>329</v>
      </c>
      <c r="C1461" s="493" t="s">
        <v>330</v>
      </c>
      <c r="D1461" s="105" t="s">
        <v>1683</v>
      </c>
      <c r="E1461" s="105" t="s">
        <v>1666</v>
      </c>
      <c r="F1461" s="493">
        <v>62836</v>
      </c>
      <c r="G1461" s="105" t="s">
        <v>33</v>
      </c>
      <c r="H1461" s="105" t="s">
        <v>342</v>
      </c>
      <c r="I1461" s="105" t="s">
        <v>334</v>
      </c>
      <c r="J1461" s="493">
        <v>22</v>
      </c>
      <c r="K1461" s="493">
        <v>2</v>
      </c>
      <c r="L1461" s="105" t="s">
        <v>343</v>
      </c>
      <c r="M1461" s="105" t="s">
        <v>655</v>
      </c>
      <c r="N1461" s="105" t="s">
        <v>656</v>
      </c>
      <c r="O1461" s="105" t="s">
        <v>656</v>
      </c>
      <c r="P1461" s="105" t="s">
        <v>339</v>
      </c>
      <c r="Q1461" s="494">
        <v>0</v>
      </c>
      <c r="R1461" s="494">
        <v>0</v>
      </c>
      <c r="S1461" s="494">
        <v>6135</v>
      </c>
      <c r="T1461" s="494">
        <v>6135</v>
      </c>
      <c r="U1461" s="494">
        <v>1799</v>
      </c>
      <c r="V1461" s="493">
        <v>2024</v>
      </c>
      <c r="W1461" s="495"/>
      <c r="X1461" s="496">
        <f t="shared" si="93"/>
        <v>3.4102279043913284</v>
      </c>
      <c r="Y1461" s="497" t="str">
        <f t="shared" si="95"/>
        <v/>
      </c>
      <c r="Z1461" s="497" t="str">
        <f t="shared" si="95"/>
        <v/>
      </c>
    </row>
    <row r="1462" spans="1:26" s="82" customFormat="1" ht="32" x14ac:dyDescent="0.4">
      <c r="A1462" s="493">
        <v>60477</v>
      </c>
      <c r="B1462" s="105" t="s">
        <v>329</v>
      </c>
      <c r="C1462" s="493" t="s">
        <v>330</v>
      </c>
      <c r="D1462" s="105" t="s">
        <v>1684</v>
      </c>
      <c r="E1462" s="105" t="s">
        <v>1685</v>
      </c>
      <c r="F1462" s="493">
        <v>60250</v>
      </c>
      <c r="G1462" s="105" t="s">
        <v>52</v>
      </c>
      <c r="H1462" s="105" t="s">
        <v>333</v>
      </c>
      <c r="I1462" s="105" t="s">
        <v>334</v>
      </c>
      <c r="J1462" s="493">
        <v>22</v>
      </c>
      <c r="K1462" s="493">
        <v>2</v>
      </c>
      <c r="L1462" s="105" t="s">
        <v>343</v>
      </c>
      <c r="M1462" s="105" t="s">
        <v>655</v>
      </c>
      <c r="N1462" s="105" t="s">
        <v>656</v>
      </c>
      <c r="O1462" s="105" t="s">
        <v>656</v>
      </c>
      <c r="P1462" s="105" t="s">
        <v>339</v>
      </c>
      <c r="Q1462" s="494">
        <v>0</v>
      </c>
      <c r="R1462" s="494">
        <v>0</v>
      </c>
      <c r="S1462" s="494">
        <v>7128</v>
      </c>
      <c r="T1462" s="494">
        <v>7128</v>
      </c>
      <c r="U1462" s="494">
        <v>2089</v>
      </c>
      <c r="V1462" s="493">
        <v>2024</v>
      </c>
      <c r="W1462" s="495"/>
      <c r="X1462" s="496">
        <f t="shared" si="93"/>
        <v>3.4121589277166109</v>
      </c>
      <c r="Y1462" s="497" t="str">
        <f t="shared" si="95"/>
        <v/>
      </c>
      <c r="Z1462" s="497" t="str">
        <f t="shared" si="95"/>
        <v/>
      </c>
    </row>
    <row r="1463" spans="1:26" s="82" customFormat="1" ht="32" x14ac:dyDescent="0.4">
      <c r="A1463" s="493">
        <v>60478</v>
      </c>
      <c r="B1463" s="105" t="s">
        <v>329</v>
      </c>
      <c r="C1463" s="493" t="s">
        <v>330</v>
      </c>
      <c r="D1463" s="105" t="s">
        <v>1686</v>
      </c>
      <c r="E1463" s="105" t="s">
        <v>1685</v>
      </c>
      <c r="F1463" s="493">
        <v>60250</v>
      </c>
      <c r="G1463" s="105" t="s">
        <v>52</v>
      </c>
      <c r="H1463" s="105" t="s">
        <v>333</v>
      </c>
      <c r="I1463" s="105" t="s">
        <v>334</v>
      </c>
      <c r="J1463" s="493">
        <v>22</v>
      </c>
      <c r="K1463" s="493">
        <v>2</v>
      </c>
      <c r="L1463" s="105" t="s">
        <v>343</v>
      </c>
      <c r="M1463" s="105" t="s">
        <v>655</v>
      </c>
      <c r="N1463" s="105" t="s">
        <v>656</v>
      </c>
      <c r="O1463" s="105" t="s">
        <v>656</v>
      </c>
      <c r="P1463" s="105" t="s">
        <v>339</v>
      </c>
      <c r="Q1463" s="494">
        <v>0</v>
      </c>
      <c r="R1463" s="494">
        <v>0</v>
      </c>
      <c r="S1463" s="494">
        <v>7139</v>
      </c>
      <c r="T1463" s="494">
        <v>7139</v>
      </c>
      <c r="U1463" s="494">
        <v>2092</v>
      </c>
      <c r="V1463" s="493">
        <v>2024</v>
      </c>
      <c r="W1463" s="495"/>
      <c r="X1463" s="496">
        <f t="shared" si="93"/>
        <v>3.4125239005736137</v>
      </c>
      <c r="Y1463" s="497" t="str">
        <f t="shared" si="95"/>
        <v/>
      </c>
      <c r="Z1463" s="497" t="str">
        <f t="shared" si="95"/>
        <v/>
      </c>
    </row>
    <row r="1464" spans="1:26" s="82" customFormat="1" ht="32" x14ac:dyDescent="0.4">
      <c r="A1464" s="493">
        <v>60492</v>
      </c>
      <c r="B1464" s="105" t="s">
        <v>329</v>
      </c>
      <c r="C1464" s="493" t="s">
        <v>330</v>
      </c>
      <c r="D1464" s="105" t="s">
        <v>1687</v>
      </c>
      <c r="E1464" s="105" t="s">
        <v>1313</v>
      </c>
      <c r="F1464" s="493">
        <v>60281</v>
      </c>
      <c r="G1464" s="105" t="s">
        <v>33</v>
      </c>
      <c r="H1464" s="105" t="s">
        <v>342</v>
      </c>
      <c r="I1464" s="105" t="s">
        <v>334</v>
      </c>
      <c r="J1464" s="493">
        <v>22</v>
      </c>
      <c r="K1464" s="493">
        <v>2</v>
      </c>
      <c r="L1464" s="105" t="s">
        <v>343</v>
      </c>
      <c r="M1464" s="105" t="s">
        <v>655</v>
      </c>
      <c r="N1464" s="105" t="s">
        <v>656</v>
      </c>
      <c r="O1464" s="105" t="s">
        <v>656</v>
      </c>
      <c r="P1464" s="105" t="s">
        <v>339</v>
      </c>
      <c r="Q1464" s="494">
        <v>0</v>
      </c>
      <c r="R1464" s="494">
        <v>0</v>
      </c>
      <c r="S1464" s="494">
        <v>11325</v>
      </c>
      <c r="T1464" s="494">
        <v>11325</v>
      </c>
      <c r="U1464" s="494">
        <v>3319</v>
      </c>
      <c r="V1464" s="493">
        <v>2024</v>
      </c>
      <c r="W1464" s="495"/>
      <c r="X1464" s="496">
        <f t="shared" si="93"/>
        <v>3.4121723410665865</v>
      </c>
      <c r="Y1464" s="497" t="str">
        <f t="shared" si="95"/>
        <v/>
      </c>
      <c r="Z1464" s="497" t="str">
        <f t="shared" si="95"/>
        <v/>
      </c>
    </row>
    <row r="1465" spans="1:26" s="82" customFormat="1" ht="32" x14ac:dyDescent="0.4">
      <c r="A1465" s="493">
        <v>60493</v>
      </c>
      <c r="B1465" s="105" t="s">
        <v>329</v>
      </c>
      <c r="C1465" s="493" t="s">
        <v>330</v>
      </c>
      <c r="D1465" s="105" t="s">
        <v>1688</v>
      </c>
      <c r="E1465" s="105" t="s">
        <v>1313</v>
      </c>
      <c r="F1465" s="493">
        <v>60281</v>
      </c>
      <c r="G1465" s="105" t="s">
        <v>33</v>
      </c>
      <c r="H1465" s="105" t="s">
        <v>342</v>
      </c>
      <c r="I1465" s="105" t="s">
        <v>334</v>
      </c>
      <c r="J1465" s="493">
        <v>22</v>
      </c>
      <c r="K1465" s="493">
        <v>2</v>
      </c>
      <c r="L1465" s="105" t="s">
        <v>343</v>
      </c>
      <c r="M1465" s="105" t="s">
        <v>655</v>
      </c>
      <c r="N1465" s="105" t="s">
        <v>656</v>
      </c>
      <c r="O1465" s="105" t="s">
        <v>656</v>
      </c>
      <c r="P1465" s="105" t="s">
        <v>339</v>
      </c>
      <c r="Q1465" s="494">
        <v>0</v>
      </c>
      <c r="R1465" s="494">
        <v>0</v>
      </c>
      <c r="S1465" s="494">
        <v>12736</v>
      </c>
      <c r="T1465" s="494">
        <v>12736</v>
      </c>
      <c r="U1465" s="494">
        <v>3733</v>
      </c>
      <c r="V1465" s="493">
        <v>2024</v>
      </c>
      <c r="W1465" s="495"/>
      <c r="X1465" s="496">
        <f t="shared" si="93"/>
        <v>3.4117331904634343</v>
      </c>
      <c r="Y1465" s="497" t="str">
        <f t="shared" si="95"/>
        <v/>
      </c>
      <c r="Z1465" s="497" t="str">
        <f t="shared" si="95"/>
        <v/>
      </c>
    </row>
    <row r="1466" spans="1:26" s="82" customFormat="1" ht="32" x14ac:dyDescent="0.4">
      <c r="A1466" s="493">
        <v>60494</v>
      </c>
      <c r="B1466" s="105" t="s">
        <v>329</v>
      </c>
      <c r="C1466" s="493" t="s">
        <v>330</v>
      </c>
      <c r="D1466" s="105" t="s">
        <v>1689</v>
      </c>
      <c r="E1466" s="105" t="s">
        <v>1313</v>
      </c>
      <c r="F1466" s="493">
        <v>60281</v>
      </c>
      <c r="G1466" s="105" t="s">
        <v>33</v>
      </c>
      <c r="H1466" s="105" t="s">
        <v>342</v>
      </c>
      <c r="I1466" s="105" t="s">
        <v>334</v>
      </c>
      <c r="J1466" s="493">
        <v>22</v>
      </c>
      <c r="K1466" s="493">
        <v>2</v>
      </c>
      <c r="L1466" s="105" t="s">
        <v>343</v>
      </c>
      <c r="M1466" s="105" t="s">
        <v>655</v>
      </c>
      <c r="N1466" s="105" t="s">
        <v>656</v>
      </c>
      <c r="O1466" s="105" t="s">
        <v>656</v>
      </c>
      <c r="P1466" s="105" t="s">
        <v>339</v>
      </c>
      <c r="Q1466" s="494">
        <v>0</v>
      </c>
      <c r="R1466" s="494">
        <v>0</v>
      </c>
      <c r="S1466" s="494">
        <v>17593</v>
      </c>
      <c r="T1466" s="494">
        <v>17593</v>
      </c>
      <c r="U1466" s="494">
        <v>5156</v>
      </c>
      <c r="V1466" s="493">
        <v>2024</v>
      </c>
      <c r="W1466" s="495"/>
      <c r="X1466" s="496">
        <f t="shared" si="93"/>
        <v>3.4121411947245925</v>
      </c>
      <c r="Y1466" s="497" t="str">
        <f t="shared" si="95"/>
        <v/>
      </c>
      <c r="Z1466" s="497" t="str">
        <f t="shared" si="95"/>
        <v/>
      </c>
    </row>
    <row r="1467" spans="1:26" s="82" customFormat="1" ht="32" x14ac:dyDescent="0.4">
      <c r="A1467" s="493">
        <v>60495</v>
      </c>
      <c r="B1467" s="105" t="s">
        <v>329</v>
      </c>
      <c r="C1467" s="493" t="s">
        <v>330</v>
      </c>
      <c r="D1467" s="105" t="s">
        <v>1690</v>
      </c>
      <c r="E1467" s="105" t="s">
        <v>1313</v>
      </c>
      <c r="F1467" s="493">
        <v>60281</v>
      </c>
      <c r="G1467" s="105" t="s">
        <v>38</v>
      </c>
      <c r="H1467" s="105" t="s">
        <v>342</v>
      </c>
      <c r="I1467" s="105" t="s">
        <v>334</v>
      </c>
      <c r="J1467" s="493">
        <v>22</v>
      </c>
      <c r="K1467" s="493">
        <v>2</v>
      </c>
      <c r="L1467" s="105" t="s">
        <v>343</v>
      </c>
      <c r="M1467" s="105" t="s">
        <v>655</v>
      </c>
      <c r="N1467" s="105" t="s">
        <v>656</v>
      </c>
      <c r="O1467" s="105" t="s">
        <v>656</v>
      </c>
      <c r="P1467" s="105" t="s">
        <v>339</v>
      </c>
      <c r="Q1467" s="494">
        <v>0</v>
      </c>
      <c r="R1467" s="494">
        <v>0</v>
      </c>
      <c r="S1467" s="494">
        <v>5463</v>
      </c>
      <c r="T1467" s="494">
        <v>5463</v>
      </c>
      <c r="U1467" s="494">
        <v>1601</v>
      </c>
      <c r="V1467" s="493">
        <v>2024</v>
      </c>
      <c r="W1467" s="495"/>
      <c r="X1467" s="496">
        <f t="shared" si="93"/>
        <v>3.4122423485321676</v>
      </c>
      <c r="Y1467" s="497" t="str">
        <f t="shared" si="95"/>
        <v/>
      </c>
      <c r="Z1467" s="497" t="str">
        <f t="shared" si="95"/>
        <v/>
      </c>
    </row>
    <row r="1468" spans="1:26" s="82" customFormat="1" ht="32" x14ac:dyDescent="0.4">
      <c r="A1468" s="493">
        <v>60498</v>
      </c>
      <c r="B1468" s="105" t="s">
        <v>329</v>
      </c>
      <c r="C1468" s="493" t="s">
        <v>330</v>
      </c>
      <c r="D1468" s="105" t="s">
        <v>1691</v>
      </c>
      <c r="E1468" s="105" t="s">
        <v>1313</v>
      </c>
      <c r="F1468" s="493">
        <v>60281</v>
      </c>
      <c r="G1468" s="105" t="s">
        <v>33</v>
      </c>
      <c r="H1468" s="105" t="s">
        <v>342</v>
      </c>
      <c r="I1468" s="105" t="s">
        <v>334</v>
      </c>
      <c r="J1468" s="493">
        <v>22</v>
      </c>
      <c r="K1468" s="493">
        <v>2</v>
      </c>
      <c r="L1468" s="105" t="s">
        <v>343</v>
      </c>
      <c r="M1468" s="105" t="s">
        <v>655</v>
      </c>
      <c r="N1468" s="105" t="s">
        <v>656</v>
      </c>
      <c r="O1468" s="105" t="s">
        <v>656</v>
      </c>
      <c r="P1468" s="105" t="s">
        <v>339</v>
      </c>
      <c r="Q1468" s="494">
        <v>0</v>
      </c>
      <c r="R1468" s="494">
        <v>0</v>
      </c>
      <c r="S1468" s="494">
        <v>10512</v>
      </c>
      <c r="T1468" s="494">
        <v>10512</v>
      </c>
      <c r="U1468" s="494">
        <v>3081</v>
      </c>
      <c r="V1468" s="493">
        <v>2024</v>
      </c>
      <c r="W1468" s="495"/>
      <c r="X1468" s="496">
        <f t="shared" si="93"/>
        <v>3.4118792599805259</v>
      </c>
      <c r="Y1468" s="497" t="str">
        <f t="shared" ref="Y1468:Z1487" si="96">IF(AND($M1468=$Y$2,$N1468=$Y$3,NOT($Q1468=$R1468),NOT($U1468=0)),IF($K1468=5,$S1468/($U1468+(8/5)*$U1468),IF($K1468=7,$S1468/($U1468+(29/25)*$U1468),"")),"")</f>
        <v/>
      </c>
      <c r="Z1468" s="497" t="str">
        <f t="shared" si="96"/>
        <v/>
      </c>
    </row>
    <row r="1469" spans="1:26" s="82" customFormat="1" x14ac:dyDescent="0.4">
      <c r="A1469" s="493">
        <v>60507</v>
      </c>
      <c r="B1469" s="105" t="s">
        <v>329</v>
      </c>
      <c r="C1469" s="493" t="s">
        <v>330</v>
      </c>
      <c r="D1469" s="105" t="s">
        <v>1692</v>
      </c>
      <c r="E1469" s="105" t="s">
        <v>1393</v>
      </c>
      <c r="F1469" s="493">
        <v>57313</v>
      </c>
      <c r="G1469" s="105" t="s">
        <v>52</v>
      </c>
      <c r="H1469" s="105" t="s">
        <v>333</v>
      </c>
      <c r="I1469" s="105" t="s">
        <v>334</v>
      </c>
      <c r="J1469" s="493">
        <v>22</v>
      </c>
      <c r="K1469" s="493">
        <v>2</v>
      </c>
      <c r="L1469" s="105" t="s">
        <v>343</v>
      </c>
      <c r="M1469" s="105" t="s">
        <v>655</v>
      </c>
      <c r="N1469" s="105" t="s">
        <v>656</v>
      </c>
      <c r="O1469" s="105" t="s">
        <v>656</v>
      </c>
      <c r="P1469" s="105" t="s">
        <v>339</v>
      </c>
      <c r="Q1469" s="494">
        <v>0</v>
      </c>
      <c r="R1469" s="494">
        <v>0</v>
      </c>
      <c r="S1469" s="494">
        <v>18425</v>
      </c>
      <c r="T1469" s="494">
        <v>18425</v>
      </c>
      <c r="U1469" s="494">
        <v>5400</v>
      </c>
      <c r="V1469" s="493">
        <v>2024</v>
      </c>
      <c r="W1469" s="495"/>
      <c r="X1469" s="496">
        <f t="shared" si="93"/>
        <v>3.4120370370370372</v>
      </c>
      <c r="Y1469" s="497" t="str">
        <f t="shared" si="96"/>
        <v/>
      </c>
      <c r="Z1469" s="497" t="str">
        <f t="shared" si="96"/>
        <v/>
      </c>
    </row>
    <row r="1470" spans="1:26" s="82" customFormat="1" ht="32" x14ac:dyDescent="0.4">
      <c r="A1470" s="493">
        <v>60518</v>
      </c>
      <c r="B1470" s="105" t="s">
        <v>329</v>
      </c>
      <c r="C1470" s="493" t="s">
        <v>330</v>
      </c>
      <c r="D1470" s="105" t="s">
        <v>1693</v>
      </c>
      <c r="E1470" s="105" t="s">
        <v>394</v>
      </c>
      <c r="F1470" s="493">
        <v>7601</v>
      </c>
      <c r="G1470" s="105" t="s">
        <v>36</v>
      </c>
      <c r="H1470" s="105" t="s">
        <v>342</v>
      </c>
      <c r="I1470" s="105" t="s">
        <v>334</v>
      </c>
      <c r="J1470" s="493">
        <v>22</v>
      </c>
      <c r="K1470" s="493">
        <v>1</v>
      </c>
      <c r="L1470" s="105" t="s">
        <v>335</v>
      </c>
      <c r="M1470" s="105" t="s">
        <v>403</v>
      </c>
      <c r="N1470" s="105" t="s">
        <v>404</v>
      </c>
      <c r="O1470" s="105" t="s">
        <v>232</v>
      </c>
      <c r="P1470" s="105" t="s">
        <v>346</v>
      </c>
      <c r="Q1470" s="494">
        <v>0</v>
      </c>
      <c r="R1470" s="494">
        <v>0</v>
      </c>
      <c r="S1470" s="494">
        <v>0</v>
      </c>
      <c r="T1470" s="494">
        <v>0</v>
      </c>
      <c r="U1470" s="494">
        <v>0</v>
      </c>
      <c r="V1470" s="493">
        <v>2024</v>
      </c>
      <c r="W1470" s="495"/>
      <c r="X1470" s="496" t="str">
        <f t="shared" si="93"/>
        <v/>
      </c>
      <c r="Y1470" s="497" t="str">
        <f t="shared" si="96"/>
        <v/>
      </c>
      <c r="Z1470" s="497" t="str">
        <f t="shared" si="96"/>
        <v/>
      </c>
    </row>
    <row r="1471" spans="1:26" s="82" customFormat="1" ht="32" x14ac:dyDescent="0.4">
      <c r="A1471" s="493">
        <v>60518</v>
      </c>
      <c r="B1471" s="105" t="s">
        <v>329</v>
      </c>
      <c r="C1471" s="493" t="s">
        <v>330</v>
      </c>
      <c r="D1471" s="105" t="s">
        <v>1693</v>
      </c>
      <c r="E1471" s="105" t="s">
        <v>394</v>
      </c>
      <c r="F1471" s="493">
        <v>7601</v>
      </c>
      <c r="G1471" s="105" t="s">
        <v>36</v>
      </c>
      <c r="H1471" s="105" t="s">
        <v>342</v>
      </c>
      <c r="I1471" s="105" t="s">
        <v>334</v>
      </c>
      <c r="J1471" s="493">
        <v>22</v>
      </c>
      <c r="K1471" s="493">
        <v>1</v>
      </c>
      <c r="L1471" s="105" t="s">
        <v>335</v>
      </c>
      <c r="M1471" s="105" t="s">
        <v>655</v>
      </c>
      <c r="N1471" s="105" t="s">
        <v>656</v>
      </c>
      <c r="O1471" s="105" t="s">
        <v>656</v>
      </c>
      <c r="P1471" s="105" t="s">
        <v>339</v>
      </c>
      <c r="Q1471" s="494">
        <v>0</v>
      </c>
      <c r="R1471" s="494">
        <v>0</v>
      </c>
      <c r="S1471" s="494">
        <v>3296</v>
      </c>
      <c r="T1471" s="494">
        <v>3296</v>
      </c>
      <c r="U1471" s="494">
        <v>966</v>
      </c>
      <c r="V1471" s="493">
        <v>2024</v>
      </c>
      <c r="W1471" s="495"/>
      <c r="X1471" s="496">
        <f t="shared" si="93"/>
        <v>3.4120082815734989</v>
      </c>
      <c r="Y1471" s="497" t="str">
        <f t="shared" si="96"/>
        <v/>
      </c>
      <c r="Z1471" s="497" t="str">
        <f t="shared" si="96"/>
        <v/>
      </c>
    </row>
    <row r="1472" spans="1:26" s="82" customFormat="1" ht="32" x14ac:dyDescent="0.4">
      <c r="A1472" s="493">
        <v>60537</v>
      </c>
      <c r="B1472" s="105" t="s">
        <v>329</v>
      </c>
      <c r="C1472" s="493" t="s">
        <v>330</v>
      </c>
      <c r="D1472" s="105" t="s">
        <v>1694</v>
      </c>
      <c r="E1472" s="105" t="s">
        <v>1695</v>
      </c>
      <c r="F1472" s="493">
        <v>60297</v>
      </c>
      <c r="G1472" s="105" t="s">
        <v>36</v>
      </c>
      <c r="H1472" s="105" t="s">
        <v>342</v>
      </c>
      <c r="I1472" s="105" t="s">
        <v>334</v>
      </c>
      <c r="J1472" s="493">
        <v>22</v>
      </c>
      <c r="K1472" s="493">
        <v>2</v>
      </c>
      <c r="L1472" s="105" t="s">
        <v>343</v>
      </c>
      <c r="M1472" s="105" t="s">
        <v>655</v>
      </c>
      <c r="N1472" s="105" t="s">
        <v>656</v>
      </c>
      <c r="O1472" s="105" t="s">
        <v>656</v>
      </c>
      <c r="P1472" s="105" t="s">
        <v>339</v>
      </c>
      <c r="Q1472" s="494">
        <v>0</v>
      </c>
      <c r="R1472" s="494">
        <v>0</v>
      </c>
      <c r="S1472" s="494">
        <v>9601</v>
      </c>
      <c r="T1472" s="494">
        <v>9601</v>
      </c>
      <c r="U1472" s="494">
        <v>2814</v>
      </c>
      <c r="V1472" s="493">
        <v>2024</v>
      </c>
      <c r="W1472" s="495"/>
      <c r="X1472" s="496">
        <f t="shared" si="93"/>
        <v>3.4118692253020613</v>
      </c>
      <c r="Y1472" s="497" t="str">
        <f t="shared" si="96"/>
        <v/>
      </c>
      <c r="Z1472" s="497" t="str">
        <f t="shared" si="96"/>
        <v/>
      </c>
    </row>
    <row r="1473" spans="1:26" s="82" customFormat="1" ht="32" x14ac:dyDescent="0.4">
      <c r="A1473" s="493">
        <v>60547</v>
      </c>
      <c r="B1473" s="105" t="s">
        <v>329</v>
      </c>
      <c r="C1473" s="493" t="s">
        <v>330</v>
      </c>
      <c r="D1473" s="105" t="s">
        <v>1696</v>
      </c>
      <c r="E1473" s="105" t="s">
        <v>394</v>
      </c>
      <c r="F1473" s="493">
        <v>7601</v>
      </c>
      <c r="G1473" s="105" t="s">
        <v>36</v>
      </c>
      <c r="H1473" s="105" t="s">
        <v>342</v>
      </c>
      <c r="I1473" s="105" t="s">
        <v>334</v>
      </c>
      <c r="J1473" s="493">
        <v>22</v>
      </c>
      <c r="K1473" s="493">
        <v>1</v>
      </c>
      <c r="L1473" s="105" t="s">
        <v>335</v>
      </c>
      <c r="M1473" s="105" t="s">
        <v>655</v>
      </c>
      <c r="N1473" s="105" t="s">
        <v>656</v>
      </c>
      <c r="O1473" s="105" t="s">
        <v>656</v>
      </c>
      <c r="P1473" s="105" t="s">
        <v>339</v>
      </c>
      <c r="Q1473" s="494">
        <v>0</v>
      </c>
      <c r="R1473" s="494">
        <v>0</v>
      </c>
      <c r="S1473" s="494">
        <v>9763</v>
      </c>
      <c r="T1473" s="494">
        <v>9763</v>
      </c>
      <c r="U1473" s="494">
        <v>2861</v>
      </c>
      <c r="V1473" s="493">
        <v>2024</v>
      </c>
      <c r="W1473" s="495"/>
      <c r="X1473" s="496">
        <f t="shared" si="93"/>
        <v>3.4124432016777351</v>
      </c>
      <c r="Y1473" s="497" t="str">
        <f t="shared" si="96"/>
        <v/>
      </c>
      <c r="Z1473" s="497" t="str">
        <f t="shared" si="96"/>
        <v/>
      </c>
    </row>
    <row r="1474" spans="1:26" s="82" customFormat="1" ht="32" x14ac:dyDescent="0.4">
      <c r="A1474" s="493">
        <v>60562</v>
      </c>
      <c r="B1474" s="105" t="s">
        <v>329</v>
      </c>
      <c r="C1474" s="493" t="s">
        <v>330</v>
      </c>
      <c r="D1474" s="105" t="s">
        <v>1697</v>
      </c>
      <c r="E1474" s="105" t="s">
        <v>394</v>
      </c>
      <c r="F1474" s="493">
        <v>7601</v>
      </c>
      <c r="G1474" s="105" t="s">
        <v>36</v>
      </c>
      <c r="H1474" s="105" t="s">
        <v>342</v>
      </c>
      <c r="I1474" s="105" t="s">
        <v>334</v>
      </c>
      <c r="J1474" s="493">
        <v>22</v>
      </c>
      <c r="K1474" s="493">
        <v>1</v>
      </c>
      <c r="L1474" s="105" t="s">
        <v>335</v>
      </c>
      <c r="M1474" s="105" t="s">
        <v>403</v>
      </c>
      <c r="N1474" s="105" t="s">
        <v>404</v>
      </c>
      <c r="O1474" s="105" t="s">
        <v>232</v>
      </c>
      <c r="P1474" s="105" t="s">
        <v>346</v>
      </c>
      <c r="Q1474" s="494">
        <v>459</v>
      </c>
      <c r="R1474" s="494">
        <v>459</v>
      </c>
      <c r="S1474" s="494">
        <v>0</v>
      </c>
      <c r="T1474" s="494">
        <v>0</v>
      </c>
      <c r="U1474" s="494">
        <v>266</v>
      </c>
      <c r="V1474" s="493">
        <v>2024</v>
      </c>
      <c r="W1474" s="495"/>
      <c r="X1474" s="496" t="str">
        <f t="shared" si="93"/>
        <v/>
      </c>
      <c r="Y1474" s="497" t="str">
        <f t="shared" si="96"/>
        <v/>
      </c>
      <c r="Z1474" s="497" t="str">
        <f t="shared" si="96"/>
        <v/>
      </c>
    </row>
    <row r="1475" spans="1:26" s="82" customFormat="1" ht="32" x14ac:dyDescent="0.4">
      <c r="A1475" s="493">
        <v>60562</v>
      </c>
      <c r="B1475" s="105" t="s">
        <v>329</v>
      </c>
      <c r="C1475" s="493" t="s">
        <v>330</v>
      </c>
      <c r="D1475" s="105" t="s">
        <v>1697</v>
      </c>
      <c r="E1475" s="105" t="s">
        <v>394</v>
      </c>
      <c r="F1475" s="493">
        <v>7601</v>
      </c>
      <c r="G1475" s="105" t="s">
        <v>36</v>
      </c>
      <c r="H1475" s="105" t="s">
        <v>342</v>
      </c>
      <c r="I1475" s="105" t="s">
        <v>334</v>
      </c>
      <c r="J1475" s="493">
        <v>22</v>
      </c>
      <c r="K1475" s="493">
        <v>1</v>
      </c>
      <c r="L1475" s="105" t="s">
        <v>335</v>
      </c>
      <c r="M1475" s="105" t="s">
        <v>655</v>
      </c>
      <c r="N1475" s="105" t="s">
        <v>656</v>
      </c>
      <c r="O1475" s="105" t="s">
        <v>656</v>
      </c>
      <c r="P1475" s="105" t="s">
        <v>339</v>
      </c>
      <c r="Q1475" s="494">
        <v>0</v>
      </c>
      <c r="R1475" s="494">
        <v>0</v>
      </c>
      <c r="S1475" s="494">
        <v>27891</v>
      </c>
      <c r="T1475" s="494">
        <v>27891</v>
      </c>
      <c r="U1475" s="494">
        <v>8174.8</v>
      </c>
      <c r="V1475" s="493">
        <v>2024</v>
      </c>
      <c r="W1475" s="495"/>
      <c r="X1475" s="496">
        <f t="shared" si="93"/>
        <v>3.411826589029701</v>
      </c>
      <c r="Y1475" s="497" t="str">
        <f t="shared" si="96"/>
        <v/>
      </c>
      <c r="Z1475" s="497" t="str">
        <f t="shared" si="96"/>
        <v/>
      </c>
    </row>
    <row r="1476" spans="1:26" s="82" customFormat="1" x14ac:dyDescent="0.4">
      <c r="A1476" s="493">
        <v>60593</v>
      </c>
      <c r="B1476" s="105" t="s">
        <v>329</v>
      </c>
      <c r="C1476" s="493" t="s">
        <v>330</v>
      </c>
      <c r="D1476" s="105" t="s">
        <v>1698</v>
      </c>
      <c r="E1476" s="105" t="s">
        <v>1612</v>
      </c>
      <c r="F1476" s="493">
        <v>19497</v>
      </c>
      <c r="G1476" s="105" t="s">
        <v>37</v>
      </c>
      <c r="H1476" s="105" t="s">
        <v>342</v>
      </c>
      <c r="I1476" s="105" t="s">
        <v>334</v>
      </c>
      <c r="J1476" s="493">
        <v>22</v>
      </c>
      <c r="K1476" s="493">
        <v>1</v>
      </c>
      <c r="L1476" s="105" t="s">
        <v>335</v>
      </c>
      <c r="M1476" s="105" t="s">
        <v>990</v>
      </c>
      <c r="N1476" s="105" t="s">
        <v>228</v>
      </c>
      <c r="O1476" s="105" t="s">
        <v>228</v>
      </c>
      <c r="P1476" s="105" t="s">
        <v>356</v>
      </c>
      <c r="Q1476" s="494">
        <v>145671</v>
      </c>
      <c r="R1476" s="494">
        <v>145671</v>
      </c>
      <c r="S1476" s="494">
        <v>150624</v>
      </c>
      <c r="T1476" s="494">
        <v>150624</v>
      </c>
      <c r="U1476" s="494">
        <v>17672</v>
      </c>
      <c r="V1476" s="493">
        <v>2024</v>
      </c>
      <c r="W1476" s="495"/>
      <c r="X1476" s="496">
        <f t="shared" si="93"/>
        <v>8.5233137166138526</v>
      </c>
      <c r="Y1476" s="497" t="str">
        <f t="shared" si="96"/>
        <v/>
      </c>
      <c r="Z1476" s="497" t="str">
        <f t="shared" si="96"/>
        <v/>
      </c>
    </row>
    <row r="1477" spans="1:26" s="82" customFormat="1" x14ac:dyDescent="0.4">
      <c r="A1477" s="493">
        <v>60596</v>
      </c>
      <c r="B1477" s="105" t="s">
        <v>329</v>
      </c>
      <c r="C1477" s="493" t="s">
        <v>330</v>
      </c>
      <c r="D1477" s="105" t="s">
        <v>1699</v>
      </c>
      <c r="E1477" s="105" t="s">
        <v>1174</v>
      </c>
      <c r="F1477" s="493">
        <v>56215</v>
      </c>
      <c r="G1477" s="105" t="s">
        <v>52</v>
      </c>
      <c r="H1477" s="105" t="s">
        <v>333</v>
      </c>
      <c r="I1477" s="105" t="s">
        <v>334</v>
      </c>
      <c r="J1477" s="493">
        <v>22</v>
      </c>
      <c r="K1477" s="493">
        <v>2</v>
      </c>
      <c r="L1477" s="105" t="s">
        <v>343</v>
      </c>
      <c r="M1477" s="105" t="s">
        <v>695</v>
      </c>
      <c r="N1477" s="105" t="s">
        <v>696</v>
      </c>
      <c r="O1477" s="105" t="s">
        <v>696</v>
      </c>
      <c r="P1477" s="105" t="s">
        <v>339</v>
      </c>
      <c r="Q1477" s="494">
        <v>0</v>
      </c>
      <c r="R1477" s="494">
        <v>0</v>
      </c>
      <c r="S1477" s="494">
        <v>1172911</v>
      </c>
      <c r="T1477" s="494">
        <v>1172911</v>
      </c>
      <c r="U1477" s="494">
        <v>343761</v>
      </c>
      <c r="V1477" s="493">
        <v>2024</v>
      </c>
      <c r="W1477" s="495"/>
      <c r="X1477" s="496">
        <f t="shared" si="93"/>
        <v>3.4119955434153382</v>
      </c>
      <c r="Y1477" s="497" t="str">
        <f t="shared" si="96"/>
        <v/>
      </c>
      <c r="Z1477" s="497" t="str">
        <f t="shared" si="96"/>
        <v/>
      </c>
    </row>
    <row r="1478" spans="1:26" s="82" customFormat="1" x14ac:dyDescent="0.4">
      <c r="A1478" s="493">
        <v>60605</v>
      </c>
      <c r="B1478" s="105" t="s">
        <v>329</v>
      </c>
      <c r="C1478" s="493" t="s">
        <v>330</v>
      </c>
      <c r="D1478" s="105" t="s">
        <v>1700</v>
      </c>
      <c r="E1478" s="105" t="s">
        <v>1393</v>
      </c>
      <c r="F1478" s="493">
        <v>57313</v>
      </c>
      <c r="G1478" s="105" t="s">
        <v>37</v>
      </c>
      <c r="H1478" s="105" t="s">
        <v>342</v>
      </c>
      <c r="I1478" s="105" t="s">
        <v>334</v>
      </c>
      <c r="J1478" s="493">
        <v>22</v>
      </c>
      <c r="K1478" s="493">
        <v>2</v>
      </c>
      <c r="L1478" s="105" t="s">
        <v>343</v>
      </c>
      <c r="M1478" s="105" t="s">
        <v>655</v>
      </c>
      <c r="N1478" s="105" t="s">
        <v>656</v>
      </c>
      <c r="O1478" s="105" t="s">
        <v>656</v>
      </c>
      <c r="P1478" s="105" t="s">
        <v>339</v>
      </c>
      <c r="Q1478" s="494">
        <v>0</v>
      </c>
      <c r="R1478" s="494">
        <v>0</v>
      </c>
      <c r="S1478" s="494">
        <v>2987</v>
      </c>
      <c r="T1478" s="494">
        <v>2987</v>
      </c>
      <c r="U1478" s="494">
        <v>875</v>
      </c>
      <c r="V1478" s="493">
        <v>2024</v>
      </c>
      <c r="W1478" s="495"/>
      <c r="X1478" s="496">
        <f t="shared" si="93"/>
        <v>3.4137142857142857</v>
      </c>
      <c r="Y1478" s="497" t="str">
        <f t="shared" si="96"/>
        <v/>
      </c>
      <c r="Z1478" s="497" t="str">
        <f t="shared" si="96"/>
        <v/>
      </c>
    </row>
    <row r="1479" spans="1:26" s="82" customFormat="1" x14ac:dyDescent="0.4">
      <c r="A1479" s="493">
        <v>60607</v>
      </c>
      <c r="B1479" s="105" t="s">
        <v>329</v>
      </c>
      <c r="C1479" s="493" t="s">
        <v>330</v>
      </c>
      <c r="D1479" s="105" t="s">
        <v>1701</v>
      </c>
      <c r="E1479" s="105" t="s">
        <v>1393</v>
      </c>
      <c r="F1479" s="493">
        <v>57313</v>
      </c>
      <c r="G1479" s="105" t="s">
        <v>37</v>
      </c>
      <c r="H1479" s="105" t="s">
        <v>342</v>
      </c>
      <c r="I1479" s="105" t="s">
        <v>334</v>
      </c>
      <c r="J1479" s="493">
        <v>22</v>
      </c>
      <c r="K1479" s="493">
        <v>2</v>
      </c>
      <c r="L1479" s="105" t="s">
        <v>343</v>
      </c>
      <c r="M1479" s="105" t="s">
        <v>403</v>
      </c>
      <c r="N1479" s="105" t="s">
        <v>404</v>
      </c>
      <c r="O1479" s="105" t="s">
        <v>232</v>
      </c>
      <c r="P1479" s="105" t="s">
        <v>346</v>
      </c>
      <c r="Q1479" s="494">
        <v>137</v>
      </c>
      <c r="R1479" s="494">
        <v>137</v>
      </c>
      <c r="S1479" s="494">
        <v>0</v>
      </c>
      <c r="T1479" s="494">
        <v>0</v>
      </c>
      <c r="U1479" s="494">
        <v>0</v>
      </c>
      <c r="V1479" s="493">
        <v>2024</v>
      </c>
      <c r="W1479" s="495"/>
      <c r="X1479" s="496" t="str">
        <f t="shared" si="93"/>
        <v/>
      </c>
      <c r="Y1479" s="497" t="str">
        <f t="shared" si="96"/>
        <v/>
      </c>
      <c r="Z1479" s="497" t="str">
        <f t="shared" si="96"/>
        <v/>
      </c>
    </row>
    <row r="1480" spans="1:26" s="82" customFormat="1" x14ac:dyDescent="0.4">
      <c r="A1480" s="493">
        <v>60607</v>
      </c>
      <c r="B1480" s="105" t="s">
        <v>329</v>
      </c>
      <c r="C1480" s="493" t="s">
        <v>330</v>
      </c>
      <c r="D1480" s="105" t="s">
        <v>1701</v>
      </c>
      <c r="E1480" s="105" t="s">
        <v>1393</v>
      </c>
      <c r="F1480" s="493">
        <v>57313</v>
      </c>
      <c r="G1480" s="105" t="s">
        <v>37</v>
      </c>
      <c r="H1480" s="105" t="s">
        <v>342</v>
      </c>
      <c r="I1480" s="105" t="s">
        <v>334</v>
      </c>
      <c r="J1480" s="493">
        <v>22</v>
      </c>
      <c r="K1480" s="493">
        <v>2</v>
      </c>
      <c r="L1480" s="105" t="s">
        <v>343</v>
      </c>
      <c r="M1480" s="105" t="s">
        <v>655</v>
      </c>
      <c r="N1480" s="105" t="s">
        <v>656</v>
      </c>
      <c r="O1480" s="105" t="s">
        <v>656</v>
      </c>
      <c r="P1480" s="105" t="s">
        <v>339</v>
      </c>
      <c r="Q1480" s="494">
        <v>0</v>
      </c>
      <c r="R1480" s="494">
        <v>0</v>
      </c>
      <c r="S1480" s="494">
        <v>16960</v>
      </c>
      <c r="T1480" s="494">
        <v>16960</v>
      </c>
      <c r="U1480" s="494">
        <v>4971</v>
      </c>
      <c r="V1480" s="493">
        <v>2024</v>
      </c>
      <c r="W1480" s="495"/>
      <c r="X1480" s="496">
        <f t="shared" si="93"/>
        <v>3.4117883725608529</v>
      </c>
      <c r="Y1480" s="497" t="str">
        <f t="shared" si="96"/>
        <v/>
      </c>
      <c r="Z1480" s="497" t="str">
        <f t="shared" si="96"/>
        <v/>
      </c>
    </row>
    <row r="1481" spans="1:26" s="82" customFormat="1" x14ac:dyDescent="0.4">
      <c r="A1481" s="493">
        <v>60608</v>
      </c>
      <c r="B1481" s="105" t="s">
        <v>329</v>
      </c>
      <c r="C1481" s="493" t="s">
        <v>330</v>
      </c>
      <c r="D1481" s="105" t="s">
        <v>1702</v>
      </c>
      <c r="E1481" s="105" t="s">
        <v>1393</v>
      </c>
      <c r="F1481" s="493">
        <v>57313</v>
      </c>
      <c r="G1481" s="105" t="s">
        <v>37</v>
      </c>
      <c r="H1481" s="105" t="s">
        <v>342</v>
      </c>
      <c r="I1481" s="105" t="s">
        <v>334</v>
      </c>
      <c r="J1481" s="493">
        <v>22</v>
      </c>
      <c r="K1481" s="493">
        <v>2</v>
      </c>
      <c r="L1481" s="105" t="s">
        <v>343</v>
      </c>
      <c r="M1481" s="105" t="s">
        <v>655</v>
      </c>
      <c r="N1481" s="105" t="s">
        <v>656</v>
      </c>
      <c r="O1481" s="105" t="s">
        <v>656</v>
      </c>
      <c r="P1481" s="105" t="s">
        <v>339</v>
      </c>
      <c r="Q1481" s="494">
        <v>0</v>
      </c>
      <c r="R1481" s="494">
        <v>0</v>
      </c>
      <c r="S1481" s="494">
        <v>4349</v>
      </c>
      <c r="T1481" s="494">
        <v>4349</v>
      </c>
      <c r="U1481" s="494">
        <v>1275</v>
      </c>
      <c r="V1481" s="493">
        <v>2024</v>
      </c>
      <c r="W1481" s="495"/>
      <c r="X1481" s="496">
        <f t="shared" ref="X1481:X1544" si="97">IF(OR(K1481&gt;3,T1481=0,NOT(U1481&gt;0)),"",T1481/U1481)</f>
        <v>3.4109803921568629</v>
      </c>
      <c r="Y1481" s="497" t="str">
        <f t="shared" si="96"/>
        <v/>
      </c>
      <c r="Z1481" s="497" t="str">
        <f t="shared" si="96"/>
        <v/>
      </c>
    </row>
    <row r="1482" spans="1:26" s="82" customFormat="1" x14ac:dyDescent="0.4">
      <c r="A1482" s="493">
        <v>60609</v>
      </c>
      <c r="B1482" s="105" t="s">
        <v>329</v>
      </c>
      <c r="C1482" s="493" t="s">
        <v>330</v>
      </c>
      <c r="D1482" s="105" t="s">
        <v>1703</v>
      </c>
      <c r="E1482" s="105" t="s">
        <v>1393</v>
      </c>
      <c r="F1482" s="493">
        <v>57313</v>
      </c>
      <c r="G1482" s="105" t="s">
        <v>37</v>
      </c>
      <c r="H1482" s="105" t="s">
        <v>342</v>
      </c>
      <c r="I1482" s="105" t="s">
        <v>334</v>
      </c>
      <c r="J1482" s="493">
        <v>22</v>
      </c>
      <c r="K1482" s="493">
        <v>2</v>
      </c>
      <c r="L1482" s="105" t="s">
        <v>343</v>
      </c>
      <c r="M1482" s="105" t="s">
        <v>403</v>
      </c>
      <c r="N1482" s="105" t="s">
        <v>404</v>
      </c>
      <c r="O1482" s="105" t="s">
        <v>232</v>
      </c>
      <c r="P1482" s="105" t="s">
        <v>346</v>
      </c>
      <c r="Q1482" s="494">
        <v>116</v>
      </c>
      <c r="R1482" s="494">
        <v>116</v>
      </c>
      <c r="S1482" s="494">
        <v>0</v>
      </c>
      <c r="T1482" s="494">
        <v>0</v>
      </c>
      <c r="U1482" s="494">
        <v>-34</v>
      </c>
      <c r="V1482" s="493">
        <v>2024</v>
      </c>
      <c r="W1482" s="495"/>
      <c r="X1482" s="496" t="str">
        <f t="shared" si="97"/>
        <v/>
      </c>
      <c r="Y1482" s="497" t="str">
        <f t="shared" si="96"/>
        <v/>
      </c>
      <c r="Z1482" s="497" t="str">
        <f t="shared" si="96"/>
        <v/>
      </c>
    </row>
    <row r="1483" spans="1:26" s="82" customFormat="1" x14ac:dyDescent="0.4">
      <c r="A1483" s="493">
        <v>60609</v>
      </c>
      <c r="B1483" s="105" t="s">
        <v>329</v>
      </c>
      <c r="C1483" s="493" t="s">
        <v>330</v>
      </c>
      <c r="D1483" s="105" t="s">
        <v>1703</v>
      </c>
      <c r="E1483" s="105" t="s">
        <v>1393</v>
      </c>
      <c r="F1483" s="493">
        <v>57313</v>
      </c>
      <c r="G1483" s="105" t="s">
        <v>37</v>
      </c>
      <c r="H1483" s="105" t="s">
        <v>342</v>
      </c>
      <c r="I1483" s="105" t="s">
        <v>334</v>
      </c>
      <c r="J1483" s="493">
        <v>22</v>
      </c>
      <c r="K1483" s="493">
        <v>2</v>
      </c>
      <c r="L1483" s="105" t="s">
        <v>343</v>
      </c>
      <c r="M1483" s="105" t="s">
        <v>655</v>
      </c>
      <c r="N1483" s="105" t="s">
        <v>656</v>
      </c>
      <c r="O1483" s="105" t="s">
        <v>656</v>
      </c>
      <c r="P1483" s="105" t="s">
        <v>339</v>
      </c>
      <c r="Q1483" s="494">
        <v>0</v>
      </c>
      <c r="R1483" s="494">
        <v>0</v>
      </c>
      <c r="S1483" s="494">
        <v>13785</v>
      </c>
      <c r="T1483" s="494">
        <v>13785</v>
      </c>
      <c r="U1483" s="494">
        <v>4040</v>
      </c>
      <c r="V1483" s="493">
        <v>2024</v>
      </c>
      <c r="W1483" s="495"/>
      <c r="X1483" s="496">
        <f t="shared" si="97"/>
        <v>3.4121287128712869</v>
      </c>
      <c r="Y1483" s="497" t="str">
        <f t="shared" si="96"/>
        <v/>
      </c>
      <c r="Z1483" s="497" t="str">
        <f t="shared" si="96"/>
        <v/>
      </c>
    </row>
    <row r="1484" spans="1:26" s="82" customFormat="1" ht="32" x14ac:dyDescent="0.4">
      <c r="A1484" s="493">
        <v>60612</v>
      </c>
      <c r="B1484" s="105" t="s">
        <v>329</v>
      </c>
      <c r="C1484" s="493" t="s">
        <v>330</v>
      </c>
      <c r="D1484" s="105" t="s">
        <v>1704</v>
      </c>
      <c r="E1484" s="105" t="s">
        <v>1610</v>
      </c>
      <c r="F1484" s="493">
        <v>63621</v>
      </c>
      <c r="G1484" s="105" t="s">
        <v>33</v>
      </c>
      <c r="H1484" s="105" t="s">
        <v>342</v>
      </c>
      <c r="I1484" s="105" t="s">
        <v>334</v>
      </c>
      <c r="J1484" s="493">
        <v>22</v>
      </c>
      <c r="K1484" s="493">
        <v>2</v>
      </c>
      <c r="L1484" s="105" t="s">
        <v>343</v>
      </c>
      <c r="M1484" s="105" t="s">
        <v>655</v>
      </c>
      <c r="N1484" s="105" t="s">
        <v>656</v>
      </c>
      <c r="O1484" s="105" t="s">
        <v>656</v>
      </c>
      <c r="P1484" s="105" t="s">
        <v>339</v>
      </c>
      <c r="Q1484" s="494">
        <v>0</v>
      </c>
      <c r="R1484" s="494">
        <v>0</v>
      </c>
      <c r="S1484" s="494">
        <v>16900</v>
      </c>
      <c r="T1484" s="494">
        <v>16900</v>
      </c>
      <c r="U1484" s="494">
        <v>4953</v>
      </c>
      <c r="V1484" s="493">
        <v>2024</v>
      </c>
      <c r="W1484" s="495"/>
      <c r="X1484" s="496">
        <f t="shared" si="97"/>
        <v>3.4120734908136483</v>
      </c>
      <c r="Y1484" s="497" t="str">
        <f t="shared" si="96"/>
        <v/>
      </c>
      <c r="Z1484" s="497" t="str">
        <f t="shared" si="96"/>
        <v/>
      </c>
    </row>
    <row r="1485" spans="1:26" s="82" customFormat="1" ht="32" x14ac:dyDescent="0.4">
      <c r="A1485" s="493">
        <v>60613</v>
      </c>
      <c r="B1485" s="105" t="s">
        <v>329</v>
      </c>
      <c r="C1485" s="493" t="s">
        <v>330</v>
      </c>
      <c r="D1485" s="105" t="s">
        <v>1705</v>
      </c>
      <c r="E1485" s="105" t="s">
        <v>1610</v>
      </c>
      <c r="F1485" s="493">
        <v>63621</v>
      </c>
      <c r="G1485" s="105" t="s">
        <v>33</v>
      </c>
      <c r="H1485" s="105" t="s">
        <v>342</v>
      </c>
      <c r="I1485" s="105" t="s">
        <v>334</v>
      </c>
      <c r="J1485" s="493">
        <v>22</v>
      </c>
      <c r="K1485" s="493">
        <v>2</v>
      </c>
      <c r="L1485" s="105" t="s">
        <v>343</v>
      </c>
      <c r="M1485" s="105" t="s">
        <v>655</v>
      </c>
      <c r="N1485" s="105" t="s">
        <v>656</v>
      </c>
      <c r="O1485" s="105" t="s">
        <v>656</v>
      </c>
      <c r="P1485" s="105" t="s">
        <v>339</v>
      </c>
      <c r="Q1485" s="494">
        <v>0</v>
      </c>
      <c r="R1485" s="494">
        <v>0</v>
      </c>
      <c r="S1485" s="494">
        <v>8440</v>
      </c>
      <c r="T1485" s="494">
        <v>8440</v>
      </c>
      <c r="U1485" s="494">
        <v>2474</v>
      </c>
      <c r="V1485" s="493">
        <v>2024</v>
      </c>
      <c r="W1485" s="495"/>
      <c r="X1485" s="496">
        <f t="shared" si="97"/>
        <v>3.4114793856103476</v>
      </c>
      <c r="Y1485" s="497" t="str">
        <f t="shared" si="96"/>
        <v/>
      </c>
      <c r="Z1485" s="497" t="str">
        <f t="shared" si="96"/>
        <v/>
      </c>
    </row>
    <row r="1486" spans="1:26" s="82" customFormat="1" ht="32" x14ac:dyDescent="0.4">
      <c r="A1486" s="493">
        <v>60614</v>
      </c>
      <c r="B1486" s="105" t="s">
        <v>329</v>
      </c>
      <c r="C1486" s="493" t="s">
        <v>330</v>
      </c>
      <c r="D1486" s="105" t="s">
        <v>1706</v>
      </c>
      <c r="E1486" s="105" t="s">
        <v>1610</v>
      </c>
      <c r="F1486" s="493">
        <v>63621</v>
      </c>
      <c r="G1486" s="105" t="s">
        <v>33</v>
      </c>
      <c r="H1486" s="105" t="s">
        <v>342</v>
      </c>
      <c r="I1486" s="105" t="s">
        <v>334</v>
      </c>
      <c r="J1486" s="493">
        <v>22</v>
      </c>
      <c r="K1486" s="493">
        <v>2</v>
      </c>
      <c r="L1486" s="105" t="s">
        <v>343</v>
      </c>
      <c r="M1486" s="105" t="s">
        <v>655</v>
      </c>
      <c r="N1486" s="105" t="s">
        <v>656</v>
      </c>
      <c r="O1486" s="105" t="s">
        <v>656</v>
      </c>
      <c r="P1486" s="105" t="s">
        <v>339</v>
      </c>
      <c r="Q1486" s="494">
        <v>0</v>
      </c>
      <c r="R1486" s="494">
        <v>0</v>
      </c>
      <c r="S1486" s="494">
        <v>3469</v>
      </c>
      <c r="T1486" s="494">
        <v>3469</v>
      </c>
      <c r="U1486" s="494">
        <v>1017</v>
      </c>
      <c r="V1486" s="493">
        <v>2024</v>
      </c>
      <c r="W1486" s="495"/>
      <c r="X1486" s="496">
        <f t="shared" si="97"/>
        <v>3.4110127826941987</v>
      </c>
      <c r="Y1486" s="497" t="str">
        <f t="shared" si="96"/>
        <v/>
      </c>
      <c r="Z1486" s="497" t="str">
        <f t="shared" si="96"/>
        <v/>
      </c>
    </row>
    <row r="1487" spans="1:26" s="82" customFormat="1" ht="48" x14ac:dyDescent="0.4">
      <c r="A1487" s="493">
        <v>60615</v>
      </c>
      <c r="B1487" s="105" t="s">
        <v>329</v>
      </c>
      <c r="C1487" s="493" t="s">
        <v>330</v>
      </c>
      <c r="D1487" s="105" t="s">
        <v>1707</v>
      </c>
      <c r="E1487" s="105" t="s">
        <v>1708</v>
      </c>
      <c r="F1487" s="493">
        <v>60809</v>
      </c>
      <c r="G1487" s="105" t="s">
        <v>33</v>
      </c>
      <c r="H1487" s="105" t="s">
        <v>342</v>
      </c>
      <c r="I1487" s="105" t="s">
        <v>334</v>
      </c>
      <c r="J1487" s="493">
        <v>22</v>
      </c>
      <c r="K1487" s="493">
        <v>2</v>
      </c>
      <c r="L1487" s="105" t="s">
        <v>343</v>
      </c>
      <c r="M1487" s="105" t="s">
        <v>655</v>
      </c>
      <c r="N1487" s="105" t="s">
        <v>656</v>
      </c>
      <c r="O1487" s="105" t="s">
        <v>656</v>
      </c>
      <c r="P1487" s="105" t="s">
        <v>339</v>
      </c>
      <c r="Q1487" s="494">
        <v>0</v>
      </c>
      <c r="R1487" s="494">
        <v>0</v>
      </c>
      <c r="S1487" s="494">
        <v>11559</v>
      </c>
      <c r="T1487" s="494">
        <v>11559</v>
      </c>
      <c r="U1487" s="494">
        <v>3388</v>
      </c>
      <c r="V1487" s="493">
        <v>2024</v>
      </c>
      <c r="W1487" s="495"/>
      <c r="X1487" s="496">
        <f t="shared" si="97"/>
        <v>3.4117473435655254</v>
      </c>
      <c r="Y1487" s="497" t="str">
        <f t="shared" si="96"/>
        <v/>
      </c>
      <c r="Z1487" s="497" t="str">
        <f t="shared" si="96"/>
        <v/>
      </c>
    </row>
    <row r="1488" spans="1:26" s="82" customFormat="1" x14ac:dyDescent="0.4">
      <c r="A1488" s="493">
        <v>60621</v>
      </c>
      <c r="B1488" s="105" t="s">
        <v>329</v>
      </c>
      <c r="C1488" s="493" t="s">
        <v>330</v>
      </c>
      <c r="D1488" s="105" t="s">
        <v>1709</v>
      </c>
      <c r="E1488" s="105" t="s">
        <v>1710</v>
      </c>
      <c r="F1488" s="493">
        <v>60369</v>
      </c>
      <c r="G1488" s="105" t="s">
        <v>33</v>
      </c>
      <c r="H1488" s="105" t="s">
        <v>342</v>
      </c>
      <c r="I1488" s="105" t="s">
        <v>334</v>
      </c>
      <c r="J1488" s="493">
        <v>22</v>
      </c>
      <c r="K1488" s="493">
        <v>2</v>
      </c>
      <c r="L1488" s="105" t="s">
        <v>343</v>
      </c>
      <c r="M1488" s="105" t="s">
        <v>655</v>
      </c>
      <c r="N1488" s="105" t="s">
        <v>656</v>
      </c>
      <c r="O1488" s="105" t="s">
        <v>656</v>
      </c>
      <c r="P1488" s="105" t="s">
        <v>339</v>
      </c>
      <c r="Q1488" s="494">
        <v>0</v>
      </c>
      <c r="R1488" s="494">
        <v>0</v>
      </c>
      <c r="S1488" s="494">
        <v>27972</v>
      </c>
      <c r="T1488" s="494">
        <v>27972</v>
      </c>
      <c r="U1488" s="494">
        <v>8198</v>
      </c>
      <c r="V1488" s="493">
        <v>2024</v>
      </c>
      <c r="W1488" s="495"/>
      <c r="X1488" s="496">
        <f t="shared" si="97"/>
        <v>3.4120517199316907</v>
      </c>
      <c r="Y1488" s="497" t="str">
        <f t="shared" ref="Y1488:Z1507" si="98">IF(AND($M1488=$Y$2,$N1488=$Y$3,NOT($Q1488=$R1488),NOT($U1488=0)),IF($K1488=5,$S1488/($U1488+(8/5)*$U1488),IF($K1488=7,$S1488/($U1488+(29/25)*$U1488),"")),"")</f>
        <v/>
      </c>
      <c r="Z1488" s="497" t="str">
        <f t="shared" si="98"/>
        <v/>
      </c>
    </row>
    <row r="1489" spans="1:26" s="82" customFormat="1" ht="32" x14ac:dyDescent="0.4">
      <c r="A1489" s="493">
        <v>60625</v>
      </c>
      <c r="B1489" s="105" t="s">
        <v>329</v>
      </c>
      <c r="C1489" s="493" t="s">
        <v>330</v>
      </c>
      <c r="D1489" s="105" t="s">
        <v>1711</v>
      </c>
      <c r="E1489" s="105" t="s">
        <v>1712</v>
      </c>
      <c r="F1489" s="493">
        <v>60365</v>
      </c>
      <c r="G1489" s="105" t="s">
        <v>33</v>
      </c>
      <c r="H1489" s="105" t="s">
        <v>342</v>
      </c>
      <c r="I1489" s="105" t="s">
        <v>334</v>
      </c>
      <c r="J1489" s="493">
        <v>22</v>
      </c>
      <c r="K1489" s="493">
        <v>2</v>
      </c>
      <c r="L1489" s="105" t="s">
        <v>343</v>
      </c>
      <c r="M1489" s="105" t="s">
        <v>655</v>
      </c>
      <c r="N1489" s="105" t="s">
        <v>656</v>
      </c>
      <c r="O1489" s="105" t="s">
        <v>656</v>
      </c>
      <c r="P1489" s="105" t="s">
        <v>339</v>
      </c>
      <c r="Q1489" s="494">
        <v>0</v>
      </c>
      <c r="R1489" s="494">
        <v>0</v>
      </c>
      <c r="S1489" s="494">
        <v>6408</v>
      </c>
      <c r="T1489" s="494">
        <v>6408</v>
      </c>
      <c r="U1489" s="494">
        <v>1878</v>
      </c>
      <c r="V1489" s="493">
        <v>2024</v>
      </c>
      <c r="W1489" s="495"/>
      <c r="X1489" s="496">
        <f t="shared" si="97"/>
        <v>3.4121405750798721</v>
      </c>
      <c r="Y1489" s="497" t="str">
        <f t="shared" si="98"/>
        <v/>
      </c>
      <c r="Z1489" s="497" t="str">
        <f t="shared" si="98"/>
        <v/>
      </c>
    </row>
    <row r="1490" spans="1:26" s="82" customFormat="1" x14ac:dyDescent="0.4">
      <c r="A1490" s="493">
        <v>60640</v>
      </c>
      <c r="B1490" s="105" t="s">
        <v>329</v>
      </c>
      <c r="C1490" s="493" t="s">
        <v>330</v>
      </c>
      <c r="D1490" s="105" t="s">
        <v>1713</v>
      </c>
      <c r="E1490" s="105" t="s">
        <v>1713</v>
      </c>
      <c r="F1490" s="493">
        <v>64658</v>
      </c>
      <c r="G1490" s="105" t="s">
        <v>34</v>
      </c>
      <c r="H1490" s="105" t="s">
        <v>342</v>
      </c>
      <c r="I1490" s="105" t="s">
        <v>334</v>
      </c>
      <c r="J1490" s="493">
        <v>22</v>
      </c>
      <c r="K1490" s="493">
        <v>2</v>
      </c>
      <c r="L1490" s="105" t="s">
        <v>343</v>
      </c>
      <c r="M1490" s="105" t="s">
        <v>655</v>
      </c>
      <c r="N1490" s="105" t="s">
        <v>656</v>
      </c>
      <c r="O1490" s="105" t="s">
        <v>656</v>
      </c>
      <c r="P1490" s="105" t="s">
        <v>339</v>
      </c>
      <c r="Q1490" s="494">
        <v>0</v>
      </c>
      <c r="R1490" s="494">
        <v>0</v>
      </c>
      <c r="S1490" s="494">
        <v>6780</v>
      </c>
      <c r="T1490" s="494">
        <v>6780</v>
      </c>
      <c r="U1490" s="494">
        <v>1987</v>
      </c>
      <c r="V1490" s="493">
        <v>2024</v>
      </c>
      <c r="W1490" s="495"/>
      <c r="X1490" s="496">
        <f t="shared" si="97"/>
        <v>3.4121791645697033</v>
      </c>
      <c r="Y1490" s="497" t="str">
        <f t="shared" si="98"/>
        <v/>
      </c>
      <c r="Z1490" s="497" t="str">
        <f t="shared" si="98"/>
        <v/>
      </c>
    </row>
    <row r="1491" spans="1:26" s="82" customFormat="1" ht="32" x14ac:dyDescent="0.4">
      <c r="A1491" s="493">
        <v>60644</v>
      </c>
      <c r="B1491" s="105" t="s">
        <v>329</v>
      </c>
      <c r="C1491" s="493" t="s">
        <v>330</v>
      </c>
      <c r="D1491" s="105" t="s">
        <v>1714</v>
      </c>
      <c r="E1491" s="105" t="s">
        <v>1715</v>
      </c>
      <c r="F1491" s="493">
        <v>63622</v>
      </c>
      <c r="G1491" s="105" t="s">
        <v>33</v>
      </c>
      <c r="H1491" s="105" t="s">
        <v>342</v>
      </c>
      <c r="I1491" s="105" t="s">
        <v>334</v>
      </c>
      <c r="J1491" s="493">
        <v>22</v>
      </c>
      <c r="K1491" s="493">
        <v>2</v>
      </c>
      <c r="L1491" s="105" t="s">
        <v>343</v>
      </c>
      <c r="M1491" s="105" t="s">
        <v>655</v>
      </c>
      <c r="N1491" s="105" t="s">
        <v>656</v>
      </c>
      <c r="O1491" s="105" t="s">
        <v>656</v>
      </c>
      <c r="P1491" s="105" t="s">
        <v>339</v>
      </c>
      <c r="Q1491" s="494">
        <v>0</v>
      </c>
      <c r="R1491" s="494">
        <v>0</v>
      </c>
      <c r="S1491" s="494">
        <v>6367</v>
      </c>
      <c r="T1491" s="494">
        <v>6367</v>
      </c>
      <c r="U1491" s="494">
        <v>1866</v>
      </c>
      <c r="V1491" s="493">
        <v>2024</v>
      </c>
      <c r="W1491" s="495"/>
      <c r="X1491" s="496">
        <f t="shared" si="97"/>
        <v>3.412111468381565</v>
      </c>
      <c r="Y1491" s="497" t="str">
        <f t="shared" si="98"/>
        <v/>
      </c>
      <c r="Z1491" s="497" t="str">
        <f t="shared" si="98"/>
        <v/>
      </c>
    </row>
    <row r="1492" spans="1:26" s="82" customFormat="1" ht="32" x14ac:dyDescent="0.4">
      <c r="A1492" s="493">
        <v>60653</v>
      </c>
      <c r="B1492" s="105" t="s">
        <v>329</v>
      </c>
      <c r="C1492" s="493" t="s">
        <v>330</v>
      </c>
      <c r="D1492" s="105" t="s">
        <v>1716</v>
      </c>
      <c r="E1492" s="105" t="s">
        <v>1313</v>
      </c>
      <c r="F1492" s="493">
        <v>60281</v>
      </c>
      <c r="G1492" s="105" t="s">
        <v>33</v>
      </c>
      <c r="H1492" s="105" t="s">
        <v>342</v>
      </c>
      <c r="I1492" s="105" t="s">
        <v>334</v>
      </c>
      <c r="J1492" s="493">
        <v>22</v>
      </c>
      <c r="K1492" s="493">
        <v>2</v>
      </c>
      <c r="L1492" s="105" t="s">
        <v>343</v>
      </c>
      <c r="M1492" s="105" t="s">
        <v>655</v>
      </c>
      <c r="N1492" s="105" t="s">
        <v>656</v>
      </c>
      <c r="O1492" s="105" t="s">
        <v>656</v>
      </c>
      <c r="P1492" s="105" t="s">
        <v>339</v>
      </c>
      <c r="Q1492" s="494">
        <v>0</v>
      </c>
      <c r="R1492" s="494">
        <v>0</v>
      </c>
      <c r="S1492" s="494">
        <v>5032</v>
      </c>
      <c r="T1492" s="494">
        <v>5032</v>
      </c>
      <c r="U1492" s="494">
        <v>1475</v>
      </c>
      <c r="V1492" s="493">
        <v>2024</v>
      </c>
      <c r="W1492" s="495"/>
      <c r="X1492" s="496">
        <f t="shared" si="97"/>
        <v>3.4115254237288135</v>
      </c>
      <c r="Y1492" s="497" t="str">
        <f t="shared" si="98"/>
        <v/>
      </c>
      <c r="Z1492" s="497" t="str">
        <f t="shared" si="98"/>
        <v/>
      </c>
    </row>
    <row r="1493" spans="1:26" s="82" customFormat="1" ht="32" x14ac:dyDescent="0.4">
      <c r="A1493" s="493">
        <v>60677</v>
      </c>
      <c r="B1493" s="105" t="s">
        <v>329</v>
      </c>
      <c r="C1493" s="493" t="s">
        <v>330</v>
      </c>
      <c r="D1493" s="105" t="s">
        <v>1717</v>
      </c>
      <c r="E1493" s="105" t="s">
        <v>1718</v>
      </c>
      <c r="F1493" s="493">
        <v>60401</v>
      </c>
      <c r="G1493" s="105" t="s">
        <v>52</v>
      </c>
      <c r="H1493" s="105" t="s">
        <v>333</v>
      </c>
      <c r="I1493" s="105" t="s">
        <v>334</v>
      </c>
      <c r="J1493" s="493">
        <v>562212</v>
      </c>
      <c r="K1493" s="493">
        <v>4</v>
      </c>
      <c r="L1493" s="105" t="s">
        <v>766</v>
      </c>
      <c r="M1493" s="105" t="s">
        <v>655</v>
      </c>
      <c r="N1493" s="105" t="s">
        <v>656</v>
      </c>
      <c r="O1493" s="105" t="s">
        <v>656</v>
      </c>
      <c r="P1493" s="105" t="s">
        <v>339</v>
      </c>
      <c r="Q1493" s="494">
        <v>0</v>
      </c>
      <c r="R1493" s="494">
        <v>0</v>
      </c>
      <c r="S1493" s="494">
        <v>6220</v>
      </c>
      <c r="T1493" s="494">
        <v>6220</v>
      </c>
      <c r="U1493" s="494">
        <v>1823</v>
      </c>
      <c r="V1493" s="493">
        <v>2024</v>
      </c>
      <c r="W1493" s="495"/>
      <c r="X1493" s="496" t="str">
        <f t="shared" si="97"/>
        <v/>
      </c>
      <c r="Y1493" s="497" t="str">
        <f t="shared" si="98"/>
        <v/>
      </c>
      <c r="Z1493" s="497" t="str">
        <f t="shared" si="98"/>
        <v/>
      </c>
    </row>
    <row r="1494" spans="1:26" s="82" customFormat="1" x14ac:dyDescent="0.4">
      <c r="A1494" s="493">
        <v>60683</v>
      </c>
      <c r="B1494" s="105" t="s">
        <v>433</v>
      </c>
      <c r="C1494" s="493" t="s">
        <v>330</v>
      </c>
      <c r="D1494" s="105" t="s">
        <v>1719</v>
      </c>
      <c r="E1494" s="105" t="s">
        <v>1720</v>
      </c>
      <c r="F1494" s="493">
        <v>60403</v>
      </c>
      <c r="G1494" s="105" t="s">
        <v>37</v>
      </c>
      <c r="H1494" s="105" t="s">
        <v>342</v>
      </c>
      <c r="I1494" s="105" t="s">
        <v>334</v>
      </c>
      <c r="J1494" s="493">
        <v>22</v>
      </c>
      <c r="K1494" s="493">
        <v>3</v>
      </c>
      <c r="L1494" s="105" t="s">
        <v>436</v>
      </c>
      <c r="M1494" s="105" t="s">
        <v>990</v>
      </c>
      <c r="N1494" s="105" t="s">
        <v>228</v>
      </c>
      <c r="O1494" s="105" t="s">
        <v>228</v>
      </c>
      <c r="P1494" s="105" t="s">
        <v>356</v>
      </c>
      <c r="Q1494" s="494">
        <v>0</v>
      </c>
      <c r="R1494" s="494">
        <v>0</v>
      </c>
      <c r="S1494" s="494">
        <v>0</v>
      </c>
      <c r="T1494" s="494">
        <v>0</v>
      </c>
      <c r="U1494" s="494">
        <v>0</v>
      </c>
      <c r="V1494" s="493">
        <v>2024</v>
      </c>
      <c r="W1494" s="495"/>
      <c r="X1494" s="496" t="str">
        <f t="shared" si="97"/>
        <v/>
      </c>
      <c r="Y1494" s="497" t="str">
        <f t="shared" si="98"/>
        <v/>
      </c>
      <c r="Z1494" s="497" t="str">
        <f t="shared" si="98"/>
        <v/>
      </c>
    </row>
    <row r="1495" spans="1:26" s="82" customFormat="1" x14ac:dyDescent="0.4">
      <c r="A1495" s="493">
        <v>60700</v>
      </c>
      <c r="B1495" s="105" t="s">
        <v>329</v>
      </c>
      <c r="C1495" s="493" t="s">
        <v>330</v>
      </c>
      <c r="D1495" s="105" t="s">
        <v>1721</v>
      </c>
      <c r="E1495" s="105" t="s">
        <v>1721</v>
      </c>
      <c r="F1495" s="493">
        <v>60430</v>
      </c>
      <c r="G1495" s="105" t="s">
        <v>37</v>
      </c>
      <c r="H1495" s="105" t="s">
        <v>342</v>
      </c>
      <c r="I1495" s="105" t="s">
        <v>334</v>
      </c>
      <c r="J1495" s="493">
        <v>22</v>
      </c>
      <c r="K1495" s="493">
        <v>2</v>
      </c>
      <c r="L1495" s="105" t="s">
        <v>343</v>
      </c>
      <c r="M1495" s="105" t="s">
        <v>695</v>
      </c>
      <c r="N1495" s="105" t="s">
        <v>696</v>
      </c>
      <c r="O1495" s="105" t="s">
        <v>696</v>
      </c>
      <c r="P1495" s="105" t="s">
        <v>339</v>
      </c>
      <c r="Q1495" s="494">
        <v>0</v>
      </c>
      <c r="R1495" s="494">
        <v>0</v>
      </c>
      <c r="S1495" s="494">
        <v>35655</v>
      </c>
      <c r="T1495" s="494">
        <v>35655</v>
      </c>
      <c r="U1495" s="494">
        <v>10450</v>
      </c>
      <c r="V1495" s="493">
        <v>2024</v>
      </c>
      <c r="W1495" s="495"/>
      <c r="X1495" s="496">
        <f t="shared" si="97"/>
        <v>3.4119617224880381</v>
      </c>
      <c r="Y1495" s="497" t="str">
        <f t="shared" si="98"/>
        <v/>
      </c>
      <c r="Z1495" s="497" t="str">
        <f t="shared" si="98"/>
        <v/>
      </c>
    </row>
    <row r="1496" spans="1:26" s="82" customFormat="1" x14ac:dyDescent="0.4">
      <c r="A1496" s="493">
        <v>60710</v>
      </c>
      <c r="B1496" s="105" t="s">
        <v>329</v>
      </c>
      <c r="C1496" s="493" t="s">
        <v>330</v>
      </c>
      <c r="D1496" s="105" t="s">
        <v>1722</v>
      </c>
      <c r="E1496" s="105" t="s">
        <v>1383</v>
      </c>
      <c r="F1496" s="493">
        <v>61944</v>
      </c>
      <c r="G1496" s="105" t="s">
        <v>33</v>
      </c>
      <c r="H1496" s="105" t="s">
        <v>342</v>
      </c>
      <c r="I1496" s="105" t="s">
        <v>334</v>
      </c>
      <c r="J1496" s="493">
        <v>22</v>
      </c>
      <c r="K1496" s="493">
        <v>2</v>
      </c>
      <c r="L1496" s="105" t="s">
        <v>343</v>
      </c>
      <c r="M1496" s="105" t="s">
        <v>655</v>
      </c>
      <c r="N1496" s="105" t="s">
        <v>656</v>
      </c>
      <c r="O1496" s="105" t="s">
        <v>656</v>
      </c>
      <c r="P1496" s="105" t="s">
        <v>339</v>
      </c>
      <c r="Q1496" s="494">
        <v>0</v>
      </c>
      <c r="R1496" s="494">
        <v>0</v>
      </c>
      <c r="S1496" s="494">
        <v>9493</v>
      </c>
      <c r="T1496" s="494">
        <v>9493</v>
      </c>
      <c r="U1496" s="494">
        <v>2782</v>
      </c>
      <c r="V1496" s="493">
        <v>2024</v>
      </c>
      <c r="W1496" s="495"/>
      <c r="X1496" s="496">
        <f t="shared" si="97"/>
        <v>3.4122933141624729</v>
      </c>
      <c r="Y1496" s="497" t="str">
        <f t="shared" si="98"/>
        <v/>
      </c>
      <c r="Z1496" s="497" t="str">
        <f t="shared" si="98"/>
        <v/>
      </c>
    </row>
    <row r="1497" spans="1:26" s="82" customFormat="1" x14ac:dyDescent="0.4">
      <c r="A1497" s="493">
        <v>60730</v>
      </c>
      <c r="B1497" s="105" t="s">
        <v>329</v>
      </c>
      <c r="C1497" s="493" t="s">
        <v>330</v>
      </c>
      <c r="D1497" s="105" t="s">
        <v>1723</v>
      </c>
      <c r="E1497" s="105" t="s">
        <v>1383</v>
      </c>
      <c r="F1497" s="493">
        <v>61944</v>
      </c>
      <c r="G1497" s="105" t="s">
        <v>33</v>
      </c>
      <c r="H1497" s="105" t="s">
        <v>342</v>
      </c>
      <c r="I1497" s="105" t="s">
        <v>334</v>
      </c>
      <c r="J1497" s="493">
        <v>22</v>
      </c>
      <c r="K1497" s="493">
        <v>2</v>
      </c>
      <c r="L1497" s="105" t="s">
        <v>343</v>
      </c>
      <c r="M1497" s="105" t="s">
        <v>655</v>
      </c>
      <c r="N1497" s="105" t="s">
        <v>656</v>
      </c>
      <c r="O1497" s="105" t="s">
        <v>656</v>
      </c>
      <c r="P1497" s="105" t="s">
        <v>339</v>
      </c>
      <c r="Q1497" s="494">
        <v>0</v>
      </c>
      <c r="R1497" s="494">
        <v>0</v>
      </c>
      <c r="S1497" s="494">
        <v>13451</v>
      </c>
      <c r="T1497" s="494">
        <v>13451</v>
      </c>
      <c r="U1497" s="494">
        <v>3942</v>
      </c>
      <c r="V1497" s="493">
        <v>2024</v>
      </c>
      <c r="W1497" s="495"/>
      <c r="X1497" s="496">
        <f t="shared" si="97"/>
        <v>3.4122272957889397</v>
      </c>
      <c r="Y1497" s="497" t="str">
        <f t="shared" si="98"/>
        <v/>
      </c>
      <c r="Z1497" s="497" t="str">
        <f t="shared" si="98"/>
        <v/>
      </c>
    </row>
    <row r="1498" spans="1:26" s="82" customFormat="1" x14ac:dyDescent="0.4">
      <c r="A1498" s="493">
        <v>60731</v>
      </c>
      <c r="B1498" s="105" t="s">
        <v>329</v>
      </c>
      <c r="C1498" s="493" t="s">
        <v>330</v>
      </c>
      <c r="D1498" s="105" t="s">
        <v>1724</v>
      </c>
      <c r="E1498" s="105" t="s">
        <v>1383</v>
      </c>
      <c r="F1498" s="493">
        <v>61944</v>
      </c>
      <c r="G1498" s="105" t="s">
        <v>33</v>
      </c>
      <c r="H1498" s="105" t="s">
        <v>342</v>
      </c>
      <c r="I1498" s="105" t="s">
        <v>334</v>
      </c>
      <c r="J1498" s="493">
        <v>22</v>
      </c>
      <c r="K1498" s="493">
        <v>2</v>
      </c>
      <c r="L1498" s="105" t="s">
        <v>343</v>
      </c>
      <c r="M1498" s="105" t="s">
        <v>655</v>
      </c>
      <c r="N1498" s="105" t="s">
        <v>656</v>
      </c>
      <c r="O1498" s="105" t="s">
        <v>656</v>
      </c>
      <c r="P1498" s="105" t="s">
        <v>339</v>
      </c>
      <c r="Q1498" s="494">
        <v>0</v>
      </c>
      <c r="R1498" s="494">
        <v>0</v>
      </c>
      <c r="S1498" s="494">
        <v>3908</v>
      </c>
      <c r="T1498" s="494">
        <v>3908</v>
      </c>
      <c r="U1498" s="494">
        <v>1145</v>
      </c>
      <c r="V1498" s="493">
        <v>2024</v>
      </c>
      <c r="W1498" s="495"/>
      <c r="X1498" s="496">
        <f t="shared" si="97"/>
        <v>3.4131004366812228</v>
      </c>
      <c r="Y1498" s="497" t="str">
        <f t="shared" si="98"/>
        <v/>
      </c>
      <c r="Z1498" s="497" t="str">
        <f t="shared" si="98"/>
        <v/>
      </c>
    </row>
    <row r="1499" spans="1:26" s="82" customFormat="1" x14ac:dyDescent="0.4">
      <c r="A1499" s="493">
        <v>60736</v>
      </c>
      <c r="B1499" s="105" t="s">
        <v>329</v>
      </c>
      <c r="C1499" s="493" t="s">
        <v>330</v>
      </c>
      <c r="D1499" s="105" t="s">
        <v>1725</v>
      </c>
      <c r="E1499" s="105" t="s">
        <v>1383</v>
      </c>
      <c r="F1499" s="493">
        <v>61944</v>
      </c>
      <c r="G1499" s="105" t="s">
        <v>33</v>
      </c>
      <c r="H1499" s="105" t="s">
        <v>342</v>
      </c>
      <c r="I1499" s="105" t="s">
        <v>334</v>
      </c>
      <c r="J1499" s="493">
        <v>22</v>
      </c>
      <c r="K1499" s="493">
        <v>2</v>
      </c>
      <c r="L1499" s="105" t="s">
        <v>343</v>
      </c>
      <c r="M1499" s="105" t="s">
        <v>655</v>
      </c>
      <c r="N1499" s="105" t="s">
        <v>656</v>
      </c>
      <c r="O1499" s="105" t="s">
        <v>656</v>
      </c>
      <c r="P1499" s="105" t="s">
        <v>339</v>
      </c>
      <c r="Q1499" s="494">
        <v>0</v>
      </c>
      <c r="R1499" s="494">
        <v>0</v>
      </c>
      <c r="S1499" s="494">
        <v>9028</v>
      </c>
      <c r="T1499" s="494">
        <v>9028</v>
      </c>
      <c r="U1499" s="494">
        <v>2646</v>
      </c>
      <c r="V1499" s="493">
        <v>2024</v>
      </c>
      <c r="W1499" s="495"/>
      <c r="X1499" s="496">
        <f t="shared" si="97"/>
        <v>3.4119425547996975</v>
      </c>
      <c r="Y1499" s="497" t="str">
        <f t="shared" si="98"/>
        <v/>
      </c>
      <c r="Z1499" s="497" t="str">
        <f t="shared" si="98"/>
        <v/>
      </c>
    </row>
    <row r="1500" spans="1:26" s="82" customFormat="1" x14ac:dyDescent="0.4">
      <c r="A1500" s="493">
        <v>60738</v>
      </c>
      <c r="B1500" s="105" t="s">
        <v>329</v>
      </c>
      <c r="C1500" s="493" t="s">
        <v>330</v>
      </c>
      <c r="D1500" s="105" t="s">
        <v>1726</v>
      </c>
      <c r="E1500" s="105" t="s">
        <v>1383</v>
      </c>
      <c r="F1500" s="493">
        <v>61944</v>
      </c>
      <c r="G1500" s="105" t="s">
        <v>33</v>
      </c>
      <c r="H1500" s="105" t="s">
        <v>342</v>
      </c>
      <c r="I1500" s="105" t="s">
        <v>334</v>
      </c>
      <c r="J1500" s="493">
        <v>22</v>
      </c>
      <c r="K1500" s="493">
        <v>2</v>
      </c>
      <c r="L1500" s="105" t="s">
        <v>343</v>
      </c>
      <c r="M1500" s="105" t="s">
        <v>655</v>
      </c>
      <c r="N1500" s="105" t="s">
        <v>656</v>
      </c>
      <c r="O1500" s="105" t="s">
        <v>656</v>
      </c>
      <c r="P1500" s="105" t="s">
        <v>339</v>
      </c>
      <c r="Q1500" s="494">
        <v>0</v>
      </c>
      <c r="R1500" s="494">
        <v>0</v>
      </c>
      <c r="S1500" s="494">
        <v>8495</v>
      </c>
      <c r="T1500" s="494">
        <v>8495</v>
      </c>
      <c r="U1500" s="494">
        <v>2490</v>
      </c>
      <c r="V1500" s="493">
        <v>2024</v>
      </c>
      <c r="W1500" s="495"/>
      <c r="X1500" s="496">
        <f t="shared" si="97"/>
        <v>3.4116465863453813</v>
      </c>
      <c r="Y1500" s="497" t="str">
        <f t="shared" si="98"/>
        <v/>
      </c>
      <c r="Z1500" s="497" t="str">
        <f t="shared" si="98"/>
        <v/>
      </c>
    </row>
    <row r="1501" spans="1:26" s="82" customFormat="1" ht="32" x14ac:dyDescent="0.4">
      <c r="A1501" s="493">
        <v>60753</v>
      </c>
      <c r="B1501" s="105" t="s">
        <v>329</v>
      </c>
      <c r="C1501" s="493" t="s">
        <v>330</v>
      </c>
      <c r="D1501" s="105" t="s">
        <v>1727</v>
      </c>
      <c r="E1501" s="105" t="s">
        <v>1313</v>
      </c>
      <c r="F1501" s="493">
        <v>60281</v>
      </c>
      <c r="G1501" s="105" t="s">
        <v>33</v>
      </c>
      <c r="H1501" s="105" t="s">
        <v>342</v>
      </c>
      <c r="I1501" s="105" t="s">
        <v>334</v>
      </c>
      <c r="J1501" s="493">
        <v>22</v>
      </c>
      <c r="K1501" s="493">
        <v>2</v>
      </c>
      <c r="L1501" s="105" t="s">
        <v>343</v>
      </c>
      <c r="M1501" s="105" t="s">
        <v>655</v>
      </c>
      <c r="N1501" s="105" t="s">
        <v>656</v>
      </c>
      <c r="O1501" s="105" t="s">
        <v>656</v>
      </c>
      <c r="P1501" s="105" t="s">
        <v>339</v>
      </c>
      <c r="Q1501" s="494">
        <v>0</v>
      </c>
      <c r="R1501" s="494">
        <v>0</v>
      </c>
      <c r="S1501" s="494">
        <v>4990</v>
      </c>
      <c r="T1501" s="494">
        <v>4990</v>
      </c>
      <c r="U1501" s="494">
        <v>1462</v>
      </c>
      <c r="V1501" s="493">
        <v>2024</v>
      </c>
      <c r="W1501" s="495"/>
      <c r="X1501" s="496">
        <f t="shared" si="97"/>
        <v>3.4131326949384406</v>
      </c>
      <c r="Y1501" s="497" t="str">
        <f t="shared" si="98"/>
        <v/>
      </c>
      <c r="Z1501" s="497" t="str">
        <f t="shared" si="98"/>
        <v/>
      </c>
    </row>
    <row r="1502" spans="1:26" s="82" customFormat="1" ht="32" x14ac:dyDescent="0.4">
      <c r="A1502" s="493">
        <v>60754</v>
      </c>
      <c r="B1502" s="105" t="s">
        <v>329</v>
      </c>
      <c r="C1502" s="493" t="s">
        <v>330</v>
      </c>
      <c r="D1502" s="105" t="s">
        <v>1728</v>
      </c>
      <c r="E1502" s="105" t="s">
        <v>1313</v>
      </c>
      <c r="F1502" s="493">
        <v>60281</v>
      </c>
      <c r="G1502" s="105" t="s">
        <v>33</v>
      </c>
      <c r="H1502" s="105" t="s">
        <v>342</v>
      </c>
      <c r="I1502" s="105" t="s">
        <v>334</v>
      </c>
      <c r="J1502" s="493">
        <v>22</v>
      </c>
      <c r="K1502" s="493">
        <v>2</v>
      </c>
      <c r="L1502" s="105" t="s">
        <v>343</v>
      </c>
      <c r="M1502" s="105" t="s">
        <v>655</v>
      </c>
      <c r="N1502" s="105" t="s">
        <v>656</v>
      </c>
      <c r="O1502" s="105" t="s">
        <v>656</v>
      </c>
      <c r="P1502" s="105" t="s">
        <v>339</v>
      </c>
      <c r="Q1502" s="494">
        <v>0</v>
      </c>
      <c r="R1502" s="494">
        <v>0</v>
      </c>
      <c r="S1502" s="494">
        <v>6479</v>
      </c>
      <c r="T1502" s="494">
        <v>6479</v>
      </c>
      <c r="U1502" s="494">
        <v>1899</v>
      </c>
      <c r="V1502" s="493">
        <v>2024</v>
      </c>
      <c r="W1502" s="495"/>
      <c r="X1502" s="496">
        <f t="shared" si="97"/>
        <v>3.4117956819378619</v>
      </c>
      <c r="Y1502" s="497" t="str">
        <f t="shared" si="98"/>
        <v/>
      </c>
      <c r="Z1502" s="497" t="str">
        <f t="shared" si="98"/>
        <v/>
      </c>
    </row>
    <row r="1503" spans="1:26" s="82" customFormat="1" ht="32" x14ac:dyDescent="0.4">
      <c r="A1503" s="493">
        <v>60756</v>
      </c>
      <c r="B1503" s="105" t="s">
        <v>329</v>
      </c>
      <c r="C1503" s="493" t="s">
        <v>330</v>
      </c>
      <c r="D1503" s="105" t="s">
        <v>1729</v>
      </c>
      <c r="E1503" s="105" t="s">
        <v>1313</v>
      </c>
      <c r="F1503" s="493">
        <v>60281</v>
      </c>
      <c r="G1503" s="105" t="s">
        <v>33</v>
      </c>
      <c r="H1503" s="105" t="s">
        <v>342</v>
      </c>
      <c r="I1503" s="105" t="s">
        <v>334</v>
      </c>
      <c r="J1503" s="493">
        <v>22</v>
      </c>
      <c r="K1503" s="493">
        <v>2</v>
      </c>
      <c r="L1503" s="105" t="s">
        <v>343</v>
      </c>
      <c r="M1503" s="105" t="s">
        <v>655</v>
      </c>
      <c r="N1503" s="105" t="s">
        <v>656</v>
      </c>
      <c r="O1503" s="105" t="s">
        <v>656</v>
      </c>
      <c r="P1503" s="105" t="s">
        <v>339</v>
      </c>
      <c r="Q1503" s="494">
        <v>0</v>
      </c>
      <c r="R1503" s="494">
        <v>0</v>
      </c>
      <c r="S1503" s="494">
        <v>14607</v>
      </c>
      <c r="T1503" s="494">
        <v>14607</v>
      </c>
      <c r="U1503" s="494">
        <v>4281</v>
      </c>
      <c r="V1503" s="493">
        <v>2024</v>
      </c>
      <c r="W1503" s="495"/>
      <c r="X1503" s="496">
        <f t="shared" si="97"/>
        <v>3.412053258584443</v>
      </c>
      <c r="Y1503" s="497" t="str">
        <f t="shared" si="98"/>
        <v/>
      </c>
      <c r="Z1503" s="497" t="str">
        <f t="shared" si="98"/>
        <v/>
      </c>
    </row>
    <row r="1504" spans="1:26" s="82" customFormat="1" ht="32" x14ac:dyDescent="0.4">
      <c r="A1504" s="493">
        <v>60757</v>
      </c>
      <c r="B1504" s="105" t="s">
        <v>329</v>
      </c>
      <c r="C1504" s="493" t="s">
        <v>330</v>
      </c>
      <c r="D1504" s="105" t="s">
        <v>1730</v>
      </c>
      <c r="E1504" s="105" t="s">
        <v>1313</v>
      </c>
      <c r="F1504" s="493">
        <v>60281</v>
      </c>
      <c r="G1504" s="105" t="s">
        <v>33</v>
      </c>
      <c r="H1504" s="105" t="s">
        <v>342</v>
      </c>
      <c r="I1504" s="105" t="s">
        <v>334</v>
      </c>
      <c r="J1504" s="493">
        <v>22</v>
      </c>
      <c r="K1504" s="493">
        <v>2</v>
      </c>
      <c r="L1504" s="105" t="s">
        <v>343</v>
      </c>
      <c r="M1504" s="105" t="s">
        <v>655</v>
      </c>
      <c r="N1504" s="105" t="s">
        <v>656</v>
      </c>
      <c r="O1504" s="105" t="s">
        <v>656</v>
      </c>
      <c r="P1504" s="105" t="s">
        <v>339</v>
      </c>
      <c r="Q1504" s="494">
        <v>0</v>
      </c>
      <c r="R1504" s="494">
        <v>0</v>
      </c>
      <c r="S1504" s="494">
        <v>14946</v>
      </c>
      <c r="T1504" s="494">
        <v>14946</v>
      </c>
      <c r="U1504" s="494">
        <v>4380</v>
      </c>
      <c r="V1504" s="493">
        <v>2024</v>
      </c>
      <c r="W1504" s="495"/>
      <c r="X1504" s="496">
        <f t="shared" si="97"/>
        <v>3.4123287671232876</v>
      </c>
      <c r="Y1504" s="497" t="str">
        <f t="shared" si="98"/>
        <v/>
      </c>
      <c r="Z1504" s="497" t="str">
        <f t="shared" si="98"/>
        <v/>
      </c>
    </row>
    <row r="1505" spans="1:26" s="82" customFormat="1" x14ac:dyDescent="0.4">
      <c r="A1505" s="493">
        <v>60775</v>
      </c>
      <c r="B1505" s="105" t="s">
        <v>329</v>
      </c>
      <c r="C1505" s="493" t="s">
        <v>330</v>
      </c>
      <c r="D1505" s="105" t="s">
        <v>1731</v>
      </c>
      <c r="E1505" s="105" t="s">
        <v>1383</v>
      </c>
      <c r="F1505" s="493">
        <v>61944</v>
      </c>
      <c r="G1505" s="105" t="s">
        <v>33</v>
      </c>
      <c r="H1505" s="105" t="s">
        <v>342</v>
      </c>
      <c r="I1505" s="105" t="s">
        <v>334</v>
      </c>
      <c r="J1505" s="493">
        <v>22</v>
      </c>
      <c r="K1505" s="493">
        <v>2</v>
      </c>
      <c r="L1505" s="105" t="s">
        <v>343</v>
      </c>
      <c r="M1505" s="105" t="s">
        <v>655</v>
      </c>
      <c r="N1505" s="105" t="s">
        <v>656</v>
      </c>
      <c r="O1505" s="105" t="s">
        <v>656</v>
      </c>
      <c r="P1505" s="105" t="s">
        <v>339</v>
      </c>
      <c r="Q1505" s="494">
        <v>0</v>
      </c>
      <c r="R1505" s="494">
        <v>0</v>
      </c>
      <c r="S1505" s="494">
        <v>21605</v>
      </c>
      <c r="T1505" s="494">
        <v>21605</v>
      </c>
      <c r="U1505" s="494">
        <v>6332</v>
      </c>
      <c r="V1505" s="493">
        <v>2024</v>
      </c>
      <c r="W1505" s="495"/>
      <c r="X1505" s="496">
        <f t="shared" si="97"/>
        <v>3.4120341124447253</v>
      </c>
      <c r="Y1505" s="497" t="str">
        <f t="shared" si="98"/>
        <v/>
      </c>
      <c r="Z1505" s="497" t="str">
        <f t="shared" si="98"/>
        <v/>
      </c>
    </row>
    <row r="1506" spans="1:26" s="82" customFormat="1" x14ac:dyDescent="0.4">
      <c r="A1506" s="493">
        <v>60799</v>
      </c>
      <c r="B1506" s="105" t="s">
        <v>329</v>
      </c>
      <c r="C1506" s="493" t="s">
        <v>330</v>
      </c>
      <c r="D1506" s="105" t="s">
        <v>1732</v>
      </c>
      <c r="E1506" s="105" t="s">
        <v>1732</v>
      </c>
      <c r="F1506" s="493">
        <v>60479</v>
      </c>
      <c r="G1506" s="105" t="s">
        <v>33</v>
      </c>
      <c r="H1506" s="105" t="s">
        <v>342</v>
      </c>
      <c r="I1506" s="105" t="s">
        <v>334</v>
      </c>
      <c r="J1506" s="493">
        <v>22</v>
      </c>
      <c r="K1506" s="493">
        <v>2</v>
      </c>
      <c r="L1506" s="105" t="s">
        <v>343</v>
      </c>
      <c r="M1506" s="105" t="s">
        <v>655</v>
      </c>
      <c r="N1506" s="105" t="s">
        <v>656</v>
      </c>
      <c r="O1506" s="105" t="s">
        <v>656</v>
      </c>
      <c r="P1506" s="105" t="s">
        <v>339</v>
      </c>
      <c r="Q1506" s="494">
        <v>0</v>
      </c>
      <c r="R1506" s="494">
        <v>0</v>
      </c>
      <c r="S1506" s="494">
        <v>23515</v>
      </c>
      <c r="T1506" s="494">
        <v>23515</v>
      </c>
      <c r="U1506" s="494">
        <v>6892</v>
      </c>
      <c r="V1506" s="493">
        <v>2024</v>
      </c>
      <c r="W1506" s="495"/>
      <c r="X1506" s="496">
        <f t="shared" si="97"/>
        <v>3.4119268717353455</v>
      </c>
      <c r="Y1506" s="497" t="str">
        <f t="shared" si="98"/>
        <v/>
      </c>
      <c r="Z1506" s="497" t="str">
        <f t="shared" si="98"/>
        <v/>
      </c>
    </row>
    <row r="1507" spans="1:26" s="82" customFormat="1" x14ac:dyDescent="0.4">
      <c r="A1507" s="493">
        <v>60815</v>
      </c>
      <c r="B1507" s="105" t="s">
        <v>329</v>
      </c>
      <c r="C1507" s="493" t="s">
        <v>330</v>
      </c>
      <c r="D1507" s="105" t="s">
        <v>1733</v>
      </c>
      <c r="E1507" s="105" t="s">
        <v>1393</v>
      </c>
      <c r="F1507" s="493">
        <v>57313</v>
      </c>
      <c r="G1507" s="105" t="s">
        <v>33</v>
      </c>
      <c r="H1507" s="105" t="s">
        <v>342</v>
      </c>
      <c r="I1507" s="105" t="s">
        <v>334</v>
      </c>
      <c r="J1507" s="493">
        <v>22</v>
      </c>
      <c r="K1507" s="493">
        <v>2</v>
      </c>
      <c r="L1507" s="105" t="s">
        <v>343</v>
      </c>
      <c r="M1507" s="105" t="s">
        <v>403</v>
      </c>
      <c r="N1507" s="105" t="s">
        <v>404</v>
      </c>
      <c r="O1507" s="105" t="s">
        <v>232</v>
      </c>
      <c r="P1507" s="105" t="s">
        <v>346</v>
      </c>
      <c r="Q1507" s="494">
        <v>74</v>
      </c>
      <c r="R1507" s="494">
        <v>74</v>
      </c>
      <c r="S1507" s="494">
        <v>0</v>
      </c>
      <c r="T1507" s="494">
        <v>0</v>
      </c>
      <c r="U1507" s="494">
        <v>-34</v>
      </c>
      <c r="V1507" s="493">
        <v>2024</v>
      </c>
      <c r="W1507" s="495"/>
      <c r="X1507" s="496" t="str">
        <f t="shared" si="97"/>
        <v/>
      </c>
      <c r="Y1507" s="497" t="str">
        <f t="shared" si="98"/>
        <v/>
      </c>
      <c r="Z1507" s="497" t="str">
        <f t="shared" si="98"/>
        <v/>
      </c>
    </row>
    <row r="1508" spans="1:26" s="82" customFormat="1" x14ac:dyDescent="0.4">
      <c r="A1508" s="493">
        <v>60815</v>
      </c>
      <c r="B1508" s="105" t="s">
        <v>329</v>
      </c>
      <c r="C1508" s="493" t="s">
        <v>330</v>
      </c>
      <c r="D1508" s="105" t="s">
        <v>1733</v>
      </c>
      <c r="E1508" s="105" t="s">
        <v>1393</v>
      </c>
      <c r="F1508" s="493">
        <v>57313</v>
      </c>
      <c r="G1508" s="105" t="s">
        <v>33</v>
      </c>
      <c r="H1508" s="105" t="s">
        <v>342</v>
      </c>
      <c r="I1508" s="105" t="s">
        <v>334</v>
      </c>
      <c r="J1508" s="493">
        <v>22</v>
      </c>
      <c r="K1508" s="493">
        <v>2</v>
      </c>
      <c r="L1508" s="105" t="s">
        <v>343</v>
      </c>
      <c r="M1508" s="105" t="s">
        <v>655</v>
      </c>
      <c r="N1508" s="105" t="s">
        <v>656</v>
      </c>
      <c r="O1508" s="105" t="s">
        <v>656</v>
      </c>
      <c r="P1508" s="105" t="s">
        <v>339</v>
      </c>
      <c r="Q1508" s="494">
        <v>0</v>
      </c>
      <c r="R1508" s="494">
        <v>0</v>
      </c>
      <c r="S1508" s="494">
        <v>17896</v>
      </c>
      <c r="T1508" s="494">
        <v>17896</v>
      </c>
      <c r="U1508" s="494">
        <v>5245</v>
      </c>
      <c r="V1508" s="493">
        <v>2024</v>
      </c>
      <c r="W1508" s="495"/>
      <c r="X1508" s="496">
        <f t="shared" si="97"/>
        <v>3.4120114394661583</v>
      </c>
      <c r="Y1508" s="497" t="str">
        <f t="shared" ref="Y1508:Z1527" si="99">IF(AND($M1508=$Y$2,$N1508=$Y$3,NOT($Q1508=$R1508),NOT($U1508=0)),IF($K1508=5,$S1508/($U1508+(8/5)*$U1508),IF($K1508=7,$S1508/($U1508+(29/25)*$U1508),"")),"")</f>
        <v/>
      </c>
      <c r="Z1508" s="497" t="str">
        <f t="shared" si="99"/>
        <v/>
      </c>
    </row>
    <row r="1509" spans="1:26" s="82" customFormat="1" ht="32" x14ac:dyDescent="0.4">
      <c r="A1509" s="493">
        <v>60816</v>
      </c>
      <c r="B1509" s="105" t="s">
        <v>329</v>
      </c>
      <c r="C1509" s="493" t="s">
        <v>330</v>
      </c>
      <c r="D1509" s="105" t="s">
        <v>1734</v>
      </c>
      <c r="E1509" s="105" t="s">
        <v>1735</v>
      </c>
      <c r="F1509" s="493">
        <v>61132</v>
      </c>
      <c r="G1509" s="105" t="s">
        <v>33</v>
      </c>
      <c r="H1509" s="105" t="s">
        <v>342</v>
      </c>
      <c r="I1509" s="105" t="s">
        <v>334</v>
      </c>
      <c r="J1509" s="493">
        <v>22</v>
      </c>
      <c r="K1509" s="493">
        <v>2</v>
      </c>
      <c r="L1509" s="105" t="s">
        <v>343</v>
      </c>
      <c r="M1509" s="105" t="s">
        <v>655</v>
      </c>
      <c r="N1509" s="105" t="s">
        <v>656</v>
      </c>
      <c r="O1509" s="105" t="s">
        <v>656</v>
      </c>
      <c r="P1509" s="105" t="s">
        <v>339</v>
      </c>
      <c r="Q1509" s="494">
        <v>0</v>
      </c>
      <c r="R1509" s="494">
        <v>0</v>
      </c>
      <c r="S1509" s="494">
        <v>8787</v>
      </c>
      <c r="T1509" s="494">
        <v>8787</v>
      </c>
      <c r="U1509" s="494">
        <v>2575</v>
      </c>
      <c r="V1509" s="493">
        <v>2024</v>
      </c>
      <c r="W1509" s="495"/>
      <c r="X1509" s="496">
        <f t="shared" si="97"/>
        <v>3.4124271844660194</v>
      </c>
      <c r="Y1509" s="497" t="str">
        <f t="shared" si="99"/>
        <v/>
      </c>
      <c r="Z1509" s="497" t="str">
        <f t="shared" si="99"/>
        <v/>
      </c>
    </row>
    <row r="1510" spans="1:26" s="82" customFormat="1" x14ac:dyDescent="0.4">
      <c r="A1510" s="493">
        <v>60817</v>
      </c>
      <c r="B1510" s="105" t="s">
        <v>329</v>
      </c>
      <c r="C1510" s="493" t="s">
        <v>330</v>
      </c>
      <c r="D1510" s="105" t="s">
        <v>1736</v>
      </c>
      <c r="E1510" s="105" t="s">
        <v>1393</v>
      </c>
      <c r="F1510" s="493">
        <v>57313</v>
      </c>
      <c r="G1510" s="105" t="s">
        <v>52</v>
      </c>
      <c r="H1510" s="105" t="s">
        <v>333</v>
      </c>
      <c r="I1510" s="105" t="s">
        <v>334</v>
      </c>
      <c r="J1510" s="493">
        <v>22</v>
      </c>
      <c r="K1510" s="493">
        <v>2</v>
      </c>
      <c r="L1510" s="105" t="s">
        <v>343</v>
      </c>
      <c r="M1510" s="105" t="s">
        <v>655</v>
      </c>
      <c r="N1510" s="105" t="s">
        <v>656</v>
      </c>
      <c r="O1510" s="105" t="s">
        <v>656</v>
      </c>
      <c r="P1510" s="105" t="s">
        <v>339</v>
      </c>
      <c r="Q1510" s="494">
        <v>0</v>
      </c>
      <c r="R1510" s="494">
        <v>0</v>
      </c>
      <c r="S1510" s="494">
        <v>8329</v>
      </c>
      <c r="T1510" s="494">
        <v>8329</v>
      </c>
      <c r="U1510" s="494">
        <v>2441</v>
      </c>
      <c r="V1510" s="493">
        <v>2024</v>
      </c>
      <c r="W1510" s="495"/>
      <c r="X1510" s="496">
        <f t="shared" si="97"/>
        <v>3.4121261777959853</v>
      </c>
      <c r="Y1510" s="497" t="str">
        <f t="shared" si="99"/>
        <v/>
      </c>
      <c r="Z1510" s="497" t="str">
        <f t="shared" si="99"/>
        <v/>
      </c>
    </row>
    <row r="1511" spans="1:26" s="82" customFormat="1" x14ac:dyDescent="0.4">
      <c r="A1511" s="493">
        <v>60818</v>
      </c>
      <c r="B1511" s="105" t="s">
        <v>329</v>
      </c>
      <c r="C1511" s="493" t="s">
        <v>330</v>
      </c>
      <c r="D1511" s="105" t="s">
        <v>1737</v>
      </c>
      <c r="E1511" s="105" t="s">
        <v>1393</v>
      </c>
      <c r="F1511" s="493">
        <v>57313</v>
      </c>
      <c r="G1511" s="105" t="s">
        <v>52</v>
      </c>
      <c r="H1511" s="105" t="s">
        <v>333</v>
      </c>
      <c r="I1511" s="105" t="s">
        <v>334</v>
      </c>
      <c r="J1511" s="493">
        <v>22</v>
      </c>
      <c r="K1511" s="493">
        <v>2</v>
      </c>
      <c r="L1511" s="105" t="s">
        <v>343</v>
      </c>
      <c r="M1511" s="105" t="s">
        <v>655</v>
      </c>
      <c r="N1511" s="105" t="s">
        <v>656</v>
      </c>
      <c r="O1511" s="105" t="s">
        <v>656</v>
      </c>
      <c r="P1511" s="105" t="s">
        <v>339</v>
      </c>
      <c r="Q1511" s="494">
        <v>0</v>
      </c>
      <c r="R1511" s="494">
        <v>0</v>
      </c>
      <c r="S1511" s="494">
        <v>7386</v>
      </c>
      <c r="T1511" s="494">
        <v>7386</v>
      </c>
      <c r="U1511" s="494">
        <v>2165</v>
      </c>
      <c r="V1511" s="493">
        <v>2024</v>
      </c>
      <c r="W1511" s="495"/>
      <c r="X1511" s="496">
        <f t="shared" si="97"/>
        <v>3.4115473441108546</v>
      </c>
      <c r="Y1511" s="497" t="str">
        <f t="shared" si="99"/>
        <v/>
      </c>
      <c r="Z1511" s="497" t="str">
        <f t="shared" si="99"/>
        <v/>
      </c>
    </row>
    <row r="1512" spans="1:26" s="82" customFormat="1" ht="32" x14ac:dyDescent="0.4">
      <c r="A1512" s="493">
        <v>60819</v>
      </c>
      <c r="B1512" s="105" t="s">
        <v>329</v>
      </c>
      <c r="C1512" s="493" t="s">
        <v>330</v>
      </c>
      <c r="D1512" s="105" t="s">
        <v>1738</v>
      </c>
      <c r="E1512" s="105" t="s">
        <v>1739</v>
      </c>
      <c r="F1512" s="493">
        <v>61060</v>
      </c>
      <c r="G1512" s="105" t="s">
        <v>52</v>
      </c>
      <c r="H1512" s="105" t="s">
        <v>333</v>
      </c>
      <c r="I1512" s="105" t="s">
        <v>334</v>
      </c>
      <c r="J1512" s="493">
        <v>22</v>
      </c>
      <c r="K1512" s="493">
        <v>2</v>
      </c>
      <c r="L1512" s="105" t="s">
        <v>343</v>
      </c>
      <c r="M1512" s="105" t="s">
        <v>655</v>
      </c>
      <c r="N1512" s="105" t="s">
        <v>656</v>
      </c>
      <c r="O1512" s="105" t="s">
        <v>656</v>
      </c>
      <c r="P1512" s="105" t="s">
        <v>339</v>
      </c>
      <c r="Q1512" s="494">
        <v>0</v>
      </c>
      <c r="R1512" s="494">
        <v>0</v>
      </c>
      <c r="S1512" s="494">
        <v>8957</v>
      </c>
      <c r="T1512" s="494">
        <v>8957</v>
      </c>
      <c r="U1512" s="494">
        <v>2625</v>
      </c>
      <c r="V1512" s="493">
        <v>2024</v>
      </c>
      <c r="W1512" s="495"/>
      <c r="X1512" s="496">
        <f t="shared" si="97"/>
        <v>3.4121904761904762</v>
      </c>
      <c r="Y1512" s="497" t="str">
        <f t="shared" si="99"/>
        <v/>
      </c>
      <c r="Z1512" s="497" t="str">
        <f t="shared" si="99"/>
        <v/>
      </c>
    </row>
    <row r="1513" spans="1:26" s="82" customFormat="1" x14ac:dyDescent="0.4">
      <c r="A1513" s="493">
        <v>60831</v>
      </c>
      <c r="B1513" s="105" t="s">
        <v>329</v>
      </c>
      <c r="C1513" s="493" t="s">
        <v>330</v>
      </c>
      <c r="D1513" s="105" t="s">
        <v>1740</v>
      </c>
      <c r="E1513" s="105" t="s">
        <v>1741</v>
      </c>
      <c r="F1513" s="493">
        <v>64553</v>
      </c>
      <c r="G1513" s="105" t="s">
        <v>38</v>
      </c>
      <c r="H1513" s="105" t="s">
        <v>342</v>
      </c>
      <c r="I1513" s="105" t="s">
        <v>334</v>
      </c>
      <c r="J1513" s="493">
        <v>22</v>
      </c>
      <c r="K1513" s="493">
        <v>2</v>
      </c>
      <c r="L1513" s="105" t="s">
        <v>343</v>
      </c>
      <c r="M1513" s="105" t="s">
        <v>359</v>
      </c>
      <c r="N1513" s="105" t="s">
        <v>266</v>
      </c>
      <c r="O1513" s="105" t="s">
        <v>481</v>
      </c>
      <c r="P1513" s="105" t="s">
        <v>846</v>
      </c>
      <c r="Q1513" s="494">
        <v>3383</v>
      </c>
      <c r="R1513" s="494">
        <v>3383</v>
      </c>
      <c r="S1513" s="494">
        <v>2350</v>
      </c>
      <c r="T1513" s="494">
        <v>2350</v>
      </c>
      <c r="U1513" s="494">
        <v>144</v>
      </c>
      <c r="V1513" s="493">
        <v>2024</v>
      </c>
      <c r="W1513" s="495"/>
      <c r="X1513" s="496">
        <f t="shared" si="97"/>
        <v>16.319444444444443</v>
      </c>
      <c r="Y1513" s="497" t="str">
        <f t="shared" si="99"/>
        <v/>
      </c>
      <c r="Z1513" s="497" t="str">
        <f t="shared" si="99"/>
        <v/>
      </c>
    </row>
    <row r="1514" spans="1:26" s="82" customFormat="1" x14ac:dyDescent="0.4">
      <c r="A1514" s="493">
        <v>60851</v>
      </c>
      <c r="B1514" s="105" t="s">
        <v>329</v>
      </c>
      <c r="C1514" s="493" t="s">
        <v>330</v>
      </c>
      <c r="D1514" s="105" t="s">
        <v>1742</v>
      </c>
      <c r="E1514" s="105" t="s">
        <v>1743</v>
      </c>
      <c r="F1514" s="493">
        <v>61561</v>
      </c>
      <c r="G1514" s="105" t="s">
        <v>33</v>
      </c>
      <c r="H1514" s="105" t="s">
        <v>342</v>
      </c>
      <c r="I1514" s="105" t="s">
        <v>334</v>
      </c>
      <c r="J1514" s="493">
        <v>22</v>
      </c>
      <c r="K1514" s="493">
        <v>2</v>
      </c>
      <c r="L1514" s="105" t="s">
        <v>343</v>
      </c>
      <c r="M1514" s="105" t="s">
        <v>655</v>
      </c>
      <c r="N1514" s="105" t="s">
        <v>656</v>
      </c>
      <c r="O1514" s="105" t="s">
        <v>656</v>
      </c>
      <c r="P1514" s="105" t="s">
        <v>339</v>
      </c>
      <c r="Q1514" s="494">
        <v>0</v>
      </c>
      <c r="R1514" s="494">
        <v>0</v>
      </c>
      <c r="S1514" s="494">
        <v>9629</v>
      </c>
      <c r="T1514" s="494">
        <v>9629</v>
      </c>
      <c r="U1514" s="494">
        <v>2822</v>
      </c>
      <c r="V1514" s="493">
        <v>2024</v>
      </c>
      <c r="W1514" s="495"/>
      <c r="X1514" s="496">
        <f t="shared" si="97"/>
        <v>3.4121190644932673</v>
      </c>
      <c r="Y1514" s="497" t="str">
        <f t="shared" si="99"/>
        <v/>
      </c>
      <c r="Z1514" s="497" t="str">
        <f t="shared" si="99"/>
        <v/>
      </c>
    </row>
    <row r="1515" spans="1:26" s="82" customFormat="1" x14ac:dyDescent="0.4">
      <c r="A1515" s="493">
        <v>60852</v>
      </c>
      <c r="B1515" s="105" t="s">
        <v>329</v>
      </c>
      <c r="C1515" s="493" t="s">
        <v>330</v>
      </c>
      <c r="D1515" s="105" t="s">
        <v>1744</v>
      </c>
      <c r="E1515" s="105" t="s">
        <v>1743</v>
      </c>
      <c r="F1515" s="493">
        <v>61561</v>
      </c>
      <c r="G1515" s="105" t="s">
        <v>33</v>
      </c>
      <c r="H1515" s="105" t="s">
        <v>342</v>
      </c>
      <c r="I1515" s="105" t="s">
        <v>334</v>
      </c>
      <c r="J1515" s="493">
        <v>22</v>
      </c>
      <c r="K1515" s="493">
        <v>2</v>
      </c>
      <c r="L1515" s="105" t="s">
        <v>343</v>
      </c>
      <c r="M1515" s="105" t="s">
        <v>655</v>
      </c>
      <c r="N1515" s="105" t="s">
        <v>656</v>
      </c>
      <c r="O1515" s="105" t="s">
        <v>656</v>
      </c>
      <c r="P1515" s="105" t="s">
        <v>339</v>
      </c>
      <c r="Q1515" s="494">
        <v>0</v>
      </c>
      <c r="R1515" s="494">
        <v>0</v>
      </c>
      <c r="S1515" s="494">
        <v>10698</v>
      </c>
      <c r="T1515" s="494">
        <v>10698</v>
      </c>
      <c r="U1515" s="494">
        <v>3135</v>
      </c>
      <c r="V1515" s="493">
        <v>2024</v>
      </c>
      <c r="W1515" s="495"/>
      <c r="X1515" s="496">
        <f t="shared" si="97"/>
        <v>3.4124401913875597</v>
      </c>
      <c r="Y1515" s="497" t="str">
        <f t="shared" si="99"/>
        <v/>
      </c>
      <c r="Z1515" s="497" t="str">
        <f t="shared" si="99"/>
        <v/>
      </c>
    </row>
    <row r="1516" spans="1:26" s="82" customFormat="1" ht="32" x14ac:dyDescent="0.4">
      <c r="A1516" s="493">
        <v>60854</v>
      </c>
      <c r="B1516" s="105" t="s">
        <v>329</v>
      </c>
      <c r="C1516" s="493" t="s">
        <v>330</v>
      </c>
      <c r="D1516" s="105" t="s">
        <v>1745</v>
      </c>
      <c r="E1516" s="105" t="s">
        <v>1746</v>
      </c>
      <c r="F1516" s="493">
        <v>60513</v>
      </c>
      <c r="G1516" s="105" t="s">
        <v>33</v>
      </c>
      <c r="H1516" s="105" t="s">
        <v>342</v>
      </c>
      <c r="I1516" s="105" t="s">
        <v>334</v>
      </c>
      <c r="J1516" s="493">
        <v>22</v>
      </c>
      <c r="K1516" s="493">
        <v>2</v>
      </c>
      <c r="L1516" s="105" t="s">
        <v>343</v>
      </c>
      <c r="M1516" s="105" t="s">
        <v>655</v>
      </c>
      <c r="N1516" s="105" t="s">
        <v>656</v>
      </c>
      <c r="O1516" s="105" t="s">
        <v>656</v>
      </c>
      <c r="P1516" s="105" t="s">
        <v>339</v>
      </c>
      <c r="Q1516" s="494">
        <v>0</v>
      </c>
      <c r="R1516" s="494">
        <v>0</v>
      </c>
      <c r="S1516" s="494">
        <v>20159</v>
      </c>
      <c r="T1516" s="494">
        <v>20159</v>
      </c>
      <c r="U1516" s="494">
        <v>5908</v>
      </c>
      <c r="V1516" s="493">
        <v>2024</v>
      </c>
      <c r="W1516" s="495"/>
      <c r="X1516" s="496">
        <f t="shared" si="97"/>
        <v>3.4121530128639135</v>
      </c>
      <c r="Y1516" s="497" t="str">
        <f t="shared" si="99"/>
        <v/>
      </c>
      <c r="Z1516" s="497" t="str">
        <f t="shared" si="99"/>
        <v/>
      </c>
    </row>
    <row r="1517" spans="1:26" s="82" customFormat="1" x14ac:dyDescent="0.4">
      <c r="A1517" s="493">
        <v>60855</v>
      </c>
      <c r="B1517" s="105" t="s">
        <v>329</v>
      </c>
      <c r="C1517" s="493" t="s">
        <v>330</v>
      </c>
      <c r="D1517" s="105" t="s">
        <v>1747</v>
      </c>
      <c r="E1517" s="105" t="s">
        <v>1748</v>
      </c>
      <c r="F1517" s="493">
        <v>60514</v>
      </c>
      <c r="G1517" s="105" t="s">
        <v>33</v>
      </c>
      <c r="H1517" s="105" t="s">
        <v>342</v>
      </c>
      <c r="I1517" s="105" t="s">
        <v>334</v>
      </c>
      <c r="J1517" s="493">
        <v>22</v>
      </c>
      <c r="K1517" s="493">
        <v>2</v>
      </c>
      <c r="L1517" s="105" t="s">
        <v>343</v>
      </c>
      <c r="M1517" s="105" t="s">
        <v>655</v>
      </c>
      <c r="N1517" s="105" t="s">
        <v>656</v>
      </c>
      <c r="O1517" s="105" t="s">
        <v>656</v>
      </c>
      <c r="P1517" s="105" t="s">
        <v>339</v>
      </c>
      <c r="Q1517" s="494">
        <v>0</v>
      </c>
      <c r="R1517" s="494">
        <v>0</v>
      </c>
      <c r="S1517" s="494">
        <v>14535</v>
      </c>
      <c r="T1517" s="494">
        <v>14535</v>
      </c>
      <c r="U1517" s="494">
        <v>4260</v>
      </c>
      <c r="V1517" s="493">
        <v>2024</v>
      </c>
      <c r="W1517" s="495"/>
      <c r="X1517" s="496">
        <f t="shared" si="97"/>
        <v>3.4119718309859155</v>
      </c>
      <c r="Y1517" s="497" t="str">
        <f t="shared" si="99"/>
        <v/>
      </c>
      <c r="Z1517" s="497" t="str">
        <f t="shared" si="99"/>
        <v/>
      </c>
    </row>
    <row r="1518" spans="1:26" s="82" customFormat="1" ht="32" x14ac:dyDescent="0.4">
      <c r="A1518" s="493">
        <v>60858</v>
      </c>
      <c r="B1518" s="105" t="s">
        <v>329</v>
      </c>
      <c r="C1518" s="493" t="s">
        <v>330</v>
      </c>
      <c r="D1518" s="105" t="s">
        <v>1749</v>
      </c>
      <c r="E1518" s="105" t="s">
        <v>1313</v>
      </c>
      <c r="F1518" s="493">
        <v>60281</v>
      </c>
      <c r="G1518" s="105" t="s">
        <v>33</v>
      </c>
      <c r="H1518" s="105" t="s">
        <v>342</v>
      </c>
      <c r="I1518" s="105" t="s">
        <v>334</v>
      </c>
      <c r="J1518" s="493">
        <v>22</v>
      </c>
      <c r="K1518" s="493">
        <v>2</v>
      </c>
      <c r="L1518" s="105" t="s">
        <v>343</v>
      </c>
      <c r="M1518" s="105" t="s">
        <v>655</v>
      </c>
      <c r="N1518" s="105" t="s">
        <v>656</v>
      </c>
      <c r="O1518" s="105" t="s">
        <v>656</v>
      </c>
      <c r="P1518" s="105" t="s">
        <v>339</v>
      </c>
      <c r="Q1518" s="494">
        <v>0</v>
      </c>
      <c r="R1518" s="494">
        <v>0</v>
      </c>
      <c r="S1518" s="494">
        <v>5487</v>
      </c>
      <c r="T1518" s="494">
        <v>5487</v>
      </c>
      <c r="U1518" s="494">
        <v>1608</v>
      </c>
      <c r="V1518" s="493">
        <v>2024</v>
      </c>
      <c r="W1518" s="495"/>
      <c r="X1518" s="496">
        <f t="shared" si="97"/>
        <v>3.4123134328358211</v>
      </c>
      <c r="Y1518" s="497" t="str">
        <f t="shared" si="99"/>
        <v/>
      </c>
      <c r="Z1518" s="497" t="str">
        <f t="shared" si="99"/>
        <v/>
      </c>
    </row>
    <row r="1519" spans="1:26" s="82" customFormat="1" x14ac:dyDescent="0.4">
      <c r="A1519" s="493">
        <v>60860</v>
      </c>
      <c r="B1519" s="105" t="s">
        <v>329</v>
      </c>
      <c r="C1519" s="493" t="s">
        <v>330</v>
      </c>
      <c r="D1519" s="105" t="s">
        <v>1750</v>
      </c>
      <c r="E1519" s="105" t="s">
        <v>1751</v>
      </c>
      <c r="F1519" s="493">
        <v>60520</v>
      </c>
      <c r="G1519" s="105" t="s">
        <v>36</v>
      </c>
      <c r="H1519" s="105" t="s">
        <v>342</v>
      </c>
      <c r="I1519" s="105" t="s">
        <v>334</v>
      </c>
      <c r="J1519" s="493">
        <v>22</v>
      </c>
      <c r="K1519" s="493">
        <v>2</v>
      </c>
      <c r="L1519" s="105" t="s">
        <v>343</v>
      </c>
      <c r="M1519" s="105" t="s">
        <v>655</v>
      </c>
      <c r="N1519" s="105" t="s">
        <v>656</v>
      </c>
      <c r="O1519" s="105" t="s">
        <v>656</v>
      </c>
      <c r="P1519" s="105" t="s">
        <v>339</v>
      </c>
      <c r="Q1519" s="494">
        <v>0</v>
      </c>
      <c r="R1519" s="494">
        <v>0</v>
      </c>
      <c r="S1519" s="494">
        <v>4852</v>
      </c>
      <c r="T1519" s="494">
        <v>4852</v>
      </c>
      <c r="U1519" s="494">
        <v>1422</v>
      </c>
      <c r="V1519" s="493">
        <v>2024</v>
      </c>
      <c r="W1519" s="495"/>
      <c r="X1519" s="496">
        <f t="shared" si="97"/>
        <v>3.412095639943741</v>
      </c>
      <c r="Y1519" s="497" t="str">
        <f t="shared" si="99"/>
        <v/>
      </c>
      <c r="Z1519" s="497" t="str">
        <f t="shared" si="99"/>
        <v/>
      </c>
    </row>
    <row r="1520" spans="1:26" s="82" customFormat="1" x14ac:dyDescent="0.4">
      <c r="A1520" s="493">
        <v>60866</v>
      </c>
      <c r="B1520" s="105" t="s">
        <v>329</v>
      </c>
      <c r="C1520" s="493" t="s">
        <v>330</v>
      </c>
      <c r="D1520" s="105" t="s">
        <v>1752</v>
      </c>
      <c r="E1520" s="105" t="s">
        <v>1753</v>
      </c>
      <c r="F1520" s="493">
        <v>60484</v>
      </c>
      <c r="G1520" s="105" t="s">
        <v>33</v>
      </c>
      <c r="H1520" s="105" t="s">
        <v>342</v>
      </c>
      <c r="I1520" s="105" t="s">
        <v>334</v>
      </c>
      <c r="J1520" s="493">
        <v>22</v>
      </c>
      <c r="K1520" s="493">
        <v>2</v>
      </c>
      <c r="L1520" s="105" t="s">
        <v>343</v>
      </c>
      <c r="M1520" s="105" t="s">
        <v>655</v>
      </c>
      <c r="N1520" s="105" t="s">
        <v>656</v>
      </c>
      <c r="O1520" s="105" t="s">
        <v>656</v>
      </c>
      <c r="P1520" s="105" t="s">
        <v>339</v>
      </c>
      <c r="Q1520" s="494">
        <v>0</v>
      </c>
      <c r="R1520" s="494">
        <v>0</v>
      </c>
      <c r="S1520" s="494">
        <v>10905</v>
      </c>
      <c r="T1520" s="494">
        <v>10905</v>
      </c>
      <c r="U1520" s="494">
        <v>3196</v>
      </c>
      <c r="V1520" s="493">
        <v>2024</v>
      </c>
      <c r="W1520" s="495"/>
      <c r="X1520" s="496">
        <f t="shared" si="97"/>
        <v>3.4120775969962454</v>
      </c>
      <c r="Y1520" s="497" t="str">
        <f t="shared" si="99"/>
        <v/>
      </c>
      <c r="Z1520" s="497" t="str">
        <f t="shared" si="99"/>
        <v/>
      </c>
    </row>
    <row r="1521" spans="1:26" s="82" customFormat="1" x14ac:dyDescent="0.4">
      <c r="A1521" s="493">
        <v>60867</v>
      </c>
      <c r="B1521" s="105" t="s">
        <v>329</v>
      </c>
      <c r="C1521" s="493" t="s">
        <v>330</v>
      </c>
      <c r="D1521" s="105" t="s">
        <v>1754</v>
      </c>
      <c r="E1521" s="105" t="s">
        <v>1528</v>
      </c>
      <c r="F1521" s="493">
        <v>59232</v>
      </c>
      <c r="G1521" s="105" t="s">
        <v>33</v>
      </c>
      <c r="H1521" s="105" t="s">
        <v>342</v>
      </c>
      <c r="I1521" s="105" t="s">
        <v>334</v>
      </c>
      <c r="J1521" s="493">
        <v>22</v>
      </c>
      <c r="K1521" s="493">
        <v>2</v>
      </c>
      <c r="L1521" s="105" t="s">
        <v>343</v>
      </c>
      <c r="M1521" s="105" t="s">
        <v>655</v>
      </c>
      <c r="N1521" s="105" t="s">
        <v>656</v>
      </c>
      <c r="O1521" s="105" t="s">
        <v>656</v>
      </c>
      <c r="P1521" s="105" t="s">
        <v>339</v>
      </c>
      <c r="Q1521" s="494">
        <v>0</v>
      </c>
      <c r="R1521" s="494">
        <v>0</v>
      </c>
      <c r="S1521" s="494">
        <v>15339</v>
      </c>
      <c r="T1521" s="494">
        <v>15339</v>
      </c>
      <c r="U1521" s="494">
        <v>4496</v>
      </c>
      <c r="V1521" s="493">
        <v>2024</v>
      </c>
      <c r="W1521" s="495"/>
      <c r="X1521" s="496">
        <f t="shared" si="97"/>
        <v>3.4116992882562278</v>
      </c>
      <c r="Y1521" s="497" t="str">
        <f t="shared" si="99"/>
        <v/>
      </c>
      <c r="Z1521" s="497" t="str">
        <f t="shared" si="99"/>
        <v/>
      </c>
    </row>
    <row r="1522" spans="1:26" s="82" customFormat="1" ht="32" x14ac:dyDescent="0.4">
      <c r="A1522" s="493">
        <v>60874</v>
      </c>
      <c r="B1522" s="105" t="s">
        <v>329</v>
      </c>
      <c r="C1522" s="493" t="s">
        <v>330</v>
      </c>
      <c r="D1522" s="105" t="s">
        <v>1755</v>
      </c>
      <c r="E1522" s="105" t="s">
        <v>394</v>
      </c>
      <c r="F1522" s="493">
        <v>7601</v>
      </c>
      <c r="G1522" s="105" t="s">
        <v>36</v>
      </c>
      <c r="H1522" s="105" t="s">
        <v>342</v>
      </c>
      <c r="I1522" s="105" t="s">
        <v>334</v>
      </c>
      <c r="J1522" s="493">
        <v>22</v>
      </c>
      <c r="K1522" s="493">
        <v>1</v>
      </c>
      <c r="L1522" s="105" t="s">
        <v>335</v>
      </c>
      <c r="M1522" s="105" t="s">
        <v>655</v>
      </c>
      <c r="N1522" s="105" t="s">
        <v>656</v>
      </c>
      <c r="O1522" s="105" t="s">
        <v>656</v>
      </c>
      <c r="P1522" s="105" t="s">
        <v>339</v>
      </c>
      <c r="Q1522" s="494">
        <v>0</v>
      </c>
      <c r="R1522" s="494">
        <v>0</v>
      </c>
      <c r="S1522" s="494">
        <v>26276</v>
      </c>
      <c r="T1522" s="494">
        <v>26276</v>
      </c>
      <c r="U1522" s="494">
        <v>7701</v>
      </c>
      <c r="V1522" s="493">
        <v>2024</v>
      </c>
      <c r="W1522" s="495"/>
      <c r="X1522" s="496">
        <f t="shared" si="97"/>
        <v>3.412024412413972</v>
      </c>
      <c r="Y1522" s="497" t="str">
        <f t="shared" si="99"/>
        <v/>
      </c>
      <c r="Z1522" s="497" t="str">
        <f t="shared" si="99"/>
        <v/>
      </c>
    </row>
    <row r="1523" spans="1:26" s="82" customFormat="1" ht="32" x14ac:dyDescent="0.4">
      <c r="A1523" s="493">
        <v>60875</v>
      </c>
      <c r="B1523" s="105" t="s">
        <v>329</v>
      </c>
      <c r="C1523" s="493" t="s">
        <v>330</v>
      </c>
      <c r="D1523" s="105" t="s">
        <v>1756</v>
      </c>
      <c r="E1523" s="105" t="s">
        <v>394</v>
      </c>
      <c r="F1523" s="493">
        <v>7601</v>
      </c>
      <c r="G1523" s="105" t="s">
        <v>36</v>
      </c>
      <c r="H1523" s="105" t="s">
        <v>342</v>
      </c>
      <c r="I1523" s="105" t="s">
        <v>334</v>
      </c>
      <c r="J1523" s="493">
        <v>22</v>
      </c>
      <c r="K1523" s="493">
        <v>1</v>
      </c>
      <c r="L1523" s="105" t="s">
        <v>335</v>
      </c>
      <c r="M1523" s="105" t="s">
        <v>655</v>
      </c>
      <c r="N1523" s="105" t="s">
        <v>656</v>
      </c>
      <c r="O1523" s="105" t="s">
        <v>656</v>
      </c>
      <c r="P1523" s="105" t="s">
        <v>339</v>
      </c>
      <c r="Q1523" s="494">
        <v>0</v>
      </c>
      <c r="R1523" s="494">
        <v>0</v>
      </c>
      <c r="S1523" s="494">
        <v>23514</v>
      </c>
      <c r="T1523" s="494">
        <v>23514</v>
      </c>
      <c r="U1523" s="494">
        <v>6891</v>
      </c>
      <c r="V1523" s="493">
        <v>2024</v>
      </c>
      <c r="W1523" s="495"/>
      <c r="X1523" s="496">
        <f t="shared" si="97"/>
        <v>3.4122768828907271</v>
      </c>
      <c r="Y1523" s="497" t="str">
        <f t="shared" si="99"/>
        <v/>
      </c>
      <c r="Z1523" s="497" t="str">
        <f t="shared" si="99"/>
        <v/>
      </c>
    </row>
    <row r="1524" spans="1:26" s="82" customFormat="1" ht="32" x14ac:dyDescent="0.4">
      <c r="A1524" s="493">
        <v>60877</v>
      </c>
      <c r="B1524" s="105" t="s">
        <v>329</v>
      </c>
      <c r="C1524" s="493" t="s">
        <v>330</v>
      </c>
      <c r="D1524" s="105" t="s">
        <v>1757</v>
      </c>
      <c r="E1524" s="105" t="s">
        <v>394</v>
      </c>
      <c r="F1524" s="493">
        <v>7601</v>
      </c>
      <c r="G1524" s="105" t="s">
        <v>36</v>
      </c>
      <c r="H1524" s="105" t="s">
        <v>342</v>
      </c>
      <c r="I1524" s="105" t="s">
        <v>334</v>
      </c>
      <c r="J1524" s="493">
        <v>22</v>
      </c>
      <c r="K1524" s="493">
        <v>1</v>
      </c>
      <c r="L1524" s="105" t="s">
        <v>335</v>
      </c>
      <c r="M1524" s="105" t="s">
        <v>655</v>
      </c>
      <c r="N1524" s="105" t="s">
        <v>656</v>
      </c>
      <c r="O1524" s="105" t="s">
        <v>656</v>
      </c>
      <c r="P1524" s="105" t="s">
        <v>339</v>
      </c>
      <c r="Q1524" s="494">
        <v>0</v>
      </c>
      <c r="R1524" s="494">
        <v>0</v>
      </c>
      <c r="S1524" s="494">
        <v>25307</v>
      </c>
      <c r="T1524" s="494">
        <v>25307</v>
      </c>
      <c r="U1524" s="494">
        <v>7417</v>
      </c>
      <c r="V1524" s="493">
        <v>2024</v>
      </c>
      <c r="W1524" s="495"/>
      <c r="X1524" s="496">
        <f t="shared" si="97"/>
        <v>3.4120264257786168</v>
      </c>
      <c r="Y1524" s="497" t="str">
        <f t="shared" si="99"/>
        <v/>
      </c>
      <c r="Z1524" s="497" t="str">
        <f t="shared" si="99"/>
        <v/>
      </c>
    </row>
    <row r="1525" spans="1:26" s="82" customFormat="1" x14ac:dyDescent="0.4">
      <c r="A1525" s="493">
        <v>60878</v>
      </c>
      <c r="B1525" s="105" t="s">
        <v>329</v>
      </c>
      <c r="C1525" s="493" t="s">
        <v>330</v>
      </c>
      <c r="D1525" s="105" t="s">
        <v>1758</v>
      </c>
      <c r="E1525" s="105" t="s">
        <v>1759</v>
      </c>
      <c r="F1525" s="493">
        <v>60529</v>
      </c>
      <c r="G1525" s="105" t="s">
        <v>33</v>
      </c>
      <c r="H1525" s="105" t="s">
        <v>342</v>
      </c>
      <c r="I1525" s="105" t="s">
        <v>334</v>
      </c>
      <c r="J1525" s="493">
        <v>22</v>
      </c>
      <c r="K1525" s="493">
        <v>2</v>
      </c>
      <c r="L1525" s="105" t="s">
        <v>343</v>
      </c>
      <c r="M1525" s="105" t="s">
        <v>655</v>
      </c>
      <c r="N1525" s="105" t="s">
        <v>656</v>
      </c>
      <c r="O1525" s="105" t="s">
        <v>656</v>
      </c>
      <c r="P1525" s="105" t="s">
        <v>339</v>
      </c>
      <c r="Q1525" s="494">
        <v>0</v>
      </c>
      <c r="R1525" s="494">
        <v>0</v>
      </c>
      <c r="S1525" s="494">
        <v>10384</v>
      </c>
      <c r="T1525" s="494">
        <v>10384</v>
      </c>
      <c r="U1525" s="494">
        <v>3043</v>
      </c>
      <c r="V1525" s="493">
        <v>2024</v>
      </c>
      <c r="W1525" s="495"/>
      <c r="X1525" s="496">
        <f t="shared" si="97"/>
        <v>3.4124219520210319</v>
      </c>
      <c r="Y1525" s="497" t="str">
        <f t="shared" si="99"/>
        <v/>
      </c>
      <c r="Z1525" s="497" t="str">
        <f t="shared" si="99"/>
        <v/>
      </c>
    </row>
    <row r="1526" spans="1:26" s="82" customFormat="1" x14ac:dyDescent="0.4">
      <c r="A1526" s="493">
        <v>60879</v>
      </c>
      <c r="B1526" s="105" t="s">
        <v>329</v>
      </c>
      <c r="C1526" s="493" t="s">
        <v>330</v>
      </c>
      <c r="D1526" s="105" t="s">
        <v>1760</v>
      </c>
      <c r="E1526" s="105" t="s">
        <v>1761</v>
      </c>
      <c r="F1526" s="493">
        <v>60530</v>
      </c>
      <c r="G1526" s="105" t="s">
        <v>33</v>
      </c>
      <c r="H1526" s="105" t="s">
        <v>342</v>
      </c>
      <c r="I1526" s="105" t="s">
        <v>334</v>
      </c>
      <c r="J1526" s="493">
        <v>22</v>
      </c>
      <c r="K1526" s="493">
        <v>2</v>
      </c>
      <c r="L1526" s="105" t="s">
        <v>343</v>
      </c>
      <c r="M1526" s="105" t="s">
        <v>655</v>
      </c>
      <c r="N1526" s="105" t="s">
        <v>656</v>
      </c>
      <c r="O1526" s="105" t="s">
        <v>656</v>
      </c>
      <c r="P1526" s="105" t="s">
        <v>339</v>
      </c>
      <c r="Q1526" s="494">
        <v>0</v>
      </c>
      <c r="R1526" s="494">
        <v>0</v>
      </c>
      <c r="S1526" s="494">
        <v>7783</v>
      </c>
      <c r="T1526" s="494">
        <v>7783</v>
      </c>
      <c r="U1526" s="494">
        <v>2281</v>
      </c>
      <c r="V1526" s="493">
        <v>2024</v>
      </c>
      <c r="W1526" s="495"/>
      <c r="X1526" s="496">
        <f t="shared" si="97"/>
        <v>3.4120999561595791</v>
      </c>
      <c r="Y1526" s="497" t="str">
        <f t="shared" si="99"/>
        <v/>
      </c>
      <c r="Z1526" s="497" t="str">
        <f t="shared" si="99"/>
        <v/>
      </c>
    </row>
    <row r="1527" spans="1:26" s="82" customFormat="1" x14ac:dyDescent="0.4">
      <c r="A1527" s="493">
        <v>60880</v>
      </c>
      <c r="B1527" s="105" t="s">
        <v>329</v>
      </c>
      <c r="C1527" s="493" t="s">
        <v>330</v>
      </c>
      <c r="D1527" s="105" t="s">
        <v>1762</v>
      </c>
      <c r="E1527" s="105" t="s">
        <v>1763</v>
      </c>
      <c r="F1527" s="493">
        <v>60911</v>
      </c>
      <c r="G1527" s="105" t="s">
        <v>37</v>
      </c>
      <c r="H1527" s="105" t="s">
        <v>342</v>
      </c>
      <c r="I1527" s="105" t="s">
        <v>334</v>
      </c>
      <c r="J1527" s="493">
        <v>22</v>
      </c>
      <c r="K1527" s="493">
        <v>2</v>
      </c>
      <c r="L1527" s="105" t="s">
        <v>343</v>
      </c>
      <c r="M1527" s="105" t="s">
        <v>655</v>
      </c>
      <c r="N1527" s="105" t="s">
        <v>656</v>
      </c>
      <c r="O1527" s="105" t="s">
        <v>656</v>
      </c>
      <c r="P1527" s="105" t="s">
        <v>339</v>
      </c>
      <c r="Q1527" s="494">
        <v>0</v>
      </c>
      <c r="R1527" s="494">
        <v>0</v>
      </c>
      <c r="S1527" s="494">
        <v>10669</v>
      </c>
      <c r="T1527" s="494">
        <v>10669</v>
      </c>
      <c r="U1527" s="494">
        <v>3127</v>
      </c>
      <c r="V1527" s="493">
        <v>2024</v>
      </c>
      <c r="W1527" s="495"/>
      <c r="X1527" s="496">
        <f t="shared" si="97"/>
        <v>3.41189638631276</v>
      </c>
      <c r="Y1527" s="497" t="str">
        <f t="shared" si="99"/>
        <v/>
      </c>
      <c r="Z1527" s="497" t="str">
        <f t="shared" si="99"/>
        <v/>
      </c>
    </row>
    <row r="1528" spans="1:26" s="82" customFormat="1" ht="32" x14ac:dyDescent="0.4">
      <c r="A1528" s="493">
        <v>60903</v>
      </c>
      <c r="B1528" s="105" t="s">
        <v>329</v>
      </c>
      <c r="C1528" s="493" t="s">
        <v>330</v>
      </c>
      <c r="D1528" s="105" t="s">
        <v>1764</v>
      </c>
      <c r="E1528" s="105" t="s">
        <v>1764</v>
      </c>
      <c r="F1528" s="493">
        <v>59928</v>
      </c>
      <c r="G1528" s="105" t="s">
        <v>33</v>
      </c>
      <c r="H1528" s="105" t="s">
        <v>342</v>
      </c>
      <c r="I1528" s="105" t="s">
        <v>334</v>
      </c>
      <c r="J1528" s="493">
        <v>22</v>
      </c>
      <c r="K1528" s="493">
        <v>2</v>
      </c>
      <c r="L1528" s="105" t="s">
        <v>343</v>
      </c>
      <c r="M1528" s="105" t="s">
        <v>380</v>
      </c>
      <c r="N1528" s="105" t="s">
        <v>228</v>
      </c>
      <c r="O1528" s="105" t="s">
        <v>228</v>
      </c>
      <c r="P1528" s="105" t="s">
        <v>356</v>
      </c>
      <c r="Q1528" s="494">
        <v>148302</v>
      </c>
      <c r="R1528" s="494">
        <v>148302</v>
      </c>
      <c r="S1528" s="494">
        <v>152861</v>
      </c>
      <c r="T1528" s="494">
        <v>152861</v>
      </c>
      <c r="U1528" s="494">
        <v>401009</v>
      </c>
      <c r="V1528" s="493">
        <v>2024</v>
      </c>
      <c r="W1528" s="495" t="s">
        <v>355</v>
      </c>
      <c r="X1528" s="496">
        <f t="shared" si="97"/>
        <v>0.38119094583912083</v>
      </c>
      <c r="Y1528" s="497" t="str">
        <f t="shared" ref="Y1528:Z1547" si="100">IF(AND($M1528=$Y$2,$N1528=$Y$3,NOT($Q1528=$R1528),NOT($U1528=0)),IF($K1528=5,$S1528/($U1528+(8/5)*$U1528),IF($K1528=7,$S1528/($U1528+(29/25)*$U1528),"")),"")</f>
        <v/>
      </c>
      <c r="Z1528" s="497" t="str">
        <f t="shared" si="100"/>
        <v/>
      </c>
    </row>
    <row r="1529" spans="1:26" s="82" customFormat="1" ht="32" x14ac:dyDescent="0.4">
      <c r="A1529" s="493">
        <v>60903</v>
      </c>
      <c r="B1529" s="105" t="s">
        <v>329</v>
      </c>
      <c r="C1529" s="493" t="s">
        <v>330</v>
      </c>
      <c r="D1529" s="105" t="s">
        <v>1764</v>
      </c>
      <c r="E1529" s="105" t="s">
        <v>1764</v>
      </c>
      <c r="F1529" s="493">
        <v>59928</v>
      </c>
      <c r="G1529" s="105" t="s">
        <v>33</v>
      </c>
      <c r="H1529" s="105" t="s">
        <v>342</v>
      </c>
      <c r="I1529" s="105" t="s">
        <v>334</v>
      </c>
      <c r="J1529" s="493">
        <v>22</v>
      </c>
      <c r="K1529" s="493">
        <v>2</v>
      </c>
      <c r="L1529" s="105" t="s">
        <v>343</v>
      </c>
      <c r="M1529" s="105" t="s">
        <v>37</v>
      </c>
      <c r="N1529" s="105" t="s">
        <v>228</v>
      </c>
      <c r="O1529" s="105" t="s">
        <v>228</v>
      </c>
      <c r="P1529" s="105" t="s">
        <v>356</v>
      </c>
      <c r="Q1529" s="494">
        <v>8311647</v>
      </c>
      <c r="R1529" s="494">
        <v>8311647</v>
      </c>
      <c r="S1529" s="494">
        <v>8562051</v>
      </c>
      <c r="T1529" s="494">
        <v>8562051</v>
      </c>
      <c r="U1529" s="494">
        <v>748947</v>
      </c>
      <c r="V1529" s="493">
        <v>2024</v>
      </c>
      <c r="W1529" s="495" t="s">
        <v>355</v>
      </c>
      <c r="X1529" s="496">
        <f t="shared" si="97"/>
        <v>11.432118694647285</v>
      </c>
      <c r="Y1529" s="497" t="str">
        <f t="shared" si="100"/>
        <v/>
      </c>
      <c r="Z1529" s="497" t="str">
        <f t="shared" si="100"/>
        <v/>
      </c>
    </row>
    <row r="1530" spans="1:26" s="82" customFormat="1" x14ac:dyDescent="0.4">
      <c r="A1530" s="493">
        <v>60904</v>
      </c>
      <c r="B1530" s="105" t="s">
        <v>329</v>
      </c>
      <c r="C1530" s="493" t="s">
        <v>330</v>
      </c>
      <c r="D1530" s="105" t="s">
        <v>1765</v>
      </c>
      <c r="E1530" s="105" t="s">
        <v>1393</v>
      </c>
      <c r="F1530" s="493">
        <v>57313</v>
      </c>
      <c r="G1530" s="105" t="s">
        <v>52</v>
      </c>
      <c r="H1530" s="105" t="s">
        <v>333</v>
      </c>
      <c r="I1530" s="105" t="s">
        <v>334</v>
      </c>
      <c r="J1530" s="493">
        <v>22</v>
      </c>
      <c r="K1530" s="493">
        <v>2</v>
      </c>
      <c r="L1530" s="105" t="s">
        <v>343</v>
      </c>
      <c r="M1530" s="105" t="s">
        <v>655</v>
      </c>
      <c r="N1530" s="105" t="s">
        <v>656</v>
      </c>
      <c r="O1530" s="105" t="s">
        <v>656</v>
      </c>
      <c r="P1530" s="105" t="s">
        <v>339</v>
      </c>
      <c r="Q1530" s="494">
        <v>0</v>
      </c>
      <c r="R1530" s="494">
        <v>0</v>
      </c>
      <c r="S1530" s="494">
        <v>10658</v>
      </c>
      <c r="T1530" s="494">
        <v>10658</v>
      </c>
      <c r="U1530" s="494">
        <v>3124</v>
      </c>
      <c r="V1530" s="493">
        <v>2024</v>
      </c>
      <c r="W1530" s="495"/>
      <c r="X1530" s="496">
        <f t="shared" si="97"/>
        <v>3.4116517285531369</v>
      </c>
      <c r="Y1530" s="497" t="str">
        <f t="shared" si="100"/>
        <v/>
      </c>
      <c r="Z1530" s="497" t="str">
        <f t="shared" si="100"/>
        <v/>
      </c>
    </row>
    <row r="1531" spans="1:26" s="82" customFormat="1" x14ac:dyDescent="0.4">
      <c r="A1531" s="493">
        <v>60906</v>
      </c>
      <c r="B1531" s="105" t="s">
        <v>329</v>
      </c>
      <c r="C1531" s="493" t="s">
        <v>330</v>
      </c>
      <c r="D1531" s="105" t="s">
        <v>1766</v>
      </c>
      <c r="E1531" s="105" t="s">
        <v>1767</v>
      </c>
      <c r="F1531" s="493">
        <v>60471</v>
      </c>
      <c r="G1531" s="105" t="s">
        <v>33</v>
      </c>
      <c r="H1531" s="105" t="s">
        <v>342</v>
      </c>
      <c r="I1531" s="105" t="s">
        <v>334</v>
      </c>
      <c r="J1531" s="493">
        <v>22</v>
      </c>
      <c r="K1531" s="493">
        <v>2</v>
      </c>
      <c r="L1531" s="105" t="s">
        <v>343</v>
      </c>
      <c r="M1531" s="105" t="s">
        <v>403</v>
      </c>
      <c r="N1531" s="105" t="s">
        <v>404</v>
      </c>
      <c r="O1531" s="105" t="s">
        <v>232</v>
      </c>
      <c r="P1531" s="105" t="s">
        <v>346</v>
      </c>
      <c r="Q1531" s="494">
        <v>571</v>
      </c>
      <c r="R1531" s="494">
        <v>571</v>
      </c>
      <c r="S1531" s="494">
        <v>0</v>
      </c>
      <c r="T1531" s="494">
        <v>0</v>
      </c>
      <c r="U1531" s="494">
        <v>-170</v>
      </c>
      <c r="V1531" s="493">
        <v>2024</v>
      </c>
      <c r="W1531" s="495"/>
      <c r="X1531" s="496" t="str">
        <f t="shared" si="97"/>
        <v/>
      </c>
      <c r="Y1531" s="497" t="str">
        <f t="shared" si="100"/>
        <v/>
      </c>
      <c r="Z1531" s="497" t="str">
        <f t="shared" si="100"/>
        <v/>
      </c>
    </row>
    <row r="1532" spans="1:26" s="82" customFormat="1" x14ac:dyDescent="0.4">
      <c r="A1532" s="493">
        <v>60906</v>
      </c>
      <c r="B1532" s="105" t="s">
        <v>329</v>
      </c>
      <c r="C1532" s="493" t="s">
        <v>330</v>
      </c>
      <c r="D1532" s="105" t="s">
        <v>1766</v>
      </c>
      <c r="E1532" s="105" t="s">
        <v>1767</v>
      </c>
      <c r="F1532" s="493">
        <v>60471</v>
      </c>
      <c r="G1532" s="105" t="s">
        <v>33</v>
      </c>
      <c r="H1532" s="105" t="s">
        <v>342</v>
      </c>
      <c r="I1532" s="105" t="s">
        <v>334</v>
      </c>
      <c r="J1532" s="493">
        <v>22</v>
      </c>
      <c r="K1532" s="493">
        <v>2</v>
      </c>
      <c r="L1532" s="105" t="s">
        <v>343</v>
      </c>
      <c r="M1532" s="105" t="s">
        <v>655</v>
      </c>
      <c r="N1532" s="105" t="s">
        <v>656</v>
      </c>
      <c r="O1532" s="105" t="s">
        <v>656</v>
      </c>
      <c r="P1532" s="105" t="s">
        <v>339</v>
      </c>
      <c r="Q1532" s="494">
        <v>0</v>
      </c>
      <c r="R1532" s="494">
        <v>0</v>
      </c>
      <c r="S1532" s="494">
        <v>14753</v>
      </c>
      <c r="T1532" s="494">
        <v>14753</v>
      </c>
      <c r="U1532" s="494">
        <v>4324</v>
      </c>
      <c r="V1532" s="493">
        <v>2024</v>
      </c>
      <c r="W1532" s="495"/>
      <c r="X1532" s="496">
        <f t="shared" si="97"/>
        <v>3.4118871415356153</v>
      </c>
      <c r="Y1532" s="497" t="str">
        <f t="shared" si="100"/>
        <v/>
      </c>
      <c r="Z1532" s="497" t="str">
        <f t="shared" si="100"/>
        <v/>
      </c>
    </row>
    <row r="1533" spans="1:26" s="82" customFormat="1" ht="32" x14ac:dyDescent="0.4">
      <c r="A1533" s="493">
        <v>60908</v>
      </c>
      <c r="B1533" s="105" t="s">
        <v>329</v>
      </c>
      <c r="C1533" s="493" t="s">
        <v>330</v>
      </c>
      <c r="D1533" s="105" t="s">
        <v>1768</v>
      </c>
      <c r="E1533" s="105" t="s">
        <v>1769</v>
      </c>
      <c r="F1533" s="493">
        <v>60541</v>
      </c>
      <c r="G1533" s="105" t="s">
        <v>33</v>
      </c>
      <c r="H1533" s="105" t="s">
        <v>342</v>
      </c>
      <c r="I1533" s="105" t="s">
        <v>334</v>
      </c>
      <c r="J1533" s="493">
        <v>22</v>
      </c>
      <c r="K1533" s="493">
        <v>2</v>
      </c>
      <c r="L1533" s="105" t="s">
        <v>343</v>
      </c>
      <c r="M1533" s="105" t="s">
        <v>655</v>
      </c>
      <c r="N1533" s="105" t="s">
        <v>656</v>
      </c>
      <c r="O1533" s="105" t="s">
        <v>656</v>
      </c>
      <c r="P1533" s="105" t="s">
        <v>339</v>
      </c>
      <c r="Q1533" s="494">
        <v>0</v>
      </c>
      <c r="R1533" s="494">
        <v>0</v>
      </c>
      <c r="S1533" s="494">
        <v>12870</v>
      </c>
      <c r="T1533" s="494">
        <v>12870</v>
      </c>
      <c r="U1533" s="494">
        <v>3772</v>
      </c>
      <c r="V1533" s="493">
        <v>2024</v>
      </c>
      <c r="W1533" s="495"/>
      <c r="X1533" s="496">
        <f t="shared" si="97"/>
        <v>3.411983032873807</v>
      </c>
      <c r="Y1533" s="497" t="str">
        <f t="shared" si="100"/>
        <v/>
      </c>
      <c r="Z1533" s="497" t="str">
        <f t="shared" si="100"/>
        <v/>
      </c>
    </row>
    <row r="1534" spans="1:26" s="82" customFormat="1" ht="32" x14ac:dyDescent="0.4">
      <c r="A1534" s="493">
        <v>60909</v>
      </c>
      <c r="B1534" s="105" t="s">
        <v>329</v>
      </c>
      <c r="C1534" s="493" t="s">
        <v>330</v>
      </c>
      <c r="D1534" s="105" t="s">
        <v>1770</v>
      </c>
      <c r="E1534" s="105" t="s">
        <v>1771</v>
      </c>
      <c r="F1534" s="493">
        <v>60166</v>
      </c>
      <c r="G1534" s="105" t="s">
        <v>37</v>
      </c>
      <c r="H1534" s="105" t="s">
        <v>342</v>
      </c>
      <c r="I1534" s="105" t="s">
        <v>334</v>
      </c>
      <c r="J1534" s="493">
        <v>22</v>
      </c>
      <c r="K1534" s="493">
        <v>2</v>
      </c>
      <c r="L1534" s="105" t="s">
        <v>343</v>
      </c>
      <c r="M1534" s="105" t="s">
        <v>655</v>
      </c>
      <c r="N1534" s="105" t="s">
        <v>656</v>
      </c>
      <c r="O1534" s="105" t="s">
        <v>656</v>
      </c>
      <c r="P1534" s="105" t="s">
        <v>339</v>
      </c>
      <c r="Q1534" s="494">
        <v>0</v>
      </c>
      <c r="R1534" s="494">
        <v>0</v>
      </c>
      <c r="S1534" s="494">
        <v>4051</v>
      </c>
      <c r="T1534" s="494">
        <v>4051</v>
      </c>
      <c r="U1534" s="494">
        <v>1187</v>
      </c>
      <c r="V1534" s="493">
        <v>2024</v>
      </c>
      <c r="W1534" s="495"/>
      <c r="X1534" s="496">
        <f t="shared" si="97"/>
        <v>3.4128053917438921</v>
      </c>
      <c r="Y1534" s="497" t="str">
        <f t="shared" si="100"/>
        <v/>
      </c>
      <c r="Z1534" s="497" t="str">
        <f t="shared" si="100"/>
        <v/>
      </c>
    </row>
    <row r="1535" spans="1:26" s="82" customFormat="1" ht="32" x14ac:dyDescent="0.4">
      <c r="A1535" s="493">
        <v>60912</v>
      </c>
      <c r="B1535" s="105" t="s">
        <v>329</v>
      </c>
      <c r="C1535" s="493" t="s">
        <v>330</v>
      </c>
      <c r="D1535" s="105" t="s">
        <v>1772</v>
      </c>
      <c r="E1535" s="105" t="s">
        <v>1773</v>
      </c>
      <c r="F1535" s="493">
        <v>60571</v>
      </c>
      <c r="G1535" s="105" t="s">
        <v>36</v>
      </c>
      <c r="H1535" s="105" t="s">
        <v>342</v>
      </c>
      <c r="I1535" s="105" t="s">
        <v>334</v>
      </c>
      <c r="J1535" s="493">
        <v>22</v>
      </c>
      <c r="K1535" s="493">
        <v>2</v>
      </c>
      <c r="L1535" s="105" t="s">
        <v>343</v>
      </c>
      <c r="M1535" s="105" t="s">
        <v>655</v>
      </c>
      <c r="N1535" s="105" t="s">
        <v>656</v>
      </c>
      <c r="O1535" s="105" t="s">
        <v>656</v>
      </c>
      <c r="P1535" s="105" t="s">
        <v>339</v>
      </c>
      <c r="Q1535" s="494">
        <v>0</v>
      </c>
      <c r="R1535" s="494">
        <v>0</v>
      </c>
      <c r="S1535" s="494">
        <v>11310</v>
      </c>
      <c r="T1535" s="494">
        <v>11310</v>
      </c>
      <c r="U1535" s="494">
        <v>3315</v>
      </c>
      <c r="V1535" s="493">
        <v>2024</v>
      </c>
      <c r="W1535" s="495"/>
      <c r="X1535" s="496">
        <f t="shared" si="97"/>
        <v>3.4117647058823528</v>
      </c>
      <c r="Y1535" s="497" t="str">
        <f t="shared" si="100"/>
        <v/>
      </c>
      <c r="Z1535" s="497" t="str">
        <f t="shared" si="100"/>
        <v/>
      </c>
    </row>
    <row r="1536" spans="1:26" s="82" customFormat="1" x14ac:dyDescent="0.4">
      <c r="A1536" s="493">
        <v>60954</v>
      </c>
      <c r="B1536" s="105" t="s">
        <v>329</v>
      </c>
      <c r="C1536" s="493" t="s">
        <v>330</v>
      </c>
      <c r="D1536" s="105" t="s">
        <v>1774</v>
      </c>
      <c r="E1536" s="105" t="s">
        <v>1751</v>
      </c>
      <c r="F1536" s="493">
        <v>60520</v>
      </c>
      <c r="G1536" s="105" t="s">
        <v>36</v>
      </c>
      <c r="H1536" s="105" t="s">
        <v>342</v>
      </c>
      <c r="I1536" s="105" t="s">
        <v>334</v>
      </c>
      <c r="J1536" s="493">
        <v>22</v>
      </c>
      <c r="K1536" s="493">
        <v>2</v>
      </c>
      <c r="L1536" s="105" t="s">
        <v>343</v>
      </c>
      <c r="M1536" s="105" t="s">
        <v>655</v>
      </c>
      <c r="N1536" s="105" t="s">
        <v>656</v>
      </c>
      <c r="O1536" s="105" t="s">
        <v>656</v>
      </c>
      <c r="P1536" s="105" t="s">
        <v>339</v>
      </c>
      <c r="Q1536" s="494">
        <v>0</v>
      </c>
      <c r="R1536" s="494">
        <v>0</v>
      </c>
      <c r="S1536" s="494">
        <v>5668</v>
      </c>
      <c r="T1536" s="494">
        <v>5668</v>
      </c>
      <c r="U1536" s="494">
        <v>1661</v>
      </c>
      <c r="V1536" s="493">
        <v>2024</v>
      </c>
      <c r="W1536" s="495"/>
      <c r="X1536" s="496">
        <f t="shared" si="97"/>
        <v>3.4124021673690548</v>
      </c>
      <c r="Y1536" s="497" t="str">
        <f t="shared" si="100"/>
        <v/>
      </c>
      <c r="Z1536" s="497" t="str">
        <f t="shared" si="100"/>
        <v/>
      </c>
    </row>
    <row r="1537" spans="1:26" s="82" customFormat="1" ht="32" x14ac:dyDescent="0.4">
      <c r="A1537" s="493">
        <v>60959</v>
      </c>
      <c r="B1537" s="105" t="s">
        <v>329</v>
      </c>
      <c r="C1537" s="493" t="s">
        <v>330</v>
      </c>
      <c r="D1537" s="105" t="s">
        <v>1775</v>
      </c>
      <c r="E1537" s="105" t="s">
        <v>1776</v>
      </c>
      <c r="F1537" s="493">
        <v>58375</v>
      </c>
      <c r="G1537" s="105" t="s">
        <v>33</v>
      </c>
      <c r="H1537" s="105" t="s">
        <v>342</v>
      </c>
      <c r="I1537" s="105" t="s">
        <v>334</v>
      </c>
      <c r="J1537" s="493">
        <v>22</v>
      </c>
      <c r="K1537" s="493">
        <v>1</v>
      </c>
      <c r="L1537" s="105" t="s">
        <v>335</v>
      </c>
      <c r="M1537" s="105" t="s">
        <v>403</v>
      </c>
      <c r="N1537" s="105" t="s">
        <v>404</v>
      </c>
      <c r="O1537" s="105" t="s">
        <v>232</v>
      </c>
      <c r="P1537" s="105" t="s">
        <v>346</v>
      </c>
      <c r="Q1537" s="494">
        <v>179</v>
      </c>
      <c r="R1537" s="494">
        <v>179</v>
      </c>
      <c r="S1537" s="494">
        <v>0</v>
      </c>
      <c r="T1537" s="494">
        <v>0</v>
      </c>
      <c r="U1537" s="494">
        <v>-79</v>
      </c>
      <c r="V1537" s="493">
        <v>2024</v>
      </c>
      <c r="W1537" s="495"/>
      <c r="X1537" s="496" t="str">
        <f t="shared" si="97"/>
        <v/>
      </c>
      <c r="Y1537" s="497" t="str">
        <f t="shared" si="100"/>
        <v/>
      </c>
      <c r="Z1537" s="497" t="str">
        <f t="shared" si="100"/>
        <v/>
      </c>
    </row>
    <row r="1538" spans="1:26" s="82" customFormat="1" ht="32" x14ac:dyDescent="0.4">
      <c r="A1538" s="493">
        <v>60967</v>
      </c>
      <c r="B1538" s="105" t="s">
        <v>329</v>
      </c>
      <c r="C1538" s="493" t="s">
        <v>330</v>
      </c>
      <c r="D1538" s="105" t="s">
        <v>1777</v>
      </c>
      <c r="E1538" s="105" t="s">
        <v>1778</v>
      </c>
      <c r="F1538" s="493">
        <v>60584</v>
      </c>
      <c r="G1538" s="105" t="s">
        <v>52</v>
      </c>
      <c r="H1538" s="105" t="s">
        <v>333</v>
      </c>
      <c r="I1538" s="105" t="s">
        <v>334</v>
      </c>
      <c r="J1538" s="493">
        <v>22</v>
      </c>
      <c r="K1538" s="493">
        <v>2</v>
      </c>
      <c r="L1538" s="105" t="s">
        <v>343</v>
      </c>
      <c r="M1538" s="105" t="s">
        <v>655</v>
      </c>
      <c r="N1538" s="105" t="s">
        <v>656</v>
      </c>
      <c r="O1538" s="105" t="s">
        <v>656</v>
      </c>
      <c r="P1538" s="105" t="s">
        <v>339</v>
      </c>
      <c r="Q1538" s="494">
        <v>0</v>
      </c>
      <c r="R1538" s="494">
        <v>0</v>
      </c>
      <c r="S1538" s="494">
        <v>9271</v>
      </c>
      <c r="T1538" s="494">
        <v>9271</v>
      </c>
      <c r="U1538" s="494">
        <v>2717</v>
      </c>
      <c r="V1538" s="493">
        <v>2024</v>
      </c>
      <c r="W1538" s="495"/>
      <c r="X1538" s="496">
        <f t="shared" si="97"/>
        <v>3.4122193595877808</v>
      </c>
      <c r="Y1538" s="497" t="str">
        <f t="shared" si="100"/>
        <v/>
      </c>
      <c r="Z1538" s="497" t="str">
        <f t="shared" si="100"/>
        <v/>
      </c>
    </row>
    <row r="1539" spans="1:26" s="82" customFormat="1" x14ac:dyDescent="0.4">
      <c r="A1539" s="493">
        <v>60986</v>
      </c>
      <c r="B1539" s="105" t="s">
        <v>329</v>
      </c>
      <c r="C1539" s="493" t="s">
        <v>330</v>
      </c>
      <c r="D1539" s="105" t="s">
        <v>1779</v>
      </c>
      <c r="E1539" s="105" t="s">
        <v>1375</v>
      </c>
      <c r="F1539" s="493">
        <v>63249</v>
      </c>
      <c r="G1539" s="105" t="s">
        <v>33</v>
      </c>
      <c r="H1539" s="105" t="s">
        <v>342</v>
      </c>
      <c r="I1539" s="105" t="s">
        <v>334</v>
      </c>
      <c r="J1539" s="493">
        <v>22</v>
      </c>
      <c r="K1539" s="493">
        <v>2</v>
      </c>
      <c r="L1539" s="105" t="s">
        <v>343</v>
      </c>
      <c r="M1539" s="105" t="s">
        <v>655</v>
      </c>
      <c r="N1539" s="105" t="s">
        <v>656</v>
      </c>
      <c r="O1539" s="105" t="s">
        <v>656</v>
      </c>
      <c r="P1539" s="105" t="s">
        <v>339</v>
      </c>
      <c r="Q1539" s="494">
        <v>0</v>
      </c>
      <c r="R1539" s="494">
        <v>0</v>
      </c>
      <c r="S1539" s="494">
        <v>11832</v>
      </c>
      <c r="T1539" s="494">
        <v>11832</v>
      </c>
      <c r="U1539" s="494">
        <v>3468</v>
      </c>
      <c r="V1539" s="493">
        <v>2024</v>
      </c>
      <c r="W1539" s="495"/>
      <c r="X1539" s="496">
        <f t="shared" si="97"/>
        <v>3.4117647058823528</v>
      </c>
      <c r="Y1539" s="497" t="str">
        <f t="shared" si="100"/>
        <v/>
      </c>
      <c r="Z1539" s="497" t="str">
        <f t="shared" si="100"/>
        <v/>
      </c>
    </row>
    <row r="1540" spans="1:26" s="82" customFormat="1" ht="48" x14ac:dyDescent="0.4">
      <c r="A1540" s="493">
        <v>61002</v>
      </c>
      <c r="B1540" s="105" t="s">
        <v>329</v>
      </c>
      <c r="C1540" s="493" t="s">
        <v>330</v>
      </c>
      <c r="D1540" s="105" t="s">
        <v>1780</v>
      </c>
      <c r="E1540" s="105" t="s">
        <v>1354</v>
      </c>
      <c r="F1540" s="493">
        <v>60025</v>
      </c>
      <c r="G1540" s="105" t="s">
        <v>38</v>
      </c>
      <c r="H1540" s="105" t="s">
        <v>342</v>
      </c>
      <c r="I1540" s="105" t="s">
        <v>334</v>
      </c>
      <c r="J1540" s="493">
        <v>22</v>
      </c>
      <c r="K1540" s="493">
        <v>2</v>
      </c>
      <c r="L1540" s="105" t="s">
        <v>343</v>
      </c>
      <c r="M1540" s="105" t="s">
        <v>695</v>
      </c>
      <c r="N1540" s="105" t="s">
        <v>696</v>
      </c>
      <c r="O1540" s="105" t="s">
        <v>696</v>
      </c>
      <c r="P1540" s="105" t="s">
        <v>339</v>
      </c>
      <c r="Q1540" s="494">
        <v>0</v>
      </c>
      <c r="R1540" s="494">
        <v>0</v>
      </c>
      <c r="S1540" s="494">
        <v>14562</v>
      </c>
      <c r="T1540" s="494">
        <v>14562</v>
      </c>
      <c r="U1540" s="494">
        <v>4268</v>
      </c>
      <c r="V1540" s="493">
        <v>2024</v>
      </c>
      <c r="W1540" s="495"/>
      <c r="X1540" s="496">
        <f t="shared" si="97"/>
        <v>3.4119025304592316</v>
      </c>
      <c r="Y1540" s="497" t="str">
        <f t="shared" si="100"/>
        <v/>
      </c>
      <c r="Z1540" s="497" t="str">
        <f t="shared" si="100"/>
        <v/>
      </c>
    </row>
    <row r="1541" spans="1:26" s="82" customFormat="1" x14ac:dyDescent="0.4">
      <c r="A1541" s="493">
        <v>61003</v>
      </c>
      <c r="B1541" s="105" t="s">
        <v>329</v>
      </c>
      <c r="C1541" s="493" t="s">
        <v>330</v>
      </c>
      <c r="D1541" s="105" t="s">
        <v>1781</v>
      </c>
      <c r="E1541" s="105" t="s">
        <v>1782</v>
      </c>
      <c r="F1541" s="493">
        <v>60643</v>
      </c>
      <c r="G1541" s="105" t="s">
        <v>52</v>
      </c>
      <c r="H1541" s="105" t="s">
        <v>333</v>
      </c>
      <c r="I1541" s="105" t="s">
        <v>334</v>
      </c>
      <c r="J1541" s="493">
        <v>22</v>
      </c>
      <c r="K1541" s="493">
        <v>2</v>
      </c>
      <c r="L1541" s="105" t="s">
        <v>343</v>
      </c>
      <c r="M1541" s="105" t="s">
        <v>655</v>
      </c>
      <c r="N1541" s="105" t="s">
        <v>656</v>
      </c>
      <c r="O1541" s="105" t="s">
        <v>656</v>
      </c>
      <c r="P1541" s="105" t="s">
        <v>339</v>
      </c>
      <c r="Q1541" s="494">
        <v>0</v>
      </c>
      <c r="R1541" s="494">
        <v>0</v>
      </c>
      <c r="S1541" s="494">
        <v>9487</v>
      </c>
      <c r="T1541" s="494">
        <v>9487</v>
      </c>
      <c r="U1541" s="494">
        <v>2780.52</v>
      </c>
      <c r="V1541" s="493">
        <v>2024</v>
      </c>
      <c r="W1541" s="495"/>
      <c r="X1541" s="496">
        <f t="shared" si="97"/>
        <v>3.4119517212607713</v>
      </c>
      <c r="Y1541" s="497" t="str">
        <f t="shared" si="100"/>
        <v/>
      </c>
      <c r="Z1541" s="497" t="str">
        <f t="shared" si="100"/>
        <v/>
      </c>
    </row>
    <row r="1542" spans="1:26" s="82" customFormat="1" x14ac:dyDescent="0.4">
      <c r="A1542" s="493">
        <v>61007</v>
      </c>
      <c r="B1542" s="105" t="s">
        <v>329</v>
      </c>
      <c r="C1542" s="493" t="s">
        <v>330</v>
      </c>
      <c r="D1542" s="105" t="s">
        <v>1783</v>
      </c>
      <c r="E1542" s="105" t="s">
        <v>1784</v>
      </c>
      <c r="F1542" s="493">
        <v>60649</v>
      </c>
      <c r="G1542" s="105" t="s">
        <v>33</v>
      </c>
      <c r="H1542" s="105" t="s">
        <v>342</v>
      </c>
      <c r="I1542" s="105" t="s">
        <v>334</v>
      </c>
      <c r="J1542" s="493">
        <v>22</v>
      </c>
      <c r="K1542" s="493">
        <v>2</v>
      </c>
      <c r="L1542" s="105" t="s">
        <v>343</v>
      </c>
      <c r="M1542" s="105" t="s">
        <v>655</v>
      </c>
      <c r="N1542" s="105" t="s">
        <v>656</v>
      </c>
      <c r="O1542" s="105" t="s">
        <v>656</v>
      </c>
      <c r="P1542" s="105" t="s">
        <v>339</v>
      </c>
      <c r="Q1542" s="494">
        <v>0</v>
      </c>
      <c r="R1542" s="494">
        <v>0</v>
      </c>
      <c r="S1542" s="494">
        <v>12281</v>
      </c>
      <c r="T1542" s="494">
        <v>12281</v>
      </c>
      <c r="U1542" s="494">
        <v>3599</v>
      </c>
      <c r="V1542" s="493">
        <v>2024</v>
      </c>
      <c r="W1542" s="495"/>
      <c r="X1542" s="496">
        <f t="shared" si="97"/>
        <v>3.4123367602111698</v>
      </c>
      <c r="Y1542" s="497" t="str">
        <f t="shared" si="100"/>
        <v/>
      </c>
      <c r="Z1542" s="497" t="str">
        <f t="shared" si="100"/>
        <v/>
      </c>
    </row>
    <row r="1543" spans="1:26" s="82" customFormat="1" ht="32" x14ac:dyDescent="0.4">
      <c r="A1543" s="493">
        <v>61008</v>
      </c>
      <c r="B1543" s="105" t="s">
        <v>329</v>
      </c>
      <c r="C1543" s="493" t="s">
        <v>330</v>
      </c>
      <c r="D1543" s="105" t="s">
        <v>1785</v>
      </c>
      <c r="E1543" s="105" t="s">
        <v>1786</v>
      </c>
      <c r="F1543" s="493">
        <v>60650</v>
      </c>
      <c r="G1543" s="105" t="s">
        <v>33</v>
      </c>
      <c r="H1543" s="105" t="s">
        <v>342</v>
      </c>
      <c r="I1543" s="105" t="s">
        <v>334</v>
      </c>
      <c r="J1543" s="493">
        <v>22</v>
      </c>
      <c r="K1543" s="493">
        <v>2</v>
      </c>
      <c r="L1543" s="105" t="s">
        <v>343</v>
      </c>
      <c r="M1543" s="105" t="s">
        <v>655</v>
      </c>
      <c r="N1543" s="105" t="s">
        <v>656</v>
      </c>
      <c r="O1543" s="105" t="s">
        <v>656</v>
      </c>
      <c r="P1543" s="105" t="s">
        <v>339</v>
      </c>
      <c r="Q1543" s="494">
        <v>0</v>
      </c>
      <c r="R1543" s="494">
        <v>0</v>
      </c>
      <c r="S1543" s="494">
        <v>11649</v>
      </c>
      <c r="T1543" s="494">
        <v>11649</v>
      </c>
      <c r="U1543" s="494">
        <v>3414</v>
      </c>
      <c r="V1543" s="493">
        <v>2024</v>
      </c>
      <c r="W1543" s="495"/>
      <c r="X1543" s="496">
        <f t="shared" si="97"/>
        <v>3.4121265377855887</v>
      </c>
      <c r="Y1543" s="497" t="str">
        <f t="shared" si="100"/>
        <v/>
      </c>
      <c r="Z1543" s="497" t="str">
        <f t="shared" si="100"/>
        <v/>
      </c>
    </row>
    <row r="1544" spans="1:26" s="82" customFormat="1" ht="32" x14ac:dyDescent="0.4">
      <c r="A1544" s="493">
        <v>61009</v>
      </c>
      <c r="B1544" s="105" t="s">
        <v>329</v>
      </c>
      <c r="C1544" s="493" t="s">
        <v>330</v>
      </c>
      <c r="D1544" s="105" t="s">
        <v>1787</v>
      </c>
      <c r="E1544" s="105" t="s">
        <v>1788</v>
      </c>
      <c r="F1544" s="493">
        <v>60651</v>
      </c>
      <c r="G1544" s="105" t="s">
        <v>33</v>
      </c>
      <c r="H1544" s="105" t="s">
        <v>342</v>
      </c>
      <c r="I1544" s="105" t="s">
        <v>334</v>
      </c>
      <c r="J1544" s="493">
        <v>22</v>
      </c>
      <c r="K1544" s="493">
        <v>2</v>
      </c>
      <c r="L1544" s="105" t="s">
        <v>343</v>
      </c>
      <c r="M1544" s="105" t="s">
        <v>655</v>
      </c>
      <c r="N1544" s="105" t="s">
        <v>656</v>
      </c>
      <c r="O1544" s="105" t="s">
        <v>656</v>
      </c>
      <c r="P1544" s="105" t="s">
        <v>339</v>
      </c>
      <c r="Q1544" s="494">
        <v>0</v>
      </c>
      <c r="R1544" s="494">
        <v>0</v>
      </c>
      <c r="S1544" s="494">
        <v>11048</v>
      </c>
      <c r="T1544" s="494">
        <v>11048</v>
      </c>
      <c r="U1544" s="494">
        <v>3238</v>
      </c>
      <c r="V1544" s="493">
        <v>2024</v>
      </c>
      <c r="W1544" s="495"/>
      <c r="X1544" s="496">
        <f t="shared" si="97"/>
        <v>3.4119827053736875</v>
      </c>
      <c r="Y1544" s="497" t="str">
        <f t="shared" si="100"/>
        <v/>
      </c>
      <c r="Z1544" s="497" t="str">
        <f t="shared" si="100"/>
        <v/>
      </c>
    </row>
    <row r="1545" spans="1:26" s="82" customFormat="1" ht="32" x14ac:dyDescent="0.4">
      <c r="A1545" s="493">
        <v>61010</v>
      </c>
      <c r="B1545" s="105" t="s">
        <v>329</v>
      </c>
      <c r="C1545" s="493" t="s">
        <v>330</v>
      </c>
      <c r="D1545" s="105" t="s">
        <v>1789</v>
      </c>
      <c r="E1545" s="105" t="s">
        <v>1790</v>
      </c>
      <c r="F1545" s="493">
        <v>60655</v>
      </c>
      <c r="G1545" s="105" t="s">
        <v>33</v>
      </c>
      <c r="H1545" s="105" t="s">
        <v>342</v>
      </c>
      <c r="I1545" s="105" t="s">
        <v>334</v>
      </c>
      <c r="J1545" s="493">
        <v>22</v>
      </c>
      <c r="K1545" s="493">
        <v>2</v>
      </c>
      <c r="L1545" s="105" t="s">
        <v>343</v>
      </c>
      <c r="M1545" s="105" t="s">
        <v>655</v>
      </c>
      <c r="N1545" s="105" t="s">
        <v>656</v>
      </c>
      <c r="O1545" s="105" t="s">
        <v>656</v>
      </c>
      <c r="P1545" s="105" t="s">
        <v>339</v>
      </c>
      <c r="Q1545" s="494">
        <v>0</v>
      </c>
      <c r="R1545" s="494">
        <v>0</v>
      </c>
      <c r="S1545" s="494">
        <v>11942</v>
      </c>
      <c r="T1545" s="494">
        <v>11942</v>
      </c>
      <c r="U1545" s="494">
        <v>3500</v>
      </c>
      <c r="V1545" s="493">
        <v>2024</v>
      </c>
      <c r="W1545" s="495"/>
      <c r="X1545" s="496">
        <f t="shared" ref="X1545:X1608" si="101">IF(OR(K1545&gt;3,T1545=0,NOT(U1545&gt;0)),"",T1545/U1545)</f>
        <v>3.4119999999999999</v>
      </c>
      <c r="Y1545" s="497" t="str">
        <f t="shared" si="100"/>
        <v/>
      </c>
      <c r="Z1545" s="497" t="str">
        <f t="shared" si="100"/>
        <v/>
      </c>
    </row>
    <row r="1546" spans="1:26" s="82" customFormat="1" ht="32" x14ac:dyDescent="0.4">
      <c r="A1546" s="493">
        <v>61012</v>
      </c>
      <c r="B1546" s="105" t="s">
        <v>329</v>
      </c>
      <c r="C1546" s="493" t="s">
        <v>330</v>
      </c>
      <c r="D1546" s="105" t="s">
        <v>1791</v>
      </c>
      <c r="E1546" s="105" t="s">
        <v>937</v>
      </c>
      <c r="F1546" s="493">
        <v>54842</v>
      </c>
      <c r="G1546" s="105" t="s">
        <v>52</v>
      </c>
      <c r="H1546" s="105" t="s">
        <v>333</v>
      </c>
      <c r="I1546" s="105" t="s">
        <v>334</v>
      </c>
      <c r="J1546" s="493">
        <v>22</v>
      </c>
      <c r="K1546" s="493">
        <v>2</v>
      </c>
      <c r="L1546" s="105" t="s">
        <v>343</v>
      </c>
      <c r="M1546" s="105" t="s">
        <v>359</v>
      </c>
      <c r="N1546" s="105" t="s">
        <v>252</v>
      </c>
      <c r="O1546" s="105" t="s">
        <v>688</v>
      </c>
      <c r="P1546" s="105" t="s">
        <v>356</v>
      </c>
      <c r="Q1546" s="494">
        <v>1261394</v>
      </c>
      <c r="R1546" s="494">
        <v>1261394</v>
      </c>
      <c r="S1546" s="494">
        <v>630701</v>
      </c>
      <c r="T1546" s="494">
        <v>630701</v>
      </c>
      <c r="U1546" s="494">
        <v>50844</v>
      </c>
      <c r="V1546" s="493">
        <v>2024</v>
      </c>
      <c r="W1546" s="495"/>
      <c r="X1546" s="496">
        <f t="shared" si="101"/>
        <v>12.404629848163008</v>
      </c>
      <c r="Y1546" s="497" t="str">
        <f t="shared" si="100"/>
        <v/>
      </c>
      <c r="Z1546" s="497" t="str">
        <f t="shared" si="100"/>
        <v/>
      </c>
    </row>
    <row r="1547" spans="1:26" s="82" customFormat="1" x14ac:dyDescent="0.4">
      <c r="A1547" s="493">
        <v>61015</v>
      </c>
      <c r="B1547" s="105" t="s">
        <v>329</v>
      </c>
      <c r="C1547" s="493" t="s">
        <v>330</v>
      </c>
      <c r="D1547" s="105" t="s">
        <v>1792</v>
      </c>
      <c r="E1547" s="105" t="s">
        <v>1782</v>
      </c>
      <c r="F1547" s="493">
        <v>60643</v>
      </c>
      <c r="G1547" s="105" t="s">
        <v>52</v>
      </c>
      <c r="H1547" s="105" t="s">
        <v>333</v>
      </c>
      <c r="I1547" s="105" t="s">
        <v>334</v>
      </c>
      <c r="J1547" s="493">
        <v>22</v>
      </c>
      <c r="K1547" s="493">
        <v>2</v>
      </c>
      <c r="L1547" s="105" t="s">
        <v>343</v>
      </c>
      <c r="M1547" s="105" t="s">
        <v>655</v>
      </c>
      <c r="N1547" s="105" t="s">
        <v>656</v>
      </c>
      <c r="O1547" s="105" t="s">
        <v>656</v>
      </c>
      <c r="P1547" s="105" t="s">
        <v>339</v>
      </c>
      <c r="Q1547" s="494">
        <v>0</v>
      </c>
      <c r="R1547" s="494">
        <v>0</v>
      </c>
      <c r="S1547" s="494">
        <v>9857</v>
      </c>
      <c r="T1547" s="494">
        <v>9857</v>
      </c>
      <c r="U1547" s="494">
        <v>2889</v>
      </c>
      <c r="V1547" s="493">
        <v>2024</v>
      </c>
      <c r="W1547" s="495"/>
      <c r="X1547" s="496">
        <f t="shared" si="101"/>
        <v>3.411907234337141</v>
      </c>
      <c r="Y1547" s="497" t="str">
        <f t="shared" si="100"/>
        <v/>
      </c>
      <c r="Z1547" s="497" t="str">
        <f t="shared" si="100"/>
        <v/>
      </c>
    </row>
    <row r="1548" spans="1:26" s="82" customFormat="1" x14ac:dyDescent="0.4">
      <c r="A1548" s="493">
        <v>61016</v>
      </c>
      <c r="B1548" s="105" t="s">
        <v>329</v>
      </c>
      <c r="C1548" s="493" t="s">
        <v>330</v>
      </c>
      <c r="D1548" s="105" t="s">
        <v>1793</v>
      </c>
      <c r="E1548" s="105" t="s">
        <v>1794</v>
      </c>
      <c r="F1548" s="493">
        <v>60652</v>
      </c>
      <c r="G1548" s="105" t="s">
        <v>33</v>
      </c>
      <c r="H1548" s="105" t="s">
        <v>342</v>
      </c>
      <c r="I1548" s="105" t="s">
        <v>334</v>
      </c>
      <c r="J1548" s="493">
        <v>22</v>
      </c>
      <c r="K1548" s="493">
        <v>2</v>
      </c>
      <c r="L1548" s="105" t="s">
        <v>343</v>
      </c>
      <c r="M1548" s="105" t="s">
        <v>655</v>
      </c>
      <c r="N1548" s="105" t="s">
        <v>656</v>
      </c>
      <c r="O1548" s="105" t="s">
        <v>656</v>
      </c>
      <c r="P1548" s="105" t="s">
        <v>339</v>
      </c>
      <c r="Q1548" s="494">
        <v>0</v>
      </c>
      <c r="R1548" s="494">
        <v>0</v>
      </c>
      <c r="S1548" s="494">
        <v>12164</v>
      </c>
      <c r="T1548" s="494">
        <v>12164</v>
      </c>
      <c r="U1548" s="494">
        <v>3565</v>
      </c>
      <c r="V1548" s="493">
        <v>2024</v>
      </c>
      <c r="W1548" s="495"/>
      <c r="X1548" s="496">
        <f t="shared" si="101"/>
        <v>3.4120617110799438</v>
      </c>
      <c r="Y1548" s="497" t="str">
        <f t="shared" ref="Y1548:Z1567" si="102">IF(AND($M1548=$Y$2,$N1548=$Y$3,NOT($Q1548=$R1548),NOT($U1548=0)),IF($K1548=5,$S1548/($U1548+(8/5)*$U1548),IF($K1548=7,$S1548/($U1548+(29/25)*$U1548),"")),"")</f>
        <v/>
      </c>
      <c r="Z1548" s="497" t="str">
        <f t="shared" si="102"/>
        <v/>
      </c>
    </row>
    <row r="1549" spans="1:26" s="82" customFormat="1" x14ac:dyDescent="0.4">
      <c r="A1549" s="493">
        <v>61017</v>
      </c>
      <c r="B1549" s="105" t="s">
        <v>329</v>
      </c>
      <c r="C1549" s="493" t="s">
        <v>330</v>
      </c>
      <c r="D1549" s="105" t="s">
        <v>1795</v>
      </c>
      <c r="E1549" s="105" t="s">
        <v>1796</v>
      </c>
      <c r="F1549" s="493">
        <v>60653</v>
      </c>
      <c r="G1549" s="105" t="s">
        <v>33</v>
      </c>
      <c r="H1549" s="105" t="s">
        <v>342</v>
      </c>
      <c r="I1549" s="105" t="s">
        <v>334</v>
      </c>
      <c r="J1549" s="493">
        <v>22</v>
      </c>
      <c r="K1549" s="493">
        <v>2</v>
      </c>
      <c r="L1549" s="105" t="s">
        <v>343</v>
      </c>
      <c r="M1549" s="105" t="s">
        <v>655</v>
      </c>
      <c r="N1549" s="105" t="s">
        <v>656</v>
      </c>
      <c r="O1549" s="105" t="s">
        <v>656</v>
      </c>
      <c r="P1549" s="105" t="s">
        <v>339</v>
      </c>
      <c r="Q1549" s="494">
        <v>0</v>
      </c>
      <c r="R1549" s="494">
        <v>0</v>
      </c>
      <c r="S1549" s="494">
        <v>12307</v>
      </c>
      <c r="T1549" s="494">
        <v>12307</v>
      </c>
      <c r="U1549" s="494">
        <v>3607</v>
      </c>
      <c r="V1549" s="493">
        <v>2024</v>
      </c>
      <c r="W1549" s="495"/>
      <c r="X1549" s="496">
        <f t="shared" si="101"/>
        <v>3.4119767119489879</v>
      </c>
      <c r="Y1549" s="497" t="str">
        <f t="shared" si="102"/>
        <v/>
      </c>
      <c r="Z1549" s="497" t="str">
        <f t="shared" si="102"/>
        <v/>
      </c>
    </row>
    <row r="1550" spans="1:26" s="82" customFormat="1" x14ac:dyDescent="0.4">
      <c r="A1550" s="493">
        <v>61018</v>
      </c>
      <c r="B1550" s="105" t="s">
        <v>329</v>
      </c>
      <c r="C1550" s="493" t="s">
        <v>330</v>
      </c>
      <c r="D1550" s="105" t="s">
        <v>1797</v>
      </c>
      <c r="E1550" s="105" t="s">
        <v>1798</v>
      </c>
      <c r="F1550" s="493">
        <v>60654</v>
      </c>
      <c r="G1550" s="105" t="s">
        <v>33</v>
      </c>
      <c r="H1550" s="105" t="s">
        <v>342</v>
      </c>
      <c r="I1550" s="105" t="s">
        <v>334</v>
      </c>
      <c r="J1550" s="493">
        <v>22</v>
      </c>
      <c r="K1550" s="493">
        <v>2</v>
      </c>
      <c r="L1550" s="105" t="s">
        <v>343</v>
      </c>
      <c r="M1550" s="105" t="s">
        <v>655</v>
      </c>
      <c r="N1550" s="105" t="s">
        <v>656</v>
      </c>
      <c r="O1550" s="105" t="s">
        <v>656</v>
      </c>
      <c r="P1550" s="105" t="s">
        <v>339</v>
      </c>
      <c r="Q1550" s="494">
        <v>0</v>
      </c>
      <c r="R1550" s="494">
        <v>0</v>
      </c>
      <c r="S1550" s="494">
        <v>5958</v>
      </c>
      <c r="T1550" s="494">
        <v>5958</v>
      </c>
      <c r="U1550" s="494">
        <v>1746</v>
      </c>
      <c r="V1550" s="493">
        <v>2024</v>
      </c>
      <c r="W1550" s="495"/>
      <c r="X1550" s="496">
        <f t="shared" si="101"/>
        <v>3.4123711340206184</v>
      </c>
      <c r="Y1550" s="497" t="str">
        <f t="shared" si="102"/>
        <v/>
      </c>
      <c r="Z1550" s="497" t="str">
        <f t="shared" si="102"/>
        <v/>
      </c>
    </row>
    <row r="1551" spans="1:26" s="82" customFormat="1" ht="32" x14ac:dyDescent="0.4">
      <c r="A1551" s="493">
        <v>61025</v>
      </c>
      <c r="B1551" s="105" t="s">
        <v>329</v>
      </c>
      <c r="C1551" s="493" t="s">
        <v>330</v>
      </c>
      <c r="D1551" s="105" t="s">
        <v>1799</v>
      </c>
      <c r="E1551" s="105" t="s">
        <v>1800</v>
      </c>
      <c r="F1551" s="493">
        <v>60675</v>
      </c>
      <c r="G1551" s="105" t="s">
        <v>52</v>
      </c>
      <c r="H1551" s="105" t="s">
        <v>333</v>
      </c>
      <c r="I1551" s="105" t="s">
        <v>334</v>
      </c>
      <c r="J1551" s="493">
        <v>622</v>
      </c>
      <c r="K1551" s="493">
        <v>4</v>
      </c>
      <c r="L1551" s="105" t="s">
        <v>766</v>
      </c>
      <c r="M1551" s="105" t="s">
        <v>359</v>
      </c>
      <c r="N1551" s="105" t="s">
        <v>226</v>
      </c>
      <c r="O1551" s="105" t="s">
        <v>226</v>
      </c>
      <c r="P1551" s="105" t="s">
        <v>350</v>
      </c>
      <c r="Q1551" s="494">
        <v>10</v>
      </c>
      <c r="R1551" s="494">
        <v>10</v>
      </c>
      <c r="S1551" s="494">
        <v>59</v>
      </c>
      <c r="T1551" s="494">
        <v>59</v>
      </c>
      <c r="U1551" s="494">
        <v>9</v>
      </c>
      <c r="V1551" s="493">
        <v>2024</v>
      </c>
      <c r="W1551" s="495"/>
      <c r="X1551" s="496" t="str">
        <f t="shared" si="101"/>
        <v/>
      </c>
      <c r="Y1551" s="497" t="str">
        <f t="shared" si="102"/>
        <v/>
      </c>
      <c r="Z1551" s="497" t="str">
        <f t="shared" si="102"/>
        <v/>
      </c>
    </row>
    <row r="1552" spans="1:26" s="82" customFormat="1" ht="32" x14ac:dyDescent="0.4">
      <c r="A1552" s="493">
        <v>61026</v>
      </c>
      <c r="B1552" s="105" t="s">
        <v>329</v>
      </c>
      <c r="C1552" s="493" t="s">
        <v>330</v>
      </c>
      <c r="D1552" s="105" t="s">
        <v>1801</v>
      </c>
      <c r="E1552" s="105" t="s">
        <v>1802</v>
      </c>
      <c r="F1552" s="493">
        <v>60676</v>
      </c>
      <c r="G1552" s="105" t="s">
        <v>52</v>
      </c>
      <c r="H1552" s="105" t="s">
        <v>333</v>
      </c>
      <c r="I1552" s="105" t="s">
        <v>334</v>
      </c>
      <c r="J1552" s="493">
        <v>622</v>
      </c>
      <c r="K1552" s="493">
        <v>4</v>
      </c>
      <c r="L1552" s="105" t="s">
        <v>766</v>
      </c>
      <c r="M1552" s="105" t="s">
        <v>359</v>
      </c>
      <c r="N1552" s="105" t="s">
        <v>226</v>
      </c>
      <c r="O1552" s="105" t="s">
        <v>226</v>
      </c>
      <c r="P1552" s="105" t="s">
        <v>350</v>
      </c>
      <c r="Q1552" s="494">
        <v>103</v>
      </c>
      <c r="R1552" s="494">
        <v>103</v>
      </c>
      <c r="S1552" s="494">
        <v>609</v>
      </c>
      <c r="T1552" s="494">
        <v>609</v>
      </c>
      <c r="U1552" s="494">
        <v>60</v>
      </c>
      <c r="V1552" s="493">
        <v>2024</v>
      </c>
      <c r="W1552" s="495"/>
      <c r="X1552" s="496" t="str">
        <f t="shared" si="101"/>
        <v/>
      </c>
      <c r="Y1552" s="497" t="str">
        <f t="shared" si="102"/>
        <v/>
      </c>
      <c r="Z1552" s="497" t="str">
        <f t="shared" si="102"/>
        <v/>
      </c>
    </row>
    <row r="1553" spans="1:26" s="82" customFormat="1" x14ac:dyDescent="0.4">
      <c r="A1553" s="493">
        <v>61030</v>
      </c>
      <c r="B1553" s="105" t="s">
        <v>329</v>
      </c>
      <c r="C1553" s="493" t="s">
        <v>330</v>
      </c>
      <c r="D1553" s="105" t="s">
        <v>1803</v>
      </c>
      <c r="E1553" s="105" t="s">
        <v>1804</v>
      </c>
      <c r="F1553" s="493">
        <v>60669</v>
      </c>
      <c r="G1553" s="105" t="s">
        <v>52</v>
      </c>
      <c r="H1553" s="105" t="s">
        <v>333</v>
      </c>
      <c r="I1553" s="105" t="s">
        <v>334</v>
      </c>
      <c r="J1553" s="493">
        <v>22</v>
      </c>
      <c r="K1553" s="493">
        <v>2</v>
      </c>
      <c r="L1553" s="105" t="s">
        <v>343</v>
      </c>
      <c r="M1553" s="105" t="s">
        <v>655</v>
      </c>
      <c r="N1553" s="105" t="s">
        <v>656</v>
      </c>
      <c r="O1553" s="105" t="s">
        <v>656</v>
      </c>
      <c r="P1553" s="105" t="s">
        <v>339</v>
      </c>
      <c r="Q1553" s="494">
        <v>0</v>
      </c>
      <c r="R1553" s="494">
        <v>0</v>
      </c>
      <c r="S1553" s="494">
        <v>9707</v>
      </c>
      <c r="T1553" s="494">
        <v>9707</v>
      </c>
      <c r="U1553" s="494">
        <v>2845</v>
      </c>
      <c r="V1553" s="493">
        <v>2024</v>
      </c>
      <c r="W1553" s="495"/>
      <c r="X1553" s="496">
        <f t="shared" si="101"/>
        <v>3.4119507908611597</v>
      </c>
      <c r="Y1553" s="497" t="str">
        <f t="shared" si="102"/>
        <v/>
      </c>
      <c r="Z1553" s="497" t="str">
        <f t="shared" si="102"/>
        <v/>
      </c>
    </row>
    <row r="1554" spans="1:26" s="82" customFormat="1" x14ac:dyDescent="0.4">
      <c r="A1554" s="493">
        <v>61039</v>
      </c>
      <c r="B1554" s="105" t="s">
        <v>329</v>
      </c>
      <c r="C1554" s="493" t="s">
        <v>330</v>
      </c>
      <c r="D1554" s="105" t="s">
        <v>1805</v>
      </c>
      <c r="E1554" s="105" t="s">
        <v>1165</v>
      </c>
      <c r="F1554" s="493">
        <v>15399</v>
      </c>
      <c r="G1554" s="105" t="s">
        <v>36</v>
      </c>
      <c r="H1554" s="105" t="s">
        <v>342</v>
      </c>
      <c r="I1554" s="105" t="s">
        <v>334</v>
      </c>
      <c r="J1554" s="493">
        <v>22</v>
      </c>
      <c r="K1554" s="493">
        <v>2</v>
      </c>
      <c r="L1554" s="105" t="s">
        <v>343</v>
      </c>
      <c r="M1554" s="105" t="s">
        <v>695</v>
      </c>
      <c r="N1554" s="105" t="s">
        <v>696</v>
      </c>
      <c r="O1554" s="105" t="s">
        <v>696</v>
      </c>
      <c r="P1554" s="105" t="s">
        <v>339</v>
      </c>
      <c r="Q1554" s="494">
        <v>0</v>
      </c>
      <c r="R1554" s="494">
        <v>0</v>
      </c>
      <c r="S1554" s="494">
        <v>295269</v>
      </c>
      <c r="T1554" s="494">
        <v>295269</v>
      </c>
      <c r="U1554" s="494">
        <v>86538</v>
      </c>
      <c r="V1554" s="493">
        <v>2024</v>
      </c>
      <c r="W1554" s="495"/>
      <c r="X1554" s="496">
        <f t="shared" si="101"/>
        <v>3.4120155307494975</v>
      </c>
      <c r="Y1554" s="497" t="str">
        <f t="shared" si="102"/>
        <v/>
      </c>
      <c r="Z1554" s="497" t="str">
        <f t="shared" si="102"/>
        <v/>
      </c>
    </row>
    <row r="1555" spans="1:26" s="82" customFormat="1" x14ac:dyDescent="0.4">
      <c r="A1555" s="493">
        <v>61041</v>
      </c>
      <c r="B1555" s="105" t="s">
        <v>329</v>
      </c>
      <c r="C1555" s="493" t="s">
        <v>330</v>
      </c>
      <c r="D1555" s="105" t="s">
        <v>1806</v>
      </c>
      <c r="E1555" s="105" t="s">
        <v>1165</v>
      </c>
      <c r="F1555" s="493">
        <v>15399</v>
      </c>
      <c r="G1555" s="105" t="s">
        <v>52</v>
      </c>
      <c r="H1555" s="105" t="s">
        <v>333</v>
      </c>
      <c r="I1555" s="105" t="s">
        <v>334</v>
      </c>
      <c r="J1555" s="493">
        <v>22</v>
      </c>
      <c r="K1555" s="493">
        <v>2</v>
      </c>
      <c r="L1555" s="105" t="s">
        <v>343</v>
      </c>
      <c r="M1555" s="105" t="s">
        <v>695</v>
      </c>
      <c r="N1555" s="105" t="s">
        <v>696</v>
      </c>
      <c r="O1555" s="105" t="s">
        <v>696</v>
      </c>
      <c r="P1555" s="105" t="s">
        <v>339</v>
      </c>
      <c r="Q1555" s="494">
        <v>0</v>
      </c>
      <c r="R1555" s="494">
        <v>0</v>
      </c>
      <c r="S1555" s="494">
        <v>556409</v>
      </c>
      <c r="T1555" s="494">
        <v>556409</v>
      </c>
      <c r="U1555" s="494">
        <v>163074</v>
      </c>
      <c r="V1555" s="493">
        <v>2024</v>
      </c>
      <c r="W1555" s="495"/>
      <c r="X1555" s="496">
        <f t="shared" si="101"/>
        <v>3.412003139678919</v>
      </c>
      <c r="Y1555" s="497" t="str">
        <f t="shared" si="102"/>
        <v/>
      </c>
      <c r="Z1555" s="497" t="str">
        <f t="shared" si="102"/>
        <v/>
      </c>
    </row>
    <row r="1556" spans="1:26" s="82" customFormat="1" ht="32" x14ac:dyDescent="0.4">
      <c r="A1556" s="493">
        <v>61042</v>
      </c>
      <c r="B1556" s="105" t="s">
        <v>329</v>
      </c>
      <c r="C1556" s="493" t="s">
        <v>330</v>
      </c>
      <c r="D1556" s="105" t="s">
        <v>1807</v>
      </c>
      <c r="E1556" s="105" t="s">
        <v>1773</v>
      </c>
      <c r="F1556" s="493">
        <v>60571</v>
      </c>
      <c r="G1556" s="105" t="s">
        <v>52</v>
      </c>
      <c r="H1556" s="105" t="s">
        <v>333</v>
      </c>
      <c r="I1556" s="105" t="s">
        <v>334</v>
      </c>
      <c r="J1556" s="493">
        <v>22</v>
      </c>
      <c r="K1556" s="493">
        <v>2</v>
      </c>
      <c r="L1556" s="105" t="s">
        <v>343</v>
      </c>
      <c r="M1556" s="105" t="s">
        <v>655</v>
      </c>
      <c r="N1556" s="105" t="s">
        <v>656</v>
      </c>
      <c r="O1556" s="105" t="s">
        <v>656</v>
      </c>
      <c r="P1556" s="105" t="s">
        <v>339</v>
      </c>
      <c r="Q1556" s="494">
        <v>0</v>
      </c>
      <c r="R1556" s="494">
        <v>0</v>
      </c>
      <c r="S1556" s="494">
        <v>6240</v>
      </c>
      <c r="T1556" s="494">
        <v>6240</v>
      </c>
      <c r="U1556" s="494">
        <v>1829</v>
      </c>
      <c r="V1556" s="493">
        <v>2024</v>
      </c>
      <c r="W1556" s="495"/>
      <c r="X1556" s="496">
        <f t="shared" si="101"/>
        <v>3.4117003827227994</v>
      </c>
      <c r="Y1556" s="497" t="str">
        <f t="shared" si="102"/>
        <v/>
      </c>
      <c r="Z1556" s="497" t="str">
        <f t="shared" si="102"/>
        <v/>
      </c>
    </row>
    <row r="1557" spans="1:26" s="82" customFormat="1" ht="32" x14ac:dyDescent="0.4">
      <c r="A1557" s="493">
        <v>61043</v>
      </c>
      <c r="B1557" s="105" t="s">
        <v>329</v>
      </c>
      <c r="C1557" s="493" t="s">
        <v>330</v>
      </c>
      <c r="D1557" s="105" t="s">
        <v>1808</v>
      </c>
      <c r="E1557" s="105" t="s">
        <v>1773</v>
      </c>
      <c r="F1557" s="493">
        <v>60571</v>
      </c>
      <c r="G1557" s="105" t="s">
        <v>52</v>
      </c>
      <c r="H1557" s="105" t="s">
        <v>333</v>
      </c>
      <c r="I1557" s="105" t="s">
        <v>334</v>
      </c>
      <c r="J1557" s="493">
        <v>22</v>
      </c>
      <c r="K1557" s="493">
        <v>2</v>
      </c>
      <c r="L1557" s="105" t="s">
        <v>343</v>
      </c>
      <c r="M1557" s="105" t="s">
        <v>655</v>
      </c>
      <c r="N1557" s="105" t="s">
        <v>656</v>
      </c>
      <c r="O1557" s="105" t="s">
        <v>656</v>
      </c>
      <c r="P1557" s="105" t="s">
        <v>339</v>
      </c>
      <c r="Q1557" s="494">
        <v>0</v>
      </c>
      <c r="R1557" s="494">
        <v>0</v>
      </c>
      <c r="S1557" s="494">
        <v>8159</v>
      </c>
      <c r="T1557" s="494">
        <v>8159</v>
      </c>
      <c r="U1557" s="494">
        <v>2391</v>
      </c>
      <c r="V1557" s="493">
        <v>2024</v>
      </c>
      <c r="W1557" s="495"/>
      <c r="X1557" s="496">
        <f t="shared" si="101"/>
        <v>3.4123797574236723</v>
      </c>
      <c r="Y1557" s="497" t="str">
        <f t="shared" si="102"/>
        <v/>
      </c>
      <c r="Z1557" s="497" t="str">
        <f t="shared" si="102"/>
        <v/>
      </c>
    </row>
    <row r="1558" spans="1:26" s="82" customFormat="1" ht="32" x14ac:dyDescent="0.4">
      <c r="A1558" s="493">
        <v>61069</v>
      </c>
      <c r="B1558" s="105" t="s">
        <v>329</v>
      </c>
      <c r="C1558" s="493" t="s">
        <v>330</v>
      </c>
      <c r="D1558" s="105" t="s">
        <v>1809</v>
      </c>
      <c r="E1558" s="105" t="s">
        <v>1810</v>
      </c>
      <c r="F1558" s="493">
        <v>60692</v>
      </c>
      <c r="G1558" s="105" t="s">
        <v>33</v>
      </c>
      <c r="H1558" s="105" t="s">
        <v>342</v>
      </c>
      <c r="I1558" s="105" t="s">
        <v>334</v>
      </c>
      <c r="J1558" s="493">
        <v>22</v>
      </c>
      <c r="K1558" s="493">
        <v>2</v>
      </c>
      <c r="L1558" s="105" t="s">
        <v>343</v>
      </c>
      <c r="M1558" s="105" t="s">
        <v>655</v>
      </c>
      <c r="N1558" s="105" t="s">
        <v>656</v>
      </c>
      <c r="O1558" s="105" t="s">
        <v>656</v>
      </c>
      <c r="P1558" s="105" t="s">
        <v>339</v>
      </c>
      <c r="Q1558" s="494">
        <v>0</v>
      </c>
      <c r="R1558" s="494">
        <v>0</v>
      </c>
      <c r="S1558" s="494">
        <v>17174</v>
      </c>
      <c r="T1558" s="494">
        <v>17174</v>
      </c>
      <c r="U1558" s="494">
        <v>5033</v>
      </c>
      <c r="V1558" s="493">
        <v>2024</v>
      </c>
      <c r="W1558" s="495"/>
      <c r="X1558" s="496">
        <f t="shared" si="101"/>
        <v>3.4122789588714486</v>
      </c>
      <c r="Y1558" s="497" t="str">
        <f t="shared" si="102"/>
        <v/>
      </c>
      <c r="Z1558" s="497" t="str">
        <f t="shared" si="102"/>
        <v/>
      </c>
    </row>
    <row r="1559" spans="1:26" s="82" customFormat="1" x14ac:dyDescent="0.4">
      <c r="A1559" s="493">
        <v>61097</v>
      </c>
      <c r="B1559" s="105" t="s">
        <v>329</v>
      </c>
      <c r="C1559" s="493" t="s">
        <v>330</v>
      </c>
      <c r="D1559" s="105" t="s">
        <v>1811</v>
      </c>
      <c r="E1559" s="105" t="s">
        <v>1812</v>
      </c>
      <c r="F1559" s="493">
        <v>60710</v>
      </c>
      <c r="G1559" s="105" t="s">
        <v>33</v>
      </c>
      <c r="H1559" s="105" t="s">
        <v>342</v>
      </c>
      <c r="I1559" s="105" t="s">
        <v>334</v>
      </c>
      <c r="J1559" s="493">
        <v>22</v>
      </c>
      <c r="K1559" s="493">
        <v>2</v>
      </c>
      <c r="L1559" s="105" t="s">
        <v>343</v>
      </c>
      <c r="M1559" s="105" t="s">
        <v>655</v>
      </c>
      <c r="N1559" s="105" t="s">
        <v>656</v>
      </c>
      <c r="O1559" s="105" t="s">
        <v>656</v>
      </c>
      <c r="P1559" s="105" t="s">
        <v>339</v>
      </c>
      <c r="Q1559" s="494">
        <v>0</v>
      </c>
      <c r="R1559" s="494">
        <v>0</v>
      </c>
      <c r="S1559" s="494">
        <v>21028</v>
      </c>
      <c r="T1559" s="494">
        <v>21028</v>
      </c>
      <c r="U1559" s="494">
        <v>6163</v>
      </c>
      <c r="V1559" s="493">
        <v>2024</v>
      </c>
      <c r="W1559" s="495"/>
      <c r="X1559" s="496">
        <f t="shared" si="101"/>
        <v>3.4119746876521173</v>
      </c>
      <c r="Y1559" s="497" t="str">
        <f t="shared" si="102"/>
        <v/>
      </c>
      <c r="Z1559" s="497" t="str">
        <f t="shared" si="102"/>
        <v/>
      </c>
    </row>
    <row r="1560" spans="1:26" s="82" customFormat="1" ht="32" x14ac:dyDescent="0.4">
      <c r="A1560" s="493">
        <v>61124</v>
      </c>
      <c r="B1560" s="105" t="s">
        <v>329</v>
      </c>
      <c r="C1560" s="493" t="s">
        <v>330</v>
      </c>
      <c r="D1560" s="105" t="s">
        <v>1813</v>
      </c>
      <c r="E1560" s="105" t="s">
        <v>1814</v>
      </c>
      <c r="F1560" s="493">
        <v>60734</v>
      </c>
      <c r="G1560" s="105" t="s">
        <v>36</v>
      </c>
      <c r="H1560" s="105" t="s">
        <v>342</v>
      </c>
      <c r="I1560" s="105" t="s">
        <v>334</v>
      </c>
      <c r="J1560" s="493">
        <v>22</v>
      </c>
      <c r="K1560" s="493">
        <v>2</v>
      </c>
      <c r="L1560" s="105" t="s">
        <v>343</v>
      </c>
      <c r="M1560" s="105" t="s">
        <v>655</v>
      </c>
      <c r="N1560" s="105" t="s">
        <v>656</v>
      </c>
      <c r="O1560" s="105" t="s">
        <v>656</v>
      </c>
      <c r="P1560" s="105" t="s">
        <v>339</v>
      </c>
      <c r="Q1560" s="494">
        <v>0</v>
      </c>
      <c r="R1560" s="494">
        <v>0</v>
      </c>
      <c r="S1560" s="494">
        <v>25143</v>
      </c>
      <c r="T1560" s="494">
        <v>25143</v>
      </c>
      <c r="U1560" s="494">
        <v>7369</v>
      </c>
      <c r="V1560" s="493">
        <v>2024</v>
      </c>
      <c r="W1560" s="495"/>
      <c r="X1560" s="496">
        <f t="shared" si="101"/>
        <v>3.4119962002985478</v>
      </c>
      <c r="Y1560" s="497" t="str">
        <f t="shared" si="102"/>
        <v/>
      </c>
      <c r="Z1560" s="497" t="str">
        <f t="shared" si="102"/>
        <v/>
      </c>
    </row>
    <row r="1561" spans="1:26" s="82" customFormat="1" x14ac:dyDescent="0.4">
      <c r="A1561" s="493">
        <v>61125</v>
      </c>
      <c r="B1561" s="105" t="s">
        <v>329</v>
      </c>
      <c r="C1561" s="493" t="s">
        <v>330</v>
      </c>
      <c r="D1561" s="105" t="s">
        <v>1815</v>
      </c>
      <c r="E1561" s="105" t="s">
        <v>1816</v>
      </c>
      <c r="F1561" s="493">
        <v>27316</v>
      </c>
      <c r="G1561" s="105" t="s">
        <v>36</v>
      </c>
      <c r="H1561" s="105" t="s">
        <v>342</v>
      </c>
      <c r="I1561" s="105" t="s">
        <v>334</v>
      </c>
      <c r="J1561" s="493">
        <v>22</v>
      </c>
      <c r="K1561" s="493">
        <v>1</v>
      </c>
      <c r="L1561" s="105" t="s">
        <v>335</v>
      </c>
      <c r="M1561" s="105" t="s">
        <v>655</v>
      </c>
      <c r="N1561" s="105" t="s">
        <v>656</v>
      </c>
      <c r="O1561" s="105" t="s">
        <v>656</v>
      </c>
      <c r="P1561" s="105" t="s">
        <v>339</v>
      </c>
      <c r="Q1561" s="494">
        <v>0</v>
      </c>
      <c r="R1561" s="494">
        <v>0</v>
      </c>
      <c r="S1561" s="494">
        <v>4487</v>
      </c>
      <c r="T1561" s="494">
        <v>4487</v>
      </c>
      <c r="U1561" s="494">
        <v>1315</v>
      </c>
      <c r="V1561" s="493">
        <v>2024</v>
      </c>
      <c r="W1561" s="495"/>
      <c r="X1561" s="496">
        <f t="shared" si="101"/>
        <v>3.412167300380228</v>
      </c>
      <c r="Y1561" s="497" t="str">
        <f t="shared" si="102"/>
        <v/>
      </c>
      <c r="Z1561" s="497" t="str">
        <f t="shared" si="102"/>
        <v/>
      </c>
    </row>
    <row r="1562" spans="1:26" s="82" customFormat="1" x14ac:dyDescent="0.4">
      <c r="A1562" s="493">
        <v>61163</v>
      </c>
      <c r="B1562" s="105" t="s">
        <v>329</v>
      </c>
      <c r="C1562" s="493" t="s">
        <v>330</v>
      </c>
      <c r="D1562" s="105" t="s">
        <v>1817</v>
      </c>
      <c r="E1562" s="105" t="s">
        <v>1818</v>
      </c>
      <c r="F1562" s="493">
        <v>66411</v>
      </c>
      <c r="G1562" s="105" t="s">
        <v>33</v>
      </c>
      <c r="H1562" s="105" t="s">
        <v>342</v>
      </c>
      <c r="I1562" s="105" t="s">
        <v>334</v>
      </c>
      <c r="J1562" s="493">
        <v>22</v>
      </c>
      <c r="K1562" s="493">
        <v>2</v>
      </c>
      <c r="L1562" s="105" t="s">
        <v>343</v>
      </c>
      <c r="M1562" s="105" t="s">
        <v>655</v>
      </c>
      <c r="N1562" s="105" t="s">
        <v>656</v>
      </c>
      <c r="O1562" s="105" t="s">
        <v>656</v>
      </c>
      <c r="P1562" s="105" t="s">
        <v>339</v>
      </c>
      <c r="Q1562" s="494">
        <v>0</v>
      </c>
      <c r="R1562" s="494">
        <v>0</v>
      </c>
      <c r="S1562" s="494">
        <v>6173</v>
      </c>
      <c r="T1562" s="494">
        <v>6173</v>
      </c>
      <c r="U1562" s="494">
        <v>1809</v>
      </c>
      <c r="V1562" s="493">
        <v>2024</v>
      </c>
      <c r="W1562" s="495"/>
      <c r="X1562" s="496">
        <f t="shared" si="101"/>
        <v>3.412382531785517</v>
      </c>
      <c r="Y1562" s="497" t="str">
        <f t="shared" si="102"/>
        <v/>
      </c>
      <c r="Z1562" s="497" t="str">
        <f t="shared" si="102"/>
        <v/>
      </c>
    </row>
    <row r="1563" spans="1:26" s="82" customFormat="1" x14ac:dyDescent="0.4">
      <c r="A1563" s="493">
        <v>61164</v>
      </c>
      <c r="B1563" s="105" t="s">
        <v>329</v>
      </c>
      <c r="C1563" s="493" t="s">
        <v>330</v>
      </c>
      <c r="D1563" s="105" t="s">
        <v>1819</v>
      </c>
      <c r="E1563" s="105" t="s">
        <v>1818</v>
      </c>
      <c r="F1563" s="493">
        <v>66411</v>
      </c>
      <c r="G1563" s="105" t="s">
        <v>33</v>
      </c>
      <c r="H1563" s="105" t="s">
        <v>342</v>
      </c>
      <c r="I1563" s="105" t="s">
        <v>334</v>
      </c>
      <c r="J1563" s="493">
        <v>22</v>
      </c>
      <c r="K1563" s="493">
        <v>2</v>
      </c>
      <c r="L1563" s="105" t="s">
        <v>343</v>
      </c>
      <c r="M1563" s="105" t="s">
        <v>655</v>
      </c>
      <c r="N1563" s="105" t="s">
        <v>656</v>
      </c>
      <c r="O1563" s="105" t="s">
        <v>656</v>
      </c>
      <c r="P1563" s="105" t="s">
        <v>339</v>
      </c>
      <c r="Q1563" s="494">
        <v>0</v>
      </c>
      <c r="R1563" s="494">
        <v>0</v>
      </c>
      <c r="S1563" s="494">
        <v>6173</v>
      </c>
      <c r="T1563" s="494">
        <v>6173</v>
      </c>
      <c r="U1563" s="494">
        <v>1809</v>
      </c>
      <c r="V1563" s="493">
        <v>2024</v>
      </c>
      <c r="W1563" s="495"/>
      <c r="X1563" s="496">
        <f t="shared" si="101"/>
        <v>3.412382531785517</v>
      </c>
      <c r="Y1563" s="497" t="str">
        <f t="shared" si="102"/>
        <v/>
      </c>
      <c r="Z1563" s="497" t="str">
        <f t="shared" si="102"/>
        <v/>
      </c>
    </row>
    <row r="1564" spans="1:26" s="82" customFormat="1" ht="32" x14ac:dyDescent="0.4">
      <c r="A1564" s="493">
        <v>61186</v>
      </c>
      <c r="B1564" s="105" t="s">
        <v>433</v>
      </c>
      <c r="C1564" s="493" t="s">
        <v>330</v>
      </c>
      <c r="D1564" s="105" t="s">
        <v>1820</v>
      </c>
      <c r="E1564" s="105" t="s">
        <v>1821</v>
      </c>
      <c r="F1564" s="493">
        <v>60816</v>
      </c>
      <c r="G1564" s="105" t="s">
        <v>33</v>
      </c>
      <c r="H1564" s="105" t="s">
        <v>342</v>
      </c>
      <c r="I1564" s="105" t="s">
        <v>334</v>
      </c>
      <c r="J1564" s="493">
        <v>622</v>
      </c>
      <c r="K1564" s="493">
        <v>5</v>
      </c>
      <c r="L1564" s="105" t="s">
        <v>771</v>
      </c>
      <c r="M1564" s="105" t="s">
        <v>403</v>
      </c>
      <c r="N1564" s="105" t="s">
        <v>404</v>
      </c>
      <c r="O1564" s="105" t="s">
        <v>232</v>
      </c>
      <c r="P1564" s="105" t="s">
        <v>346</v>
      </c>
      <c r="Q1564" s="494">
        <v>108</v>
      </c>
      <c r="R1564" s="494">
        <v>108</v>
      </c>
      <c r="S1564" s="494">
        <v>0</v>
      </c>
      <c r="T1564" s="494">
        <v>0</v>
      </c>
      <c r="U1564" s="494">
        <v>-38</v>
      </c>
      <c r="V1564" s="493">
        <v>2024</v>
      </c>
      <c r="W1564" s="495"/>
      <c r="X1564" s="496" t="str">
        <f t="shared" si="101"/>
        <v/>
      </c>
      <c r="Y1564" s="497" t="str">
        <f t="shared" si="102"/>
        <v/>
      </c>
      <c r="Z1564" s="497" t="str">
        <f t="shared" si="102"/>
        <v/>
      </c>
    </row>
    <row r="1565" spans="1:26" s="82" customFormat="1" ht="32" x14ac:dyDescent="0.4">
      <c r="A1565" s="493">
        <v>61186</v>
      </c>
      <c r="B1565" s="105" t="s">
        <v>433</v>
      </c>
      <c r="C1565" s="493" t="s">
        <v>330</v>
      </c>
      <c r="D1565" s="105" t="s">
        <v>1820</v>
      </c>
      <c r="E1565" s="105" t="s">
        <v>1821</v>
      </c>
      <c r="F1565" s="493">
        <v>60816</v>
      </c>
      <c r="G1565" s="105" t="s">
        <v>33</v>
      </c>
      <c r="H1565" s="105" t="s">
        <v>342</v>
      </c>
      <c r="I1565" s="105" t="s">
        <v>334</v>
      </c>
      <c r="J1565" s="493">
        <v>622</v>
      </c>
      <c r="K1565" s="493">
        <v>5</v>
      </c>
      <c r="L1565" s="105" t="s">
        <v>771</v>
      </c>
      <c r="M1565" s="105" t="s">
        <v>359</v>
      </c>
      <c r="N1565" s="105" t="s">
        <v>228</v>
      </c>
      <c r="O1565" s="105" t="s">
        <v>228</v>
      </c>
      <c r="P1565" s="105" t="s">
        <v>356</v>
      </c>
      <c r="Q1565" s="494">
        <v>155702</v>
      </c>
      <c r="R1565" s="494">
        <v>155702</v>
      </c>
      <c r="S1565" s="494">
        <v>161929</v>
      </c>
      <c r="T1565" s="494">
        <v>161929</v>
      </c>
      <c r="U1565" s="494">
        <v>14252</v>
      </c>
      <c r="V1565" s="493">
        <v>2024</v>
      </c>
      <c r="W1565" s="495"/>
      <c r="X1565" s="496" t="str">
        <f t="shared" si="101"/>
        <v/>
      </c>
      <c r="Y1565" s="497" t="str">
        <f t="shared" si="102"/>
        <v/>
      </c>
      <c r="Z1565" s="497" t="str">
        <f t="shared" si="102"/>
        <v/>
      </c>
    </row>
    <row r="1566" spans="1:26" s="82" customFormat="1" ht="32" x14ac:dyDescent="0.4">
      <c r="A1566" s="493">
        <v>61207</v>
      </c>
      <c r="B1566" s="105" t="s">
        <v>329</v>
      </c>
      <c r="C1566" s="493" t="s">
        <v>330</v>
      </c>
      <c r="D1566" s="105" t="s">
        <v>1822</v>
      </c>
      <c r="E1566" s="105" t="s">
        <v>781</v>
      </c>
      <c r="F1566" s="493">
        <v>58756</v>
      </c>
      <c r="G1566" s="105" t="s">
        <v>52</v>
      </c>
      <c r="H1566" s="105" t="s">
        <v>333</v>
      </c>
      <c r="I1566" s="105" t="s">
        <v>334</v>
      </c>
      <c r="J1566" s="493">
        <v>22</v>
      </c>
      <c r="K1566" s="493">
        <v>2</v>
      </c>
      <c r="L1566" s="105" t="s">
        <v>343</v>
      </c>
      <c r="M1566" s="105" t="s">
        <v>336</v>
      </c>
      <c r="N1566" s="105" t="s">
        <v>337</v>
      </c>
      <c r="O1566" s="105" t="s">
        <v>338</v>
      </c>
      <c r="P1566" s="105" t="s">
        <v>339</v>
      </c>
      <c r="Q1566" s="494">
        <v>0</v>
      </c>
      <c r="R1566" s="494">
        <v>0</v>
      </c>
      <c r="S1566" s="494">
        <v>127517</v>
      </c>
      <c r="T1566" s="494">
        <v>127517</v>
      </c>
      <c r="U1566" s="494">
        <v>37373</v>
      </c>
      <c r="V1566" s="493">
        <v>2024</v>
      </c>
      <c r="W1566" s="495"/>
      <c r="X1566" s="496">
        <f t="shared" si="101"/>
        <v>3.4120086693602332</v>
      </c>
      <c r="Y1566" s="497" t="str">
        <f t="shared" si="102"/>
        <v/>
      </c>
      <c r="Z1566" s="497" t="str">
        <f t="shared" si="102"/>
        <v/>
      </c>
    </row>
    <row r="1567" spans="1:26" s="82" customFormat="1" x14ac:dyDescent="0.4">
      <c r="A1567" s="493">
        <v>61210</v>
      </c>
      <c r="B1567" s="105" t="s">
        <v>329</v>
      </c>
      <c r="C1567" s="493" t="s">
        <v>330</v>
      </c>
      <c r="D1567" s="105" t="s">
        <v>1823</v>
      </c>
      <c r="E1567" s="105" t="s">
        <v>1824</v>
      </c>
      <c r="F1567" s="493">
        <v>60833</v>
      </c>
      <c r="G1567" s="105" t="s">
        <v>52</v>
      </c>
      <c r="H1567" s="105" t="s">
        <v>333</v>
      </c>
      <c r="I1567" s="105" t="s">
        <v>334</v>
      </c>
      <c r="J1567" s="493">
        <v>22</v>
      </c>
      <c r="K1567" s="493">
        <v>2</v>
      </c>
      <c r="L1567" s="105" t="s">
        <v>343</v>
      </c>
      <c r="M1567" s="105" t="s">
        <v>655</v>
      </c>
      <c r="N1567" s="105" t="s">
        <v>656</v>
      </c>
      <c r="O1567" s="105" t="s">
        <v>656</v>
      </c>
      <c r="P1567" s="105" t="s">
        <v>339</v>
      </c>
      <c r="Q1567" s="494">
        <v>0</v>
      </c>
      <c r="R1567" s="494">
        <v>0</v>
      </c>
      <c r="S1567" s="494">
        <v>9532</v>
      </c>
      <c r="T1567" s="494">
        <v>9532</v>
      </c>
      <c r="U1567" s="494">
        <v>2794</v>
      </c>
      <c r="V1567" s="493">
        <v>2024</v>
      </c>
      <c r="W1567" s="495"/>
      <c r="X1567" s="496">
        <f t="shared" si="101"/>
        <v>3.4115962777380102</v>
      </c>
      <c r="Y1567" s="497" t="str">
        <f t="shared" si="102"/>
        <v/>
      </c>
      <c r="Z1567" s="497" t="str">
        <f t="shared" si="102"/>
        <v/>
      </c>
    </row>
    <row r="1568" spans="1:26" s="82" customFormat="1" ht="32" x14ac:dyDescent="0.4">
      <c r="A1568" s="493">
        <v>61237</v>
      </c>
      <c r="B1568" s="105" t="s">
        <v>329</v>
      </c>
      <c r="C1568" s="493" t="s">
        <v>330</v>
      </c>
      <c r="D1568" s="105" t="s">
        <v>1825</v>
      </c>
      <c r="E1568" s="105" t="s">
        <v>1441</v>
      </c>
      <c r="F1568" s="493">
        <v>59254</v>
      </c>
      <c r="G1568" s="105" t="s">
        <v>33</v>
      </c>
      <c r="H1568" s="105" t="s">
        <v>342</v>
      </c>
      <c r="I1568" s="105" t="s">
        <v>334</v>
      </c>
      <c r="J1568" s="493">
        <v>22</v>
      </c>
      <c r="K1568" s="493">
        <v>2</v>
      </c>
      <c r="L1568" s="105" t="s">
        <v>343</v>
      </c>
      <c r="M1568" s="105" t="s">
        <v>655</v>
      </c>
      <c r="N1568" s="105" t="s">
        <v>656</v>
      </c>
      <c r="O1568" s="105" t="s">
        <v>656</v>
      </c>
      <c r="P1568" s="105" t="s">
        <v>339</v>
      </c>
      <c r="Q1568" s="494">
        <v>0</v>
      </c>
      <c r="R1568" s="494">
        <v>0</v>
      </c>
      <c r="S1568" s="494">
        <v>12874</v>
      </c>
      <c r="T1568" s="494">
        <v>12874</v>
      </c>
      <c r="U1568" s="494">
        <v>3773</v>
      </c>
      <c r="V1568" s="493">
        <v>2024</v>
      </c>
      <c r="W1568" s="495"/>
      <c r="X1568" s="496">
        <f t="shared" si="101"/>
        <v>3.4121388815266367</v>
      </c>
      <c r="Y1568" s="497" t="str">
        <f t="shared" ref="Y1568:Z1587" si="103">IF(AND($M1568=$Y$2,$N1568=$Y$3,NOT($Q1568=$R1568),NOT($U1568=0)),IF($K1568=5,$S1568/($U1568+(8/5)*$U1568),IF($K1568=7,$S1568/($U1568+(29/25)*$U1568),"")),"")</f>
        <v/>
      </c>
      <c r="Z1568" s="497" t="str">
        <f t="shared" si="103"/>
        <v/>
      </c>
    </row>
    <row r="1569" spans="1:26" s="82" customFormat="1" ht="32" x14ac:dyDescent="0.4">
      <c r="A1569" s="493">
        <v>61238</v>
      </c>
      <c r="B1569" s="105" t="s">
        <v>433</v>
      </c>
      <c r="C1569" s="493" t="s">
        <v>330</v>
      </c>
      <c r="D1569" s="105" t="s">
        <v>1826</v>
      </c>
      <c r="E1569" s="105" t="s">
        <v>1827</v>
      </c>
      <c r="F1569" s="493">
        <v>60883</v>
      </c>
      <c r="G1569" s="105" t="s">
        <v>52</v>
      </c>
      <c r="H1569" s="105" t="s">
        <v>333</v>
      </c>
      <c r="I1569" s="105" t="s">
        <v>334</v>
      </c>
      <c r="J1569" s="493">
        <v>622</v>
      </c>
      <c r="K1569" s="493">
        <v>5</v>
      </c>
      <c r="L1569" s="105" t="s">
        <v>771</v>
      </c>
      <c r="M1569" s="105" t="s">
        <v>295</v>
      </c>
      <c r="N1569" s="105" t="s">
        <v>228</v>
      </c>
      <c r="O1569" s="105" t="s">
        <v>228</v>
      </c>
      <c r="P1569" s="105" t="s">
        <v>356</v>
      </c>
      <c r="Q1569" s="494">
        <v>551944</v>
      </c>
      <c r="R1569" s="494">
        <v>551944</v>
      </c>
      <c r="S1569" s="494">
        <v>562983</v>
      </c>
      <c r="T1569" s="494">
        <v>562983</v>
      </c>
      <c r="U1569" s="494">
        <v>53962</v>
      </c>
      <c r="V1569" s="493">
        <v>2024</v>
      </c>
      <c r="W1569" s="495"/>
      <c r="X1569" s="496" t="str">
        <f t="shared" si="101"/>
        <v/>
      </c>
      <c r="Y1569" s="497" t="str">
        <f t="shared" si="103"/>
        <v/>
      </c>
      <c r="Z1569" s="497" t="str">
        <f t="shared" si="103"/>
        <v/>
      </c>
    </row>
    <row r="1570" spans="1:26" s="82" customFormat="1" ht="32" x14ac:dyDescent="0.4">
      <c r="A1570" s="493">
        <v>61238</v>
      </c>
      <c r="B1570" s="105" t="s">
        <v>433</v>
      </c>
      <c r="C1570" s="493" t="s">
        <v>330</v>
      </c>
      <c r="D1570" s="105" t="s">
        <v>1826</v>
      </c>
      <c r="E1570" s="105" t="s">
        <v>1827</v>
      </c>
      <c r="F1570" s="493">
        <v>60883</v>
      </c>
      <c r="G1570" s="105" t="s">
        <v>52</v>
      </c>
      <c r="H1570" s="105" t="s">
        <v>333</v>
      </c>
      <c r="I1570" s="105" t="s">
        <v>334</v>
      </c>
      <c r="J1570" s="493">
        <v>622</v>
      </c>
      <c r="K1570" s="493">
        <v>5</v>
      </c>
      <c r="L1570" s="105" t="s">
        <v>771</v>
      </c>
      <c r="M1570" s="105" t="s">
        <v>359</v>
      </c>
      <c r="N1570" s="105" t="s">
        <v>226</v>
      </c>
      <c r="O1570" s="105" t="s">
        <v>226</v>
      </c>
      <c r="P1570" s="105" t="s">
        <v>350</v>
      </c>
      <c r="Q1570" s="494">
        <v>250</v>
      </c>
      <c r="R1570" s="494">
        <v>109</v>
      </c>
      <c r="S1570" s="494">
        <v>1471</v>
      </c>
      <c r="T1570" s="494">
        <v>637</v>
      </c>
      <c r="U1570" s="494">
        <v>56</v>
      </c>
      <c r="V1570" s="493">
        <v>2024</v>
      </c>
      <c r="W1570" s="495"/>
      <c r="X1570" s="496" t="str">
        <f t="shared" si="101"/>
        <v/>
      </c>
      <c r="Y1570" s="497" t="str">
        <f t="shared" si="103"/>
        <v/>
      </c>
      <c r="Z1570" s="497" t="str">
        <f t="shared" si="103"/>
        <v/>
      </c>
    </row>
    <row r="1571" spans="1:26" s="82" customFormat="1" ht="32" x14ac:dyDescent="0.4">
      <c r="A1571" s="493">
        <v>61243</v>
      </c>
      <c r="B1571" s="105" t="s">
        <v>329</v>
      </c>
      <c r="C1571" s="493" t="s">
        <v>330</v>
      </c>
      <c r="D1571" s="105" t="s">
        <v>1828</v>
      </c>
      <c r="E1571" s="105" t="s">
        <v>1441</v>
      </c>
      <c r="F1571" s="493">
        <v>59254</v>
      </c>
      <c r="G1571" s="105" t="s">
        <v>33</v>
      </c>
      <c r="H1571" s="105" t="s">
        <v>342</v>
      </c>
      <c r="I1571" s="105" t="s">
        <v>334</v>
      </c>
      <c r="J1571" s="493">
        <v>22</v>
      </c>
      <c r="K1571" s="493">
        <v>2</v>
      </c>
      <c r="L1571" s="105" t="s">
        <v>343</v>
      </c>
      <c r="M1571" s="105" t="s">
        <v>655</v>
      </c>
      <c r="N1571" s="105" t="s">
        <v>656</v>
      </c>
      <c r="O1571" s="105" t="s">
        <v>656</v>
      </c>
      <c r="P1571" s="105" t="s">
        <v>339</v>
      </c>
      <c r="Q1571" s="494">
        <v>0</v>
      </c>
      <c r="R1571" s="494">
        <v>0</v>
      </c>
      <c r="S1571" s="494">
        <v>22589</v>
      </c>
      <c r="T1571" s="494">
        <v>22589</v>
      </c>
      <c r="U1571" s="494">
        <v>6620</v>
      </c>
      <c r="V1571" s="493">
        <v>2024</v>
      </c>
      <c r="W1571" s="495"/>
      <c r="X1571" s="496">
        <f t="shared" si="101"/>
        <v>3.4122356495468278</v>
      </c>
      <c r="Y1571" s="497" t="str">
        <f t="shared" si="103"/>
        <v/>
      </c>
      <c r="Z1571" s="497" t="str">
        <f t="shared" si="103"/>
        <v/>
      </c>
    </row>
    <row r="1572" spans="1:26" s="82" customFormat="1" ht="32" x14ac:dyDescent="0.4">
      <c r="A1572" s="493">
        <v>61244</v>
      </c>
      <c r="B1572" s="105" t="s">
        <v>329</v>
      </c>
      <c r="C1572" s="493" t="s">
        <v>330</v>
      </c>
      <c r="D1572" s="105" t="s">
        <v>1829</v>
      </c>
      <c r="E1572" s="105" t="s">
        <v>1441</v>
      </c>
      <c r="F1572" s="493">
        <v>59254</v>
      </c>
      <c r="G1572" s="105" t="s">
        <v>33</v>
      </c>
      <c r="H1572" s="105" t="s">
        <v>342</v>
      </c>
      <c r="I1572" s="105" t="s">
        <v>334</v>
      </c>
      <c r="J1572" s="493">
        <v>22</v>
      </c>
      <c r="K1572" s="493">
        <v>2</v>
      </c>
      <c r="L1572" s="105" t="s">
        <v>343</v>
      </c>
      <c r="M1572" s="105" t="s">
        <v>655</v>
      </c>
      <c r="N1572" s="105" t="s">
        <v>656</v>
      </c>
      <c r="O1572" s="105" t="s">
        <v>656</v>
      </c>
      <c r="P1572" s="105" t="s">
        <v>339</v>
      </c>
      <c r="Q1572" s="494">
        <v>0</v>
      </c>
      <c r="R1572" s="494">
        <v>0</v>
      </c>
      <c r="S1572" s="494">
        <v>7201</v>
      </c>
      <c r="T1572" s="494">
        <v>7201</v>
      </c>
      <c r="U1572" s="494">
        <v>2110</v>
      </c>
      <c r="V1572" s="493">
        <v>2024</v>
      </c>
      <c r="W1572" s="495"/>
      <c r="X1572" s="496">
        <f t="shared" si="101"/>
        <v>3.4127962085308057</v>
      </c>
      <c r="Y1572" s="497" t="str">
        <f t="shared" si="103"/>
        <v/>
      </c>
      <c r="Z1572" s="497" t="str">
        <f t="shared" si="103"/>
        <v/>
      </c>
    </row>
    <row r="1573" spans="1:26" s="82" customFormat="1" ht="32" x14ac:dyDescent="0.4">
      <c r="A1573" s="493">
        <v>61245</v>
      </c>
      <c r="B1573" s="105" t="s">
        <v>329</v>
      </c>
      <c r="C1573" s="493" t="s">
        <v>330</v>
      </c>
      <c r="D1573" s="105" t="s">
        <v>1830</v>
      </c>
      <c r="E1573" s="105" t="s">
        <v>1441</v>
      </c>
      <c r="F1573" s="493">
        <v>59254</v>
      </c>
      <c r="G1573" s="105" t="s">
        <v>33</v>
      </c>
      <c r="H1573" s="105" t="s">
        <v>342</v>
      </c>
      <c r="I1573" s="105" t="s">
        <v>334</v>
      </c>
      <c r="J1573" s="493">
        <v>22</v>
      </c>
      <c r="K1573" s="493">
        <v>2</v>
      </c>
      <c r="L1573" s="105" t="s">
        <v>343</v>
      </c>
      <c r="M1573" s="105" t="s">
        <v>655</v>
      </c>
      <c r="N1573" s="105" t="s">
        <v>656</v>
      </c>
      <c r="O1573" s="105" t="s">
        <v>656</v>
      </c>
      <c r="P1573" s="105" t="s">
        <v>339</v>
      </c>
      <c r="Q1573" s="494">
        <v>0</v>
      </c>
      <c r="R1573" s="494">
        <v>0</v>
      </c>
      <c r="S1573" s="494">
        <v>22589</v>
      </c>
      <c r="T1573" s="494">
        <v>22589</v>
      </c>
      <c r="U1573" s="494">
        <v>6620</v>
      </c>
      <c r="V1573" s="493">
        <v>2024</v>
      </c>
      <c r="W1573" s="495"/>
      <c r="X1573" s="496">
        <f t="shared" si="101"/>
        <v>3.4122356495468278</v>
      </c>
      <c r="Y1573" s="497" t="str">
        <f t="shared" si="103"/>
        <v/>
      </c>
      <c r="Z1573" s="497" t="str">
        <f t="shared" si="103"/>
        <v/>
      </c>
    </row>
    <row r="1574" spans="1:26" s="82" customFormat="1" x14ac:dyDescent="0.4">
      <c r="A1574" s="493">
        <v>61294</v>
      </c>
      <c r="B1574" s="105" t="s">
        <v>329</v>
      </c>
      <c r="C1574" s="493" t="s">
        <v>330</v>
      </c>
      <c r="D1574" s="105" t="s">
        <v>1831</v>
      </c>
      <c r="E1574" s="105" t="s">
        <v>1832</v>
      </c>
      <c r="F1574" s="493">
        <v>60921</v>
      </c>
      <c r="G1574" s="105" t="s">
        <v>33</v>
      </c>
      <c r="H1574" s="105" t="s">
        <v>342</v>
      </c>
      <c r="I1574" s="105" t="s">
        <v>334</v>
      </c>
      <c r="J1574" s="493">
        <v>22</v>
      </c>
      <c r="K1574" s="493">
        <v>2</v>
      </c>
      <c r="L1574" s="105" t="s">
        <v>343</v>
      </c>
      <c r="M1574" s="105" t="s">
        <v>655</v>
      </c>
      <c r="N1574" s="105" t="s">
        <v>656</v>
      </c>
      <c r="O1574" s="105" t="s">
        <v>656</v>
      </c>
      <c r="P1574" s="105" t="s">
        <v>339</v>
      </c>
      <c r="Q1574" s="494">
        <v>0</v>
      </c>
      <c r="R1574" s="494">
        <v>0</v>
      </c>
      <c r="S1574" s="494">
        <v>5683</v>
      </c>
      <c r="T1574" s="494">
        <v>5683</v>
      </c>
      <c r="U1574" s="494">
        <v>1665</v>
      </c>
      <c r="V1574" s="493">
        <v>2024</v>
      </c>
      <c r="W1574" s="495"/>
      <c r="X1574" s="496">
        <f t="shared" si="101"/>
        <v>3.4132132132132131</v>
      </c>
      <c r="Y1574" s="497" t="str">
        <f t="shared" si="103"/>
        <v/>
      </c>
      <c r="Z1574" s="497" t="str">
        <f t="shared" si="103"/>
        <v/>
      </c>
    </row>
    <row r="1575" spans="1:26" s="82" customFormat="1" ht="32" x14ac:dyDescent="0.4">
      <c r="A1575" s="493">
        <v>61295</v>
      </c>
      <c r="B1575" s="105" t="s">
        <v>329</v>
      </c>
      <c r="C1575" s="493" t="s">
        <v>330</v>
      </c>
      <c r="D1575" s="105" t="s">
        <v>1833</v>
      </c>
      <c r="E1575" s="105" t="s">
        <v>1834</v>
      </c>
      <c r="F1575" s="493">
        <v>60922</v>
      </c>
      <c r="G1575" s="105" t="s">
        <v>33</v>
      </c>
      <c r="H1575" s="105" t="s">
        <v>342</v>
      </c>
      <c r="I1575" s="105" t="s">
        <v>334</v>
      </c>
      <c r="J1575" s="493">
        <v>22</v>
      </c>
      <c r="K1575" s="493">
        <v>2</v>
      </c>
      <c r="L1575" s="105" t="s">
        <v>343</v>
      </c>
      <c r="M1575" s="105" t="s">
        <v>655</v>
      </c>
      <c r="N1575" s="105" t="s">
        <v>656</v>
      </c>
      <c r="O1575" s="105" t="s">
        <v>656</v>
      </c>
      <c r="P1575" s="105" t="s">
        <v>339</v>
      </c>
      <c r="Q1575" s="494">
        <v>0</v>
      </c>
      <c r="R1575" s="494">
        <v>0</v>
      </c>
      <c r="S1575" s="494">
        <v>22009</v>
      </c>
      <c r="T1575" s="494">
        <v>22009</v>
      </c>
      <c r="U1575" s="494">
        <v>6451</v>
      </c>
      <c r="V1575" s="493">
        <v>2024</v>
      </c>
      <c r="W1575" s="495"/>
      <c r="X1575" s="496">
        <f t="shared" si="101"/>
        <v>3.4117191133157649</v>
      </c>
      <c r="Y1575" s="497" t="str">
        <f t="shared" si="103"/>
        <v/>
      </c>
      <c r="Z1575" s="497" t="str">
        <f t="shared" si="103"/>
        <v/>
      </c>
    </row>
    <row r="1576" spans="1:26" s="82" customFormat="1" ht="32" x14ac:dyDescent="0.4">
      <c r="A1576" s="493">
        <v>61296</v>
      </c>
      <c r="B1576" s="105" t="s">
        <v>329</v>
      </c>
      <c r="C1576" s="493" t="s">
        <v>330</v>
      </c>
      <c r="D1576" s="105" t="s">
        <v>1835</v>
      </c>
      <c r="E1576" s="105" t="s">
        <v>1836</v>
      </c>
      <c r="F1576" s="493">
        <v>60923</v>
      </c>
      <c r="G1576" s="105" t="s">
        <v>33</v>
      </c>
      <c r="H1576" s="105" t="s">
        <v>342</v>
      </c>
      <c r="I1576" s="105" t="s">
        <v>334</v>
      </c>
      <c r="J1576" s="493">
        <v>22</v>
      </c>
      <c r="K1576" s="493">
        <v>2</v>
      </c>
      <c r="L1576" s="105" t="s">
        <v>343</v>
      </c>
      <c r="M1576" s="105" t="s">
        <v>655</v>
      </c>
      <c r="N1576" s="105" t="s">
        <v>656</v>
      </c>
      <c r="O1576" s="105" t="s">
        <v>656</v>
      </c>
      <c r="P1576" s="105" t="s">
        <v>339</v>
      </c>
      <c r="Q1576" s="494">
        <v>0</v>
      </c>
      <c r="R1576" s="494">
        <v>0</v>
      </c>
      <c r="S1576" s="494">
        <v>8370</v>
      </c>
      <c r="T1576" s="494">
        <v>8370</v>
      </c>
      <c r="U1576" s="494">
        <v>2453</v>
      </c>
      <c r="V1576" s="493">
        <v>2024</v>
      </c>
      <c r="W1576" s="495"/>
      <c r="X1576" s="496">
        <f t="shared" si="101"/>
        <v>3.4121483897268652</v>
      </c>
      <c r="Y1576" s="497" t="str">
        <f t="shared" si="103"/>
        <v/>
      </c>
      <c r="Z1576" s="497" t="str">
        <f t="shared" si="103"/>
        <v/>
      </c>
    </row>
    <row r="1577" spans="1:26" s="82" customFormat="1" x14ac:dyDescent="0.4">
      <c r="A1577" s="493">
        <v>61297</v>
      </c>
      <c r="B1577" s="105" t="s">
        <v>329</v>
      </c>
      <c r="C1577" s="493" t="s">
        <v>330</v>
      </c>
      <c r="D1577" s="105" t="s">
        <v>1837</v>
      </c>
      <c r="E1577" s="105" t="s">
        <v>1838</v>
      </c>
      <c r="F1577" s="493">
        <v>60924</v>
      </c>
      <c r="G1577" s="105" t="s">
        <v>33</v>
      </c>
      <c r="H1577" s="105" t="s">
        <v>342</v>
      </c>
      <c r="I1577" s="105" t="s">
        <v>334</v>
      </c>
      <c r="J1577" s="493">
        <v>22</v>
      </c>
      <c r="K1577" s="493">
        <v>2</v>
      </c>
      <c r="L1577" s="105" t="s">
        <v>343</v>
      </c>
      <c r="M1577" s="105" t="s">
        <v>655</v>
      </c>
      <c r="N1577" s="105" t="s">
        <v>656</v>
      </c>
      <c r="O1577" s="105" t="s">
        <v>656</v>
      </c>
      <c r="P1577" s="105" t="s">
        <v>339</v>
      </c>
      <c r="Q1577" s="494">
        <v>0</v>
      </c>
      <c r="R1577" s="494">
        <v>0</v>
      </c>
      <c r="S1577" s="494">
        <v>11484</v>
      </c>
      <c r="T1577" s="494">
        <v>11484</v>
      </c>
      <c r="U1577" s="494">
        <v>3366</v>
      </c>
      <c r="V1577" s="493">
        <v>2024</v>
      </c>
      <c r="W1577" s="495"/>
      <c r="X1577" s="496">
        <f t="shared" si="101"/>
        <v>3.4117647058823528</v>
      </c>
      <c r="Y1577" s="497" t="str">
        <f t="shared" si="103"/>
        <v/>
      </c>
      <c r="Z1577" s="497" t="str">
        <f t="shared" si="103"/>
        <v/>
      </c>
    </row>
    <row r="1578" spans="1:26" s="82" customFormat="1" ht="32" x14ac:dyDescent="0.4">
      <c r="A1578" s="493">
        <v>61298</v>
      </c>
      <c r="B1578" s="105" t="s">
        <v>329</v>
      </c>
      <c r="C1578" s="493" t="s">
        <v>330</v>
      </c>
      <c r="D1578" s="105" t="s">
        <v>1839</v>
      </c>
      <c r="E1578" s="105" t="s">
        <v>1840</v>
      </c>
      <c r="F1578" s="493">
        <v>60925</v>
      </c>
      <c r="G1578" s="105" t="s">
        <v>33</v>
      </c>
      <c r="H1578" s="105" t="s">
        <v>342</v>
      </c>
      <c r="I1578" s="105" t="s">
        <v>334</v>
      </c>
      <c r="J1578" s="493">
        <v>22</v>
      </c>
      <c r="K1578" s="493">
        <v>2</v>
      </c>
      <c r="L1578" s="105" t="s">
        <v>343</v>
      </c>
      <c r="M1578" s="105" t="s">
        <v>655</v>
      </c>
      <c r="N1578" s="105" t="s">
        <v>656</v>
      </c>
      <c r="O1578" s="105" t="s">
        <v>656</v>
      </c>
      <c r="P1578" s="105" t="s">
        <v>339</v>
      </c>
      <c r="Q1578" s="494">
        <v>0</v>
      </c>
      <c r="R1578" s="494">
        <v>0</v>
      </c>
      <c r="S1578" s="494">
        <v>4657</v>
      </c>
      <c r="T1578" s="494">
        <v>4657</v>
      </c>
      <c r="U1578" s="494">
        <v>1365</v>
      </c>
      <c r="V1578" s="493">
        <v>2024</v>
      </c>
      <c r="W1578" s="495"/>
      <c r="X1578" s="496">
        <f t="shared" si="101"/>
        <v>3.4117216117216116</v>
      </c>
      <c r="Y1578" s="497" t="str">
        <f t="shared" si="103"/>
        <v/>
      </c>
      <c r="Z1578" s="497" t="str">
        <f t="shared" si="103"/>
        <v/>
      </c>
    </row>
    <row r="1579" spans="1:26" s="82" customFormat="1" ht="32" x14ac:dyDescent="0.4">
      <c r="A1579" s="493">
        <v>61299</v>
      </c>
      <c r="B1579" s="105" t="s">
        <v>329</v>
      </c>
      <c r="C1579" s="493" t="s">
        <v>330</v>
      </c>
      <c r="D1579" s="105" t="s">
        <v>1841</v>
      </c>
      <c r="E1579" s="105" t="s">
        <v>1842</v>
      </c>
      <c r="F1579" s="493">
        <v>60926</v>
      </c>
      <c r="G1579" s="105" t="s">
        <v>33</v>
      </c>
      <c r="H1579" s="105" t="s">
        <v>342</v>
      </c>
      <c r="I1579" s="105" t="s">
        <v>334</v>
      </c>
      <c r="J1579" s="493">
        <v>22</v>
      </c>
      <c r="K1579" s="493">
        <v>2</v>
      </c>
      <c r="L1579" s="105" t="s">
        <v>343</v>
      </c>
      <c r="M1579" s="105" t="s">
        <v>655</v>
      </c>
      <c r="N1579" s="105" t="s">
        <v>656</v>
      </c>
      <c r="O1579" s="105" t="s">
        <v>656</v>
      </c>
      <c r="P1579" s="105" t="s">
        <v>339</v>
      </c>
      <c r="Q1579" s="494">
        <v>0</v>
      </c>
      <c r="R1579" s="494">
        <v>0</v>
      </c>
      <c r="S1579" s="494">
        <v>10012</v>
      </c>
      <c r="T1579" s="494">
        <v>10012</v>
      </c>
      <c r="U1579" s="494">
        <v>2934</v>
      </c>
      <c r="V1579" s="493">
        <v>2024</v>
      </c>
      <c r="W1579" s="495"/>
      <c r="X1579" s="496">
        <f t="shared" si="101"/>
        <v>3.4124062713019767</v>
      </c>
      <c r="Y1579" s="497" t="str">
        <f t="shared" si="103"/>
        <v/>
      </c>
      <c r="Z1579" s="497" t="str">
        <f t="shared" si="103"/>
        <v/>
      </c>
    </row>
    <row r="1580" spans="1:26" s="82" customFormat="1" ht="32" x14ac:dyDescent="0.4">
      <c r="A1580" s="493">
        <v>61307</v>
      </c>
      <c r="B1580" s="105" t="s">
        <v>329</v>
      </c>
      <c r="C1580" s="493" t="s">
        <v>330</v>
      </c>
      <c r="D1580" s="105" t="s">
        <v>1843</v>
      </c>
      <c r="E1580" s="105" t="s">
        <v>1844</v>
      </c>
      <c r="F1580" s="493">
        <v>60920</v>
      </c>
      <c r="G1580" s="105" t="s">
        <v>33</v>
      </c>
      <c r="H1580" s="105" t="s">
        <v>342</v>
      </c>
      <c r="I1580" s="105" t="s">
        <v>334</v>
      </c>
      <c r="J1580" s="493">
        <v>22</v>
      </c>
      <c r="K1580" s="493">
        <v>2</v>
      </c>
      <c r="L1580" s="105" t="s">
        <v>343</v>
      </c>
      <c r="M1580" s="105" t="s">
        <v>655</v>
      </c>
      <c r="N1580" s="105" t="s">
        <v>656</v>
      </c>
      <c r="O1580" s="105" t="s">
        <v>656</v>
      </c>
      <c r="P1580" s="105" t="s">
        <v>339</v>
      </c>
      <c r="Q1580" s="494">
        <v>0</v>
      </c>
      <c r="R1580" s="494">
        <v>0</v>
      </c>
      <c r="S1580" s="494">
        <v>14945</v>
      </c>
      <c r="T1580" s="494">
        <v>14945</v>
      </c>
      <c r="U1580" s="494">
        <v>4380</v>
      </c>
      <c r="V1580" s="493">
        <v>2024</v>
      </c>
      <c r="W1580" s="495"/>
      <c r="X1580" s="496">
        <f t="shared" si="101"/>
        <v>3.4121004566210047</v>
      </c>
      <c r="Y1580" s="497" t="str">
        <f t="shared" si="103"/>
        <v/>
      </c>
      <c r="Z1580" s="497" t="str">
        <f t="shared" si="103"/>
        <v/>
      </c>
    </row>
    <row r="1581" spans="1:26" s="82" customFormat="1" ht="32" x14ac:dyDescent="0.4">
      <c r="A1581" s="493">
        <v>61308</v>
      </c>
      <c r="B1581" s="105" t="s">
        <v>329</v>
      </c>
      <c r="C1581" s="493" t="s">
        <v>330</v>
      </c>
      <c r="D1581" s="105" t="s">
        <v>1845</v>
      </c>
      <c r="E1581" s="105" t="s">
        <v>1846</v>
      </c>
      <c r="F1581" s="493">
        <v>60919</v>
      </c>
      <c r="G1581" s="105" t="s">
        <v>33</v>
      </c>
      <c r="H1581" s="105" t="s">
        <v>342</v>
      </c>
      <c r="I1581" s="105" t="s">
        <v>334</v>
      </c>
      <c r="J1581" s="493">
        <v>22</v>
      </c>
      <c r="K1581" s="493">
        <v>2</v>
      </c>
      <c r="L1581" s="105" t="s">
        <v>343</v>
      </c>
      <c r="M1581" s="105" t="s">
        <v>655</v>
      </c>
      <c r="N1581" s="105" t="s">
        <v>656</v>
      </c>
      <c r="O1581" s="105" t="s">
        <v>656</v>
      </c>
      <c r="P1581" s="105" t="s">
        <v>339</v>
      </c>
      <c r="Q1581" s="494">
        <v>0</v>
      </c>
      <c r="R1581" s="494">
        <v>0</v>
      </c>
      <c r="S1581" s="494">
        <v>10660</v>
      </c>
      <c r="T1581" s="494">
        <v>10660</v>
      </c>
      <c r="U1581" s="494">
        <v>3124</v>
      </c>
      <c r="V1581" s="493">
        <v>2024</v>
      </c>
      <c r="W1581" s="495"/>
      <c r="X1581" s="496">
        <f t="shared" si="101"/>
        <v>3.4122919334186941</v>
      </c>
      <c r="Y1581" s="497" t="str">
        <f t="shared" si="103"/>
        <v/>
      </c>
      <c r="Z1581" s="497" t="str">
        <f t="shared" si="103"/>
        <v/>
      </c>
    </row>
    <row r="1582" spans="1:26" s="82" customFormat="1" x14ac:dyDescent="0.4">
      <c r="A1582" s="493">
        <v>61315</v>
      </c>
      <c r="B1582" s="105" t="s">
        <v>329</v>
      </c>
      <c r="C1582" s="493" t="s">
        <v>330</v>
      </c>
      <c r="D1582" s="105" t="s">
        <v>1847</v>
      </c>
      <c r="E1582" s="105" t="s">
        <v>1848</v>
      </c>
      <c r="F1582" s="493">
        <v>60917</v>
      </c>
      <c r="G1582" s="105" t="s">
        <v>33</v>
      </c>
      <c r="H1582" s="105" t="s">
        <v>342</v>
      </c>
      <c r="I1582" s="105" t="s">
        <v>334</v>
      </c>
      <c r="J1582" s="493">
        <v>22</v>
      </c>
      <c r="K1582" s="493">
        <v>2</v>
      </c>
      <c r="L1582" s="105" t="s">
        <v>343</v>
      </c>
      <c r="M1582" s="105" t="s">
        <v>655</v>
      </c>
      <c r="N1582" s="105" t="s">
        <v>656</v>
      </c>
      <c r="O1582" s="105" t="s">
        <v>656</v>
      </c>
      <c r="P1582" s="105" t="s">
        <v>339</v>
      </c>
      <c r="Q1582" s="494">
        <v>0</v>
      </c>
      <c r="R1582" s="494">
        <v>0</v>
      </c>
      <c r="S1582" s="494">
        <v>26665</v>
      </c>
      <c r="T1582" s="494">
        <v>26665</v>
      </c>
      <c r="U1582" s="494">
        <v>7815</v>
      </c>
      <c r="V1582" s="493">
        <v>2024</v>
      </c>
      <c r="W1582" s="495"/>
      <c r="X1582" s="496">
        <f t="shared" si="101"/>
        <v>3.4120281509916826</v>
      </c>
      <c r="Y1582" s="497" t="str">
        <f t="shared" si="103"/>
        <v/>
      </c>
      <c r="Z1582" s="497" t="str">
        <f t="shared" si="103"/>
        <v/>
      </c>
    </row>
    <row r="1583" spans="1:26" s="82" customFormat="1" ht="32" x14ac:dyDescent="0.4">
      <c r="A1583" s="493">
        <v>61340</v>
      </c>
      <c r="B1583" s="105" t="s">
        <v>329</v>
      </c>
      <c r="C1583" s="493" t="s">
        <v>330</v>
      </c>
      <c r="D1583" s="105" t="s">
        <v>1849</v>
      </c>
      <c r="E1583" s="105" t="s">
        <v>1739</v>
      </c>
      <c r="F1583" s="493">
        <v>61060</v>
      </c>
      <c r="G1583" s="105" t="s">
        <v>36</v>
      </c>
      <c r="H1583" s="105" t="s">
        <v>342</v>
      </c>
      <c r="I1583" s="105" t="s">
        <v>334</v>
      </c>
      <c r="J1583" s="493">
        <v>22</v>
      </c>
      <c r="K1583" s="493">
        <v>2</v>
      </c>
      <c r="L1583" s="105" t="s">
        <v>343</v>
      </c>
      <c r="M1583" s="105" t="s">
        <v>655</v>
      </c>
      <c r="N1583" s="105" t="s">
        <v>656</v>
      </c>
      <c r="O1583" s="105" t="s">
        <v>656</v>
      </c>
      <c r="P1583" s="105" t="s">
        <v>339</v>
      </c>
      <c r="Q1583" s="494">
        <v>0</v>
      </c>
      <c r="R1583" s="494">
        <v>0</v>
      </c>
      <c r="S1583" s="494">
        <v>12601</v>
      </c>
      <c r="T1583" s="494">
        <v>12601</v>
      </c>
      <c r="U1583" s="494">
        <v>3693</v>
      </c>
      <c r="V1583" s="493">
        <v>2024</v>
      </c>
      <c r="W1583" s="495"/>
      <c r="X1583" s="496">
        <f t="shared" si="101"/>
        <v>3.4121310587598157</v>
      </c>
      <c r="Y1583" s="497" t="str">
        <f t="shared" si="103"/>
        <v/>
      </c>
      <c r="Z1583" s="497" t="str">
        <f t="shared" si="103"/>
        <v/>
      </c>
    </row>
    <row r="1584" spans="1:26" s="82" customFormat="1" x14ac:dyDescent="0.4">
      <c r="A1584" s="493">
        <v>61341</v>
      </c>
      <c r="B1584" s="105" t="s">
        <v>329</v>
      </c>
      <c r="C1584" s="493" t="s">
        <v>330</v>
      </c>
      <c r="D1584" s="105" t="s">
        <v>1850</v>
      </c>
      <c r="E1584" s="105" t="s">
        <v>1383</v>
      </c>
      <c r="F1584" s="493">
        <v>61944</v>
      </c>
      <c r="G1584" s="105" t="s">
        <v>33</v>
      </c>
      <c r="H1584" s="105" t="s">
        <v>342</v>
      </c>
      <c r="I1584" s="105" t="s">
        <v>334</v>
      </c>
      <c r="J1584" s="493">
        <v>22</v>
      </c>
      <c r="K1584" s="493">
        <v>2</v>
      </c>
      <c r="L1584" s="105" t="s">
        <v>343</v>
      </c>
      <c r="M1584" s="105" t="s">
        <v>655</v>
      </c>
      <c r="N1584" s="105" t="s">
        <v>656</v>
      </c>
      <c r="O1584" s="105" t="s">
        <v>656</v>
      </c>
      <c r="P1584" s="105" t="s">
        <v>339</v>
      </c>
      <c r="Q1584" s="494">
        <v>0</v>
      </c>
      <c r="R1584" s="494">
        <v>0</v>
      </c>
      <c r="S1584" s="494">
        <v>15292</v>
      </c>
      <c r="T1584" s="494">
        <v>15292</v>
      </c>
      <c r="U1584" s="494">
        <v>4482</v>
      </c>
      <c r="V1584" s="493">
        <v>2024</v>
      </c>
      <c r="W1584" s="495"/>
      <c r="X1584" s="496">
        <f t="shared" si="101"/>
        <v>3.4118697010263275</v>
      </c>
      <c r="Y1584" s="497" t="str">
        <f t="shared" si="103"/>
        <v/>
      </c>
      <c r="Z1584" s="497" t="str">
        <f t="shared" si="103"/>
        <v/>
      </c>
    </row>
    <row r="1585" spans="1:26" s="82" customFormat="1" x14ac:dyDescent="0.4">
      <c r="A1585" s="493">
        <v>61342</v>
      </c>
      <c r="B1585" s="105" t="s">
        <v>329</v>
      </c>
      <c r="C1585" s="493" t="s">
        <v>330</v>
      </c>
      <c r="D1585" s="105" t="s">
        <v>1851</v>
      </c>
      <c r="E1585" s="105" t="s">
        <v>1383</v>
      </c>
      <c r="F1585" s="493">
        <v>61944</v>
      </c>
      <c r="G1585" s="105" t="s">
        <v>33</v>
      </c>
      <c r="H1585" s="105" t="s">
        <v>342</v>
      </c>
      <c r="I1585" s="105" t="s">
        <v>334</v>
      </c>
      <c r="J1585" s="493">
        <v>22</v>
      </c>
      <c r="K1585" s="493">
        <v>2</v>
      </c>
      <c r="L1585" s="105" t="s">
        <v>343</v>
      </c>
      <c r="M1585" s="105" t="s">
        <v>655</v>
      </c>
      <c r="N1585" s="105" t="s">
        <v>656</v>
      </c>
      <c r="O1585" s="105" t="s">
        <v>656</v>
      </c>
      <c r="P1585" s="105" t="s">
        <v>339</v>
      </c>
      <c r="Q1585" s="494">
        <v>0</v>
      </c>
      <c r="R1585" s="494">
        <v>0</v>
      </c>
      <c r="S1585" s="494">
        <v>66697</v>
      </c>
      <c r="T1585" s="494">
        <v>66697</v>
      </c>
      <c r="U1585" s="494">
        <v>19548</v>
      </c>
      <c r="V1585" s="493">
        <v>2024</v>
      </c>
      <c r="W1585" s="495"/>
      <c r="X1585" s="496">
        <f t="shared" si="101"/>
        <v>3.4119603028442809</v>
      </c>
      <c r="Y1585" s="497" t="str">
        <f t="shared" si="103"/>
        <v/>
      </c>
      <c r="Z1585" s="497" t="str">
        <f t="shared" si="103"/>
        <v/>
      </c>
    </row>
    <row r="1586" spans="1:26" s="82" customFormat="1" x14ac:dyDescent="0.4">
      <c r="A1586" s="493">
        <v>61350</v>
      </c>
      <c r="B1586" s="105" t="s">
        <v>329</v>
      </c>
      <c r="C1586" s="493" t="s">
        <v>330</v>
      </c>
      <c r="D1586" s="105" t="s">
        <v>1852</v>
      </c>
      <c r="E1586" s="105" t="s">
        <v>1375</v>
      </c>
      <c r="F1586" s="493">
        <v>63249</v>
      </c>
      <c r="G1586" s="105" t="s">
        <v>33</v>
      </c>
      <c r="H1586" s="105" t="s">
        <v>342</v>
      </c>
      <c r="I1586" s="105" t="s">
        <v>334</v>
      </c>
      <c r="J1586" s="493">
        <v>22</v>
      </c>
      <c r="K1586" s="493">
        <v>2</v>
      </c>
      <c r="L1586" s="105" t="s">
        <v>343</v>
      </c>
      <c r="M1586" s="105" t="s">
        <v>655</v>
      </c>
      <c r="N1586" s="105" t="s">
        <v>656</v>
      </c>
      <c r="O1586" s="105" t="s">
        <v>656</v>
      </c>
      <c r="P1586" s="105" t="s">
        <v>339</v>
      </c>
      <c r="Q1586" s="494">
        <v>0</v>
      </c>
      <c r="R1586" s="494">
        <v>0</v>
      </c>
      <c r="S1586" s="494">
        <v>11856</v>
      </c>
      <c r="T1586" s="494">
        <v>11856</v>
      </c>
      <c r="U1586" s="494">
        <v>3475</v>
      </c>
      <c r="V1586" s="493">
        <v>2024</v>
      </c>
      <c r="W1586" s="495"/>
      <c r="X1586" s="496">
        <f t="shared" si="101"/>
        <v>3.411798561151079</v>
      </c>
      <c r="Y1586" s="497" t="str">
        <f t="shared" si="103"/>
        <v/>
      </c>
      <c r="Z1586" s="497" t="str">
        <f t="shared" si="103"/>
        <v/>
      </c>
    </row>
    <row r="1587" spans="1:26" s="82" customFormat="1" ht="32" x14ac:dyDescent="0.4">
      <c r="A1587" s="493">
        <v>61367</v>
      </c>
      <c r="B1587" s="105" t="s">
        <v>329</v>
      </c>
      <c r="C1587" s="493" t="s">
        <v>330</v>
      </c>
      <c r="D1587" s="105" t="s">
        <v>1853</v>
      </c>
      <c r="E1587" s="105" t="s">
        <v>1290</v>
      </c>
      <c r="F1587" s="493">
        <v>57319</v>
      </c>
      <c r="G1587" s="105" t="s">
        <v>33</v>
      </c>
      <c r="H1587" s="105" t="s">
        <v>342</v>
      </c>
      <c r="I1587" s="105" t="s">
        <v>334</v>
      </c>
      <c r="J1587" s="493">
        <v>22</v>
      </c>
      <c r="K1587" s="493">
        <v>2</v>
      </c>
      <c r="L1587" s="105" t="s">
        <v>343</v>
      </c>
      <c r="M1587" s="105" t="s">
        <v>655</v>
      </c>
      <c r="N1587" s="105" t="s">
        <v>656</v>
      </c>
      <c r="O1587" s="105" t="s">
        <v>656</v>
      </c>
      <c r="P1587" s="105" t="s">
        <v>339</v>
      </c>
      <c r="Q1587" s="494">
        <v>0</v>
      </c>
      <c r="R1587" s="494">
        <v>0</v>
      </c>
      <c r="S1587" s="494">
        <v>8100</v>
      </c>
      <c r="T1587" s="494">
        <v>8100</v>
      </c>
      <c r="U1587" s="494">
        <v>2374</v>
      </c>
      <c r="V1587" s="493">
        <v>2024</v>
      </c>
      <c r="W1587" s="495"/>
      <c r="X1587" s="496">
        <f t="shared" si="101"/>
        <v>3.4119629317607414</v>
      </c>
      <c r="Y1587" s="497" t="str">
        <f t="shared" si="103"/>
        <v/>
      </c>
      <c r="Z1587" s="497" t="str">
        <f t="shared" si="103"/>
        <v/>
      </c>
    </row>
    <row r="1588" spans="1:26" s="82" customFormat="1" x14ac:dyDescent="0.4">
      <c r="A1588" s="493">
        <v>61371</v>
      </c>
      <c r="B1588" s="105" t="s">
        <v>329</v>
      </c>
      <c r="C1588" s="493" t="s">
        <v>330</v>
      </c>
      <c r="D1588" s="105" t="s">
        <v>1854</v>
      </c>
      <c r="E1588" s="105" t="s">
        <v>1855</v>
      </c>
      <c r="F1588" s="493">
        <v>61009</v>
      </c>
      <c r="G1588" s="105" t="s">
        <v>33</v>
      </c>
      <c r="H1588" s="105" t="s">
        <v>342</v>
      </c>
      <c r="I1588" s="105" t="s">
        <v>334</v>
      </c>
      <c r="J1588" s="493">
        <v>22</v>
      </c>
      <c r="K1588" s="493">
        <v>2</v>
      </c>
      <c r="L1588" s="105" t="s">
        <v>343</v>
      </c>
      <c r="M1588" s="105" t="s">
        <v>655</v>
      </c>
      <c r="N1588" s="105" t="s">
        <v>656</v>
      </c>
      <c r="O1588" s="105" t="s">
        <v>656</v>
      </c>
      <c r="P1588" s="105" t="s">
        <v>339</v>
      </c>
      <c r="Q1588" s="494">
        <v>0</v>
      </c>
      <c r="R1588" s="494">
        <v>0</v>
      </c>
      <c r="S1588" s="494">
        <v>9255</v>
      </c>
      <c r="T1588" s="494">
        <v>9255</v>
      </c>
      <c r="U1588" s="494">
        <v>2712</v>
      </c>
      <c r="V1588" s="493">
        <v>2024</v>
      </c>
      <c r="W1588" s="495"/>
      <c r="X1588" s="496">
        <f t="shared" si="101"/>
        <v>3.4126106194690267</v>
      </c>
      <c r="Y1588" s="497" t="str">
        <f t="shared" ref="Y1588:Z1607" si="104">IF(AND($M1588=$Y$2,$N1588=$Y$3,NOT($Q1588=$R1588),NOT($U1588=0)),IF($K1588=5,$S1588/($U1588+(8/5)*$U1588),IF($K1588=7,$S1588/($U1588+(29/25)*$U1588),"")),"")</f>
        <v/>
      </c>
      <c r="Z1588" s="497" t="str">
        <f t="shared" si="104"/>
        <v/>
      </c>
    </row>
    <row r="1589" spans="1:26" s="82" customFormat="1" ht="32" x14ac:dyDescent="0.4">
      <c r="A1589" s="493">
        <v>61373</v>
      </c>
      <c r="B1589" s="105" t="s">
        <v>329</v>
      </c>
      <c r="C1589" s="493" t="s">
        <v>330</v>
      </c>
      <c r="D1589" s="105" t="s">
        <v>1856</v>
      </c>
      <c r="E1589" s="105" t="s">
        <v>1857</v>
      </c>
      <c r="F1589" s="493">
        <v>61011</v>
      </c>
      <c r="G1589" s="105" t="s">
        <v>33</v>
      </c>
      <c r="H1589" s="105" t="s">
        <v>342</v>
      </c>
      <c r="I1589" s="105" t="s">
        <v>334</v>
      </c>
      <c r="J1589" s="493">
        <v>22</v>
      </c>
      <c r="K1589" s="493">
        <v>2</v>
      </c>
      <c r="L1589" s="105" t="s">
        <v>343</v>
      </c>
      <c r="M1589" s="105" t="s">
        <v>655</v>
      </c>
      <c r="N1589" s="105" t="s">
        <v>656</v>
      </c>
      <c r="O1589" s="105" t="s">
        <v>656</v>
      </c>
      <c r="P1589" s="105" t="s">
        <v>339</v>
      </c>
      <c r="Q1589" s="494">
        <v>0</v>
      </c>
      <c r="R1589" s="494">
        <v>0</v>
      </c>
      <c r="S1589" s="494">
        <v>16271</v>
      </c>
      <c r="T1589" s="494">
        <v>16271</v>
      </c>
      <c r="U1589" s="494">
        <v>4769</v>
      </c>
      <c r="V1589" s="493">
        <v>2024</v>
      </c>
      <c r="W1589" s="495"/>
      <c r="X1589" s="496">
        <f t="shared" si="101"/>
        <v>3.4118263786957432</v>
      </c>
      <c r="Y1589" s="497" t="str">
        <f t="shared" si="104"/>
        <v/>
      </c>
      <c r="Z1589" s="497" t="str">
        <f t="shared" si="104"/>
        <v/>
      </c>
    </row>
    <row r="1590" spans="1:26" s="82" customFormat="1" x14ac:dyDescent="0.4">
      <c r="A1590" s="493">
        <v>61376</v>
      </c>
      <c r="B1590" s="105" t="s">
        <v>329</v>
      </c>
      <c r="C1590" s="493" t="s">
        <v>330</v>
      </c>
      <c r="D1590" s="105" t="s">
        <v>1858</v>
      </c>
      <c r="E1590" s="105" t="s">
        <v>1448</v>
      </c>
      <c r="F1590" s="493">
        <v>61012</v>
      </c>
      <c r="G1590" s="105" t="s">
        <v>52</v>
      </c>
      <c r="H1590" s="105" t="s">
        <v>333</v>
      </c>
      <c r="I1590" s="105" t="s">
        <v>334</v>
      </c>
      <c r="J1590" s="493">
        <v>22</v>
      </c>
      <c r="K1590" s="493">
        <v>2</v>
      </c>
      <c r="L1590" s="105" t="s">
        <v>343</v>
      </c>
      <c r="M1590" s="105" t="s">
        <v>655</v>
      </c>
      <c r="N1590" s="105" t="s">
        <v>656</v>
      </c>
      <c r="O1590" s="105" t="s">
        <v>656</v>
      </c>
      <c r="P1590" s="105" t="s">
        <v>339</v>
      </c>
      <c r="Q1590" s="494">
        <v>0</v>
      </c>
      <c r="R1590" s="494">
        <v>0</v>
      </c>
      <c r="S1590" s="494">
        <v>9472</v>
      </c>
      <c r="T1590" s="494">
        <v>9472</v>
      </c>
      <c r="U1590" s="494">
        <v>2776</v>
      </c>
      <c r="V1590" s="493">
        <v>2024</v>
      </c>
      <c r="W1590" s="495"/>
      <c r="X1590" s="496">
        <f t="shared" si="101"/>
        <v>3.4121037463976944</v>
      </c>
      <c r="Y1590" s="497" t="str">
        <f t="shared" si="104"/>
        <v/>
      </c>
      <c r="Z1590" s="497" t="str">
        <f t="shared" si="104"/>
        <v/>
      </c>
    </row>
    <row r="1591" spans="1:26" s="82" customFormat="1" ht="32" x14ac:dyDescent="0.4">
      <c r="A1591" s="493">
        <v>61378</v>
      </c>
      <c r="B1591" s="105" t="s">
        <v>329</v>
      </c>
      <c r="C1591" s="493" t="s">
        <v>330</v>
      </c>
      <c r="D1591" s="105" t="s">
        <v>1859</v>
      </c>
      <c r="E1591" s="105" t="s">
        <v>1859</v>
      </c>
      <c r="F1591" s="493">
        <v>61013</v>
      </c>
      <c r="G1591" s="105" t="s">
        <v>52</v>
      </c>
      <c r="H1591" s="105" t="s">
        <v>333</v>
      </c>
      <c r="I1591" s="105" t="s">
        <v>334</v>
      </c>
      <c r="J1591" s="493">
        <v>622</v>
      </c>
      <c r="K1591" s="493">
        <v>4</v>
      </c>
      <c r="L1591" s="105" t="s">
        <v>766</v>
      </c>
      <c r="M1591" s="105" t="s">
        <v>359</v>
      </c>
      <c r="N1591" s="105" t="s">
        <v>226</v>
      </c>
      <c r="O1591" s="105" t="s">
        <v>226</v>
      </c>
      <c r="P1591" s="105" t="s">
        <v>350</v>
      </c>
      <c r="Q1591" s="494">
        <v>30</v>
      </c>
      <c r="R1591" s="494">
        <v>30</v>
      </c>
      <c r="S1591" s="494">
        <v>168</v>
      </c>
      <c r="T1591" s="494">
        <v>168</v>
      </c>
      <c r="U1591" s="494">
        <v>0</v>
      </c>
      <c r="V1591" s="493">
        <v>2024</v>
      </c>
      <c r="W1591" s="495"/>
      <c r="X1591" s="496" t="str">
        <f t="shared" si="101"/>
        <v/>
      </c>
      <c r="Y1591" s="497" t="str">
        <f t="shared" si="104"/>
        <v/>
      </c>
      <c r="Z1591" s="497" t="str">
        <f t="shared" si="104"/>
        <v/>
      </c>
    </row>
    <row r="1592" spans="1:26" s="82" customFormat="1" ht="32" x14ac:dyDescent="0.4">
      <c r="A1592" s="493">
        <v>61378</v>
      </c>
      <c r="B1592" s="105" t="s">
        <v>329</v>
      </c>
      <c r="C1592" s="493" t="s">
        <v>330</v>
      </c>
      <c r="D1592" s="105" t="s">
        <v>1859</v>
      </c>
      <c r="E1592" s="105" t="s">
        <v>1859</v>
      </c>
      <c r="F1592" s="493">
        <v>61013</v>
      </c>
      <c r="G1592" s="105" t="s">
        <v>52</v>
      </c>
      <c r="H1592" s="105" t="s">
        <v>333</v>
      </c>
      <c r="I1592" s="105" t="s">
        <v>334</v>
      </c>
      <c r="J1592" s="493">
        <v>622</v>
      </c>
      <c r="K1592" s="493">
        <v>4</v>
      </c>
      <c r="L1592" s="105" t="s">
        <v>766</v>
      </c>
      <c r="M1592" s="105" t="s">
        <v>359</v>
      </c>
      <c r="N1592" s="105" t="s">
        <v>228</v>
      </c>
      <c r="O1592" s="105" t="s">
        <v>228</v>
      </c>
      <c r="P1592" s="105" t="s">
        <v>356</v>
      </c>
      <c r="Q1592" s="494">
        <v>0</v>
      </c>
      <c r="R1592" s="494">
        <v>0</v>
      </c>
      <c r="S1592" s="494">
        <v>0</v>
      </c>
      <c r="T1592" s="494">
        <v>0</v>
      </c>
      <c r="U1592" s="494">
        <v>0</v>
      </c>
      <c r="V1592" s="493">
        <v>2024</v>
      </c>
      <c r="W1592" s="495"/>
      <c r="X1592" s="496" t="str">
        <f t="shared" si="101"/>
        <v/>
      </c>
      <c r="Y1592" s="497" t="str">
        <f t="shared" si="104"/>
        <v/>
      </c>
      <c r="Z1592" s="497" t="str">
        <f t="shared" si="104"/>
        <v/>
      </c>
    </row>
    <row r="1593" spans="1:26" s="82" customFormat="1" ht="32" x14ac:dyDescent="0.4">
      <c r="A1593" s="493">
        <v>61389</v>
      </c>
      <c r="B1593" s="105" t="s">
        <v>329</v>
      </c>
      <c r="C1593" s="493" t="s">
        <v>330</v>
      </c>
      <c r="D1593" s="105" t="s">
        <v>1860</v>
      </c>
      <c r="E1593" s="105" t="s">
        <v>1773</v>
      </c>
      <c r="F1593" s="493">
        <v>60571</v>
      </c>
      <c r="G1593" s="105" t="s">
        <v>52</v>
      </c>
      <c r="H1593" s="105" t="s">
        <v>333</v>
      </c>
      <c r="I1593" s="105" t="s">
        <v>334</v>
      </c>
      <c r="J1593" s="493">
        <v>22</v>
      </c>
      <c r="K1593" s="493">
        <v>2</v>
      </c>
      <c r="L1593" s="105" t="s">
        <v>343</v>
      </c>
      <c r="M1593" s="105" t="s">
        <v>655</v>
      </c>
      <c r="N1593" s="105" t="s">
        <v>656</v>
      </c>
      <c r="O1593" s="105" t="s">
        <v>656</v>
      </c>
      <c r="P1593" s="105" t="s">
        <v>339</v>
      </c>
      <c r="Q1593" s="494">
        <v>0</v>
      </c>
      <c r="R1593" s="494">
        <v>0</v>
      </c>
      <c r="S1593" s="494">
        <v>6084</v>
      </c>
      <c r="T1593" s="494">
        <v>6084</v>
      </c>
      <c r="U1593" s="494">
        <v>1783</v>
      </c>
      <c r="V1593" s="493">
        <v>2024</v>
      </c>
      <c r="W1593" s="495"/>
      <c r="X1593" s="496">
        <f t="shared" si="101"/>
        <v>3.4122265844083004</v>
      </c>
      <c r="Y1593" s="497" t="str">
        <f t="shared" si="104"/>
        <v/>
      </c>
      <c r="Z1593" s="497" t="str">
        <f t="shared" si="104"/>
        <v/>
      </c>
    </row>
    <row r="1594" spans="1:26" s="82" customFormat="1" x14ac:dyDescent="0.4">
      <c r="A1594" s="493">
        <v>61398</v>
      </c>
      <c r="B1594" s="105" t="s">
        <v>329</v>
      </c>
      <c r="C1594" s="493" t="s">
        <v>330</v>
      </c>
      <c r="D1594" s="105" t="s">
        <v>1861</v>
      </c>
      <c r="E1594" s="105" t="s">
        <v>1862</v>
      </c>
      <c r="F1594" s="493">
        <v>61025</v>
      </c>
      <c r="G1594" s="105" t="s">
        <v>37</v>
      </c>
      <c r="H1594" s="105" t="s">
        <v>342</v>
      </c>
      <c r="I1594" s="105" t="s">
        <v>334</v>
      </c>
      <c r="J1594" s="493">
        <v>22</v>
      </c>
      <c r="K1594" s="493">
        <v>2</v>
      </c>
      <c r="L1594" s="105" t="s">
        <v>343</v>
      </c>
      <c r="M1594" s="105" t="s">
        <v>655</v>
      </c>
      <c r="N1594" s="105" t="s">
        <v>656</v>
      </c>
      <c r="O1594" s="105" t="s">
        <v>656</v>
      </c>
      <c r="P1594" s="105" t="s">
        <v>339</v>
      </c>
      <c r="Q1594" s="494">
        <v>0</v>
      </c>
      <c r="R1594" s="494">
        <v>0</v>
      </c>
      <c r="S1594" s="494">
        <v>12136</v>
      </c>
      <c r="T1594" s="494">
        <v>12136</v>
      </c>
      <c r="U1594" s="494">
        <v>3557</v>
      </c>
      <c r="V1594" s="493">
        <v>2024</v>
      </c>
      <c r="W1594" s="495"/>
      <c r="X1594" s="496">
        <f t="shared" si="101"/>
        <v>3.4118639302783245</v>
      </c>
      <c r="Y1594" s="497" t="str">
        <f t="shared" si="104"/>
        <v/>
      </c>
      <c r="Z1594" s="497" t="str">
        <f t="shared" si="104"/>
        <v/>
      </c>
    </row>
    <row r="1595" spans="1:26" s="82" customFormat="1" x14ac:dyDescent="0.4">
      <c r="A1595" s="493">
        <v>61399</v>
      </c>
      <c r="B1595" s="105" t="s">
        <v>329</v>
      </c>
      <c r="C1595" s="493" t="s">
        <v>330</v>
      </c>
      <c r="D1595" s="105" t="s">
        <v>1863</v>
      </c>
      <c r="E1595" s="105" t="s">
        <v>1864</v>
      </c>
      <c r="F1595" s="493">
        <v>61028</v>
      </c>
      <c r="G1595" s="105" t="s">
        <v>33</v>
      </c>
      <c r="H1595" s="105" t="s">
        <v>342</v>
      </c>
      <c r="I1595" s="105" t="s">
        <v>334</v>
      </c>
      <c r="J1595" s="493">
        <v>22</v>
      </c>
      <c r="K1595" s="493">
        <v>2</v>
      </c>
      <c r="L1595" s="105" t="s">
        <v>343</v>
      </c>
      <c r="M1595" s="105" t="s">
        <v>655</v>
      </c>
      <c r="N1595" s="105" t="s">
        <v>656</v>
      </c>
      <c r="O1595" s="105" t="s">
        <v>656</v>
      </c>
      <c r="P1595" s="105" t="s">
        <v>339</v>
      </c>
      <c r="Q1595" s="494">
        <v>0</v>
      </c>
      <c r="R1595" s="494">
        <v>0</v>
      </c>
      <c r="S1595" s="494">
        <v>10843</v>
      </c>
      <c r="T1595" s="494">
        <v>10843</v>
      </c>
      <c r="U1595" s="494">
        <v>3178</v>
      </c>
      <c r="V1595" s="493">
        <v>2024</v>
      </c>
      <c r="W1595" s="495"/>
      <c r="X1595" s="496">
        <f t="shared" si="101"/>
        <v>3.4118942731277535</v>
      </c>
      <c r="Y1595" s="497" t="str">
        <f t="shared" si="104"/>
        <v/>
      </c>
      <c r="Z1595" s="497" t="str">
        <f t="shared" si="104"/>
        <v/>
      </c>
    </row>
    <row r="1596" spans="1:26" s="82" customFormat="1" ht="32" x14ac:dyDescent="0.4">
      <c r="A1596" s="493">
        <v>61413</v>
      </c>
      <c r="B1596" s="105" t="s">
        <v>329</v>
      </c>
      <c r="C1596" s="493" t="s">
        <v>330</v>
      </c>
      <c r="D1596" s="105" t="s">
        <v>1865</v>
      </c>
      <c r="E1596" s="105" t="s">
        <v>1866</v>
      </c>
      <c r="F1596" s="493">
        <v>61049</v>
      </c>
      <c r="G1596" s="105" t="s">
        <v>52</v>
      </c>
      <c r="H1596" s="105" t="s">
        <v>333</v>
      </c>
      <c r="I1596" s="105" t="s">
        <v>334</v>
      </c>
      <c r="J1596" s="493">
        <v>622</v>
      </c>
      <c r="K1596" s="493">
        <v>4</v>
      </c>
      <c r="L1596" s="105" t="s">
        <v>766</v>
      </c>
      <c r="M1596" s="105" t="s">
        <v>359</v>
      </c>
      <c r="N1596" s="105" t="s">
        <v>226</v>
      </c>
      <c r="O1596" s="105" t="s">
        <v>226</v>
      </c>
      <c r="P1596" s="105" t="s">
        <v>350</v>
      </c>
      <c r="Q1596" s="494">
        <v>121</v>
      </c>
      <c r="R1596" s="494">
        <v>121</v>
      </c>
      <c r="S1596" s="494">
        <v>713</v>
      </c>
      <c r="T1596" s="494">
        <v>713</v>
      </c>
      <c r="U1596" s="494">
        <v>56</v>
      </c>
      <c r="V1596" s="493">
        <v>2024</v>
      </c>
      <c r="W1596" s="495"/>
      <c r="X1596" s="496" t="str">
        <f t="shared" si="101"/>
        <v/>
      </c>
      <c r="Y1596" s="497" t="str">
        <f t="shared" si="104"/>
        <v/>
      </c>
      <c r="Z1596" s="497" t="str">
        <f t="shared" si="104"/>
        <v/>
      </c>
    </row>
    <row r="1597" spans="1:26" s="82" customFormat="1" ht="32" x14ac:dyDescent="0.4">
      <c r="A1597" s="493">
        <v>61414</v>
      </c>
      <c r="B1597" s="105" t="s">
        <v>329</v>
      </c>
      <c r="C1597" s="493" t="s">
        <v>330</v>
      </c>
      <c r="D1597" s="105" t="s">
        <v>1867</v>
      </c>
      <c r="E1597" s="105" t="s">
        <v>1868</v>
      </c>
      <c r="F1597" s="493">
        <v>61050</v>
      </c>
      <c r="G1597" s="105" t="s">
        <v>52</v>
      </c>
      <c r="H1597" s="105" t="s">
        <v>333</v>
      </c>
      <c r="I1597" s="105" t="s">
        <v>334</v>
      </c>
      <c r="J1597" s="493">
        <v>323</v>
      </c>
      <c r="K1597" s="493">
        <v>6</v>
      </c>
      <c r="L1597" s="105" t="s">
        <v>729</v>
      </c>
      <c r="M1597" s="105" t="s">
        <v>359</v>
      </c>
      <c r="N1597" s="105" t="s">
        <v>226</v>
      </c>
      <c r="O1597" s="105" t="s">
        <v>226</v>
      </c>
      <c r="P1597" s="105" t="s">
        <v>350</v>
      </c>
      <c r="Q1597" s="494">
        <v>784</v>
      </c>
      <c r="R1597" s="494">
        <v>784</v>
      </c>
      <c r="S1597" s="494">
        <v>4612</v>
      </c>
      <c r="T1597" s="494">
        <v>4612</v>
      </c>
      <c r="U1597" s="494">
        <v>409</v>
      </c>
      <c r="V1597" s="493">
        <v>2024</v>
      </c>
      <c r="W1597" s="495"/>
      <c r="X1597" s="496" t="str">
        <f t="shared" si="101"/>
        <v/>
      </c>
      <c r="Y1597" s="497" t="str">
        <f t="shared" si="104"/>
        <v/>
      </c>
      <c r="Z1597" s="497" t="str">
        <f t="shared" si="104"/>
        <v/>
      </c>
    </row>
    <row r="1598" spans="1:26" s="82" customFormat="1" ht="32" x14ac:dyDescent="0.4">
      <c r="A1598" s="493">
        <v>61415</v>
      </c>
      <c r="B1598" s="105" t="s">
        <v>329</v>
      </c>
      <c r="C1598" s="493" t="s">
        <v>330</v>
      </c>
      <c r="D1598" s="105" t="s">
        <v>1869</v>
      </c>
      <c r="E1598" s="105" t="s">
        <v>1870</v>
      </c>
      <c r="F1598" s="493">
        <v>20326</v>
      </c>
      <c r="G1598" s="105" t="s">
        <v>33</v>
      </c>
      <c r="H1598" s="105" t="s">
        <v>342</v>
      </c>
      <c r="I1598" s="105" t="s">
        <v>334</v>
      </c>
      <c r="J1598" s="493">
        <v>22</v>
      </c>
      <c r="K1598" s="493">
        <v>1</v>
      </c>
      <c r="L1598" s="105" t="s">
        <v>335</v>
      </c>
      <c r="M1598" s="105" t="s">
        <v>655</v>
      </c>
      <c r="N1598" s="105" t="s">
        <v>656</v>
      </c>
      <c r="O1598" s="105" t="s">
        <v>656</v>
      </c>
      <c r="P1598" s="105" t="s">
        <v>339</v>
      </c>
      <c r="Q1598" s="494">
        <v>0</v>
      </c>
      <c r="R1598" s="494">
        <v>0</v>
      </c>
      <c r="S1598" s="494">
        <v>7612</v>
      </c>
      <c r="T1598" s="494">
        <v>7612</v>
      </c>
      <c r="U1598" s="494">
        <v>2231</v>
      </c>
      <c r="V1598" s="493">
        <v>2024</v>
      </c>
      <c r="W1598" s="495"/>
      <c r="X1598" s="496">
        <f t="shared" si="101"/>
        <v>3.4119229045271178</v>
      </c>
      <c r="Y1598" s="497" t="str">
        <f t="shared" si="104"/>
        <v/>
      </c>
      <c r="Z1598" s="497" t="str">
        <f t="shared" si="104"/>
        <v/>
      </c>
    </row>
    <row r="1599" spans="1:26" s="82" customFormat="1" ht="32" x14ac:dyDescent="0.4">
      <c r="A1599" s="493">
        <v>61416</v>
      </c>
      <c r="B1599" s="105" t="s">
        <v>329</v>
      </c>
      <c r="C1599" s="493" t="s">
        <v>330</v>
      </c>
      <c r="D1599" s="105" t="s">
        <v>1871</v>
      </c>
      <c r="E1599" s="105" t="s">
        <v>1872</v>
      </c>
      <c r="F1599" s="493">
        <v>61053</v>
      </c>
      <c r="G1599" s="105" t="s">
        <v>52</v>
      </c>
      <c r="H1599" s="105" t="s">
        <v>333</v>
      </c>
      <c r="I1599" s="105" t="s">
        <v>334</v>
      </c>
      <c r="J1599" s="493">
        <v>622</v>
      </c>
      <c r="K1599" s="493">
        <v>4</v>
      </c>
      <c r="L1599" s="105" t="s">
        <v>766</v>
      </c>
      <c r="M1599" s="105" t="s">
        <v>359</v>
      </c>
      <c r="N1599" s="105" t="s">
        <v>226</v>
      </c>
      <c r="O1599" s="105" t="s">
        <v>226</v>
      </c>
      <c r="P1599" s="105" t="s">
        <v>350</v>
      </c>
      <c r="Q1599" s="494">
        <v>294</v>
      </c>
      <c r="R1599" s="494">
        <v>294</v>
      </c>
      <c r="S1599" s="494">
        <v>1730</v>
      </c>
      <c r="T1599" s="494">
        <v>1730</v>
      </c>
      <c r="U1599" s="494">
        <v>184</v>
      </c>
      <c r="V1599" s="493">
        <v>2024</v>
      </c>
      <c r="W1599" s="495"/>
      <c r="X1599" s="496" t="str">
        <f t="shared" si="101"/>
        <v/>
      </c>
      <c r="Y1599" s="497" t="str">
        <f t="shared" si="104"/>
        <v/>
      </c>
      <c r="Z1599" s="497" t="str">
        <f t="shared" si="104"/>
        <v/>
      </c>
    </row>
    <row r="1600" spans="1:26" s="82" customFormat="1" ht="32" x14ac:dyDescent="0.4">
      <c r="A1600" s="493">
        <v>61429</v>
      </c>
      <c r="B1600" s="105" t="s">
        <v>329</v>
      </c>
      <c r="C1600" s="493" t="s">
        <v>330</v>
      </c>
      <c r="D1600" s="105" t="s">
        <v>1873</v>
      </c>
      <c r="E1600" s="105" t="s">
        <v>1313</v>
      </c>
      <c r="F1600" s="493">
        <v>60281</v>
      </c>
      <c r="G1600" s="105" t="s">
        <v>33</v>
      </c>
      <c r="H1600" s="105" t="s">
        <v>342</v>
      </c>
      <c r="I1600" s="105" t="s">
        <v>334</v>
      </c>
      <c r="J1600" s="493">
        <v>22</v>
      </c>
      <c r="K1600" s="493">
        <v>2</v>
      </c>
      <c r="L1600" s="105" t="s">
        <v>343</v>
      </c>
      <c r="M1600" s="105" t="s">
        <v>655</v>
      </c>
      <c r="N1600" s="105" t="s">
        <v>656</v>
      </c>
      <c r="O1600" s="105" t="s">
        <v>656</v>
      </c>
      <c r="P1600" s="105" t="s">
        <v>339</v>
      </c>
      <c r="Q1600" s="494">
        <v>0</v>
      </c>
      <c r="R1600" s="494">
        <v>0</v>
      </c>
      <c r="S1600" s="494">
        <v>4821</v>
      </c>
      <c r="T1600" s="494">
        <v>4821</v>
      </c>
      <c r="U1600" s="494">
        <v>1413</v>
      </c>
      <c r="V1600" s="493">
        <v>2024</v>
      </c>
      <c r="W1600" s="495"/>
      <c r="X1600" s="496">
        <f t="shared" si="101"/>
        <v>3.4118895966029723</v>
      </c>
      <c r="Y1600" s="497" t="str">
        <f t="shared" si="104"/>
        <v/>
      </c>
      <c r="Z1600" s="497" t="str">
        <f t="shared" si="104"/>
        <v/>
      </c>
    </row>
    <row r="1601" spans="1:26" s="82" customFormat="1" ht="32" x14ac:dyDescent="0.4">
      <c r="A1601" s="493">
        <v>61460</v>
      </c>
      <c r="B1601" s="105" t="s">
        <v>329</v>
      </c>
      <c r="C1601" s="493" t="s">
        <v>330</v>
      </c>
      <c r="D1601" s="105" t="s">
        <v>1874</v>
      </c>
      <c r="E1601" s="105" t="s">
        <v>1875</v>
      </c>
      <c r="F1601" s="493">
        <v>62915</v>
      </c>
      <c r="G1601" s="105" t="s">
        <v>34</v>
      </c>
      <c r="H1601" s="105" t="s">
        <v>342</v>
      </c>
      <c r="I1601" s="105" t="s">
        <v>334</v>
      </c>
      <c r="J1601" s="493">
        <v>22</v>
      </c>
      <c r="K1601" s="493">
        <v>2</v>
      </c>
      <c r="L1601" s="105" t="s">
        <v>343</v>
      </c>
      <c r="M1601" s="105" t="s">
        <v>655</v>
      </c>
      <c r="N1601" s="105" t="s">
        <v>656</v>
      </c>
      <c r="O1601" s="105" t="s">
        <v>656</v>
      </c>
      <c r="P1601" s="105" t="s">
        <v>339</v>
      </c>
      <c r="Q1601" s="494">
        <v>0</v>
      </c>
      <c r="R1601" s="494">
        <v>0</v>
      </c>
      <c r="S1601" s="494">
        <v>3502</v>
      </c>
      <c r="T1601" s="494">
        <v>3502</v>
      </c>
      <c r="U1601" s="494">
        <v>1026</v>
      </c>
      <c r="V1601" s="493">
        <v>2024</v>
      </c>
      <c r="W1601" s="495"/>
      <c r="X1601" s="496">
        <f t="shared" si="101"/>
        <v>3.4132553606237819</v>
      </c>
      <c r="Y1601" s="497" t="str">
        <f t="shared" si="104"/>
        <v/>
      </c>
      <c r="Z1601" s="497" t="str">
        <f t="shared" si="104"/>
        <v/>
      </c>
    </row>
    <row r="1602" spans="1:26" s="82" customFormat="1" ht="32" x14ac:dyDescent="0.4">
      <c r="A1602" s="493">
        <v>61461</v>
      </c>
      <c r="B1602" s="105" t="s">
        <v>329</v>
      </c>
      <c r="C1602" s="493" t="s">
        <v>330</v>
      </c>
      <c r="D1602" s="105" t="s">
        <v>1876</v>
      </c>
      <c r="E1602" s="105" t="s">
        <v>1773</v>
      </c>
      <c r="F1602" s="493">
        <v>60571</v>
      </c>
      <c r="G1602" s="105" t="s">
        <v>38</v>
      </c>
      <c r="H1602" s="105" t="s">
        <v>342</v>
      </c>
      <c r="I1602" s="105" t="s">
        <v>334</v>
      </c>
      <c r="J1602" s="493">
        <v>22</v>
      </c>
      <c r="K1602" s="493">
        <v>2</v>
      </c>
      <c r="L1602" s="105" t="s">
        <v>343</v>
      </c>
      <c r="M1602" s="105" t="s">
        <v>655</v>
      </c>
      <c r="N1602" s="105" t="s">
        <v>656</v>
      </c>
      <c r="O1602" s="105" t="s">
        <v>656</v>
      </c>
      <c r="P1602" s="105" t="s">
        <v>339</v>
      </c>
      <c r="Q1602" s="494">
        <v>0</v>
      </c>
      <c r="R1602" s="494">
        <v>0</v>
      </c>
      <c r="S1602" s="494">
        <v>3616</v>
      </c>
      <c r="T1602" s="494">
        <v>3616</v>
      </c>
      <c r="U1602" s="494">
        <v>1060</v>
      </c>
      <c r="V1602" s="493">
        <v>2024</v>
      </c>
      <c r="W1602" s="495"/>
      <c r="X1602" s="496">
        <f t="shared" si="101"/>
        <v>3.4113207547169813</v>
      </c>
      <c r="Y1602" s="497" t="str">
        <f t="shared" si="104"/>
        <v/>
      </c>
      <c r="Z1602" s="497" t="str">
        <f t="shared" si="104"/>
        <v/>
      </c>
    </row>
    <row r="1603" spans="1:26" s="82" customFormat="1" x14ac:dyDescent="0.4">
      <c r="A1603" s="493">
        <v>61469</v>
      </c>
      <c r="B1603" s="105" t="s">
        <v>329</v>
      </c>
      <c r="C1603" s="493" t="s">
        <v>330</v>
      </c>
      <c r="D1603" s="105" t="s">
        <v>1877</v>
      </c>
      <c r="E1603" s="105" t="s">
        <v>1448</v>
      </c>
      <c r="F1603" s="493">
        <v>61012</v>
      </c>
      <c r="G1603" s="105" t="s">
        <v>52</v>
      </c>
      <c r="H1603" s="105" t="s">
        <v>333</v>
      </c>
      <c r="I1603" s="105" t="s">
        <v>334</v>
      </c>
      <c r="J1603" s="493">
        <v>22</v>
      </c>
      <c r="K1603" s="493">
        <v>2</v>
      </c>
      <c r="L1603" s="105" t="s">
        <v>343</v>
      </c>
      <c r="M1603" s="105" t="s">
        <v>655</v>
      </c>
      <c r="N1603" s="105" t="s">
        <v>656</v>
      </c>
      <c r="O1603" s="105" t="s">
        <v>656</v>
      </c>
      <c r="P1603" s="105" t="s">
        <v>339</v>
      </c>
      <c r="Q1603" s="494">
        <v>0</v>
      </c>
      <c r="R1603" s="494">
        <v>0</v>
      </c>
      <c r="S1603" s="494">
        <v>10130</v>
      </c>
      <c r="T1603" s="494">
        <v>10130</v>
      </c>
      <c r="U1603" s="494">
        <v>2969</v>
      </c>
      <c r="V1603" s="493">
        <v>2024</v>
      </c>
      <c r="W1603" s="495"/>
      <c r="X1603" s="496">
        <f t="shared" si="101"/>
        <v>3.4119232064668239</v>
      </c>
      <c r="Y1603" s="497" t="str">
        <f t="shared" si="104"/>
        <v/>
      </c>
      <c r="Z1603" s="497" t="str">
        <f t="shared" si="104"/>
        <v/>
      </c>
    </row>
    <row r="1604" spans="1:26" s="82" customFormat="1" x14ac:dyDescent="0.4">
      <c r="A1604" s="493">
        <v>61470</v>
      </c>
      <c r="B1604" s="105" t="s">
        <v>329</v>
      </c>
      <c r="C1604" s="493" t="s">
        <v>330</v>
      </c>
      <c r="D1604" s="105" t="s">
        <v>1878</v>
      </c>
      <c r="E1604" s="105" t="s">
        <v>1448</v>
      </c>
      <c r="F1604" s="493">
        <v>61012</v>
      </c>
      <c r="G1604" s="105" t="s">
        <v>52</v>
      </c>
      <c r="H1604" s="105" t="s">
        <v>333</v>
      </c>
      <c r="I1604" s="105" t="s">
        <v>334</v>
      </c>
      <c r="J1604" s="493">
        <v>22</v>
      </c>
      <c r="K1604" s="493">
        <v>2</v>
      </c>
      <c r="L1604" s="105" t="s">
        <v>343</v>
      </c>
      <c r="M1604" s="105" t="s">
        <v>655</v>
      </c>
      <c r="N1604" s="105" t="s">
        <v>656</v>
      </c>
      <c r="O1604" s="105" t="s">
        <v>656</v>
      </c>
      <c r="P1604" s="105" t="s">
        <v>339</v>
      </c>
      <c r="Q1604" s="494">
        <v>0</v>
      </c>
      <c r="R1604" s="494">
        <v>0</v>
      </c>
      <c r="S1604" s="494">
        <v>11018</v>
      </c>
      <c r="T1604" s="494">
        <v>11018</v>
      </c>
      <c r="U1604" s="494">
        <v>3229</v>
      </c>
      <c r="V1604" s="493">
        <v>2024</v>
      </c>
      <c r="W1604" s="495"/>
      <c r="X1604" s="496">
        <f t="shared" si="101"/>
        <v>3.4122019200991018</v>
      </c>
      <c r="Y1604" s="497" t="str">
        <f t="shared" si="104"/>
        <v/>
      </c>
      <c r="Z1604" s="497" t="str">
        <f t="shared" si="104"/>
        <v/>
      </c>
    </row>
    <row r="1605" spans="1:26" s="82" customFormat="1" x14ac:dyDescent="0.4">
      <c r="A1605" s="493">
        <v>61471</v>
      </c>
      <c r="B1605" s="105" t="s">
        <v>329</v>
      </c>
      <c r="C1605" s="493" t="s">
        <v>330</v>
      </c>
      <c r="D1605" s="105" t="s">
        <v>1879</v>
      </c>
      <c r="E1605" s="105" t="s">
        <v>1448</v>
      </c>
      <c r="F1605" s="493">
        <v>61012</v>
      </c>
      <c r="G1605" s="105" t="s">
        <v>52</v>
      </c>
      <c r="H1605" s="105" t="s">
        <v>333</v>
      </c>
      <c r="I1605" s="105" t="s">
        <v>334</v>
      </c>
      <c r="J1605" s="493">
        <v>22</v>
      </c>
      <c r="K1605" s="493">
        <v>2</v>
      </c>
      <c r="L1605" s="105" t="s">
        <v>343</v>
      </c>
      <c r="M1605" s="105" t="s">
        <v>655</v>
      </c>
      <c r="N1605" s="105" t="s">
        <v>656</v>
      </c>
      <c r="O1605" s="105" t="s">
        <v>656</v>
      </c>
      <c r="P1605" s="105" t="s">
        <v>339</v>
      </c>
      <c r="Q1605" s="494">
        <v>0</v>
      </c>
      <c r="R1605" s="494">
        <v>0</v>
      </c>
      <c r="S1605" s="494">
        <v>11020</v>
      </c>
      <c r="T1605" s="494">
        <v>11020</v>
      </c>
      <c r="U1605" s="494">
        <v>3230</v>
      </c>
      <c r="V1605" s="493">
        <v>2024</v>
      </c>
      <c r="W1605" s="495"/>
      <c r="X1605" s="496">
        <f t="shared" si="101"/>
        <v>3.4117647058823528</v>
      </c>
      <c r="Y1605" s="497" t="str">
        <f t="shared" si="104"/>
        <v/>
      </c>
      <c r="Z1605" s="497" t="str">
        <f t="shared" si="104"/>
        <v/>
      </c>
    </row>
    <row r="1606" spans="1:26" s="82" customFormat="1" x14ac:dyDescent="0.4">
      <c r="A1606" s="493">
        <v>61487</v>
      </c>
      <c r="B1606" s="105" t="s">
        <v>329</v>
      </c>
      <c r="C1606" s="493" t="s">
        <v>330</v>
      </c>
      <c r="D1606" s="105" t="s">
        <v>1880</v>
      </c>
      <c r="E1606" s="105" t="s">
        <v>1881</v>
      </c>
      <c r="F1606" s="493">
        <v>61093</v>
      </c>
      <c r="G1606" s="105" t="s">
        <v>52</v>
      </c>
      <c r="H1606" s="105" t="s">
        <v>333</v>
      </c>
      <c r="I1606" s="105" t="s">
        <v>334</v>
      </c>
      <c r="J1606" s="493">
        <v>22</v>
      </c>
      <c r="K1606" s="493">
        <v>2</v>
      </c>
      <c r="L1606" s="105" t="s">
        <v>343</v>
      </c>
      <c r="M1606" s="105" t="s">
        <v>655</v>
      </c>
      <c r="N1606" s="105" t="s">
        <v>656</v>
      </c>
      <c r="O1606" s="105" t="s">
        <v>656</v>
      </c>
      <c r="P1606" s="105" t="s">
        <v>339</v>
      </c>
      <c r="Q1606" s="494">
        <v>0</v>
      </c>
      <c r="R1606" s="494">
        <v>0</v>
      </c>
      <c r="S1606" s="494">
        <v>46290</v>
      </c>
      <c r="T1606" s="494">
        <v>46290</v>
      </c>
      <c r="U1606" s="494">
        <v>13567</v>
      </c>
      <c r="V1606" s="493">
        <v>2024</v>
      </c>
      <c r="W1606" s="495"/>
      <c r="X1606" s="496">
        <f t="shared" si="101"/>
        <v>3.4119554802093313</v>
      </c>
      <c r="Y1606" s="497" t="str">
        <f t="shared" si="104"/>
        <v/>
      </c>
      <c r="Z1606" s="497" t="str">
        <f t="shared" si="104"/>
        <v/>
      </c>
    </row>
    <row r="1607" spans="1:26" s="82" customFormat="1" ht="32" x14ac:dyDescent="0.4">
      <c r="A1607" s="493">
        <v>61488</v>
      </c>
      <c r="B1607" s="105" t="s">
        <v>433</v>
      </c>
      <c r="C1607" s="493" t="s">
        <v>330</v>
      </c>
      <c r="D1607" s="105" t="s">
        <v>1882</v>
      </c>
      <c r="E1607" s="105" t="s">
        <v>1882</v>
      </c>
      <c r="F1607" s="493">
        <v>61094</v>
      </c>
      <c r="G1607" s="105" t="s">
        <v>52</v>
      </c>
      <c r="H1607" s="105" t="s">
        <v>333</v>
      </c>
      <c r="I1607" s="105" t="s">
        <v>334</v>
      </c>
      <c r="J1607" s="493">
        <v>622</v>
      </c>
      <c r="K1607" s="493">
        <v>5</v>
      </c>
      <c r="L1607" s="105" t="s">
        <v>771</v>
      </c>
      <c r="M1607" s="105" t="s">
        <v>295</v>
      </c>
      <c r="N1607" s="105" t="s">
        <v>228</v>
      </c>
      <c r="O1607" s="105" t="s">
        <v>228</v>
      </c>
      <c r="P1607" s="105" t="s">
        <v>356</v>
      </c>
      <c r="Q1607" s="494">
        <v>881416</v>
      </c>
      <c r="R1607" s="494">
        <v>511421</v>
      </c>
      <c r="S1607" s="494">
        <v>899046</v>
      </c>
      <c r="T1607" s="494">
        <v>521648</v>
      </c>
      <c r="U1607" s="494">
        <v>45866</v>
      </c>
      <c r="V1607" s="493">
        <v>2024</v>
      </c>
      <c r="W1607" s="495"/>
      <c r="X1607" s="496" t="str">
        <f t="shared" si="101"/>
        <v/>
      </c>
      <c r="Y1607" s="497">
        <f t="shared" si="104"/>
        <v>7.5390686581982962</v>
      </c>
      <c r="Z1607" s="497">
        <f t="shared" si="104"/>
        <v>7.5390686581982962</v>
      </c>
    </row>
    <row r="1608" spans="1:26" s="82" customFormat="1" ht="32" x14ac:dyDescent="0.4">
      <c r="A1608" s="493">
        <v>61488</v>
      </c>
      <c r="B1608" s="105" t="s">
        <v>433</v>
      </c>
      <c r="C1608" s="493" t="s">
        <v>330</v>
      </c>
      <c r="D1608" s="105" t="s">
        <v>1882</v>
      </c>
      <c r="E1608" s="105" t="s">
        <v>1882</v>
      </c>
      <c r="F1608" s="493">
        <v>61094</v>
      </c>
      <c r="G1608" s="105" t="s">
        <v>52</v>
      </c>
      <c r="H1608" s="105" t="s">
        <v>333</v>
      </c>
      <c r="I1608" s="105" t="s">
        <v>334</v>
      </c>
      <c r="J1608" s="493">
        <v>622</v>
      </c>
      <c r="K1608" s="493">
        <v>5</v>
      </c>
      <c r="L1608" s="105" t="s">
        <v>771</v>
      </c>
      <c r="M1608" s="105" t="s">
        <v>359</v>
      </c>
      <c r="N1608" s="105" t="s">
        <v>226</v>
      </c>
      <c r="O1608" s="105" t="s">
        <v>226</v>
      </c>
      <c r="P1608" s="105" t="s">
        <v>350</v>
      </c>
      <c r="Q1608" s="494">
        <v>258</v>
      </c>
      <c r="R1608" s="494">
        <v>258</v>
      </c>
      <c r="S1608" s="494">
        <v>1518</v>
      </c>
      <c r="T1608" s="494">
        <v>1518</v>
      </c>
      <c r="U1608" s="494">
        <v>192</v>
      </c>
      <c r="V1608" s="493">
        <v>2024</v>
      </c>
      <c r="W1608" s="495"/>
      <c r="X1608" s="496" t="str">
        <f t="shared" si="101"/>
        <v/>
      </c>
      <c r="Y1608" s="497" t="str">
        <f t="shared" ref="Y1608:Z1627" si="105">IF(AND($M1608=$Y$2,$N1608=$Y$3,NOT($Q1608=$R1608),NOT($U1608=0)),IF($K1608=5,$S1608/($U1608+(8/5)*$U1608),IF($K1608=7,$S1608/($U1608+(29/25)*$U1608),"")),"")</f>
        <v/>
      </c>
      <c r="Z1608" s="497" t="str">
        <f t="shared" si="105"/>
        <v/>
      </c>
    </row>
    <row r="1609" spans="1:26" s="82" customFormat="1" ht="32" x14ac:dyDescent="0.4">
      <c r="A1609" s="493">
        <v>61499</v>
      </c>
      <c r="B1609" s="105" t="s">
        <v>329</v>
      </c>
      <c r="C1609" s="493" t="s">
        <v>330</v>
      </c>
      <c r="D1609" s="105" t="s">
        <v>1883</v>
      </c>
      <c r="E1609" s="105" t="s">
        <v>1243</v>
      </c>
      <c r="F1609" s="493">
        <v>56769</v>
      </c>
      <c r="G1609" s="105" t="s">
        <v>38</v>
      </c>
      <c r="H1609" s="105" t="s">
        <v>342</v>
      </c>
      <c r="I1609" s="105" t="s">
        <v>334</v>
      </c>
      <c r="J1609" s="493">
        <v>22</v>
      </c>
      <c r="K1609" s="493">
        <v>2</v>
      </c>
      <c r="L1609" s="105" t="s">
        <v>343</v>
      </c>
      <c r="M1609" s="105" t="s">
        <v>655</v>
      </c>
      <c r="N1609" s="105" t="s">
        <v>656</v>
      </c>
      <c r="O1609" s="105" t="s">
        <v>656</v>
      </c>
      <c r="P1609" s="105" t="s">
        <v>339</v>
      </c>
      <c r="Q1609" s="494">
        <v>0</v>
      </c>
      <c r="R1609" s="494">
        <v>0</v>
      </c>
      <c r="S1609" s="494">
        <v>10966</v>
      </c>
      <c r="T1609" s="494">
        <v>10966</v>
      </c>
      <c r="U1609" s="494">
        <v>3214</v>
      </c>
      <c r="V1609" s="493">
        <v>2024</v>
      </c>
      <c r="W1609" s="495"/>
      <c r="X1609" s="496">
        <f t="shared" ref="X1609:X1672" si="106">IF(OR(K1609&gt;3,T1609=0,NOT(U1609&gt;0)),"",T1609/U1609)</f>
        <v>3.4119477286869944</v>
      </c>
      <c r="Y1609" s="497" t="str">
        <f t="shared" si="105"/>
        <v/>
      </c>
      <c r="Z1609" s="497" t="str">
        <f t="shared" si="105"/>
        <v/>
      </c>
    </row>
    <row r="1610" spans="1:26" s="82" customFormat="1" x14ac:dyDescent="0.4">
      <c r="A1610" s="493">
        <v>61509</v>
      </c>
      <c r="B1610" s="105" t="s">
        <v>329</v>
      </c>
      <c r="C1610" s="493" t="s">
        <v>330</v>
      </c>
      <c r="D1610" s="105" t="s">
        <v>1884</v>
      </c>
      <c r="E1610" s="105" t="s">
        <v>1448</v>
      </c>
      <c r="F1610" s="493">
        <v>61012</v>
      </c>
      <c r="G1610" s="105" t="s">
        <v>52</v>
      </c>
      <c r="H1610" s="105" t="s">
        <v>333</v>
      </c>
      <c r="I1610" s="105" t="s">
        <v>334</v>
      </c>
      <c r="J1610" s="493">
        <v>22</v>
      </c>
      <c r="K1610" s="493">
        <v>2</v>
      </c>
      <c r="L1610" s="105" t="s">
        <v>343</v>
      </c>
      <c r="M1610" s="105" t="s">
        <v>655</v>
      </c>
      <c r="N1610" s="105" t="s">
        <v>656</v>
      </c>
      <c r="O1610" s="105" t="s">
        <v>656</v>
      </c>
      <c r="P1610" s="105" t="s">
        <v>339</v>
      </c>
      <c r="Q1610" s="494">
        <v>0</v>
      </c>
      <c r="R1610" s="494">
        <v>0</v>
      </c>
      <c r="S1610" s="494">
        <v>8600</v>
      </c>
      <c r="T1610" s="494">
        <v>8600</v>
      </c>
      <c r="U1610" s="494">
        <v>2521</v>
      </c>
      <c r="V1610" s="493">
        <v>2024</v>
      </c>
      <c r="W1610" s="495"/>
      <c r="X1610" s="496">
        <f t="shared" si="106"/>
        <v>3.4113447044823482</v>
      </c>
      <c r="Y1610" s="497" t="str">
        <f t="shared" si="105"/>
        <v/>
      </c>
      <c r="Z1610" s="497" t="str">
        <f t="shared" si="105"/>
        <v/>
      </c>
    </row>
    <row r="1611" spans="1:26" s="82" customFormat="1" x14ac:dyDescent="0.4">
      <c r="A1611" s="493">
        <v>61510</v>
      </c>
      <c r="B1611" s="105" t="s">
        <v>329</v>
      </c>
      <c r="C1611" s="493" t="s">
        <v>330</v>
      </c>
      <c r="D1611" s="105" t="s">
        <v>1885</v>
      </c>
      <c r="E1611" s="105" t="s">
        <v>1448</v>
      </c>
      <c r="F1611" s="493">
        <v>61012</v>
      </c>
      <c r="G1611" s="105" t="s">
        <v>52</v>
      </c>
      <c r="H1611" s="105" t="s">
        <v>333</v>
      </c>
      <c r="I1611" s="105" t="s">
        <v>334</v>
      </c>
      <c r="J1611" s="493">
        <v>22</v>
      </c>
      <c r="K1611" s="493">
        <v>2</v>
      </c>
      <c r="L1611" s="105" t="s">
        <v>343</v>
      </c>
      <c r="M1611" s="105" t="s">
        <v>655</v>
      </c>
      <c r="N1611" s="105" t="s">
        <v>656</v>
      </c>
      <c r="O1611" s="105" t="s">
        <v>656</v>
      </c>
      <c r="P1611" s="105" t="s">
        <v>339</v>
      </c>
      <c r="Q1611" s="494">
        <v>0</v>
      </c>
      <c r="R1611" s="494">
        <v>0</v>
      </c>
      <c r="S1611" s="494">
        <v>21847</v>
      </c>
      <c r="T1611" s="494">
        <v>21847</v>
      </c>
      <c r="U1611" s="494">
        <v>6403</v>
      </c>
      <c r="V1611" s="493">
        <v>2024</v>
      </c>
      <c r="W1611" s="495"/>
      <c r="X1611" s="496">
        <f t="shared" si="106"/>
        <v>3.4119943776354833</v>
      </c>
      <c r="Y1611" s="497" t="str">
        <f t="shared" si="105"/>
        <v/>
      </c>
      <c r="Z1611" s="497" t="str">
        <f t="shared" si="105"/>
        <v/>
      </c>
    </row>
    <row r="1612" spans="1:26" s="82" customFormat="1" ht="32" x14ac:dyDescent="0.4">
      <c r="A1612" s="493">
        <v>61518</v>
      </c>
      <c r="B1612" s="105" t="s">
        <v>329</v>
      </c>
      <c r="C1612" s="493" t="s">
        <v>330</v>
      </c>
      <c r="D1612" s="105" t="s">
        <v>1886</v>
      </c>
      <c r="E1612" s="105" t="s">
        <v>1441</v>
      </c>
      <c r="F1612" s="493">
        <v>59254</v>
      </c>
      <c r="G1612" s="105" t="s">
        <v>33</v>
      </c>
      <c r="H1612" s="105" t="s">
        <v>342</v>
      </c>
      <c r="I1612" s="105" t="s">
        <v>334</v>
      </c>
      <c r="J1612" s="493">
        <v>22</v>
      </c>
      <c r="K1612" s="493">
        <v>2</v>
      </c>
      <c r="L1612" s="105" t="s">
        <v>343</v>
      </c>
      <c r="M1612" s="105" t="s">
        <v>655</v>
      </c>
      <c r="N1612" s="105" t="s">
        <v>656</v>
      </c>
      <c r="O1612" s="105" t="s">
        <v>656</v>
      </c>
      <c r="P1612" s="105" t="s">
        <v>339</v>
      </c>
      <c r="Q1612" s="494">
        <v>0</v>
      </c>
      <c r="R1612" s="494">
        <v>0</v>
      </c>
      <c r="S1612" s="494">
        <v>8108</v>
      </c>
      <c r="T1612" s="494">
        <v>8108</v>
      </c>
      <c r="U1612" s="494">
        <v>2376</v>
      </c>
      <c r="V1612" s="493">
        <v>2024</v>
      </c>
      <c r="W1612" s="495"/>
      <c r="X1612" s="496">
        <f t="shared" si="106"/>
        <v>3.4124579124579126</v>
      </c>
      <c r="Y1612" s="497" t="str">
        <f t="shared" si="105"/>
        <v/>
      </c>
      <c r="Z1612" s="497" t="str">
        <f t="shared" si="105"/>
        <v/>
      </c>
    </row>
    <row r="1613" spans="1:26" s="82" customFormat="1" ht="32" x14ac:dyDescent="0.4">
      <c r="A1613" s="493">
        <v>61526</v>
      </c>
      <c r="B1613" s="105" t="s">
        <v>329</v>
      </c>
      <c r="C1613" s="493" t="s">
        <v>330</v>
      </c>
      <c r="D1613" s="105" t="s">
        <v>1887</v>
      </c>
      <c r="E1613" s="105" t="s">
        <v>1739</v>
      </c>
      <c r="F1613" s="493">
        <v>61060</v>
      </c>
      <c r="G1613" s="105" t="s">
        <v>33</v>
      </c>
      <c r="H1613" s="105" t="s">
        <v>342</v>
      </c>
      <c r="I1613" s="105" t="s">
        <v>334</v>
      </c>
      <c r="J1613" s="493">
        <v>22</v>
      </c>
      <c r="K1613" s="493">
        <v>2</v>
      </c>
      <c r="L1613" s="105" t="s">
        <v>343</v>
      </c>
      <c r="M1613" s="105" t="s">
        <v>655</v>
      </c>
      <c r="N1613" s="105" t="s">
        <v>656</v>
      </c>
      <c r="O1613" s="105" t="s">
        <v>656</v>
      </c>
      <c r="P1613" s="105" t="s">
        <v>339</v>
      </c>
      <c r="Q1613" s="494">
        <v>0</v>
      </c>
      <c r="R1613" s="494">
        <v>0</v>
      </c>
      <c r="S1613" s="494">
        <v>4924</v>
      </c>
      <c r="T1613" s="494">
        <v>4924</v>
      </c>
      <c r="U1613" s="494">
        <v>1443</v>
      </c>
      <c r="V1613" s="493">
        <v>2024</v>
      </c>
      <c r="W1613" s="495"/>
      <c r="X1613" s="496">
        <f t="shared" si="106"/>
        <v>3.4123354123354122</v>
      </c>
      <c r="Y1613" s="497" t="str">
        <f t="shared" si="105"/>
        <v/>
      </c>
      <c r="Z1613" s="497" t="str">
        <f t="shared" si="105"/>
        <v/>
      </c>
    </row>
    <row r="1614" spans="1:26" s="82" customFormat="1" x14ac:dyDescent="0.4">
      <c r="A1614" s="493">
        <v>61537</v>
      </c>
      <c r="B1614" s="105" t="s">
        <v>329</v>
      </c>
      <c r="C1614" s="493" t="s">
        <v>330</v>
      </c>
      <c r="D1614" s="105" t="s">
        <v>1888</v>
      </c>
      <c r="E1614" s="105" t="s">
        <v>1889</v>
      </c>
      <c r="F1614" s="493">
        <v>61146</v>
      </c>
      <c r="G1614" s="105" t="s">
        <v>33</v>
      </c>
      <c r="H1614" s="105" t="s">
        <v>342</v>
      </c>
      <c r="I1614" s="105" t="s">
        <v>334</v>
      </c>
      <c r="J1614" s="493">
        <v>22</v>
      </c>
      <c r="K1614" s="493">
        <v>2</v>
      </c>
      <c r="L1614" s="105" t="s">
        <v>343</v>
      </c>
      <c r="M1614" s="105" t="s">
        <v>655</v>
      </c>
      <c r="N1614" s="105" t="s">
        <v>656</v>
      </c>
      <c r="O1614" s="105" t="s">
        <v>656</v>
      </c>
      <c r="P1614" s="105" t="s">
        <v>339</v>
      </c>
      <c r="Q1614" s="494">
        <v>0</v>
      </c>
      <c r="R1614" s="494">
        <v>0</v>
      </c>
      <c r="S1614" s="494">
        <v>9805</v>
      </c>
      <c r="T1614" s="494">
        <v>9805</v>
      </c>
      <c r="U1614" s="494">
        <v>2873</v>
      </c>
      <c r="V1614" s="493">
        <v>2024</v>
      </c>
      <c r="W1614" s="495"/>
      <c r="X1614" s="496">
        <f t="shared" si="106"/>
        <v>3.4128089105464672</v>
      </c>
      <c r="Y1614" s="497" t="str">
        <f t="shared" si="105"/>
        <v/>
      </c>
      <c r="Z1614" s="497" t="str">
        <f t="shared" si="105"/>
        <v/>
      </c>
    </row>
    <row r="1615" spans="1:26" s="82" customFormat="1" ht="32" x14ac:dyDescent="0.4">
      <c r="A1615" s="493">
        <v>61538</v>
      </c>
      <c r="B1615" s="105" t="s">
        <v>329</v>
      </c>
      <c r="C1615" s="493" t="s">
        <v>330</v>
      </c>
      <c r="D1615" s="105" t="s">
        <v>1890</v>
      </c>
      <c r="E1615" s="105" t="s">
        <v>1891</v>
      </c>
      <c r="F1615" s="493">
        <v>61147</v>
      </c>
      <c r="G1615" s="105" t="s">
        <v>33</v>
      </c>
      <c r="H1615" s="105" t="s">
        <v>342</v>
      </c>
      <c r="I1615" s="105" t="s">
        <v>334</v>
      </c>
      <c r="J1615" s="493">
        <v>22</v>
      </c>
      <c r="K1615" s="493">
        <v>2</v>
      </c>
      <c r="L1615" s="105" t="s">
        <v>343</v>
      </c>
      <c r="M1615" s="105" t="s">
        <v>655</v>
      </c>
      <c r="N1615" s="105" t="s">
        <v>656</v>
      </c>
      <c r="O1615" s="105" t="s">
        <v>656</v>
      </c>
      <c r="P1615" s="105" t="s">
        <v>339</v>
      </c>
      <c r="Q1615" s="494">
        <v>0</v>
      </c>
      <c r="R1615" s="494">
        <v>0</v>
      </c>
      <c r="S1615" s="494">
        <v>4138</v>
      </c>
      <c r="T1615" s="494">
        <v>4138</v>
      </c>
      <c r="U1615" s="494">
        <v>1212</v>
      </c>
      <c r="V1615" s="493">
        <v>2024</v>
      </c>
      <c r="W1615" s="495"/>
      <c r="X1615" s="496">
        <f t="shared" si="106"/>
        <v>3.4141914191419143</v>
      </c>
      <c r="Y1615" s="497" t="str">
        <f t="shared" si="105"/>
        <v/>
      </c>
      <c r="Z1615" s="497" t="str">
        <f t="shared" si="105"/>
        <v/>
      </c>
    </row>
    <row r="1616" spans="1:26" s="82" customFormat="1" x14ac:dyDescent="0.4">
      <c r="A1616" s="493">
        <v>61539</v>
      </c>
      <c r="B1616" s="105" t="s">
        <v>329</v>
      </c>
      <c r="C1616" s="493" t="s">
        <v>330</v>
      </c>
      <c r="D1616" s="105" t="s">
        <v>1892</v>
      </c>
      <c r="E1616" s="105" t="s">
        <v>1893</v>
      </c>
      <c r="F1616" s="493">
        <v>61148</v>
      </c>
      <c r="G1616" s="105" t="s">
        <v>33</v>
      </c>
      <c r="H1616" s="105" t="s">
        <v>342</v>
      </c>
      <c r="I1616" s="105" t="s">
        <v>334</v>
      </c>
      <c r="J1616" s="493">
        <v>22</v>
      </c>
      <c r="K1616" s="493">
        <v>2</v>
      </c>
      <c r="L1616" s="105" t="s">
        <v>343</v>
      </c>
      <c r="M1616" s="105" t="s">
        <v>655</v>
      </c>
      <c r="N1616" s="105" t="s">
        <v>656</v>
      </c>
      <c r="O1616" s="105" t="s">
        <v>656</v>
      </c>
      <c r="P1616" s="105" t="s">
        <v>339</v>
      </c>
      <c r="Q1616" s="494">
        <v>0</v>
      </c>
      <c r="R1616" s="494">
        <v>0</v>
      </c>
      <c r="S1616" s="494">
        <v>11878</v>
      </c>
      <c r="T1616" s="494">
        <v>11878</v>
      </c>
      <c r="U1616" s="494">
        <v>3481</v>
      </c>
      <c r="V1616" s="493">
        <v>2024</v>
      </c>
      <c r="W1616" s="495"/>
      <c r="X1616" s="496">
        <f t="shared" si="106"/>
        <v>3.4122378626831371</v>
      </c>
      <c r="Y1616" s="497" t="str">
        <f t="shared" si="105"/>
        <v/>
      </c>
      <c r="Z1616" s="497" t="str">
        <f t="shared" si="105"/>
        <v/>
      </c>
    </row>
    <row r="1617" spans="1:26" s="82" customFormat="1" x14ac:dyDescent="0.4">
      <c r="A1617" s="493">
        <v>61541</v>
      </c>
      <c r="B1617" s="105" t="s">
        <v>329</v>
      </c>
      <c r="C1617" s="493" t="s">
        <v>330</v>
      </c>
      <c r="D1617" s="105" t="s">
        <v>1894</v>
      </c>
      <c r="E1617" s="105" t="s">
        <v>1393</v>
      </c>
      <c r="F1617" s="493">
        <v>57313</v>
      </c>
      <c r="G1617" s="105" t="s">
        <v>37</v>
      </c>
      <c r="H1617" s="105" t="s">
        <v>342</v>
      </c>
      <c r="I1617" s="105" t="s">
        <v>334</v>
      </c>
      <c r="J1617" s="493">
        <v>22</v>
      </c>
      <c r="K1617" s="493">
        <v>2</v>
      </c>
      <c r="L1617" s="105" t="s">
        <v>343</v>
      </c>
      <c r="M1617" s="105" t="s">
        <v>655</v>
      </c>
      <c r="N1617" s="105" t="s">
        <v>656</v>
      </c>
      <c r="O1617" s="105" t="s">
        <v>656</v>
      </c>
      <c r="P1617" s="105" t="s">
        <v>339</v>
      </c>
      <c r="Q1617" s="494">
        <v>0</v>
      </c>
      <c r="R1617" s="494">
        <v>0</v>
      </c>
      <c r="S1617" s="494">
        <v>17295</v>
      </c>
      <c r="T1617" s="494">
        <v>17295</v>
      </c>
      <c r="U1617" s="494">
        <v>5069</v>
      </c>
      <c r="V1617" s="493">
        <v>2024</v>
      </c>
      <c r="W1617" s="495"/>
      <c r="X1617" s="496">
        <f t="shared" si="106"/>
        <v>3.4119155652002369</v>
      </c>
      <c r="Y1617" s="497" t="str">
        <f t="shared" si="105"/>
        <v/>
      </c>
      <c r="Z1617" s="497" t="str">
        <f t="shared" si="105"/>
        <v/>
      </c>
    </row>
    <row r="1618" spans="1:26" s="82" customFormat="1" x14ac:dyDescent="0.4">
      <c r="A1618" s="493">
        <v>61550</v>
      </c>
      <c r="B1618" s="105" t="s">
        <v>329</v>
      </c>
      <c r="C1618" s="493" t="s">
        <v>330</v>
      </c>
      <c r="D1618" s="105" t="s">
        <v>1895</v>
      </c>
      <c r="E1618" s="105" t="s">
        <v>1896</v>
      </c>
      <c r="F1618" s="493">
        <v>64647</v>
      </c>
      <c r="G1618" s="105" t="s">
        <v>33</v>
      </c>
      <c r="H1618" s="105" t="s">
        <v>342</v>
      </c>
      <c r="I1618" s="105" t="s">
        <v>334</v>
      </c>
      <c r="J1618" s="493">
        <v>22</v>
      </c>
      <c r="K1618" s="493">
        <v>2</v>
      </c>
      <c r="L1618" s="105" t="s">
        <v>343</v>
      </c>
      <c r="M1618" s="105" t="s">
        <v>655</v>
      </c>
      <c r="N1618" s="105" t="s">
        <v>656</v>
      </c>
      <c r="O1618" s="105" t="s">
        <v>656</v>
      </c>
      <c r="P1618" s="105" t="s">
        <v>339</v>
      </c>
      <c r="Q1618" s="494">
        <v>0</v>
      </c>
      <c r="R1618" s="494">
        <v>0</v>
      </c>
      <c r="S1618" s="494">
        <v>5521</v>
      </c>
      <c r="T1618" s="494">
        <v>5521</v>
      </c>
      <c r="U1618" s="494">
        <v>1618</v>
      </c>
      <c r="V1618" s="493">
        <v>2024</v>
      </c>
      <c r="W1618" s="495"/>
      <c r="X1618" s="496">
        <f t="shared" si="106"/>
        <v>3.4122373300370827</v>
      </c>
      <c r="Y1618" s="497" t="str">
        <f t="shared" si="105"/>
        <v/>
      </c>
      <c r="Z1618" s="497" t="str">
        <f t="shared" si="105"/>
        <v/>
      </c>
    </row>
    <row r="1619" spans="1:26" s="82" customFormat="1" ht="32" x14ac:dyDescent="0.4">
      <c r="A1619" s="493">
        <v>61551</v>
      </c>
      <c r="B1619" s="105" t="s">
        <v>329</v>
      </c>
      <c r="C1619" s="493" t="s">
        <v>330</v>
      </c>
      <c r="D1619" s="105" t="s">
        <v>1897</v>
      </c>
      <c r="E1619" s="105" t="s">
        <v>1897</v>
      </c>
      <c r="F1619" s="493">
        <v>61152</v>
      </c>
      <c r="G1619" s="105" t="s">
        <v>52</v>
      </c>
      <c r="H1619" s="105" t="s">
        <v>333</v>
      </c>
      <c r="I1619" s="105" t="s">
        <v>334</v>
      </c>
      <c r="J1619" s="493">
        <v>622</v>
      </c>
      <c r="K1619" s="493">
        <v>4</v>
      </c>
      <c r="L1619" s="105" t="s">
        <v>766</v>
      </c>
      <c r="M1619" s="105" t="s">
        <v>359</v>
      </c>
      <c r="N1619" s="105" t="s">
        <v>226</v>
      </c>
      <c r="O1619" s="105" t="s">
        <v>226</v>
      </c>
      <c r="P1619" s="105" t="s">
        <v>350</v>
      </c>
      <c r="Q1619" s="494">
        <v>78</v>
      </c>
      <c r="R1619" s="494">
        <v>78</v>
      </c>
      <c r="S1619" s="494">
        <v>460</v>
      </c>
      <c r="T1619" s="494">
        <v>460</v>
      </c>
      <c r="U1619" s="494">
        <v>23.099</v>
      </c>
      <c r="V1619" s="493">
        <v>2024</v>
      </c>
      <c r="W1619" s="495"/>
      <c r="X1619" s="496" t="str">
        <f t="shared" si="106"/>
        <v/>
      </c>
      <c r="Y1619" s="497" t="str">
        <f t="shared" si="105"/>
        <v/>
      </c>
      <c r="Z1619" s="497" t="str">
        <f t="shared" si="105"/>
        <v/>
      </c>
    </row>
    <row r="1620" spans="1:26" s="82" customFormat="1" ht="32" x14ac:dyDescent="0.4">
      <c r="A1620" s="493">
        <v>61551</v>
      </c>
      <c r="B1620" s="105" t="s">
        <v>329</v>
      </c>
      <c r="C1620" s="493" t="s">
        <v>330</v>
      </c>
      <c r="D1620" s="105" t="s">
        <v>1897</v>
      </c>
      <c r="E1620" s="105" t="s">
        <v>1897</v>
      </c>
      <c r="F1620" s="493">
        <v>61152</v>
      </c>
      <c r="G1620" s="105" t="s">
        <v>52</v>
      </c>
      <c r="H1620" s="105" t="s">
        <v>333</v>
      </c>
      <c r="I1620" s="105" t="s">
        <v>334</v>
      </c>
      <c r="J1620" s="493">
        <v>622</v>
      </c>
      <c r="K1620" s="493">
        <v>4</v>
      </c>
      <c r="L1620" s="105" t="s">
        <v>766</v>
      </c>
      <c r="M1620" s="105" t="s">
        <v>359</v>
      </c>
      <c r="N1620" s="105" t="s">
        <v>228</v>
      </c>
      <c r="O1620" s="105" t="s">
        <v>228</v>
      </c>
      <c r="P1620" s="105" t="s">
        <v>356</v>
      </c>
      <c r="Q1620" s="494">
        <v>37</v>
      </c>
      <c r="R1620" s="494">
        <v>37</v>
      </c>
      <c r="S1620" s="494">
        <v>37</v>
      </c>
      <c r="T1620" s="494">
        <v>37</v>
      </c>
      <c r="U1620" s="494">
        <v>1.901</v>
      </c>
      <c r="V1620" s="493">
        <v>2024</v>
      </c>
      <c r="W1620" s="495"/>
      <c r="X1620" s="496" t="str">
        <f t="shared" si="106"/>
        <v/>
      </c>
      <c r="Y1620" s="497" t="str">
        <f t="shared" si="105"/>
        <v/>
      </c>
      <c r="Z1620" s="497" t="str">
        <f t="shared" si="105"/>
        <v/>
      </c>
    </row>
    <row r="1621" spans="1:26" s="82" customFormat="1" x14ac:dyDescent="0.4">
      <c r="A1621" s="493">
        <v>61555</v>
      </c>
      <c r="B1621" s="105" t="s">
        <v>329</v>
      </c>
      <c r="C1621" s="493" t="s">
        <v>330</v>
      </c>
      <c r="D1621" s="105" t="s">
        <v>1898</v>
      </c>
      <c r="E1621" s="105" t="s">
        <v>1899</v>
      </c>
      <c r="F1621" s="493">
        <v>64638</v>
      </c>
      <c r="G1621" s="105" t="s">
        <v>33</v>
      </c>
      <c r="H1621" s="105" t="s">
        <v>342</v>
      </c>
      <c r="I1621" s="105" t="s">
        <v>334</v>
      </c>
      <c r="J1621" s="493">
        <v>22</v>
      </c>
      <c r="K1621" s="493">
        <v>2</v>
      </c>
      <c r="L1621" s="105" t="s">
        <v>343</v>
      </c>
      <c r="M1621" s="105" t="s">
        <v>655</v>
      </c>
      <c r="N1621" s="105" t="s">
        <v>656</v>
      </c>
      <c r="O1621" s="105" t="s">
        <v>656</v>
      </c>
      <c r="P1621" s="105" t="s">
        <v>339</v>
      </c>
      <c r="Q1621" s="494">
        <v>0</v>
      </c>
      <c r="R1621" s="494">
        <v>0</v>
      </c>
      <c r="S1621" s="494">
        <v>23057</v>
      </c>
      <c r="T1621" s="494">
        <v>23057</v>
      </c>
      <c r="U1621" s="494">
        <v>6757</v>
      </c>
      <c r="V1621" s="493">
        <v>2024</v>
      </c>
      <c r="W1621" s="495"/>
      <c r="X1621" s="496">
        <f t="shared" si="106"/>
        <v>3.4123131567263578</v>
      </c>
      <c r="Y1621" s="497" t="str">
        <f t="shared" si="105"/>
        <v/>
      </c>
      <c r="Z1621" s="497" t="str">
        <f t="shared" si="105"/>
        <v/>
      </c>
    </row>
    <row r="1622" spans="1:26" s="82" customFormat="1" ht="32" x14ac:dyDescent="0.4">
      <c r="A1622" s="493">
        <v>61562</v>
      </c>
      <c r="B1622" s="105" t="s">
        <v>329</v>
      </c>
      <c r="C1622" s="493" t="s">
        <v>330</v>
      </c>
      <c r="D1622" s="105" t="s">
        <v>1900</v>
      </c>
      <c r="E1622" s="105" t="s">
        <v>1452</v>
      </c>
      <c r="F1622" s="493">
        <v>58871</v>
      </c>
      <c r="G1622" s="105" t="s">
        <v>33</v>
      </c>
      <c r="H1622" s="105" t="s">
        <v>342</v>
      </c>
      <c r="I1622" s="105" t="s">
        <v>334</v>
      </c>
      <c r="J1622" s="493">
        <v>22</v>
      </c>
      <c r="K1622" s="493">
        <v>2</v>
      </c>
      <c r="L1622" s="105" t="s">
        <v>343</v>
      </c>
      <c r="M1622" s="105" t="s">
        <v>655</v>
      </c>
      <c r="N1622" s="105" t="s">
        <v>656</v>
      </c>
      <c r="O1622" s="105" t="s">
        <v>656</v>
      </c>
      <c r="P1622" s="105" t="s">
        <v>339</v>
      </c>
      <c r="Q1622" s="494">
        <v>0</v>
      </c>
      <c r="R1622" s="494">
        <v>0</v>
      </c>
      <c r="S1622" s="494">
        <v>16844</v>
      </c>
      <c r="T1622" s="494">
        <v>16844</v>
      </c>
      <c r="U1622" s="494">
        <v>4937</v>
      </c>
      <c r="V1622" s="493">
        <v>2024</v>
      </c>
      <c r="W1622" s="495"/>
      <c r="X1622" s="496">
        <f t="shared" si="106"/>
        <v>3.4117885355479034</v>
      </c>
      <c r="Y1622" s="497" t="str">
        <f t="shared" si="105"/>
        <v/>
      </c>
      <c r="Z1622" s="497" t="str">
        <f t="shared" si="105"/>
        <v/>
      </c>
    </row>
    <row r="1623" spans="1:26" s="82" customFormat="1" ht="32" x14ac:dyDescent="0.4">
      <c r="A1623" s="493">
        <v>61567</v>
      </c>
      <c r="B1623" s="105" t="s">
        <v>329</v>
      </c>
      <c r="C1623" s="493" t="s">
        <v>330</v>
      </c>
      <c r="D1623" s="105" t="s">
        <v>1901</v>
      </c>
      <c r="E1623" s="105" t="s">
        <v>1901</v>
      </c>
      <c r="F1623" s="493">
        <v>61162</v>
      </c>
      <c r="G1623" s="105" t="s">
        <v>52</v>
      </c>
      <c r="H1623" s="105" t="s">
        <v>333</v>
      </c>
      <c r="I1623" s="105" t="s">
        <v>334</v>
      </c>
      <c r="J1623" s="493">
        <v>622</v>
      </c>
      <c r="K1623" s="493">
        <v>4</v>
      </c>
      <c r="L1623" s="105" t="s">
        <v>766</v>
      </c>
      <c r="M1623" s="105" t="s">
        <v>359</v>
      </c>
      <c r="N1623" s="105" t="s">
        <v>226</v>
      </c>
      <c r="O1623" s="105" t="s">
        <v>226</v>
      </c>
      <c r="P1623" s="105" t="s">
        <v>350</v>
      </c>
      <c r="Q1623" s="494">
        <v>337</v>
      </c>
      <c r="R1623" s="494">
        <v>337</v>
      </c>
      <c r="S1623" s="494">
        <v>1981</v>
      </c>
      <c r="T1623" s="494">
        <v>1981</v>
      </c>
      <c r="U1623" s="494">
        <v>162</v>
      </c>
      <c r="V1623" s="493">
        <v>2024</v>
      </c>
      <c r="W1623" s="495"/>
      <c r="X1623" s="496" t="str">
        <f t="shared" si="106"/>
        <v/>
      </c>
      <c r="Y1623" s="497" t="str">
        <f t="shared" si="105"/>
        <v/>
      </c>
      <c r="Z1623" s="497" t="str">
        <f t="shared" si="105"/>
        <v/>
      </c>
    </row>
    <row r="1624" spans="1:26" s="82" customFormat="1" ht="32" x14ac:dyDescent="0.4">
      <c r="A1624" s="493">
        <v>61568</v>
      </c>
      <c r="B1624" s="105" t="s">
        <v>329</v>
      </c>
      <c r="C1624" s="493" t="s">
        <v>330</v>
      </c>
      <c r="D1624" s="105" t="s">
        <v>1902</v>
      </c>
      <c r="E1624" s="105" t="s">
        <v>1902</v>
      </c>
      <c r="F1624" s="493">
        <v>61164</v>
      </c>
      <c r="G1624" s="105" t="s">
        <v>52</v>
      </c>
      <c r="H1624" s="105" t="s">
        <v>333</v>
      </c>
      <c r="I1624" s="105" t="s">
        <v>334</v>
      </c>
      <c r="J1624" s="493">
        <v>622</v>
      </c>
      <c r="K1624" s="493">
        <v>4</v>
      </c>
      <c r="L1624" s="105" t="s">
        <v>766</v>
      </c>
      <c r="M1624" s="105" t="s">
        <v>359</v>
      </c>
      <c r="N1624" s="105" t="s">
        <v>226</v>
      </c>
      <c r="O1624" s="105" t="s">
        <v>226</v>
      </c>
      <c r="P1624" s="105" t="s">
        <v>350</v>
      </c>
      <c r="Q1624" s="494">
        <v>11</v>
      </c>
      <c r="R1624" s="494">
        <v>11</v>
      </c>
      <c r="S1624" s="494">
        <v>65</v>
      </c>
      <c r="T1624" s="494">
        <v>65</v>
      </c>
      <c r="U1624" s="494">
        <v>12</v>
      </c>
      <c r="V1624" s="493">
        <v>2024</v>
      </c>
      <c r="W1624" s="495"/>
      <c r="X1624" s="496" t="str">
        <f t="shared" si="106"/>
        <v/>
      </c>
      <c r="Y1624" s="497" t="str">
        <f t="shared" si="105"/>
        <v/>
      </c>
      <c r="Z1624" s="497" t="str">
        <f t="shared" si="105"/>
        <v/>
      </c>
    </row>
    <row r="1625" spans="1:26" s="82" customFormat="1" ht="32" x14ac:dyDescent="0.4">
      <c r="A1625" s="493">
        <v>61569</v>
      </c>
      <c r="B1625" s="105" t="s">
        <v>329</v>
      </c>
      <c r="C1625" s="493" t="s">
        <v>330</v>
      </c>
      <c r="D1625" s="105" t="s">
        <v>1903</v>
      </c>
      <c r="E1625" s="105" t="s">
        <v>1903</v>
      </c>
      <c r="F1625" s="493">
        <v>61165</v>
      </c>
      <c r="G1625" s="105" t="s">
        <v>52</v>
      </c>
      <c r="H1625" s="105" t="s">
        <v>333</v>
      </c>
      <c r="I1625" s="105" t="s">
        <v>334</v>
      </c>
      <c r="J1625" s="493">
        <v>622</v>
      </c>
      <c r="K1625" s="493">
        <v>4</v>
      </c>
      <c r="L1625" s="105" t="s">
        <v>766</v>
      </c>
      <c r="M1625" s="105" t="s">
        <v>359</v>
      </c>
      <c r="N1625" s="105" t="s">
        <v>226</v>
      </c>
      <c r="O1625" s="105" t="s">
        <v>226</v>
      </c>
      <c r="P1625" s="105" t="s">
        <v>350</v>
      </c>
      <c r="Q1625" s="494">
        <v>256</v>
      </c>
      <c r="R1625" s="494">
        <v>256</v>
      </c>
      <c r="S1625" s="494">
        <v>1506</v>
      </c>
      <c r="T1625" s="494">
        <v>1506</v>
      </c>
      <c r="U1625" s="494">
        <v>62</v>
      </c>
      <c r="V1625" s="493">
        <v>2024</v>
      </c>
      <c r="W1625" s="495"/>
      <c r="X1625" s="496" t="str">
        <f t="shared" si="106"/>
        <v/>
      </c>
      <c r="Y1625" s="497" t="str">
        <f t="shared" si="105"/>
        <v/>
      </c>
      <c r="Z1625" s="497" t="str">
        <f t="shared" si="105"/>
        <v/>
      </c>
    </row>
    <row r="1626" spans="1:26" s="82" customFormat="1" ht="32" x14ac:dyDescent="0.4">
      <c r="A1626" s="493">
        <v>61569</v>
      </c>
      <c r="B1626" s="105" t="s">
        <v>329</v>
      </c>
      <c r="C1626" s="493" t="s">
        <v>330</v>
      </c>
      <c r="D1626" s="105" t="s">
        <v>1903</v>
      </c>
      <c r="E1626" s="105" t="s">
        <v>1903</v>
      </c>
      <c r="F1626" s="493">
        <v>61165</v>
      </c>
      <c r="G1626" s="105" t="s">
        <v>52</v>
      </c>
      <c r="H1626" s="105" t="s">
        <v>333</v>
      </c>
      <c r="I1626" s="105" t="s">
        <v>334</v>
      </c>
      <c r="J1626" s="493">
        <v>622</v>
      </c>
      <c r="K1626" s="493">
        <v>4</v>
      </c>
      <c r="L1626" s="105" t="s">
        <v>766</v>
      </c>
      <c r="M1626" s="105" t="s">
        <v>359</v>
      </c>
      <c r="N1626" s="105" t="s">
        <v>228</v>
      </c>
      <c r="O1626" s="105" t="s">
        <v>228</v>
      </c>
      <c r="P1626" s="105" t="s">
        <v>356</v>
      </c>
      <c r="Q1626" s="494">
        <v>0</v>
      </c>
      <c r="R1626" s="494">
        <v>0</v>
      </c>
      <c r="S1626" s="494">
        <v>0</v>
      </c>
      <c r="T1626" s="494">
        <v>0</v>
      </c>
      <c r="U1626" s="494">
        <v>0</v>
      </c>
      <c r="V1626" s="493">
        <v>2024</v>
      </c>
      <c r="W1626" s="495"/>
      <c r="X1626" s="496" t="str">
        <f t="shared" si="106"/>
        <v/>
      </c>
      <c r="Y1626" s="497" t="str">
        <f t="shared" si="105"/>
        <v/>
      </c>
      <c r="Z1626" s="497" t="str">
        <f t="shared" si="105"/>
        <v/>
      </c>
    </row>
    <row r="1627" spans="1:26" s="82" customFormat="1" x14ac:dyDescent="0.4">
      <c r="A1627" s="493">
        <v>61575</v>
      </c>
      <c r="B1627" s="105" t="s">
        <v>329</v>
      </c>
      <c r="C1627" s="493" t="s">
        <v>330</v>
      </c>
      <c r="D1627" s="105" t="s">
        <v>1904</v>
      </c>
      <c r="E1627" s="105" t="s">
        <v>1448</v>
      </c>
      <c r="F1627" s="493">
        <v>61012</v>
      </c>
      <c r="G1627" s="105" t="s">
        <v>52</v>
      </c>
      <c r="H1627" s="105" t="s">
        <v>333</v>
      </c>
      <c r="I1627" s="105" t="s">
        <v>334</v>
      </c>
      <c r="J1627" s="493">
        <v>22</v>
      </c>
      <c r="K1627" s="493">
        <v>2</v>
      </c>
      <c r="L1627" s="105" t="s">
        <v>343</v>
      </c>
      <c r="M1627" s="105" t="s">
        <v>655</v>
      </c>
      <c r="N1627" s="105" t="s">
        <v>656</v>
      </c>
      <c r="O1627" s="105" t="s">
        <v>656</v>
      </c>
      <c r="P1627" s="105" t="s">
        <v>339</v>
      </c>
      <c r="Q1627" s="494">
        <v>0</v>
      </c>
      <c r="R1627" s="494">
        <v>0</v>
      </c>
      <c r="S1627" s="494">
        <v>9387</v>
      </c>
      <c r="T1627" s="494">
        <v>9387</v>
      </c>
      <c r="U1627" s="494">
        <v>2752</v>
      </c>
      <c r="V1627" s="493">
        <v>2024</v>
      </c>
      <c r="W1627" s="495"/>
      <c r="X1627" s="496">
        <f t="shared" si="106"/>
        <v>3.4109738372093021</v>
      </c>
      <c r="Y1627" s="497" t="str">
        <f t="shared" si="105"/>
        <v/>
      </c>
      <c r="Z1627" s="497" t="str">
        <f t="shared" si="105"/>
        <v/>
      </c>
    </row>
    <row r="1628" spans="1:26" s="82" customFormat="1" x14ac:dyDescent="0.4">
      <c r="A1628" s="493">
        <v>61576</v>
      </c>
      <c r="B1628" s="105" t="s">
        <v>329</v>
      </c>
      <c r="C1628" s="493" t="s">
        <v>330</v>
      </c>
      <c r="D1628" s="105" t="s">
        <v>1905</v>
      </c>
      <c r="E1628" s="105" t="s">
        <v>1448</v>
      </c>
      <c r="F1628" s="493">
        <v>61012</v>
      </c>
      <c r="G1628" s="105" t="s">
        <v>52</v>
      </c>
      <c r="H1628" s="105" t="s">
        <v>333</v>
      </c>
      <c r="I1628" s="105" t="s">
        <v>334</v>
      </c>
      <c r="J1628" s="493">
        <v>22</v>
      </c>
      <c r="K1628" s="493">
        <v>2</v>
      </c>
      <c r="L1628" s="105" t="s">
        <v>343</v>
      </c>
      <c r="M1628" s="105" t="s">
        <v>655</v>
      </c>
      <c r="N1628" s="105" t="s">
        <v>656</v>
      </c>
      <c r="O1628" s="105" t="s">
        <v>656</v>
      </c>
      <c r="P1628" s="105" t="s">
        <v>339</v>
      </c>
      <c r="Q1628" s="494">
        <v>0</v>
      </c>
      <c r="R1628" s="494">
        <v>0</v>
      </c>
      <c r="S1628" s="494">
        <v>10564</v>
      </c>
      <c r="T1628" s="494">
        <v>10564</v>
      </c>
      <c r="U1628" s="494">
        <v>3096</v>
      </c>
      <c r="V1628" s="493">
        <v>2024</v>
      </c>
      <c r="W1628" s="495"/>
      <c r="X1628" s="496">
        <f t="shared" si="106"/>
        <v>3.4121447028423773</v>
      </c>
      <c r="Y1628" s="497" t="str">
        <f t="shared" ref="Y1628:Z1647" si="107">IF(AND($M1628=$Y$2,$N1628=$Y$3,NOT($Q1628=$R1628),NOT($U1628=0)),IF($K1628=5,$S1628/($U1628+(8/5)*$U1628),IF($K1628=7,$S1628/($U1628+(29/25)*$U1628),"")),"")</f>
        <v/>
      </c>
      <c r="Z1628" s="497" t="str">
        <f t="shared" si="107"/>
        <v/>
      </c>
    </row>
    <row r="1629" spans="1:26" s="82" customFormat="1" x14ac:dyDescent="0.4">
      <c r="A1629" s="493">
        <v>61577</v>
      </c>
      <c r="B1629" s="105" t="s">
        <v>329</v>
      </c>
      <c r="C1629" s="493" t="s">
        <v>330</v>
      </c>
      <c r="D1629" s="105" t="s">
        <v>1906</v>
      </c>
      <c r="E1629" s="105" t="s">
        <v>1448</v>
      </c>
      <c r="F1629" s="493">
        <v>61012</v>
      </c>
      <c r="G1629" s="105" t="s">
        <v>52</v>
      </c>
      <c r="H1629" s="105" t="s">
        <v>333</v>
      </c>
      <c r="I1629" s="105" t="s">
        <v>334</v>
      </c>
      <c r="J1629" s="493">
        <v>22</v>
      </c>
      <c r="K1629" s="493">
        <v>2</v>
      </c>
      <c r="L1629" s="105" t="s">
        <v>343</v>
      </c>
      <c r="M1629" s="105" t="s">
        <v>655</v>
      </c>
      <c r="N1629" s="105" t="s">
        <v>656</v>
      </c>
      <c r="O1629" s="105" t="s">
        <v>656</v>
      </c>
      <c r="P1629" s="105" t="s">
        <v>339</v>
      </c>
      <c r="Q1629" s="494">
        <v>0</v>
      </c>
      <c r="R1629" s="494">
        <v>0</v>
      </c>
      <c r="S1629" s="494">
        <v>7401</v>
      </c>
      <c r="T1629" s="494">
        <v>7401</v>
      </c>
      <c r="U1629" s="494">
        <v>2169</v>
      </c>
      <c r="V1629" s="493">
        <v>2024</v>
      </c>
      <c r="W1629" s="495"/>
      <c r="X1629" s="496">
        <f t="shared" si="106"/>
        <v>3.4121715076071921</v>
      </c>
      <c r="Y1629" s="497" t="str">
        <f t="shared" si="107"/>
        <v/>
      </c>
      <c r="Z1629" s="497" t="str">
        <f t="shared" si="107"/>
        <v/>
      </c>
    </row>
    <row r="1630" spans="1:26" s="82" customFormat="1" x14ac:dyDescent="0.4">
      <c r="A1630" s="493">
        <v>61578</v>
      </c>
      <c r="B1630" s="105" t="s">
        <v>329</v>
      </c>
      <c r="C1630" s="493" t="s">
        <v>330</v>
      </c>
      <c r="D1630" s="105" t="s">
        <v>1907</v>
      </c>
      <c r="E1630" s="105" t="s">
        <v>1448</v>
      </c>
      <c r="F1630" s="493">
        <v>61012</v>
      </c>
      <c r="G1630" s="105" t="s">
        <v>52</v>
      </c>
      <c r="H1630" s="105" t="s">
        <v>333</v>
      </c>
      <c r="I1630" s="105" t="s">
        <v>334</v>
      </c>
      <c r="J1630" s="493">
        <v>22</v>
      </c>
      <c r="K1630" s="493">
        <v>2</v>
      </c>
      <c r="L1630" s="105" t="s">
        <v>343</v>
      </c>
      <c r="M1630" s="105" t="s">
        <v>655</v>
      </c>
      <c r="N1630" s="105" t="s">
        <v>656</v>
      </c>
      <c r="O1630" s="105" t="s">
        <v>656</v>
      </c>
      <c r="P1630" s="105" t="s">
        <v>339</v>
      </c>
      <c r="Q1630" s="494">
        <v>0</v>
      </c>
      <c r="R1630" s="494">
        <v>0</v>
      </c>
      <c r="S1630" s="494">
        <v>12244</v>
      </c>
      <c r="T1630" s="494">
        <v>12244</v>
      </c>
      <c r="U1630" s="494">
        <v>3589</v>
      </c>
      <c r="V1630" s="493">
        <v>2024</v>
      </c>
      <c r="W1630" s="495"/>
      <c r="X1630" s="496">
        <f t="shared" si="106"/>
        <v>3.411535246586793</v>
      </c>
      <c r="Y1630" s="497" t="str">
        <f t="shared" si="107"/>
        <v/>
      </c>
      <c r="Z1630" s="497" t="str">
        <f t="shared" si="107"/>
        <v/>
      </c>
    </row>
    <row r="1631" spans="1:26" s="82" customFormat="1" x14ac:dyDescent="0.4">
      <c r="A1631" s="493">
        <v>61579</v>
      </c>
      <c r="B1631" s="105" t="s">
        <v>329</v>
      </c>
      <c r="C1631" s="493" t="s">
        <v>330</v>
      </c>
      <c r="D1631" s="105" t="s">
        <v>1908</v>
      </c>
      <c r="E1631" s="105" t="s">
        <v>1448</v>
      </c>
      <c r="F1631" s="493">
        <v>61012</v>
      </c>
      <c r="G1631" s="105" t="s">
        <v>52</v>
      </c>
      <c r="H1631" s="105" t="s">
        <v>333</v>
      </c>
      <c r="I1631" s="105" t="s">
        <v>334</v>
      </c>
      <c r="J1631" s="493">
        <v>22</v>
      </c>
      <c r="K1631" s="493">
        <v>2</v>
      </c>
      <c r="L1631" s="105" t="s">
        <v>343</v>
      </c>
      <c r="M1631" s="105" t="s">
        <v>655</v>
      </c>
      <c r="N1631" s="105" t="s">
        <v>656</v>
      </c>
      <c r="O1631" s="105" t="s">
        <v>656</v>
      </c>
      <c r="P1631" s="105" t="s">
        <v>339</v>
      </c>
      <c r="Q1631" s="494">
        <v>0</v>
      </c>
      <c r="R1631" s="494">
        <v>0</v>
      </c>
      <c r="S1631" s="494">
        <v>8168</v>
      </c>
      <c r="T1631" s="494">
        <v>8168</v>
      </c>
      <c r="U1631" s="494">
        <v>2394</v>
      </c>
      <c r="V1631" s="493">
        <v>2024</v>
      </c>
      <c r="W1631" s="495"/>
      <c r="X1631" s="496">
        <f t="shared" si="106"/>
        <v>3.4118629908103593</v>
      </c>
      <c r="Y1631" s="497" t="str">
        <f t="shared" si="107"/>
        <v/>
      </c>
      <c r="Z1631" s="497" t="str">
        <f t="shared" si="107"/>
        <v/>
      </c>
    </row>
    <row r="1632" spans="1:26" s="82" customFormat="1" x14ac:dyDescent="0.4">
      <c r="A1632" s="493">
        <v>61590</v>
      </c>
      <c r="B1632" s="105" t="s">
        <v>329</v>
      </c>
      <c r="C1632" s="493" t="s">
        <v>330</v>
      </c>
      <c r="D1632" s="105" t="s">
        <v>1909</v>
      </c>
      <c r="E1632" s="105" t="s">
        <v>1910</v>
      </c>
      <c r="F1632" s="493">
        <v>64643</v>
      </c>
      <c r="G1632" s="105" t="s">
        <v>33</v>
      </c>
      <c r="H1632" s="105" t="s">
        <v>342</v>
      </c>
      <c r="I1632" s="105" t="s">
        <v>334</v>
      </c>
      <c r="J1632" s="493">
        <v>22</v>
      </c>
      <c r="K1632" s="493">
        <v>2</v>
      </c>
      <c r="L1632" s="105" t="s">
        <v>343</v>
      </c>
      <c r="M1632" s="105" t="s">
        <v>655</v>
      </c>
      <c r="N1632" s="105" t="s">
        <v>656</v>
      </c>
      <c r="O1632" s="105" t="s">
        <v>656</v>
      </c>
      <c r="P1632" s="105" t="s">
        <v>339</v>
      </c>
      <c r="Q1632" s="494">
        <v>0</v>
      </c>
      <c r="R1632" s="494">
        <v>0</v>
      </c>
      <c r="S1632" s="494">
        <v>10925</v>
      </c>
      <c r="T1632" s="494">
        <v>10925</v>
      </c>
      <c r="U1632" s="494">
        <v>3202</v>
      </c>
      <c r="V1632" s="493">
        <v>2024</v>
      </c>
      <c r="W1632" s="495"/>
      <c r="X1632" s="496">
        <f t="shared" si="106"/>
        <v>3.4119300437226734</v>
      </c>
      <c r="Y1632" s="497" t="str">
        <f t="shared" si="107"/>
        <v/>
      </c>
      <c r="Z1632" s="497" t="str">
        <f t="shared" si="107"/>
        <v/>
      </c>
    </row>
    <row r="1633" spans="1:26" s="82" customFormat="1" ht="32" x14ac:dyDescent="0.4">
      <c r="A1633" s="493">
        <v>61591</v>
      </c>
      <c r="B1633" s="105" t="s">
        <v>329</v>
      </c>
      <c r="C1633" s="493" t="s">
        <v>330</v>
      </c>
      <c r="D1633" s="105" t="s">
        <v>1911</v>
      </c>
      <c r="E1633" s="105" t="s">
        <v>1911</v>
      </c>
      <c r="F1633" s="493">
        <v>61190</v>
      </c>
      <c r="G1633" s="105" t="s">
        <v>33</v>
      </c>
      <c r="H1633" s="105" t="s">
        <v>342</v>
      </c>
      <c r="I1633" s="105" t="s">
        <v>334</v>
      </c>
      <c r="J1633" s="493">
        <v>22</v>
      </c>
      <c r="K1633" s="493">
        <v>2</v>
      </c>
      <c r="L1633" s="105" t="s">
        <v>343</v>
      </c>
      <c r="M1633" s="105" t="s">
        <v>655</v>
      </c>
      <c r="N1633" s="105" t="s">
        <v>656</v>
      </c>
      <c r="O1633" s="105" t="s">
        <v>656</v>
      </c>
      <c r="P1633" s="105" t="s">
        <v>339</v>
      </c>
      <c r="Q1633" s="494">
        <v>0</v>
      </c>
      <c r="R1633" s="494">
        <v>0</v>
      </c>
      <c r="S1633" s="494">
        <v>6563</v>
      </c>
      <c r="T1633" s="494">
        <v>6563</v>
      </c>
      <c r="U1633" s="494">
        <v>1923</v>
      </c>
      <c r="V1633" s="493">
        <v>2024</v>
      </c>
      <c r="W1633" s="495"/>
      <c r="X1633" s="496">
        <f t="shared" si="106"/>
        <v>3.4128965158606346</v>
      </c>
      <c r="Y1633" s="497" t="str">
        <f t="shared" si="107"/>
        <v/>
      </c>
      <c r="Z1633" s="497" t="str">
        <f t="shared" si="107"/>
        <v/>
      </c>
    </row>
    <row r="1634" spans="1:26" s="82" customFormat="1" ht="32" x14ac:dyDescent="0.4">
      <c r="A1634" s="493">
        <v>61596</v>
      </c>
      <c r="B1634" s="105" t="s">
        <v>329</v>
      </c>
      <c r="C1634" s="493" t="s">
        <v>330</v>
      </c>
      <c r="D1634" s="105" t="s">
        <v>1912</v>
      </c>
      <c r="E1634" s="105" t="s">
        <v>1452</v>
      </c>
      <c r="F1634" s="493">
        <v>58871</v>
      </c>
      <c r="G1634" s="105" t="s">
        <v>33</v>
      </c>
      <c r="H1634" s="105" t="s">
        <v>342</v>
      </c>
      <c r="I1634" s="105" t="s">
        <v>334</v>
      </c>
      <c r="J1634" s="493">
        <v>22</v>
      </c>
      <c r="K1634" s="493">
        <v>2</v>
      </c>
      <c r="L1634" s="105" t="s">
        <v>343</v>
      </c>
      <c r="M1634" s="105" t="s">
        <v>655</v>
      </c>
      <c r="N1634" s="105" t="s">
        <v>656</v>
      </c>
      <c r="O1634" s="105" t="s">
        <v>656</v>
      </c>
      <c r="P1634" s="105" t="s">
        <v>339</v>
      </c>
      <c r="Q1634" s="494">
        <v>0</v>
      </c>
      <c r="R1634" s="494">
        <v>0</v>
      </c>
      <c r="S1634" s="494">
        <v>9140</v>
      </c>
      <c r="T1634" s="494">
        <v>9140</v>
      </c>
      <c r="U1634" s="494">
        <v>2679</v>
      </c>
      <c r="V1634" s="493">
        <v>2024</v>
      </c>
      <c r="W1634" s="495"/>
      <c r="X1634" s="496">
        <f t="shared" si="106"/>
        <v>3.4117207913400525</v>
      </c>
      <c r="Y1634" s="497" t="str">
        <f t="shared" si="107"/>
        <v/>
      </c>
      <c r="Z1634" s="497" t="str">
        <f t="shared" si="107"/>
        <v/>
      </c>
    </row>
    <row r="1635" spans="1:26" s="82" customFormat="1" ht="32" x14ac:dyDescent="0.4">
      <c r="A1635" s="493">
        <v>61597</v>
      </c>
      <c r="B1635" s="105" t="s">
        <v>329</v>
      </c>
      <c r="C1635" s="493" t="s">
        <v>330</v>
      </c>
      <c r="D1635" s="105" t="s">
        <v>1913</v>
      </c>
      <c r="E1635" s="105" t="s">
        <v>1452</v>
      </c>
      <c r="F1635" s="493">
        <v>58871</v>
      </c>
      <c r="G1635" s="105" t="s">
        <v>33</v>
      </c>
      <c r="H1635" s="105" t="s">
        <v>342</v>
      </c>
      <c r="I1635" s="105" t="s">
        <v>334</v>
      </c>
      <c r="J1635" s="493">
        <v>22</v>
      </c>
      <c r="K1635" s="493">
        <v>2</v>
      </c>
      <c r="L1635" s="105" t="s">
        <v>343</v>
      </c>
      <c r="M1635" s="105" t="s">
        <v>655</v>
      </c>
      <c r="N1635" s="105" t="s">
        <v>656</v>
      </c>
      <c r="O1635" s="105" t="s">
        <v>656</v>
      </c>
      <c r="P1635" s="105" t="s">
        <v>339</v>
      </c>
      <c r="Q1635" s="494">
        <v>0</v>
      </c>
      <c r="R1635" s="494">
        <v>0</v>
      </c>
      <c r="S1635" s="494">
        <v>8049</v>
      </c>
      <c r="T1635" s="494">
        <v>8049</v>
      </c>
      <c r="U1635" s="494">
        <v>2359</v>
      </c>
      <c r="V1635" s="493">
        <v>2024</v>
      </c>
      <c r="W1635" s="495"/>
      <c r="X1635" s="496">
        <f t="shared" si="106"/>
        <v>3.4120389995760916</v>
      </c>
      <c r="Y1635" s="497" t="str">
        <f t="shared" si="107"/>
        <v/>
      </c>
      <c r="Z1635" s="497" t="str">
        <f t="shared" si="107"/>
        <v/>
      </c>
    </row>
    <row r="1636" spans="1:26" s="82" customFormat="1" ht="32" x14ac:dyDescent="0.4">
      <c r="A1636" s="493">
        <v>61598</v>
      </c>
      <c r="B1636" s="105" t="s">
        <v>329</v>
      </c>
      <c r="C1636" s="493" t="s">
        <v>330</v>
      </c>
      <c r="D1636" s="105" t="s">
        <v>1914</v>
      </c>
      <c r="E1636" s="105" t="s">
        <v>1452</v>
      </c>
      <c r="F1636" s="493">
        <v>58871</v>
      </c>
      <c r="G1636" s="105" t="s">
        <v>33</v>
      </c>
      <c r="H1636" s="105" t="s">
        <v>342</v>
      </c>
      <c r="I1636" s="105" t="s">
        <v>334</v>
      </c>
      <c r="J1636" s="493">
        <v>22</v>
      </c>
      <c r="K1636" s="493">
        <v>2</v>
      </c>
      <c r="L1636" s="105" t="s">
        <v>343</v>
      </c>
      <c r="M1636" s="105" t="s">
        <v>655</v>
      </c>
      <c r="N1636" s="105" t="s">
        <v>656</v>
      </c>
      <c r="O1636" s="105" t="s">
        <v>656</v>
      </c>
      <c r="P1636" s="105" t="s">
        <v>339</v>
      </c>
      <c r="Q1636" s="494">
        <v>0</v>
      </c>
      <c r="R1636" s="494">
        <v>0</v>
      </c>
      <c r="S1636" s="494">
        <v>13778</v>
      </c>
      <c r="T1636" s="494">
        <v>13778</v>
      </c>
      <c r="U1636" s="494">
        <v>4038</v>
      </c>
      <c r="V1636" s="493">
        <v>2024</v>
      </c>
      <c r="W1636" s="495"/>
      <c r="X1636" s="496">
        <f t="shared" si="106"/>
        <v>3.4120851906884595</v>
      </c>
      <c r="Y1636" s="497" t="str">
        <f t="shared" si="107"/>
        <v/>
      </c>
      <c r="Z1636" s="497" t="str">
        <f t="shared" si="107"/>
        <v/>
      </c>
    </row>
    <row r="1637" spans="1:26" s="82" customFormat="1" ht="32" x14ac:dyDescent="0.4">
      <c r="A1637" s="493">
        <v>61602</v>
      </c>
      <c r="B1637" s="105" t="s">
        <v>329</v>
      </c>
      <c r="C1637" s="493" t="s">
        <v>330</v>
      </c>
      <c r="D1637" s="105" t="s">
        <v>1915</v>
      </c>
      <c r="E1637" s="105" t="s">
        <v>1243</v>
      </c>
      <c r="F1637" s="493">
        <v>56769</v>
      </c>
      <c r="G1637" s="105" t="s">
        <v>33</v>
      </c>
      <c r="H1637" s="105" t="s">
        <v>342</v>
      </c>
      <c r="I1637" s="105" t="s">
        <v>334</v>
      </c>
      <c r="J1637" s="493">
        <v>22</v>
      </c>
      <c r="K1637" s="493">
        <v>2</v>
      </c>
      <c r="L1637" s="105" t="s">
        <v>343</v>
      </c>
      <c r="M1637" s="105" t="s">
        <v>655</v>
      </c>
      <c r="N1637" s="105" t="s">
        <v>656</v>
      </c>
      <c r="O1637" s="105" t="s">
        <v>656</v>
      </c>
      <c r="P1637" s="105" t="s">
        <v>339</v>
      </c>
      <c r="Q1637" s="494">
        <v>0</v>
      </c>
      <c r="R1637" s="494">
        <v>0</v>
      </c>
      <c r="S1637" s="494">
        <v>16477</v>
      </c>
      <c r="T1637" s="494">
        <v>16477</v>
      </c>
      <c r="U1637" s="494">
        <v>4829</v>
      </c>
      <c r="V1637" s="493">
        <v>2024</v>
      </c>
      <c r="W1637" s="495"/>
      <c r="X1637" s="496">
        <f t="shared" si="106"/>
        <v>3.4120936011596603</v>
      </c>
      <c r="Y1637" s="497" t="str">
        <f t="shared" si="107"/>
        <v/>
      </c>
      <c r="Z1637" s="497" t="str">
        <f t="shared" si="107"/>
        <v/>
      </c>
    </row>
    <row r="1638" spans="1:26" s="82" customFormat="1" ht="32" x14ac:dyDescent="0.4">
      <c r="A1638" s="493">
        <v>61603</v>
      </c>
      <c r="B1638" s="105" t="s">
        <v>329</v>
      </c>
      <c r="C1638" s="493" t="s">
        <v>330</v>
      </c>
      <c r="D1638" s="105" t="s">
        <v>1916</v>
      </c>
      <c r="E1638" s="105" t="s">
        <v>1243</v>
      </c>
      <c r="F1638" s="493">
        <v>56769</v>
      </c>
      <c r="G1638" s="105" t="s">
        <v>33</v>
      </c>
      <c r="H1638" s="105" t="s">
        <v>342</v>
      </c>
      <c r="I1638" s="105" t="s">
        <v>334</v>
      </c>
      <c r="J1638" s="493">
        <v>22</v>
      </c>
      <c r="K1638" s="493">
        <v>2</v>
      </c>
      <c r="L1638" s="105" t="s">
        <v>343</v>
      </c>
      <c r="M1638" s="105" t="s">
        <v>655</v>
      </c>
      <c r="N1638" s="105" t="s">
        <v>656</v>
      </c>
      <c r="O1638" s="105" t="s">
        <v>656</v>
      </c>
      <c r="P1638" s="105" t="s">
        <v>339</v>
      </c>
      <c r="Q1638" s="494">
        <v>0</v>
      </c>
      <c r="R1638" s="494">
        <v>0</v>
      </c>
      <c r="S1638" s="494">
        <v>19267</v>
      </c>
      <c r="T1638" s="494">
        <v>19267</v>
      </c>
      <c r="U1638" s="494">
        <v>5646</v>
      </c>
      <c r="V1638" s="493">
        <v>2024</v>
      </c>
      <c r="W1638" s="495"/>
      <c r="X1638" s="496">
        <f t="shared" si="106"/>
        <v>3.412504427913567</v>
      </c>
      <c r="Y1638" s="497" t="str">
        <f t="shared" si="107"/>
        <v/>
      </c>
      <c r="Z1638" s="497" t="str">
        <f t="shared" si="107"/>
        <v/>
      </c>
    </row>
    <row r="1639" spans="1:26" s="82" customFormat="1" ht="32" x14ac:dyDescent="0.4">
      <c r="A1639" s="493">
        <v>61604</v>
      </c>
      <c r="B1639" s="105" t="s">
        <v>329</v>
      </c>
      <c r="C1639" s="493" t="s">
        <v>330</v>
      </c>
      <c r="D1639" s="105" t="s">
        <v>1917</v>
      </c>
      <c r="E1639" s="105" t="s">
        <v>1773</v>
      </c>
      <c r="F1639" s="493">
        <v>60571</v>
      </c>
      <c r="G1639" s="105" t="s">
        <v>52</v>
      </c>
      <c r="H1639" s="105" t="s">
        <v>333</v>
      </c>
      <c r="I1639" s="105" t="s">
        <v>334</v>
      </c>
      <c r="J1639" s="493">
        <v>22</v>
      </c>
      <c r="K1639" s="493">
        <v>2</v>
      </c>
      <c r="L1639" s="105" t="s">
        <v>343</v>
      </c>
      <c r="M1639" s="105" t="s">
        <v>655</v>
      </c>
      <c r="N1639" s="105" t="s">
        <v>656</v>
      </c>
      <c r="O1639" s="105" t="s">
        <v>656</v>
      </c>
      <c r="P1639" s="105" t="s">
        <v>339</v>
      </c>
      <c r="Q1639" s="494">
        <v>0</v>
      </c>
      <c r="R1639" s="494">
        <v>0</v>
      </c>
      <c r="S1639" s="494">
        <v>6746</v>
      </c>
      <c r="T1639" s="494">
        <v>6746</v>
      </c>
      <c r="U1639" s="494">
        <v>1977</v>
      </c>
      <c r="V1639" s="493">
        <v>2024</v>
      </c>
      <c r="W1639" s="495"/>
      <c r="X1639" s="496">
        <f t="shared" si="106"/>
        <v>3.4122407688416794</v>
      </c>
      <c r="Y1639" s="497" t="str">
        <f t="shared" si="107"/>
        <v/>
      </c>
      <c r="Z1639" s="497" t="str">
        <f t="shared" si="107"/>
        <v/>
      </c>
    </row>
    <row r="1640" spans="1:26" s="82" customFormat="1" x14ac:dyDescent="0.4">
      <c r="A1640" s="493">
        <v>61612</v>
      </c>
      <c r="B1640" s="105" t="s">
        <v>329</v>
      </c>
      <c r="C1640" s="493" t="s">
        <v>330</v>
      </c>
      <c r="D1640" s="105" t="s">
        <v>1918</v>
      </c>
      <c r="E1640" s="105" t="s">
        <v>1356</v>
      </c>
      <c r="F1640" s="493">
        <v>65164</v>
      </c>
      <c r="G1640" s="105" t="s">
        <v>38</v>
      </c>
      <c r="H1640" s="105" t="s">
        <v>342</v>
      </c>
      <c r="I1640" s="105" t="s">
        <v>334</v>
      </c>
      <c r="J1640" s="493">
        <v>22</v>
      </c>
      <c r="K1640" s="493">
        <v>2</v>
      </c>
      <c r="L1640" s="105" t="s">
        <v>343</v>
      </c>
      <c r="M1640" s="105" t="s">
        <v>655</v>
      </c>
      <c r="N1640" s="105" t="s">
        <v>656</v>
      </c>
      <c r="O1640" s="105" t="s">
        <v>656</v>
      </c>
      <c r="P1640" s="105" t="s">
        <v>339</v>
      </c>
      <c r="Q1640" s="494">
        <v>0</v>
      </c>
      <c r="R1640" s="494">
        <v>0</v>
      </c>
      <c r="S1640" s="494">
        <v>6862</v>
      </c>
      <c r="T1640" s="494">
        <v>6862</v>
      </c>
      <c r="U1640" s="494">
        <v>2011</v>
      </c>
      <c r="V1640" s="493">
        <v>2024</v>
      </c>
      <c r="W1640" s="495"/>
      <c r="X1640" s="496">
        <f t="shared" si="106"/>
        <v>3.4122327200397811</v>
      </c>
      <c r="Y1640" s="497" t="str">
        <f t="shared" si="107"/>
        <v/>
      </c>
      <c r="Z1640" s="497" t="str">
        <f t="shared" si="107"/>
        <v/>
      </c>
    </row>
    <row r="1641" spans="1:26" s="82" customFormat="1" x14ac:dyDescent="0.4">
      <c r="A1641" s="493">
        <v>61613</v>
      </c>
      <c r="B1641" s="105" t="s">
        <v>329</v>
      </c>
      <c r="C1641" s="493" t="s">
        <v>330</v>
      </c>
      <c r="D1641" s="105" t="s">
        <v>1919</v>
      </c>
      <c r="E1641" s="105" t="s">
        <v>1356</v>
      </c>
      <c r="F1641" s="493">
        <v>65164</v>
      </c>
      <c r="G1641" s="105" t="s">
        <v>38</v>
      </c>
      <c r="H1641" s="105" t="s">
        <v>342</v>
      </c>
      <c r="I1641" s="105" t="s">
        <v>334</v>
      </c>
      <c r="J1641" s="493">
        <v>22</v>
      </c>
      <c r="K1641" s="493">
        <v>2</v>
      </c>
      <c r="L1641" s="105" t="s">
        <v>343</v>
      </c>
      <c r="M1641" s="105" t="s">
        <v>655</v>
      </c>
      <c r="N1641" s="105" t="s">
        <v>656</v>
      </c>
      <c r="O1641" s="105" t="s">
        <v>656</v>
      </c>
      <c r="P1641" s="105" t="s">
        <v>339</v>
      </c>
      <c r="Q1641" s="494">
        <v>0</v>
      </c>
      <c r="R1641" s="494">
        <v>0</v>
      </c>
      <c r="S1641" s="494">
        <v>9758</v>
      </c>
      <c r="T1641" s="494">
        <v>9758</v>
      </c>
      <c r="U1641" s="494">
        <v>2860</v>
      </c>
      <c r="V1641" s="493">
        <v>2024</v>
      </c>
      <c r="W1641" s="495"/>
      <c r="X1641" s="496">
        <f t="shared" si="106"/>
        <v>3.4118881118881119</v>
      </c>
      <c r="Y1641" s="497" t="str">
        <f t="shared" si="107"/>
        <v/>
      </c>
      <c r="Z1641" s="497" t="str">
        <f t="shared" si="107"/>
        <v/>
      </c>
    </row>
    <row r="1642" spans="1:26" s="82" customFormat="1" x14ac:dyDescent="0.4">
      <c r="A1642" s="493">
        <v>61622</v>
      </c>
      <c r="B1642" s="105" t="s">
        <v>329</v>
      </c>
      <c r="C1642" s="493" t="s">
        <v>330</v>
      </c>
      <c r="D1642" s="105" t="s">
        <v>1920</v>
      </c>
      <c r="E1642" s="105" t="s">
        <v>1356</v>
      </c>
      <c r="F1642" s="493">
        <v>65164</v>
      </c>
      <c r="G1642" s="105" t="s">
        <v>38</v>
      </c>
      <c r="H1642" s="105" t="s">
        <v>342</v>
      </c>
      <c r="I1642" s="105" t="s">
        <v>334</v>
      </c>
      <c r="J1642" s="493">
        <v>22</v>
      </c>
      <c r="K1642" s="493">
        <v>2</v>
      </c>
      <c r="L1642" s="105" t="s">
        <v>343</v>
      </c>
      <c r="M1642" s="105" t="s">
        <v>655</v>
      </c>
      <c r="N1642" s="105" t="s">
        <v>656</v>
      </c>
      <c r="O1642" s="105" t="s">
        <v>656</v>
      </c>
      <c r="P1642" s="105" t="s">
        <v>339</v>
      </c>
      <c r="Q1642" s="494">
        <v>0</v>
      </c>
      <c r="R1642" s="494">
        <v>0</v>
      </c>
      <c r="S1642" s="494">
        <v>16103</v>
      </c>
      <c r="T1642" s="494">
        <v>16103</v>
      </c>
      <c r="U1642" s="494">
        <v>4719</v>
      </c>
      <c r="V1642" s="493">
        <v>2024</v>
      </c>
      <c r="W1642" s="495"/>
      <c r="X1642" s="496">
        <f t="shared" si="106"/>
        <v>3.4123755032845944</v>
      </c>
      <c r="Y1642" s="497" t="str">
        <f t="shared" si="107"/>
        <v/>
      </c>
      <c r="Z1642" s="497" t="str">
        <f t="shared" si="107"/>
        <v/>
      </c>
    </row>
    <row r="1643" spans="1:26" s="82" customFormat="1" x14ac:dyDescent="0.4">
      <c r="A1643" s="493">
        <v>61629</v>
      </c>
      <c r="B1643" s="105" t="s">
        <v>329</v>
      </c>
      <c r="C1643" s="493" t="s">
        <v>330</v>
      </c>
      <c r="D1643" s="105" t="s">
        <v>1921</v>
      </c>
      <c r="E1643" s="105" t="s">
        <v>1606</v>
      </c>
      <c r="F1643" s="493">
        <v>61227</v>
      </c>
      <c r="G1643" s="105" t="s">
        <v>33</v>
      </c>
      <c r="H1643" s="105" t="s">
        <v>342</v>
      </c>
      <c r="I1643" s="105" t="s">
        <v>334</v>
      </c>
      <c r="J1643" s="493">
        <v>22</v>
      </c>
      <c r="K1643" s="493">
        <v>2</v>
      </c>
      <c r="L1643" s="105" t="s">
        <v>343</v>
      </c>
      <c r="M1643" s="105" t="s">
        <v>655</v>
      </c>
      <c r="N1643" s="105" t="s">
        <v>656</v>
      </c>
      <c r="O1643" s="105" t="s">
        <v>656</v>
      </c>
      <c r="P1643" s="105" t="s">
        <v>339</v>
      </c>
      <c r="Q1643" s="494">
        <v>0</v>
      </c>
      <c r="R1643" s="494">
        <v>0</v>
      </c>
      <c r="S1643" s="494">
        <v>19358</v>
      </c>
      <c r="T1643" s="494">
        <v>19358</v>
      </c>
      <c r="U1643" s="494">
        <v>5674</v>
      </c>
      <c r="V1643" s="493">
        <v>2024</v>
      </c>
      <c r="W1643" s="495"/>
      <c r="X1643" s="496">
        <f t="shared" si="106"/>
        <v>3.4117025026436378</v>
      </c>
      <c r="Y1643" s="497" t="str">
        <f t="shared" si="107"/>
        <v/>
      </c>
      <c r="Z1643" s="497" t="str">
        <f t="shared" si="107"/>
        <v/>
      </c>
    </row>
    <row r="1644" spans="1:26" s="82" customFormat="1" x14ac:dyDescent="0.4">
      <c r="A1644" s="493">
        <v>61633</v>
      </c>
      <c r="B1644" s="105" t="s">
        <v>329</v>
      </c>
      <c r="C1644" s="493" t="s">
        <v>330</v>
      </c>
      <c r="D1644" s="105" t="s">
        <v>1922</v>
      </c>
      <c r="E1644" s="105" t="s">
        <v>1923</v>
      </c>
      <c r="F1644" s="493">
        <v>64665</v>
      </c>
      <c r="G1644" s="105" t="s">
        <v>33</v>
      </c>
      <c r="H1644" s="105" t="s">
        <v>342</v>
      </c>
      <c r="I1644" s="105" t="s">
        <v>334</v>
      </c>
      <c r="J1644" s="493">
        <v>22</v>
      </c>
      <c r="K1644" s="493">
        <v>2</v>
      </c>
      <c r="L1644" s="105" t="s">
        <v>343</v>
      </c>
      <c r="M1644" s="105" t="s">
        <v>655</v>
      </c>
      <c r="N1644" s="105" t="s">
        <v>656</v>
      </c>
      <c r="O1644" s="105" t="s">
        <v>656</v>
      </c>
      <c r="P1644" s="105" t="s">
        <v>339</v>
      </c>
      <c r="Q1644" s="494">
        <v>0</v>
      </c>
      <c r="R1644" s="494">
        <v>0</v>
      </c>
      <c r="S1644" s="494">
        <v>4833</v>
      </c>
      <c r="T1644" s="494">
        <v>4833</v>
      </c>
      <c r="U1644" s="494">
        <v>1416</v>
      </c>
      <c r="V1644" s="493">
        <v>2024</v>
      </c>
      <c r="W1644" s="495"/>
      <c r="X1644" s="496">
        <f t="shared" si="106"/>
        <v>3.4131355932203391</v>
      </c>
      <c r="Y1644" s="497" t="str">
        <f t="shared" si="107"/>
        <v/>
      </c>
      <c r="Z1644" s="497" t="str">
        <f t="shared" si="107"/>
        <v/>
      </c>
    </row>
    <row r="1645" spans="1:26" s="82" customFormat="1" x14ac:dyDescent="0.4">
      <c r="A1645" s="493">
        <v>61634</v>
      </c>
      <c r="B1645" s="105" t="s">
        <v>329</v>
      </c>
      <c r="C1645" s="493" t="s">
        <v>330</v>
      </c>
      <c r="D1645" s="105" t="s">
        <v>1924</v>
      </c>
      <c r="E1645" s="105" t="s">
        <v>1925</v>
      </c>
      <c r="F1645" s="493">
        <v>64630</v>
      </c>
      <c r="G1645" s="105" t="s">
        <v>33</v>
      </c>
      <c r="H1645" s="105" t="s">
        <v>342</v>
      </c>
      <c r="I1645" s="105" t="s">
        <v>334</v>
      </c>
      <c r="J1645" s="493">
        <v>22</v>
      </c>
      <c r="K1645" s="493">
        <v>2</v>
      </c>
      <c r="L1645" s="105" t="s">
        <v>343</v>
      </c>
      <c r="M1645" s="105" t="s">
        <v>655</v>
      </c>
      <c r="N1645" s="105" t="s">
        <v>656</v>
      </c>
      <c r="O1645" s="105" t="s">
        <v>656</v>
      </c>
      <c r="P1645" s="105" t="s">
        <v>339</v>
      </c>
      <c r="Q1645" s="494">
        <v>0</v>
      </c>
      <c r="R1645" s="494">
        <v>0</v>
      </c>
      <c r="S1645" s="494">
        <v>15587</v>
      </c>
      <c r="T1645" s="494">
        <v>15587</v>
      </c>
      <c r="U1645" s="494">
        <v>4569</v>
      </c>
      <c r="V1645" s="493">
        <v>2024</v>
      </c>
      <c r="W1645" s="495"/>
      <c r="X1645" s="496">
        <f t="shared" si="106"/>
        <v>3.4114685926898667</v>
      </c>
      <c r="Y1645" s="497" t="str">
        <f t="shared" si="107"/>
        <v/>
      </c>
      <c r="Z1645" s="497" t="str">
        <f t="shared" si="107"/>
        <v/>
      </c>
    </row>
    <row r="1646" spans="1:26" s="82" customFormat="1" x14ac:dyDescent="0.4">
      <c r="A1646" s="493">
        <v>61635</v>
      </c>
      <c r="B1646" s="105" t="s">
        <v>329</v>
      </c>
      <c r="C1646" s="493" t="s">
        <v>330</v>
      </c>
      <c r="D1646" s="105" t="s">
        <v>1926</v>
      </c>
      <c r="E1646" s="105" t="s">
        <v>1927</v>
      </c>
      <c r="F1646" s="493">
        <v>64664</v>
      </c>
      <c r="G1646" s="105" t="s">
        <v>33</v>
      </c>
      <c r="H1646" s="105" t="s">
        <v>342</v>
      </c>
      <c r="I1646" s="105" t="s">
        <v>334</v>
      </c>
      <c r="J1646" s="493">
        <v>22</v>
      </c>
      <c r="K1646" s="493">
        <v>2</v>
      </c>
      <c r="L1646" s="105" t="s">
        <v>343</v>
      </c>
      <c r="M1646" s="105" t="s">
        <v>655</v>
      </c>
      <c r="N1646" s="105" t="s">
        <v>656</v>
      </c>
      <c r="O1646" s="105" t="s">
        <v>656</v>
      </c>
      <c r="P1646" s="105" t="s">
        <v>339</v>
      </c>
      <c r="Q1646" s="494">
        <v>0</v>
      </c>
      <c r="R1646" s="494">
        <v>0</v>
      </c>
      <c r="S1646" s="494">
        <v>9912</v>
      </c>
      <c r="T1646" s="494">
        <v>9912</v>
      </c>
      <c r="U1646" s="494">
        <v>2905</v>
      </c>
      <c r="V1646" s="493">
        <v>2024</v>
      </c>
      <c r="W1646" s="495"/>
      <c r="X1646" s="496">
        <f t="shared" si="106"/>
        <v>3.4120481927710844</v>
      </c>
      <c r="Y1646" s="497" t="str">
        <f t="shared" si="107"/>
        <v/>
      </c>
      <c r="Z1646" s="497" t="str">
        <f t="shared" si="107"/>
        <v/>
      </c>
    </row>
    <row r="1647" spans="1:26" s="82" customFormat="1" x14ac:dyDescent="0.4">
      <c r="A1647" s="493">
        <v>61636</v>
      </c>
      <c r="B1647" s="105" t="s">
        <v>329</v>
      </c>
      <c r="C1647" s="493" t="s">
        <v>330</v>
      </c>
      <c r="D1647" s="105" t="s">
        <v>1928</v>
      </c>
      <c r="E1647" s="105" t="s">
        <v>1929</v>
      </c>
      <c r="F1647" s="493">
        <v>64666</v>
      </c>
      <c r="G1647" s="105" t="s">
        <v>33</v>
      </c>
      <c r="H1647" s="105" t="s">
        <v>342</v>
      </c>
      <c r="I1647" s="105" t="s">
        <v>334</v>
      </c>
      <c r="J1647" s="493">
        <v>22</v>
      </c>
      <c r="K1647" s="493">
        <v>2</v>
      </c>
      <c r="L1647" s="105" t="s">
        <v>343</v>
      </c>
      <c r="M1647" s="105" t="s">
        <v>655</v>
      </c>
      <c r="N1647" s="105" t="s">
        <v>656</v>
      </c>
      <c r="O1647" s="105" t="s">
        <v>656</v>
      </c>
      <c r="P1647" s="105" t="s">
        <v>339</v>
      </c>
      <c r="Q1647" s="494">
        <v>0</v>
      </c>
      <c r="R1647" s="494">
        <v>0</v>
      </c>
      <c r="S1647" s="494">
        <v>7428</v>
      </c>
      <c r="T1647" s="494">
        <v>7428</v>
      </c>
      <c r="U1647" s="494">
        <v>2177</v>
      </c>
      <c r="V1647" s="493">
        <v>2024</v>
      </c>
      <c r="W1647" s="495"/>
      <c r="X1647" s="496">
        <f t="shared" si="106"/>
        <v>3.4120349104271934</v>
      </c>
      <c r="Y1647" s="497" t="str">
        <f t="shared" si="107"/>
        <v/>
      </c>
      <c r="Z1647" s="497" t="str">
        <f t="shared" si="107"/>
        <v/>
      </c>
    </row>
    <row r="1648" spans="1:26" s="82" customFormat="1" x14ac:dyDescent="0.4">
      <c r="A1648" s="493">
        <v>61640</v>
      </c>
      <c r="B1648" s="105" t="s">
        <v>329</v>
      </c>
      <c r="C1648" s="493" t="s">
        <v>330</v>
      </c>
      <c r="D1648" s="105" t="s">
        <v>1930</v>
      </c>
      <c r="E1648" s="105" t="s">
        <v>1931</v>
      </c>
      <c r="F1648" s="493">
        <v>61253</v>
      </c>
      <c r="G1648" s="105" t="s">
        <v>33</v>
      </c>
      <c r="H1648" s="105" t="s">
        <v>342</v>
      </c>
      <c r="I1648" s="105" t="s">
        <v>334</v>
      </c>
      <c r="J1648" s="493">
        <v>22</v>
      </c>
      <c r="K1648" s="493">
        <v>2</v>
      </c>
      <c r="L1648" s="105" t="s">
        <v>343</v>
      </c>
      <c r="M1648" s="105" t="s">
        <v>336</v>
      </c>
      <c r="N1648" s="105" t="s">
        <v>337</v>
      </c>
      <c r="O1648" s="105" t="s">
        <v>338</v>
      </c>
      <c r="P1648" s="105" t="s">
        <v>339</v>
      </c>
      <c r="Q1648" s="494">
        <v>0</v>
      </c>
      <c r="R1648" s="494">
        <v>0</v>
      </c>
      <c r="S1648" s="494">
        <v>14709</v>
      </c>
      <c r="T1648" s="494">
        <v>14709</v>
      </c>
      <c r="U1648" s="494">
        <v>4311</v>
      </c>
      <c r="V1648" s="493">
        <v>2024</v>
      </c>
      <c r="W1648" s="495"/>
      <c r="X1648" s="496">
        <f t="shared" si="106"/>
        <v>3.4119693806541407</v>
      </c>
      <c r="Y1648" s="497" t="str">
        <f t="shared" ref="Y1648:Z1667" si="108">IF(AND($M1648=$Y$2,$N1648=$Y$3,NOT($Q1648=$R1648),NOT($U1648=0)),IF($K1648=5,$S1648/($U1648+(8/5)*$U1648),IF($K1648=7,$S1648/($U1648+(29/25)*$U1648),"")),"")</f>
        <v/>
      </c>
      <c r="Z1648" s="497" t="str">
        <f t="shared" si="108"/>
        <v/>
      </c>
    </row>
    <row r="1649" spans="1:26" s="82" customFormat="1" x14ac:dyDescent="0.4">
      <c r="A1649" s="493">
        <v>61641</v>
      </c>
      <c r="B1649" s="105" t="s">
        <v>329</v>
      </c>
      <c r="C1649" s="493" t="s">
        <v>330</v>
      </c>
      <c r="D1649" s="105" t="s">
        <v>1932</v>
      </c>
      <c r="E1649" s="105" t="s">
        <v>1933</v>
      </c>
      <c r="F1649" s="493">
        <v>61252</v>
      </c>
      <c r="G1649" s="105" t="s">
        <v>52</v>
      </c>
      <c r="H1649" s="105" t="s">
        <v>333</v>
      </c>
      <c r="I1649" s="105" t="s">
        <v>334</v>
      </c>
      <c r="J1649" s="493">
        <v>22</v>
      </c>
      <c r="K1649" s="493">
        <v>2</v>
      </c>
      <c r="L1649" s="105" t="s">
        <v>343</v>
      </c>
      <c r="M1649" s="105" t="s">
        <v>336</v>
      </c>
      <c r="N1649" s="105" t="s">
        <v>337</v>
      </c>
      <c r="O1649" s="105" t="s">
        <v>338</v>
      </c>
      <c r="P1649" s="105" t="s">
        <v>339</v>
      </c>
      <c r="Q1649" s="494">
        <v>0</v>
      </c>
      <c r="R1649" s="494">
        <v>0</v>
      </c>
      <c r="S1649" s="494">
        <v>33581</v>
      </c>
      <c r="T1649" s="494">
        <v>33581</v>
      </c>
      <c r="U1649" s="494">
        <v>9838</v>
      </c>
      <c r="V1649" s="493">
        <v>2024</v>
      </c>
      <c r="W1649" s="495"/>
      <c r="X1649" s="496">
        <f t="shared" si="106"/>
        <v>3.4133970319170563</v>
      </c>
      <c r="Y1649" s="497" t="str">
        <f t="shared" si="108"/>
        <v/>
      </c>
      <c r="Z1649" s="497" t="str">
        <f t="shared" si="108"/>
        <v/>
      </c>
    </row>
    <row r="1650" spans="1:26" s="82" customFormat="1" x14ac:dyDescent="0.4">
      <c r="A1650" s="493">
        <v>61642</v>
      </c>
      <c r="B1650" s="105" t="s">
        <v>329</v>
      </c>
      <c r="C1650" s="493" t="s">
        <v>330</v>
      </c>
      <c r="D1650" s="105" t="s">
        <v>1934</v>
      </c>
      <c r="E1650" s="105" t="s">
        <v>1933</v>
      </c>
      <c r="F1650" s="493">
        <v>61252</v>
      </c>
      <c r="G1650" s="105" t="s">
        <v>52</v>
      </c>
      <c r="H1650" s="105" t="s">
        <v>333</v>
      </c>
      <c r="I1650" s="105" t="s">
        <v>334</v>
      </c>
      <c r="J1650" s="493">
        <v>22</v>
      </c>
      <c r="K1650" s="493">
        <v>2</v>
      </c>
      <c r="L1650" s="105" t="s">
        <v>343</v>
      </c>
      <c r="M1650" s="105" t="s">
        <v>336</v>
      </c>
      <c r="N1650" s="105" t="s">
        <v>337</v>
      </c>
      <c r="O1650" s="105" t="s">
        <v>338</v>
      </c>
      <c r="P1650" s="105" t="s">
        <v>339</v>
      </c>
      <c r="Q1650" s="494">
        <v>0</v>
      </c>
      <c r="R1650" s="494">
        <v>0</v>
      </c>
      <c r="S1650" s="494">
        <v>10716</v>
      </c>
      <c r="T1650" s="494">
        <v>10716</v>
      </c>
      <c r="U1650" s="494">
        <v>3139</v>
      </c>
      <c r="V1650" s="493">
        <v>2024</v>
      </c>
      <c r="W1650" s="495"/>
      <c r="X1650" s="496">
        <f t="shared" si="106"/>
        <v>3.4138260592545397</v>
      </c>
      <c r="Y1650" s="497" t="str">
        <f t="shared" si="108"/>
        <v/>
      </c>
      <c r="Z1650" s="497" t="str">
        <f t="shared" si="108"/>
        <v/>
      </c>
    </row>
    <row r="1651" spans="1:26" s="82" customFormat="1" ht="32" x14ac:dyDescent="0.4">
      <c r="A1651" s="493">
        <v>61673</v>
      </c>
      <c r="B1651" s="105" t="s">
        <v>329</v>
      </c>
      <c r="C1651" s="493" t="s">
        <v>330</v>
      </c>
      <c r="D1651" s="105" t="s">
        <v>1935</v>
      </c>
      <c r="E1651" s="105" t="s">
        <v>1935</v>
      </c>
      <c r="F1651" s="493">
        <v>58261</v>
      </c>
      <c r="G1651" s="105" t="s">
        <v>52</v>
      </c>
      <c r="H1651" s="105" t="s">
        <v>333</v>
      </c>
      <c r="I1651" s="105" t="s">
        <v>334</v>
      </c>
      <c r="J1651" s="493">
        <v>22</v>
      </c>
      <c r="K1651" s="493">
        <v>2</v>
      </c>
      <c r="L1651" s="105" t="s">
        <v>343</v>
      </c>
      <c r="M1651" s="105" t="s">
        <v>695</v>
      </c>
      <c r="N1651" s="105" t="s">
        <v>696</v>
      </c>
      <c r="O1651" s="105" t="s">
        <v>696</v>
      </c>
      <c r="P1651" s="105" t="s">
        <v>339</v>
      </c>
      <c r="Q1651" s="494">
        <v>0</v>
      </c>
      <c r="R1651" s="494">
        <v>0</v>
      </c>
      <c r="S1651" s="494">
        <v>784141</v>
      </c>
      <c r="T1651" s="494">
        <v>784141</v>
      </c>
      <c r="U1651" s="494">
        <v>229819</v>
      </c>
      <c r="V1651" s="493">
        <v>2024</v>
      </c>
      <c r="W1651" s="495"/>
      <c r="X1651" s="496">
        <f t="shared" si="106"/>
        <v>3.4119937864145262</v>
      </c>
      <c r="Y1651" s="497" t="str">
        <f t="shared" si="108"/>
        <v/>
      </c>
      <c r="Z1651" s="497" t="str">
        <f t="shared" si="108"/>
        <v/>
      </c>
    </row>
    <row r="1652" spans="1:26" s="82" customFormat="1" ht="32" x14ac:dyDescent="0.4">
      <c r="A1652" s="493">
        <v>61702</v>
      </c>
      <c r="B1652" s="105" t="s">
        <v>329</v>
      </c>
      <c r="C1652" s="493" t="s">
        <v>330</v>
      </c>
      <c r="D1652" s="105" t="s">
        <v>1936</v>
      </c>
      <c r="E1652" s="105" t="s">
        <v>1937</v>
      </c>
      <c r="F1652" s="493">
        <v>61335</v>
      </c>
      <c r="G1652" s="105" t="s">
        <v>33</v>
      </c>
      <c r="H1652" s="105" t="s">
        <v>342</v>
      </c>
      <c r="I1652" s="105" t="s">
        <v>334</v>
      </c>
      <c r="J1652" s="493">
        <v>22</v>
      </c>
      <c r="K1652" s="493">
        <v>2</v>
      </c>
      <c r="L1652" s="105" t="s">
        <v>343</v>
      </c>
      <c r="M1652" s="105" t="s">
        <v>359</v>
      </c>
      <c r="N1652" s="105" t="s">
        <v>252</v>
      </c>
      <c r="O1652" s="105" t="s">
        <v>688</v>
      </c>
      <c r="P1652" s="105" t="s">
        <v>356</v>
      </c>
      <c r="Q1652" s="494">
        <v>480607</v>
      </c>
      <c r="R1652" s="494">
        <v>480607</v>
      </c>
      <c r="S1652" s="494">
        <v>245110</v>
      </c>
      <c r="T1652" s="494">
        <v>245110</v>
      </c>
      <c r="U1652" s="494">
        <v>16881</v>
      </c>
      <c r="V1652" s="493">
        <v>2024</v>
      </c>
      <c r="W1652" s="495"/>
      <c r="X1652" s="496">
        <f t="shared" si="106"/>
        <v>14.519874415022807</v>
      </c>
      <c r="Y1652" s="497" t="str">
        <f t="shared" si="108"/>
        <v/>
      </c>
      <c r="Z1652" s="497" t="str">
        <f t="shared" si="108"/>
        <v/>
      </c>
    </row>
    <row r="1653" spans="1:26" s="82" customFormat="1" ht="32" x14ac:dyDescent="0.4">
      <c r="A1653" s="493">
        <v>61703</v>
      </c>
      <c r="B1653" s="105" t="s">
        <v>433</v>
      </c>
      <c r="C1653" s="493" t="s">
        <v>330</v>
      </c>
      <c r="D1653" s="105" t="s">
        <v>1938</v>
      </c>
      <c r="E1653" s="105" t="s">
        <v>1939</v>
      </c>
      <c r="F1653" s="493">
        <v>61332</v>
      </c>
      <c r="G1653" s="105" t="s">
        <v>37</v>
      </c>
      <c r="H1653" s="105" t="s">
        <v>342</v>
      </c>
      <c r="I1653" s="105" t="s">
        <v>334</v>
      </c>
      <c r="J1653" s="493">
        <v>336</v>
      </c>
      <c r="K1653" s="493">
        <v>7</v>
      </c>
      <c r="L1653" s="105" t="s">
        <v>727</v>
      </c>
      <c r="M1653" s="105" t="s">
        <v>295</v>
      </c>
      <c r="N1653" s="105" t="s">
        <v>226</v>
      </c>
      <c r="O1653" s="105" t="s">
        <v>226</v>
      </c>
      <c r="P1653" s="105" t="s">
        <v>350</v>
      </c>
      <c r="Q1653" s="494">
        <v>213</v>
      </c>
      <c r="R1653" s="494">
        <v>173</v>
      </c>
      <c r="S1653" s="494">
        <v>1225</v>
      </c>
      <c r="T1653" s="494">
        <v>986</v>
      </c>
      <c r="U1653" s="494">
        <v>85.25</v>
      </c>
      <c r="V1653" s="493">
        <v>2024</v>
      </c>
      <c r="W1653" s="495"/>
      <c r="X1653" s="496" t="str">
        <f t="shared" si="106"/>
        <v/>
      </c>
      <c r="Y1653" s="497" t="str">
        <f t="shared" si="108"/>
        <v/>
      </c>
      <c r="Z1653" s="497" t="str">
        <f t="shared" si="108"/>
        <v/>
      </c>
    </row>
    <row r="1654" spans="1:26" s="82" customFormat="1" ht="32" x14ac:dyDescent="0.4">
      <c r="A1654" s="493">
        <v>61703</v>
      </c>
      <c r="B1654" s="105" t="s">
        <v>433</v>
      </c>
      <c r="C1654" s="493" t="s">
        <v>330</v>
      </c>
      <c r="D1654" s="105" t="s">
        <v>1938</v>
      </c>
      <c r="E1654" s="105" t="s">
        <v>1939</v>
      </c>
      <c r="F1654" s="493">
        <v>61332</v>
      </c>
      <c r="G1654" s="105" t="s">
        <v>37</v>
      </c>
      <c r="H1654" s="105" t="s">
        <v>342</v>
      </c>
      <c r="I1654" s="105" t="s">
        <v>334</v>
      </c>
      <c r="J1654" s="493">
        <v>336</v>
      </c>
      <c r="K1654" s="493">
        <v>7</v>
      </c>
      <c r="L1654" s="105" t="s">
        <v>727</v>
      </c>
      <c r="M1654" s="105" t="s">
        <v>295</v>
      </c>
      <c r="N1654" s="105" t="s">
        <v>228</v>
      </c>
      <c r="O1654" s="105" t="s">
        <v>228</v>
      </c>
      <c r="P1654" s="105" t="s">
        <v>356</v>
      </c>
      <c r="Q1654" s="494">
        <v>739501</v>
      </c>
      <c r="R1654" s="494">
        <v>595691</v>
      </c>
      <c r="S1654" s="494">
        <v>761688</v>
      </c>
      <c r="T1654" s="494">
        <v>613560</v>
      </c>
      <c r="U1654" s="494">
        <v>53017.75</v>
      </c>
      <c r="V1654" s="493">
        <v>2024</v>
      </c>
      <c r="W1654" s="495"/>
      <c r="X1654" s="496" t="str">
        <f t="shared" si="106"/>
        <v/>
      </c>
      <c r="Y1654" s="497">
        <f t="shared" si="108"/>
        <v>6.6512315843907626</v>
      </c>
      <c r="Z1654" s="497">
        <f t="shared" si="108"/>
        <v>6.6512315843907626</v>
      </c>
    </row>
    <row r="1655" spans="1:26" s="82" customFormat="1" ht="32" x14ac:dyDescent="0.4">
      <c r="A1655" s="493">
        <v>61703</v>
      </c>
      <c r="B1655" s="105" t="s">
        <v>433</v>
      </c>
      <c r="C1655" s="493" t="s">
        <v>330</v>
      </c>
      <c r="D1655" s="105" t="s">
        <v>1938</v>
      </c>
      <c r="E1655" s="105" t="s">
        <v>1939</v>
      </c>
      <c r="F1655" s="493">
        <v>61332</v>
      </c>
      <c r="G1655" s="105" t="s">
        <v>37</v>
      </c>
      <c r="H1655" s="105" t="s">
        <v>342</v>
      </c>
      <c r="I1655" s="105" t="s">
        <v>334</v>
      </c>
      <c r="J1655" s="493">
        <v>336</v>
      </c>
      <c r="K1655" s="493">
        <v>7</v>
      </c>
      <c r="L1655" s="105" t="s">
        <v>727</v>
      </c>
      <c r="M1655" s="105" t="s">
        <v>655</v>
      </c>
      <c r="N1655" s="105" t="s">
        <v>656</v>
      </c>
      <c r="O1655" s="105" t="s">
        <v>656</v>
      </c>
      <c r="P1655" s="105" t="s">
        <v>339</v>
      </c>
      <c r="Q1655" s="494">
        <v>0</v>
      </c>
      <c r="R1655" s="494">
        <v>0</v>
      </c>
      <c r="S1655" s="494">
        <v>88</v>
      </c>
      <c r="T1655" s="494">
        <v>88</v>
      </c>
      <c r="U1655" s="494">
        <v>26</v>
      </c>
      <c r="V1655" s="493">
        <v>2024</v>
      </c>
      <c r="W1655" s="495"/>
      <c r="X1655" s="496" t="str">
        <f t="shared" si="106"/>
        <v/>
      </c>
      <c r="Y1655" s="497" t="str">
        <f t="shared" si="108"/>
        <v/>
      </c>
      <c r="Z1655" s="497" t="str">
        <f t="shared" si="108"/>
        <v/>
      </c>
    </row>
    <row r="1656" spans="1:26" s="82" customFormat="1" x14ac:dyDescent="0.4">
      <c r="A1656" s="493">
        <v>61717</v>
      </c>
      <c r="B1656" s="105" t="s">
        <v>329</v>
      </c>
      <c r="C1656" s="493" t="s">
        <v>330</v>
      </c>
      <c r="D1656" s="105" t="s">
        <v>1940</v>
      </c>
      <c r="E1656" s="105" t="s">
        <v>1941</v>
      </c>
      <c r="F1656" s="493">
        <v>61347</v>
      </c>
      <c r="G1656" s="105" t="s">
        <v>52</v>
      </c>
      <c r="H1656" s="105" t="s">
        <v>333</v>
      </c>
      <c r="I1656" s="105" t="s">
        <v>334</v>
      </c>
      <c r="J1656" s="493">
        <v>22</v>
      </c>
      <c r="K1656" s="493">
        <v>2</v>
      </c>
      <c r="L1656" s="105" t="s">
        <v>343</v>
      </c>
      <c r="M1656" s="105" t="s">
        <v>655</v>
      </c>
      <c r="N1656" s="105" t="s">
        <v>656</v>
      </c>
      <c r="O1656" s="105" t="s">
        <v>656</v>
      </c>
      <c r="P1656" s="105" t="s">
        <v>339</v>
      </c>
      <c r="Q1656" s="494">
        <v>0</v>
      </c>
      <c r="R1656" s="494">
        <v>0</v>
      </c>
      <c r="S1656" s="494">
        <v>5456</v>
      </c>
      <c r="T1656" s="494">
        <v>5456</v>
      </c>
      <c r="U1656" s="494">
        <v>1599</v>
      </c>
      <c r="V1656" s="493">
        <v>2024</v>
      </c>
      <c r="W1656" s="495"/>
      <c r="X1656" s="496">
        <f t="shared" si="106"/>
        <v>3.4121325828642903</v>
      </c>
      <c r="Y1656" s="497" t="str">
        <f t="shared" si="108"/>
        <v/>
      </c>
      <c r="Z1656" s="497" t="str">
        <f t="shared" si="108"/>
        <v/>
      </c>
    </row>
    <row r="1657" spans="1:26" s="82" customFormat="1" x14ac:dyDescent="0.4">
      <c r="A1657" s="493">
        <v>61719</v>
      </c>
      <c r="B1657" s="105" t="s">
        <v>329</v>
      </c>
      <c r="C1657" s="493" t="s">
        <v>330</v>
      </c>
      <c r="D1657" s="105" t="s">
        <v>1942</v>
      </c>
      <c r="E1657" s="105" t="s">
        <v>1943</v>
      </c>
      <c r="F1657" s="493">
        <v>61345</v>
      </c>
      <c r="G1657" s="105" t="s">
        <v>52</v>
      </c>
      <c r="H1657" s="105" t="s">
        <v>333</v>
      </c>
      <c r="I1657" s="105" t="s">
        <v>334</v>
      </c>
      <c r="J1657" s="493">
        <v>22</v>
      </c>
      <c r="K1657" s="493">
        <v>2</v>
      </c>
      <c r="L1657" s="105" t="s">
        <v>343</v>
      </c>
      <c r="M1657" s="105" t="s">
        <v>655</v>
      </c>
      <c r="N1657" s="105" t="s">
        <v>656</v>
      </c>
      <c r="O1657" s="105" t="s">
        <v>656</v>
      </c>
      <c r="P1657" s="105" t="s">
        <v>339</v>
      </c>
      <c r="Q1657" s="494">
        <v>0</v>
      </c>
      <c r="R1657" s="494">
        <v>0</v>
      </c>
      <c r="S1657" s="494">
        <v>10995</v>
      </c>
      <c r="T1657" s="494">
        <v>10995</v>
      </c>
      <c r="U1657" s="494">
        <v>3222</v>
      </c>
      <c r="V1657" s="493">
        <v>2024</v>
      </c>
      <c r="W1657" s="495"/>
      <c r="X1657" s="496">
        <f t="shared" si="106"/>
        <v>3.4124767225325883</v>
      </c>
      <c r="Y1657" s="497" t="str">
        <f t="shared" si="108"/>
        <v/>
      </c>
      <c r="Z1657" s="497" t="str">
        <f t="shared" si="108"/>
        <v/>
      </c>
    </row>
    <row r="1658" spans="1:26" s="82" customFormat="1" x14ac:dyDescent="0.4">
      <c r="A1658" s="493">
        <v>61720</v>
      </c>
      <c r="B1658" s="105" t="s">
        <v>329</v>
      </c>
      <c r="C1658" s="493" t="s">
        <v>330</v>
      </c>
      <c r="D1658" s="105" t="s">
        <v>1944</v>
      </c>
      <c r="E1658" s="105" t="s">
        <v>1945</v>
      </c>
      <c r="F1658" s="493">
        <v>61346</v>
      </c>
      <c r="G1658" s="105" t="s">
        <v>52</v>
      </c>
      <c r="H1658" s="105" t="s">
        <v>333</v>
      </c>
      <c r="I1658" s="105" t="s">
        <v>334</v>
      </c>
      <c r="J1658" s="493">
        <v>22</v>
      </c>
      <c r="K1658" s="493">
        <v>2</v>
      </c>
      <c r="L1658" s="105" t="s">
        <v>343</v>
      </c>
      <c r="M1658" s="105" t="s">
        <v>655</v>
      </c>
      <c r="N1658" s="105" t="s">
        <v>656</v>
      </c>
      <c r="O1658" s="105" t="s">
        <v>656</v>
      </c>
      <c r="P1658" s="105" t="s">
        <v>339</v>
      </c>
      <c r="Q1658" s="494">
        <v>0</v>
      </c>
      <c r="R1658" s="494">
        <v>0</v>
      </c>
      <c r="S1658" s="494">
        <v>7885</v>
      </c>
      <c r="T1658" s="494">
        <v>7885</v>
      </c>
      <c r="U1658" s="494">
        <v>2311</v>
      </c>
      <c r="V1658" s="493">
        <v>2024</v>
      </c>
      <c r="W1658" s="495"/>
      <c r="X1658" s="496">
        <f t="shared" si="106"/>
        <v>3.4119428818693205</v>
      </c>
      <c r="Y1658" s="497" t="str">
        <f t="shared" si="108"/>
        <v/>
      </c>
      <c r="Z1658" s="497" t="str">
        <f t="shared" si="108"/>
        <v/>
      </c>
    </row>
    <row r="1659" spans="1:26" s="82" customFormat="1" ht="32" x14ac:dyDescent="0.4">
      <c r="A1659" s="493">
        <v>61724</v>
      </c>
      <c r="B1659" s="105" t="s">
        <v>329</v>
      </c>
      <c r="C1659" s="493" t="s">
        <v>330</v>
      </c>
      <c r="D1659" s="105" t="s">
        <v>1946</v>
      </c>
      <c r="E1659" s="105" t="s">
        <v>1778</v>
      </c>
      <c r="F1659" s="493">
        <v>60584</v>
      </c>
      <c r="G1659" s="105" t="s">
        <v>52</v>
      </c>
      <c r="H1659" s="105" t="s">
        <v>333</v>
      </c>
      <c r="I1659" s="105" t="s">
        <v>334</v>
      </c>
      <c r="J1659" s="493">
        <v>22</v>
      </c>
      <c r="K1659" s="493">
        <v>2</v>
      </c>
      <c r="L1659" s="105" t="s">
        <v>343</v>
      </c>
      <c r="M1659" s="105" t="s">
        <v>655</v>
      </c>
      <c r="N1659" s="105" t="s">
        <v>656</v>
      </c>
      <c r="O1659" s="105" t="s">
        <v>656</v>
      </c>
      <c r="P1659" s="105" t="s">
        <v>339</v>
      </c>
      <c r="Q1659" s="494">
        <v>0</v>
      </c>
      <c r="R1659" s="494">
        <v>0</v>
      </c>
      <c r="S1659" s="494">
        <v>8581</v>
      </c>
      <c r="T1659" s="494">
        <v>8581</v>
      </c>
      <c r="U1659" s="494">
        <v>2515</v>
      </c>
      <c r="V1659" s="493">
        <v>2024</v>
      </c>
      <c r="W1659" s="495"/>
      <c r="X1659" s="496">
        <f t="shared" si="106"/>
        <v>3.4119284294234591</v>
      </c>
      <c r="Y1659" s="497" t="str">
        <f t="shared" si="108"/>
        <v/>
      </c>
      <c r="Z1659" s="497" t="str">
        <f t="shared" si="108"/>
        <v/>
      </c>
    </row>
    <row r="1660" spans="1:26" s="82" customFormat="1" ht="32" x14ac:dyDescent="0.4">
      <c r="A1660" s="493">
        <v>61725</v>
      </c>
      <c r="B1660" s="105" t="s">
        <v>329</v>
      </c>
      <c r="C1660" s="493" t="s">
        <v>330</v>
      </c>
      <c r="D1660" s="105" t="s">
        <v>1947</v>
      </c>
      <c r="E1660" s="105" t="s">
        <v>1773</v>
      </c>
      <c r="F1660" s="493">
        <v>60571</v>
      </c>
      <c r="G1660" s="105" t="s">
        <v>52</v>
      </c>
      <c r="H1660" s="105" t="s">
        <v>333</v>
      </c>
      <c r="I1660" s="105" t="s">
        <v>334</v>
      </c>
      <c r="J1660" s="493">
        <v>22</v>
      </c>
      <c r="K1660" s="493">
        <v>2</v>
      </c>
      <c r="L1660" s="105" t="s">
        <v>343</v>
      </c>
      <c r="M1660" s="105" t="s">
        <v>655</v>
      </c>
      <c r="N1660" s="105" t="s">
        <v>656</v>
      </c>
      <c r="O1660" s="105" t="s">
        <v>656</v>
      </c>
      <c r="P1660" s="105" t="s">
        <v>339</v>
      </c>
      <c r="Q1660" s="494">
        <v>0</v>
      </c>
      <c r="R1660" s="494">
        <v>0</v>
      </c>
      <c r="S1660" s="494">
        <v>7309</v>
      </c>
      <c r="T1660" s="494">
        <v>7309</v>
      </c>
      <c r="U1660" s="494">
        <v>2142</v>
      </c>
      <c r="V1660" s="493">
        <v>2024</v>
      </c>
      <c r="W1660" s="495"/>
      <c r="X1660" s="496">
        <f t="shared" si="106"/>
        <v>3.4122315592903827</v>
      </c>
      <c r="Y1660" s="497" t="str">
        <f t="shared" si="108"/>
        <v/>
      </c>
      <c r="Z1660" s="497" t="str">
        <f t="shared" si="108"/>
        <v/>
      </c>
    </row>
    <row r="1661" spans="1:26" s="82" customFormat="1" ht="32" x14ac:dyDescent="0.4">
      <c r="A1661" s="493">
        <v>61726</v>
      </c>
      <c r="B1661" s="105" t="s">
        <v>329</v>
      </c>
      <c r="C1661" s="493" t="s">
        <v>330</v>
      </c>
      <c r="D1661" s="105" t="s">
        <v>1948</v>
      </c>
      <c r="E1661" s="105" t="s">
        <v>1778</v>
      </c>
      <c r="F1661" s="493">
        <v>60584</v>
      </c>
      <c r="G1661" s="105" t="s">
        <v>33</v>
      </c>
      <c r="H1661" s="105" t="s">
        <v>342</v>
      </c>
      <c r="I1661" s="105" t="s">
        <v>334</v>
      </c>
      <c r="J1661" s="493">
        <v>22</v>
      </c>
      <c r="K1661" s="493">
        <v>2</v>
      </c>
      <c r="L1661" s="105" t="s">
        <v>343</v>
      </c>
      <c r="M1661" s="105" t="s">
        <v>655</v>
      </c>
      <c r="N1661" s="105" t="s">
        <v>656</v>
      </c>
      <c r="O1661" s="105" t="s">
        <v>656</v>
      </c>
      <c r="P1661" s="105" t="s">
        <v>339</v>
      </c>
      <c r="Q1661" s="494">
        <v>0</v>
      </c>
      <c r="R1661" s="494">
        <v>0</v>
      </c>
      <c r="S1661" s="494">
        <v>11231</v>
      </c>
      <c r="T1661" s="494">
        <v>11231</v>
      </c>
      <c r="U1661" s="494">
        <v>3292</v>
      </c>
      <c r="V1661" s="493">
        <v>2024</v>
      </c>
      <c r="W1661" s="495"/>
      <c r="X1661" s="496">
        <f t="shared" si="106"/>
        <v>3.4116038882138517</v>
      </c>
      <c r="Y1661" s="497" t="str">
        <f t="shared" si="108"/>
        <v/>
      </c>
      <c r="Z1661" s="497" t="str">
        <f t="shared" si="108"/>
        <v/>
      </c>
    </row>
    <row r="1662" spans="1:26" s="82" customFormat="1" ht="32" x14ac:dyDescent="0.4">
      <c r="A1662" s="493">
        <v>61727</v>
      </c>
      <c r="B1662" s="105" t="s">
        <v>329</v>
      </c>
      <c r="C1662" s="493" t="s">
        <v>330</v>
      </c>
      <c r="D1662" s="105" t="s">
        <v>1949</v>
      </c>
      <c r="E1662" s="105" t="s">
        <v>1778</v>
      </c>
      <c r="F1662" s="493">
        <v>60584</v>
      </c>
      <c r="G1662" s="105" t="s">
        <v>33</v>
      </c>
      <c r="H1662" s="105" t="s">
        <v>342</v>
      </c>
      <c r="I1662" s="105" t="s">
        <v>334</v>
      </c>
      <c r="J1662" s="493">
        <v>22</v>
      </c>
      <c r="K1662" s="493">
        <v>2</v>
      </c>
      <c r="L1662" s="105" t="s">
        <v>343</v>
      </c>
      <c r="M1662" s="105" t="s">
        <v>655</v>
      </c>
      <c r="N1662" s="105" t="s">
        <v>656</v>
      </c>
      <c r="O1662" s="105" t="s">
        <v>656</v>
      </c>
      <c r="P1662" s="105" t="s">
        <v>339</v>
      </c>
      <c r="Q1662" s="494">
        <v>0</v>
      </c>
      <c r="R1662" s="494">
        <v>0</v>
      </c>
      <c r="S1662" s="494">
        <v>17302</v>
      </c>
      <c r="T1662" s="494">
        <v>17302</v>
      </c>
      <c r="U1662" s="494">
        <v>5071</v>
      </c>
      <c r="V1662" s="493">
        <v>2024</v>
      </c>
      <c r="W1662" s="495"/>
      <c r="X1662" s="496">
        <f t="shared" si="106"/>
        <v>3.4119503056596332</v>
      </c>
      <c r="Y1662" s="497" t="str">
        <f t="shared" si="108"/>
        <v/>
      </c>
      <c r="Z1662" s="497" t="str">
        <f t="shared" si="108"/>
        <v/>
      </c>
    </row>
    <row r="1663" spans="1:26" s="82" customFormat="1" ht="32" x14ac:dyDescent="0.4">
      <c r="A1663" s="493">
        <v>61728</v>
      </c>
      <c r="B1663" s="105" t="s">
        <v>329</v>
      </c>
      <c r="C1663" s="493" t="s">
        <v>330</v>
      </c>
      <c r="D1663" s="105" t="s">
        <v>1950</v>
      </c>
      <c r="E1663" s="105" t="s">
        <v>1778</v>
      </c>
      <c r="F1663" s="493">
        <v>60584</v>
      </c>
      <c r="G1663" s="105" t="s">
        <v>37</v>
      </c>
      <c r="H1663" s="105" t="s">
        <v>342</v>
      </c>
      <c r="I1663" s="105" t="s">
        <v>334</v>
      </c>
      <c r="J1663" s="493">
        <v>22</v>
      </c>
      <c r="K1663" s="493">
        <v>2</v>
      </c>
      <c r="L1663" s="105" t="s">
        <v>343</v>
      </c>
      <c r="M1663" s="105" t="s">
        <v>655</v>
      </c>
      <c r="N1663" s="105" t="s">
        <v>656</v>
      </c>
      <c r="O1663" s="105" t="s">
        <v>656</v>
      </c>
      <c r="P1663" s="105" t="s">
        <v>339</v>
      </c>
      <c r="Q1663" s="494">
        <v>0</v>
      </c>
      <c r="R1663" s="494">
        <v>0</v>
      </c>
      <c r="S1663" s="494">
        <v>9142</v>
      </c>
      <c r="T1663" s="494">
        <v>9142</v>
      </c>
      <c r="U1663" s="494">
        <v>2679</v>
      </c>
      <c r="V1663" s="493">
        <v>2024</v>
      </c>
      <c r="W1663" s="495"/>
      <c r="X1663" s="496">
        <f t="shared" si="106"/>
        <v>3.4124673385591637</v>
      </c>
      <c r="Y1663" s="497" t="str">
        <f t="shared" si="108"/>
        <v/>
      </c>
      <c r="Z1663" s="497" t="str">
        <f t="shared" si="108"/>
        <v/>
      </c>
    </row>
    <row r="1664" spans="1:26" s="82" customFormat="1" x14ac:dyDescent="0.4">
      <c r="A1664" s="493">
        <v>61730</v>
      </c>
      <c r="B1664" s="105" t="s">
        <v>329</v>
      </c>
      <c r="C1664" s="493" t="s">
        <v>330</v>
      </c>
      <c r="D1664" s="105" t="s">
        <v>1951</v>
      </c>
      <c r="E1664" s="105" t="s">
        <v>1952</v>
      </c>
      <c r="F1664" s="493">
        <v>58764</v>
      </c>
      <c r="G1664" s="105" t="s">
        <v>33</v>
      </c>
      <c r="H1664" s="105" t="s">
        <v>342</v>
      </c>
      <c r="I1664" s="105" t="s">
        <v>334</v>
      </c>
      <c r="J1664" s="493">
        <v>22</v>
      </c>
      <c r="K1664" s="493">
        <v>2</v>
      </c>
      <c r="L1664" s="105" t="s">
        <v>343</v>
      </c>
      <c r="M1664" s="105" t="s">
        <v>403</v>
      </c>
      <c r="N1664" s="105" t="s">
        <v>404</v>
      </c>
      <c r="O1664" s="105" t="s">
        <v>232</v>
      </c>
      <c r="P1664" s="105" t="s">
        <v>346</v>
      </c>
      <c r="Q1664" s="494">
        <v>277</v>
      </c>
      <c r="R1664" s="494">
        <v>277</v>
      </c>
      <c r="S1664" s="494">
        <v>0</v>
      </c>
      <c r="T1664" s="494">
        <v>0</v>
      </c>
      <c r="U1664" s="494">
        <v>-23</v>
      </c>
      <c r="V1664" s="493">
        <v>2024</v>
      </c>
      <c r="W1664" s="495"/>
      <c r="X1664" s="496" t="str">
        <f t="shared" si="106"/>
        <v/>
      </c>
      <c r="Y1664" s="497" t="str">
        <f t="shared" si="108"/>
        <v/>
      </c>
      <c r="Z1664" s="497" t="str">
        <f t="shared" si="108"/>
        <v/>
      </c>
    </row>
    <row r="1665" spans="1:26" s="82" customFormat="1" x14ac:dyDescent="0.4">
      <c r="A1665" s="493">
        <v>61730</v>
      </c>
      <c r="B1665" s="105" t="s">
        <v>329</v>
      </c>
      <c r="C1665" s="493" t="s">
        <v>330</v>
      </c>
      <c r="D1665" s="105" t="s">
        <v>1951</v>
      </c>
      <c r="E1665" s="105" t="s">
        <v>1952</v>
      </c>
      <c r="F1665" s="493">
        <v>58764</v>
      </c>
      <c r="G1665" s="105" t="s">
        <v>33</v>
      </c>
      <c r="H1665" s="105" t="s">
        <v>342</v>
      </c>
      <c r="I1665" s="105" t="s">
        <v>334</v>
      </c>
      <c r="J1665" s="493">
        <v>22</v>
      </c>
      <c r="K1665" s="493">
        <v>2</v>
      </c>
      <c r="L1665" s="105" t="s">
        <v>343</v>
      </c>
      <c r="M1665" s="105" t="s">
        <v>655</v>
      </c>
      <c r="N1665" s="105" t="s">
        <v>656</v>
      </c>
      <c r="O1665" s="105" t="s">
        <v>656</v>
      </c>
      <c r="P1665" s="105" t="s">
        <v>339</v>
      </c>
      <c r="Q1665" s="494">
        <v>0</v>
      </c>
      <c r="R1665" s="494">
        <v>0</v>
      </c>
      <c r="S1665" s="494">
        <v>3877</v>
      </c>
      <c r="T1665" s="494">
        <v>3877</v>
      </c>
      <c r="U1665" s="494">
        <v>1136</v>
      </c>
      <c r="V1665" s="493">
        <v>2024</v>
      </c>
      <c r="W1665" s="495"/>
      <c r="X1665" s="496">
        <f t="shared" si="106"/>
        <v>3.4128521126760565</v>
      </c>
      <c r="Y1665" s="497" t="str">
        <f t="shared" si="108"/>
        <v/>
      </c>
      <c r="Z1665" s="497" t="str">
        <f t="shared" si="108"/>
        <v/>
      </c>
    </row>
    <row r="1666" spans="1:26" s="82" customFormat="1" ht="32" x14ac:dyDescent="0.4">
      <c r="A1666" s="493">
        <v>61731</v>
      </c>
      <c r="B1666" s="105" t="s">
        <v>329</v>
      </c>
      <c r="C1666" s="493" t="s">
        <v>330</v>
      </c>
      <c r="D1666" s="105" t="s">
        <v>1953</v>
      </c>
      <c r="E1666" s="105" t="s">
        <v>1313</v>
      </c>
      <c r="F1666" s="493">
        <v>60281</v>
      </c>
      <c r="G1666" s="105" t="s">
        <v>33</v>
      </c>
      <c r="H1666" s="105" t="s">
        <v>342</v>
      </c>
      <c r="I1666" s="105" t="s">
        <v>334</v>
      </c>
      <c r="J1666" s="493">
        <v>22</v>
      </c>
      <c r="K1666" s="493">
        <v>2</v>
      </c>
      <c r="L1666" s="105" t="s">
        <v>343</v>
      </c>
      <c r="M1666" s="105" t="s">
        <v>655</v>
      </c>
      <c r="N1666" s="105" t="s">
        <v>656</v>
      </c>
      <c r="O1666" s="105" t="s">
        <v>656</v>
      </c>
      <c r="P1666" s="105" t="s">
        <v>339</v>
      </c>
      <c r="Q1666" s="494">
        <v>0</v>
      </c>
      <c r="R1666" s="494">
        <v>0</v>
      </c>
      <c r="S1666" s="494">
        <v>24244</v>
      </c>
      <c r="T1666" s="494">
        <v>24244</v>
      </c>
      <c r="U1666" s="494">
        <v>7105</v>
      </c>
      <c r="V1666" s="493">
        <v>2024</v>
      </c>
      <c r="W1666" s="495"/>
      <c r="X1666" s="496">
        <f t="shared" si="106"/>
        <v>3.4122448979591837</v>
      </c>
      <c r="Y1666" s="497" t="str">
        <f t="shared" si="108"/>
        <v/>
      </c>
      <c r="Z1666" s="497" t="str">
        <f t="shared" si="108"/>
        <v/>
      </c>
    </row>
    <row r="1667" spans="1:26" s="82" customFormat="1" ht="32" x14ac:dyDescent="0.4">
      <c r="A1667" s="493">
        <v>61732</v>
      </c>
      <c r="B1667" s="105" t="s">
        <v>329</v>
      </c>
      <c r="C1667" s="493" t="s">
        <v>330</v>
      </c>
      <c r="D1667" s="105" t="s">
        <v>1954</v>
      </c>
      <c r="E1667" s="105" t="s">
        <v>1313</v>
      </c>
      <c r="F1667" s="493">
        <v>60281</v>
      </c>
      <c r="G1667" s="105" t="s">
        <v>33</v>
      </c>
      <c r="H1667" s="105" t="s">
        <v>342</v>
      </c>
      <c r="I1667" s="105" t="s">
        <v>334</v>
      </c>
      <c r="J1667" s="493">
        <v>22</v>
      </c>
      <c r="K1667" s="493">
        <v>2</v>
      </c>
      <c r="L1667" s="105" t="s">
        <v>343</v>
      </c>
      <c r="M1667" s="105" t="s">
        <v>655</v>
      </c>
      <c r="N1667" s="105" t="s">
        <v>656</v>
      </c>
      <c r="O1667" s="105" t="s">
        <v>656</v>
      </c>
      <c r="P1667" s="105" t="s">
        <v>339</v>
      </c>
      <c r="Q1667" s="494">
        <v>0</v>
      </c>
      <c r="R1667" s="494">
        <v>0</v>
      </c>
      <c r="S1667" s="494">
        <v>20315</v>
      </c>
      <c r="T1667" s="494">
        <v>20315</v>
      </c>
      <c r="U1667" s="494">
        <v>5954</v>
      </c>
      <c r="V1667" s="493">
        <v>2024</v>
      </c>
      <c r="W1667" s="495"/>
      <c r="X1667" s="496">
        <f t="shared" si="106"/>
        <v>3.4119919381928114</v>
      </c>
      <c r="Y1667" s="497" t="str">
        <f t="shared" si="108"/>
        <v/>
      </c>
      <c r="Z1667" s="497" t="str">
        <f t="shared" si="108"/>
        <v/>
      </c>
    </row>
    <row r="1668" spans="1:26" s="82" customFormat="1" ht="32" x14ac:dyDescent="0.4">
      <c r="A1668" s="493">
        <v>61734</v>
      </c>
      <c r="B1668" s="105" t="s">
        <v>329</v>
      </c>
      <c r="C1668" s="493" t="s">
        <v>330</v>
      </c>
      <c r="D1668" s="105" t="s">
        <v>1955</v>
      </c>
      <c r="E1668" s="105" t="s">
        <v>1956</v>
      </c>
      <c r="F1668" s="493">
        <v>61363</v>
      </c>
      <c r="G1668" s="105" t="s">
        <v>52</v>
      </c>
      <c r="H1668" s="105" t="s">
        <v>333</v>
      </c>
      <c r="I1668" s="105" t="s">
        <v>334</v>
      </c>
      <c r="J1668" s="493">
        <v>441</v>
      </c>
      <c r="K1668" s="493">
        <v>4</v>
      </c>
      <c r="L1668" s="105" t="s">
        <v>766</v>
      </c>
      <c r="M1668" s="105" t="s">
        <v>695</v>
      </c>
      <c r="N1668" s="105" t="s">
        <v>696</v>
      </c>
      <c r="O1668" s="105" t="s">
        <v>696</v>
      </c>
      <c r="P1668" s="105" t="s">
        <v>339</v>
      </c>
      <c r="Q1668" s="494">
        <v>0</v>
      </c>
      <c r="R1668" s="494">
        <v>0</v>
      </c>
      <c r="S1668" s="494">
        <v>9440</v>
      </c>
      <c r="T1668" s="494">
        <v>9440</v>
      </c>
      <c r="U1668" s="494">
        <v>2767</v>
      </c>
      <c r="V1668" s="493">
        <v>2024</v>
      </c>
      <c r="W1668" s="495"/>
      <c r="X1668" s="496" t="str">
        <f t="shared" si="106"/>
        <v/>
      </c>
      <c r="Y1668" s="497" t="str">
        <f t="shared" ref="Y1668:Z1687" si="109">IF(AND($M1668=$Y$2,$N1668=$Y$3,NOT($Q1668=$R1668),NOT($U1668=0)),IF($K1668=5,$S1668/($U1668+(8/5)*$U1668),IF($K1668=7,$S1668/($U1668+(29/25)*$U1668),"")),"")</f>
        <v/>
      </c>
      <c r="Z1668" s="497" t="str">
        <f t="shared" si="109"/>
        <v/>
      </c>
    </row>
    <row r="1669" spans="1:26" s="82" customFormat="1" x14ac:dyDescent="0.4">
      <c r="A1669" s="493">
        <v>61736</v>
      </c>
      <c r="B1669" s="105" t="s">
        <v>329</v>
      </c>
      <c r="C1669" s="493" t="s">
        <v>330</v>
      </c>
      <c r="D1669" s="105" t="s">
        <v>1957</v>
      </c>
      <c r="E1669" s="105" t="s">
        <v>1958</v>
      </c>
      <c r="F1669" s="493">
        <v>61366</v>
      </c>
      <c r="G1669" s="105" t="s">
        <v>37</v>
      </c>
      <c r="H1669" s="105" t="s">
        <v>342</v>
      </c>
      <c r="I1669" s="105" t="s">
        <v>334</v>
      </c>
      <c r="J1669" s="493">
        <v>22</v>
      </c>
      <c r="K1669" s="493">
        <v>2</v>
      </c>
      <c r="L1669" s="105" t="s">
        <v>343</v>
      </c>
      <c r="M1669" s="105" t="s">
        <v>655</v>
      </c>
      <c r="N1669" s="105" t="s">
        <v>656</v>
      </c>
      <c r="O1669" s="105" t="s">
        <v>656</v>
      </c>
      <c r="P1669" s="105" t="s">
        <v>339</v>
      </c>
      <c r="Q1669" s="494">
        <v>0</v>
      </c>
      <c r="R1669" s="494">
        <v>0</v>
      </c>
      <c r="S1669" s="494">
        <v>85293</v>
      </c>
      <c r="T1669" s="494">
        <v>85293</v>
      </c>
      <c r="U1669" s="494">
        <v>24998</v>
      </c>
      <c r="V1669" s="493">
        <v>2024</v>
      </c>
      <c r="W1669" s="495"/>
      <c r="X1669" s="496">
        <f t="shared" si="106"/>
        <v>3.4119929594367551</v>
      </c>
      <c r="Y1669" s="497" t="str">
        <f t="shared" si="109"/>
        <v/>
      </c>
      <c r="Z1669" s="497" t="str">
        <f t="shared" si="109"/>
        <v/>
      </c>
    </row>
    <row r="1670" spans="1:26" s="82" customFormat="1" ht="32" x14ac:dyDescent="0.4">
      <c r="A1670" s="493">
        <v>61739</v>
      </c>
      <c r="B1670" s="105" t="s">
        <v>329</v>
      </c>
      <c r="C1670" s="493" t="s">
        <v>330</v>
      </c>
      <c r="D1670" s="105" t="s">
        <v>1959</v>
      </c>
      <c r="E1670" s="105" t="s">
        <v>1959</v>
      </c>
      <c r="F1670" s="493">
        <v>61364</v>
      </c>
      <c r="G1670" s="105" t="s">
        <v>52</v>
      </c>
      <c r="H1670" s="105" t="s">
        <v>333</v>
      </c>
      <c r="I1670" s="105" t="s">
        <v>334</v>
      </c>
      <c r="J1670" s="493">
        <v>339</v>
      </c>
      <c r="K1670" s="493">
        <v>6</v>
      </c>
      <c r="L1670" s="105" t="s">
        <v>729</v>
      </c>
      <c r="M1670" s="105" t="s">
        <v>403</v>
      </c>
      <c r="N1670" s="105" t="s">
        <v>404</v>
      </c>
      <c r="O1670" s="105" t="s">
        <v>232</v>
      </c>
      <c r="P1670" s="105" t="s">
        <v>346</v>
      </c>
      <c r="Q1670" s="494">
        <v>0</v>
      </c>
      <c r="R1670" s="494">
        <v>0</v>
      </c>
      <c r="S1670" s="494">
        <v>0</v>
      </c>
      <c r="T1670" s="494">
        <v>0</v>
      </c>
      <c r="U1670" s="494">
        <v>0</v>
      </c>
      <c r="V1670" s="493">
        <v>2024</v>
      </c>
      <c r="W1670" s="495"/>
      <c r="X1670" s="496" t="str">
        <f t="shared" si="106"/>
        <v/>
      </c>
      <c r="Y1670" s="497" t="str">
        <f t="shared" si="109"/>
        <v/>
      </c>
      <c r="Z1670" s="497" t="str">
        <f t="shared" si="109"/>
        <v/>
      </c>
    </row>
    <row r="1671" spans="1:26" s="82" customFormat="1" ht="32" x14ac:dyDescent="0.4">
      <c r="A1671" s="493">
        <v>61743</v>
      </c>
      <c r="B1671" s="105" t="s">
        <v>329</v>
      </c>
      <c r="C1671" s="493" t="s">
        <v>330</v>
      </c>
      <c r="D1671" s="105" t="s">
        <v>1960</v>
      </c>
      <c r="E1671" s="105" t="s">
        <v>1961</v>
      </c>
      <c r="F1671" s="493">
        <v>60195</v>
      </c>
      <c r="G1671" s="105" t="s">
        <v>37</v>
      </c>
      <c r="H1671" s="105" t="s">
        <v>342</v>
      </c>
      <c r="I1671" s="105" t="s">
        <v>334</v>
      </c>
      <c r="J1671" s="493">
        <v>22</v>
      </c>
      <c r="K1671" s="493">
        <v>2</v>
      </c>
      <c r="L1671" s="105" t="s">
        <v>343</v>
      </c>
      <c r="M1671" s="105" t="s">
        <v>990</v>
      </c>
      <c r="N1671" s="105" t="s">
        <v>228</v>
      </c>
      <c r="O1671" s="105" t="s">
        <v>228</v>
      </c>
      <c r="P1671" s="105" t="s">
        <v>356</v>
      </c>
      <c r="Q1671" s="494">
        <v>276676</v>
      </c>
      <c r="R1671" s="494">
        <v>276676</v>
      </c>
      <c r="S1671" s="494">
        <v>282762</v>
      </c>
      <c r="T1671" s="494">
        <v>282762</v>
      </c>
      <c r="U1671" s="494">
        <v>43597</v>
      </c>
      <c r="V1671" s="493">
        <v>2024</v>
      </c>
      <c r="W1671" s="495"/>
      <c r="X1671" s="496">
        <f t="shared" si="106"/>
        <v>6.4858132440305525</v>
      </c>
      <c r="Y1671" s="497" t="str">
        <f t="shared" si="109"/>
        <v/>
      </c>
      <c r="Z1671" s="497" t="str">
        <f t="shared" si="109"/>
        <v/>
      </c>
    </row>
    <row r="1672" spans="1:26" s="82" customFormat="1" ht="32" x14ac:dyDescent="0.4">
      <c r="A1672" s="493">
        <v>61755</v>
      </c>
      <c r="B1672" s="105" t="s">
        <v>329</v>
      </c>
      <c r="C1672" s="493" t="s">
        <v>330</v>
      </c>
      <c r="D1672" s="105" t="s">
        <v>1962</v>
      </c>
      <c r="E1672" s="105" t="s">
        <v>1441</v>
      </c>
      <c r="F1672" s="493">
        <v>59254</v>
      </c>
      <c r="G1672" s="105" t="s">
        <v>33</v>
      </c>
      <c r="H1672" s="105" t="s">
        <v>342</v>
      </c>
      <c r="I1672" s="105" t="s">
        <v>334</v>
      </c>
      <c r="J1672" s="493">
        <v>22</v>
      </c>
      <c r="K1672" s="493">
        <v>2</v>
      </c>
      <c r="L1672" s="105" t="s">
        <v>343</v>
      </c>
      <c r="M1672" s="105" t="s">
        <v>655</v>
      </c>
      <c r="N1672" s="105" t="s">
        <v>656</v>
      </c>
      <c r="O1672" s="105" t="s">
        <v>656</v>
      </c>
      <c r="P1672" s="105" t="s">
        <v>339</v>
      </c>
      <c r="Q1672" s="494">
        <v>0</v>
      </c>
      <c r="R1672" s="494">
        <v>0</v>
      </c>
      <c r="S1672" s="494">
        <v>16772</v>
      </c>
      <c r="T1672" s="494">
        <v>16772</v>
      </c>
      <c r="U1672" s="494">
        <v>4916</v>
      </c>
      <c r="V1672" s="493">
        <v>2024</v>
      </c>
      <c r="W1672" s="495"/>
      <c r="X1672" s="496">
        <f t="shared" si="106"/>
        <v>3.4117168429617575</v>
      </c>
      <c r="Y1672" s="497" t="str">
        <f t="shared" si="109"/>
        <v/>
      </c>
      <c r="Z1672" s="497" t="str">
        <f t="shared" si="109"/>
        <v/>
      </c>
    </row>
    <row r="1673" spans="1:26" s="82" customFormat="1" ht="32" x14ac:dyDescent="0.4">
      <c r="A1673" s="493">
        <v>61764</v>
      </c>
      <c r="B1673" s="105" t="s">
        <v>329</v>
      </c>
      <c r="C1673" s="493" t="s">
        <v>330</v>
      </c>
      <c r="D1673" s="105" t="s">
        <v>1963</v>
      </c>
      <c r="E1673" s="105" t="s">
        <v>1964</v>
      </c>
      <c r="F1673" s="493">
        <v>61391</v>
      </c>
      <c r="G1673" s="105" t="s">
        <v>52</v>
      </c>
      <c r="H1673" s="105" t="s">
        <v>333</v>
      </c>
      <c r="I1673" s="105" t="s">
        <v>334</v>
      </c>
      <c r="J1673" s="493">
        <v>22</v>
      </c>
      <c r="K1673" s="493">
        <v>2</v>
      </c>
      <c r="L1673" s="105" t="s">
        <v>343</v>
      </c>
      <c r="M1673" s="105" t="s">
        <v>655</v>
      </c>
      <c r="N1673" s="105" t="s">
        <v>656</v>
      </c>
      <c r="O1673" s="105" t="s">
        <v>656</v>
      </c>
      <c r="P1673" s="105" t="s">
        <v>339</v>
      </c>
      <c r="Q1673" s="494">
        <v>0</v>
      </c>
      <c r="R1673" s="494">
        <v>0</v>
      </c>
      <c r="S1673" s="494">
        <v>9973</v>
      </c>
      <c r="T1673" s="494">
        <v>9973</v>
      </c>
      <c r="U1673" s="494">
        <v>2923</v>
      </c>
      <c r="V1673" s="493">
        <v>2024</v>
      </c>
      <c r="W1673" s="495"/>
      <c r="X1673" s="496">
        <f t="shared" ref="X1673:X1736" si="110">IF(OR(K1673&gt;3,T1673=0,NOT(U1673&gt;0)),"",T1673/U1673)</f>
        <v>3.4119055764625386</v>
      </c>
      <c r="Y1673" s="497" t="str">
        <f t="shared" si="109"/>
        <v/>
      </c>
      <c r="Z1673" s="497" t="str">
        <f t="shared" si="109"/>
        <v/>
      </c>
    </row>
    <row r="1674" spans="1:26" s="82" customFormat="1" x14ac:dyDescent="0.4">
      <c r="A1674" s="493">
        <v>61765</v>
      </c>
      <c r="B1674" s="105" t="s">
        <v>329</v>
      </c>
      <c r="C1674" s="493" t="s">
        <v>330</v>
      </c>
      <c r="D1674" s="105" t="s">
        <v>1965</v>
      </c>
      <c r="E1674" s="105" t="s">
        <v>1966</v>
      </c>
      <c r="F1674" s="493">
        <v>61387</v>
      </c>
      <c r="G1674" s="105" t="s">
        <v>52</v>
      </c>
      <c r="H1674" s="105" t="s">
        <v>333</v>
      </c>
      <c r="I1674" s="105" t="s">
        <v>334</v>
      </c>
      <c r="J1674" s="493">
        <v>22</v>
      </c>
      <c r="K1674" s="493">
        <v>2</v>
      </c>
      <c r="L1674" s="105" t="s">
        <v>343</v>
      </c>
      <c r="M1674" s="105" t="s">
        <v>655</v>
      </c>
      <c r="N1674" s="105" t="s">
        <v>656</v>
      </c>
      <c r="O1674" s="105" t="s">
        <v>656</v>
      </c>
      <c r="P1674" s="105" t="s">
        <v>339</v>
      </c>
      <c r="Q1674" s="494">
        <v>0</v>
      </c>
      <c r="R1674" s="494">
        <v>0</v>
      </c>
      <c r="S1674" s="494">
        <v>11251</v>
      </c>
      <c r="T1674" s="494">
        <v>11251</v>
      </c>
      <c r="U1674" s="494">
        <v>3298</v>
      </c>
      <c r="V1674" s="493">
        <v>2024</v>
      </c>
      <c r="W1674" s="495"/>
      <c r="X1674" s="496">
        <f t="shared" si="110"/>
        <v>3.41146149181322</v>
      </c>
      <c r="Y1674" s="497" t="str">
        <f t="shared" si="109"/>
        <v/>
      </c>
      <c r="Z1674" s="497" t="str">
        <f t="shared" si="109"/>
        <v/>
      </c>
    </row>
    <row r="1675" spans="1:26" s="82" customFormat="1" ht="32" x14ac:dyDescent="0.4">
      <c r="A1675" s="493">
        <v>61769</v>
      </c>
      <c r="B1675" s="105" t="s">
        <v>329</v>
      </c>
      <c r="C1675" s="493" t="s">
        <v>330</v>
      </c>
      <c r="D1675" s="105" t="s">
        <v>1967</v>
      </c>
      <c r="E1675" s="105" t="s">
        <v>1968</v>
      </c>
      <c r="F1675" s="493">
        <v>61388</v>
      </c>
      <c r="G1675" s="105" t="s">
        <v>33</v>
      </c>
      <c r="H1675" s="105" t="s">
        <v>342</v>
      </c>
      <c r="I1675" s="105" t="s">
        <v>334</v>
      </c>
      <c r="J1675" s="493">
        <v>22</v>
      </c>
      <c r="K1675" s="493">
        <v>2</v>
      </c>
      <c r="L1675" s="105" t="s">
        <v>343</v>
      </c>
      <c r="M1675" s="105" t="s">
        <v>655</v>
      </c>
      <c r="N1675" s="105" t="s">
        <v>656</v>
      </c>
      <c r="O1675" s="105" t="s">
        <v>656</v>
      </c>
      <c r="P1675" s="105" t="s">
        <v>339</v>
      </c>
      <c r="Q1675" s="494">
        <v>0</v>
      </c>
      <c r="R1675" s="494">
        <v>0</v>
      </c>
      <c r="S1675" s="494">
        <v>10576</v>
      </c>
      <c r="T1675" s="494">
        <v>10576</v>
      </c>
      <c r="U1675" s="494">
        <v>3099</v>
      </c>
      <c r="V1675" s="493">
        <v>2024</v>
      </c>
      <c r="W1675" s="495"/>
      <c r="X1675" s="496">
        <f t="shared" si="110"/>
        <v>3.4127137786382704</v>
      </c>
      <c r="Y1675" s="497" t="str">
        <f t="shared" si="109"/>
        <v/>
      </c>
      <c r="Z1675" s="497" t="str">
        <f t="shared" si="109"/>
        <v/>
      </c>
    </row>
    <row r="1676" spans="1:26" s="82" customFormat="1" ht="32" x14ac:dyDescent="0.4">
      <c r="A1676" s="493">
        <v>61770</v>
      </c>
      <c r="B1676" s="105" t="s">
        <v>329</v>
      </c>
      <c r="C1676" s="493" t="s">
        <v>330</v>
      </c>
      <c r="D1676" s="105" t="s">
        <v>1969</v>
      </c>
      <c r="E1676" s="105" t="s">
        <v>1970</v>
      </c>
      <c r="F1676" s="493">
        <v>61389</v>
      </c>
      <c r="G1676" s="105" t="s">
        <v>33</v>
      </c>
      <c r="H1676" s="105" t="s">
        <v>342</v>
      </c>
      <c r="I1676" s="105" t="s">
        <v>334</v>
      </c>
      <c r="J1676" s="493">
        <v>22</v>
      </c>
      <c r="K1676" s="493">
        <v>2</v>
      </c>
      <c r="L1676" s="105" t="s">
        <v>343</v>
      </c>
      <c r="M1676" s="105" t="s">
        <v>655</v>
      </c>
      <c r="N1676" s="105" t="s">
        <v>656</v>
      </c>
      <c r="O1676" s="105" t="s">
        <v>656</v>
      </c>
      <c r="P1676" s="105" t="s">
        <v>339</v>
      </c>
      <c r="Q1676" s="494">
        <v>0</v>
      </c>
      <c r="R1676" s="494">
        <v>0</v>
      </c>
      <c r="S1676" s="494">
        <v>11011</v>
      </c>
      <c r="T1676" s="494">
        <v>11011</v>
      </c>
      <c r="U1676" s="494">
        <v>3227</v>
      </c>
      <c r="V1676" s="493">
        <v>2024</v>
      </c>
      <c r="W1676" s="495"/>
      <c r="X1676" s="496">
        <f t="shared" si="110"/>
        <v>3.4121475054229933</v>
      </c>
      <c r="Y1676" s="497" t="str">
        <f t="shared" si="109"/>
        <v/>
      </c>
      <c r="Z1676" s="497" t="str">
        <f t="shared" si="109"/>
        <v/>
      </c>
    </row>
    <row r="1677" spans="1:26" s="82" customFormat="1" ht="32" x14ac:dyDescent="0.4">
      <c r="A1677" s="493">
        <v>61771</v>
      </c>
      <c r="B1677" s="105" t="s">
        <v>329</v>
      </c>
      <c r="C1677" s="493" t="s">
        <v>330</v>
      </c>
      <c r="D1677" s="105" t="s">
        <v>1971</v>
      </c>
      <c r="E1677" s="105" t="s">
        <v>1972</v>
      </c>
      <c r="F1677" s="493">
        <v>61390</v>
      </c>
      <c r="G1677" s="105" t="s">
        <v>33</v>
      </c>
      <c r="H1677" s="105" t="s">
        <v>342</v>
      </c>
      <c r="I1677" s="105" t="s">
        <v>334</v>
      </c>
      <c r="J1677" s="493">
        <v>22</v>
      </c>
      <c r="K1677" s="493">
        <v>2</v>
      </c>
      <c r="L1677" s="105" t="s">
        <v>343</v>
      </c>
      <c r="M1677" s="105" t="s">
        <v>655</v>
      </c>
      <c r="N1677" s="105" t="s">
        <v>656</v>
      </c>
      <c r="O1677" s="105" t="s">
        <v>656</v>
      </c>
      <c r="P1677" s="105" t="s">
        <v>339</v>
      </c>
      <c r="Q1677" s="494">
        <v>0</v>
      </c>
      <c r="R1677" s="494">
        <v>0</v>
      </c>
      <c r="S1677" s="494">
        <v>5459</v>
      </c>
      <c r="T1677" s="494">
        <v>5459</v>
      </c>
      <c r="U1677" s="494">
        <v>1600</v>
      </c>
      <c r="V1677" s="493">
        <v>2024</v>
      </c>
      <c r="W1677" s="495"/>
      <c r="X1677" s="496">
        <f t="shared" si="110"/>
        <v>3.4118750000000002</v>
      </c>
      <c r="Y1677" s="497" t="str">
        <f t="shared" si="109"/>
        <v/>
      </c>
      <c r="Z1677" s="497" t="str">
        <f t="shared" si="109"/>
        <v/>
      </c>
    </row>
    <row r="1678" spans="1:26" s="82" customFormat="1" ht="32" x14ac:dyDescent="0.4">
      <c r="A1678" s="493">
        <v>61774</v>
      </c>
      <c r="B1678" s="105" t="s">
        <v>329</v>
      </c>
      <c r="C1678" s="493" t="s">
        <v>330</v>
      </c>
      <c r="D1678" s="105" t="s">
        <v>1973</v>
      </c>
      <c r="E1678" s="105" t="s">
        <v>1974</v>
      </c>
      <c r="F1678" s="493">
        <v>61392</v>
      </c>
      <c r="G1678" s="105" t="s">
        <v>33</v>
      </c>
      <c r="H1678" s="105" t="s">
        <v>342</v>
      </c>
      <c r="I1678" s="105" t="s">
        <v>334</v>
      </c>
      <c r="J1678" s="493">
        <v>22</v>
      </c>
      <c r="K1678" s="493">
        <v>2</v>
      </c>
      <c r="L1678" s="105" t="s">
        <v>343</v>
      </c>
      <c r="M1678" s="105" t="s">
        <v>655</v>
      </c>
      <c r="N1678" s="105" t="s">
        <v>656</v>
      </c>
      <c r="O1678" s="105" t="s">
        <v>656</v>
      </c>
      <c r="P1678" s="105" t="s">
        <v>339</v>
      </c>
      <c r="Q1678" s="494">
        <v>0</v>
      </c>
      <c r="R1678" s="494">
        <v>0</v>
      </c>
      <c r="S1678" s="494">
        <v>12431</v>
      </c>
      <c r="T1678" s="494">
        <v>12431</v>
      </c>
      <c r="U1678" s="494">
        <v>3644</v>
      </c>
      <c r="V1678" s="493">
        <v>2024</v>
      </c>
      <c r="W1678" s="495"/>
      <c r="X1678" s="496">
        <f t="shared" si="110"/>
        <v>3.4113611416026344</v>
      </c>
      <c r="Y1678" s="497" t="str">
        <f t="shared" si="109"/>
        <v/>
      </c>
      <c r="Z1678" s="497" t="str">
        <f t="shared" si="109"/>
        <v/>
      </c>
    </row>
    <row r="1679" spans="1:26" s="82" customFormat="1" ht="32" x14ac:dyDescent="0.4">
      <c r="A1679" s="493">
        <v>61786</v>
      </c>
      <c r="B1679" s="105" t="s">
        <v>329</v>
      </c>
      <c r="C1679" s="493" t="s">
        <v>330</v>
      </c>
      <c r="D1679" s="105" t="s">
        <v>1975</v>
      </c>
      <c r="E1679" s="105" t="s">
        <v>1773</v>
      </c>
      <c r="F1679" s="493">
        <v>60571</v>
      </c>
      <c r="G1679" s="105" t="s">
        <v>37</v>
      </c>
      <c r="H1679" s="105" t="s">
        <v>342</v>
      </c>
      <c r="I1679" s="105" t="s">
        <v>334</v>
      </c>
      <c r="J1679" s="493">
        <v>22</v>
      </c>
      <c r="K1679" s="493">
        <v>2</v>
      </c>
      <c r="L1679" s="105" t="s">
        <v>343</v>
      </c>
      <c r="M1679" s="105" t="s">
        <v>990</v>
      </c>
      <c r="N1679" s="105" t="s">
        <v>228</v>
      </c>
      <c r="O1679" s="105" t="s">
        <v>228</v>
      </c>
      <c r="P1679" s="105" t="s">
        <v>356</v>
      </c>
      <c r="Q1679" s="494">
        <v>94666</v>
      </c>
      <c r="R1679" s="494">
        <v>94666</v>
      </c>
      <c r="S1679" s="494">
        <v>96843</v>
      </c>
      <c r="T1679" s="494">
        <v>96843</v>
      </c>
      <c r="U1679" s="494">
        <v>11547</v>
      </c>
      <c r="V1679" s="493">
        <v>2024</v>
      </c>
      <c r="W1679" s="495"/>
      <c r="X1679" s="496">
        <f t="shared" si="110"/>
        <v>8.3868537282411015</v>
      </c>
      <c r="Y1679" s="497" t="str">
        <f t="shared" si="109"/>
        <v/>
      </c>
      <c r="Z1679" s="497" t="str">
        <f t="shared" si="109"/>
        <v/>
      </c>
    </row>
    <row r="1680" spans="1:26" s="82" customFormat="1" x14ac:dyDescent="0.4">
      <c r="A1680" s="493">
        <v>61804</v>
      </c>
      <c r="B1680" s="105" t="s">
        <v>329</v>
      </c>
      <c r="C1680" s="493" t="s">
        <v>330</v>
      </c>
      <c r="D1680" s="105" t="s">
        <v>1976</v>
      </c>
      <c r="E1680" s="105" t="s">
        <v>1448</v>
      </c>
      <c r="F1680" s="493">
        <v>61012</v>
      </c>
      <c r="G1680" s="105" t="s">
        <v>52</v>
      </c>
      <c r="H1680" s="105" t="s">
        <v>333</v>
      </c>
      <c r="I1680" s="105" t="s">
        <v>334</v>
      </c>
      <c r="J1680" s="493">
        <v>22</v>
      </c>
      <c r="K1680" s="493">
        <v>2</v>
      </c>
      <c r="L1680" s="105" t="s">
        <v>343</v>
      </c>
      <c r="M1680" s="105" t="s">
        <v>655</v>
      </c>
      <c r="N1680" s="105" t="s">
        <v>656</v>
      </c>
      <c r="O1680" s="105" t="s">
        <v>656</v>
      </c>
      <c r="P1680" s="105" t="s">
        <v>339</v>
      </c>
      <c r="Q1680" s="494">
        <v>0</v>
      </c>
      <c r="R1680" s="494">
        <v>0</v>
      </c>
      <c r="S1680" s="494">
        <v>9510</v>
      </c>
      <c r="T1680" s="494">
        <v>9510</v>
      </c>
      <c r="U1680" s="494">
        <v>2787</v>
      </c>
      <c r="V1680" s="493">
        <v>2024</v>
      </c>
      <c r="W1680" s="495"/>
      <c r="X1680" s="496">
        <f t="shared" si="110"/>
        <v>3.4122712594187297</v>
      </c>
      <c r="Y1680" s="497" t="str">
        <f t="shared" si="109"/>
        <v/>
      </c>
      <c r="Z1680" s="497" t="str">
        <f t="shared" si="109"/>
        <v/>
      </c>
    </row>
    <row r="1681" spans="1:26" s="82" customFormat="1" ht="32" x14ac:dyDescent="0.4">
      <c r="A1681" s="493">
        <v>61814</v>
      </c>
      <c r="B1681" s="105" t="s">
        <v>329</v>
      </c>
      <c r="C1681" s="493" t="s">
        <v>330</v>
      </c>
      <c r="D1681" s="105" t="s">
        <v>1977</v>
      </c>
      <c r="E1681" s="105" t="s">
        <v>1978</v>
      </c>
      <c r="F1681" s="493">
        <v>61428</v>
      </c>
      <c r="G1681" s="105" t="s">
        <v>33</v>
      </c>
      <c r="H1681" s="105" t="s">
        <v>342</v>
      </c>
      <c r="I1681" s="105" t="s">
        <v>334</v>
      </c>
      <c r="J1681" s="493">
        <v>22</v>
      </c>
      <c r="K1681" s="493">
        <v>2</v>
      </c>
      <c r="L1681" s="105" t="s">
        <v>343</v>
      </c>
      <c r="M1681" s="105" t="s">
        <v>655</v>
      </c>
      <c r="N1681" s="105" t="s">
        <v>656</v>
      </c>
      <c r="O1681" s="105" t="s">
        <v>656</v>
      </c>
      <c r="P1681" s="105" t="s">
        <v>339</v>
      </c>
      <c r="Q1681" s="494">
        <v>0</v>
      </c>
      <c r="R1681" s="494">
        <v>0</v>
      </c>
      <c r="S1681" s="494">
        <v>23467</v>
      </c>
      <c r="T1681" s="494">
        <v>23467</v>
      </c>
      <c r="U1681" s="494">
        <v>6878</v>
      </c>
      <c r="V1681" s="493">
        <v>2024</v>
      </c>
      <c r="W1681" s="495"/>
      <c r="X1681" s="496">
        <f t="shared" si="110"/>
        <v>3.4118929921488803</v>
      </c>
      <c r="Y1681" s="497" t="str">
        <f t="shared" si="109"/>
        <v/>
      </c>
      <c r="Z1681" s="497" t="str">
        <f t="shared" si="109"/>
        <v/>
      </c>
    </row>
    <row r="1682" spans="1:26" s="82" customFormat="1" x14ac:dyDescent="0.4">
      <c r="A1682" s="493">
        <v>61815</v>
      </c>
      <c r="B1682" s="105" t="s">
        <v>329</v>
      </c>
      <c r="C1682" s="493" t="s">
        <v>330</v>
      </c>
      <c r="D1682" s="105" t="s">
        <v>1979</v>
      </c>
      <c r="E1682" s="105" t="s">
        <v>1980</v>
      </c>
      <c r="F1682" s="493">
        <v>61426</v>
      </c>
      <c r="G1682" s="105" t="s">
        <v>33</v>
      </c>
      <c r="H1682" s="105" t="s">
        <v>342</v>
      </c>
      <c r="I1682" s="105" t="s">
        <v>334</v>
      </c>
      <c r="J1682" s="493">
        <v>22</v>
      </c>
      <c r="K1682" s="493">
        <v>2</v>
      </c>
      <c r="L1682" s="105" t="s">
        <v>343</v>
      </c>
      <c r="M1682" s="105" t="s">
        <v>655</v>
      </c>
      <c r="N1682" s="105" t="s">
        <v>656</v>
      </c>
      <c r="O1682" s="105" t="s">
        <v>656</v>
      </c>
      <c r="P1682" s="105" t="s">
        <v>339</v>
      </c>
      <c r="Q1682" s="494">
        <v>0</v>
      </c>
      <c r="R1682" s="494">
        <v>0</v>
      </c>
      <c r="S1682" s="494">
        <v>12258</v>
      </c>
      <c r="T1682" s="494">
        <v>12258</v>
      </c>
      <c r="U1682" s="494">
        <v>3592</v>
      </c>
      <c r="V1682" s="493">
        <v>2024</v>
      </c>
      <c r="W1682" s="495"/>
      <c r="X1682" s="496">
        <f t="shared" si="110"/>
        <v>3.4125835189309579</v>
      </c>
      <c r="Y1682" s="497" t="str">
        <f t="shared" si="109"/>
        <v/>
      </c>
      <c r="Z1682" s="497" t="str">
        <f t="shared" si="109"/>
        <v/>
      </c>
    </row>
    <row r="1683" spans="1:26" s="82" customFormat="1" ht="32" x14ac:dyDescent="0.4">
      <c r="A1683" s="493">
        <v>61820</v>
      </c>
      <c r="B1683" s="105" t="s">
        <v>329</v>
      </c>
      <c r="C1683" s="493" t="s">
        <v>330</v>
      </c>
      <c r="D1683" s="105" t="s">
        <v>1981</v>
      </c>
      <c r="E1683" s="105" t="s">
        <v>1982</v>
      </c>
      <c r="F1683" s="493">
        <v>57389</v>
      </c>
      <c r="G1683" s="105" t="s">
        <v>37</v>
      </c>
      <c r="H1683" s="105" t="s">
        <v>342</v>
      </c>
      <c r="I1683" s="105" t="s">
        <v>334</v>
      </c>
      <c r="J1683" s="493">
        <v>441</v>
      </c>
      <c r="K1683" s="493">
        <v>4</v>
      </c>
      <c r="L1683" s="105" t="s">
        <v>766</v>
      </c>
      <c r="M1683" s="105" t="s">
        <v>990</v>
      </c>
      <c r="N1683" s="105" t="s">
        <v>228</v>
      </c>
      <c r="O1683" s="105" t="s">
        <v>228</v>
      </c>
      <c r="P1683" s="105" t="s">
        <v>356</v>
      </c>
      <c r="Q1683" s="494">
        <v>13544</v>
      </c>
      <c r="R1683" s="494">
        <v>13544</v>
      </c>
      <c r="S1683" s="494">
        <v>13544</v>
      </c>
      <c r="T1683" s="494">
        <v>13544</v>
      </c>
      <c r="U1683" s="494">
        <v>2026</v>
      </c>
      <c r="V1683" s="493">
        <v>2024</v>
      </c>
      <c r="W1683" s="495"/>
      <c r="X1683" s="496" t="str">
        <f t="shared" si="110"/>
        <v/>
      </c>
      <c r="Y1683" s="497" t="str">
        <f t="shared" si="109"/>
        <v/>
      </c>
      <c r="Z1683" s="497" t="str">
        <f t="shared" si="109"/>
        <v/>
      </c>
    </row>
    <row r="1684" spans="1:26" s="82" customFormat="1" ht="32" x14ac:dyDescent="0.4">
      <c r="A1684" s="493">
        <v>61820</v>
      </c>
      <c r="B1684" s="105" t="s">
        <v>329</v>
      </c>
      <c r="C1684" s="493" t="s">
        <v>330</v>
      </c>
      <c r="D1684" s="105" t="s">
        <v>1981</v>
      </c>
      <c r="E1684" s="105" t="s">
        <v>1982</v>
      </c>
      <c r="F1684" s="493">
        <v>57389</v>
      </c>
      <c r="G1684" s="105" t="s">
        <v>37</v>
      </c>
      <c r="H1684" s="105" t="s">
        <v>342</v>
      </c>
      <c r="I1684" s="105" t="s">
        <v>334</v>
      </c>
      <c r="J1684" s="493">
        <v>441</v>
      </c>
      <c r="K1684" s="493">
        <v>4</v>
      </c>
      <c r="L1684" s="105" t="s">
        <v>766</v>
      </c>
      <c r="M1684" s="105" t="s">
        <v>655</v>
      </c>
      <c r="N1684" s="105" t="s">
        <v>656</v>
      </c>
      <c r="O1684" s="105" t="s">
        <v>656</v>
      </c>
      <c r="P1684" s="105" t="s">
        <v>339</v>
      </c>
      <c r="Q1684" s="494">
        <v>0</v>
      </c>
      <c r="R1684" s="494">
        <v>0</v>
      </c>
      <c r="S1684" s="494">
        <v>2542</v>
      </c>
      <c r="T1684" s="494">
        <v>2542</v>
      </c>
      <c r="U1684" s="494">
        <v>745</v>
      </c>
      <c r="V1684" s="493">
        <v>2024</v>
      </c>
      <c r="W1684" s="495"/>
      <c r="X1684" s="496" t="str">
        <f t="shared" si="110"/>
        <v/>
      </c>
      <c r="Y1684" s="497" t="str">
        <f t="shared" si="109"/>
        <v/>
      </c>
      <c r="Z1684" s="497" t="str">
        <f t="shared" si="109"/>
        <v/>
      </c>
    </row>
    <row r="1685" spans="1:26" s="82" customFormat="1" ht="32" x14ac:dyDescent="0.4">
      <c r="A1685" s="493">
        <v>61840</v>
      </c>
      <c r="B1685" s="105" t="s">
        <v>329</v>
      </c>
      <c r="C1685" s="493" t="s">
        <v>330</v>
      </c>
      <c r="D1685" s="105" t="s">
        <v>1983</v>
      </c>
      <c r="E1685" s="105" t="s">
        <v>1984</v>
      </c>
      <c r="F1685" s="493">
        <v>60496</v>
      </c>
      <c r="G1685" s="105" t="s">
        <v>38</v>
      </c>
      <c r="H1685" s="105" t="s">
        <v>342</v>
      </c>
      <c r="I1685" s="105" t="s">
        <v>334</v>
      </c>
      <c r="J1685" s="493">
        <v>22</v>
      </c>
      <c r="K1685" s="493">
        <v>2</v>
      </c>
      <c r="L1685" s="105" t="s">
        <v>343</v>
      </c>
      <c r="M1685" s="105" t="s">
        <v>655</v>
      </c>
      <c r="N1685" s="105" t="s">
        <v>656</v>
      </c>
      <c r="O1685" s="105" t="s">
        <v>656</v>
      </c>
      <c r="P1685" s="105" t="s">
        <v>339</v>
      </c>
      <c r="Q1685" s="494">
        <v>0</v>
      </c>
      <c r="R1685" s="494">
        <v>0</v>
      </c>
      <c r="S1685" s="494">
        <v>54741</v>
      </c>
      <c r="T1685" s="494">
        <v>54741</v>
      </c>
      <c r="U1685" s="494">
        <v>16044</v>
      </c>
      <c r="V1685" s="493">
        <v>2024</v>
      </c>
      <c r="W1685" s="495"/>
      <c r="X1685" s="496">
        <f t="shared" si="110"/>
        <v>3.4119296933433061</v>
      </c>
      <c r="Y1685" s="497" t="str">
        <f t="shared" si="109"/>
        <v/>
      </c>
      <c r="Z1685" s="497" t="str">
        <f t="shared" si="109"/>
        <v/>
      </c>
    </row>
    <row r="1686" spans="1:26" s="82" customFormat="1" ht="32" x14ac:dyDescent="0.4">
      <c r="A1686" s="493">
        <v>61847</v>
      </c>
      <c r="B1686" s="105" t="s">
        <v>329</v>
      </c>
      <c r="C1686" s="493" t="s">
        <v>330</v>
      </c>
      <c r="D1686" s="105" t="s">
        <v>1985</v>
      </c>
      <c r="E1686" s="105" t="s">
        <v>1778</v>
      </c>
      <c r="F1686" s="493">
        <v>60584</v>
      </c>
      <c r="G1686" s="105" t="s">
        <v>52</v>
      </c>
      <c r="H1686" s="105" t="s">
        <v>333</v>
      </c>
      <c r="I1686" s="105" t="s">
        <v>334</v>
      </c>
      <c r="J1686" s="493">
        <v>22</v>
      </c>
      <c r="K1686" s="493">
        <v>2</v>
      </c>
      <c r="L1686" s="105" t="s">
        <v>343</v>
      </c>
      <c r="M1686" s="105" t="s">
        <v>655</v>
      </c>
      <c r="N1686" s="105" t="s">
        <v>656</v>
      </c>
      <c r="O1686" s="105" t="s">
        <v>656</v>
      </c>
      <c r="P1686" s="105" t="s">
        <v>339</v>
      </c>
      <c r="Q1686" s="494">
        <v>0</v>
      </c>
      <c r="R1686" s="494">
        <v>0</v>
      </c>
      <c r="S1686" s="494">
        <v>11087</v>
      </c>
      <c r="T1686" s="494">
        <v>11087</v>
      </c>
      <c r="U1686" s="494">
        <v>3249</v>
      </c>
      <c r="V1686" s="493">
        <v>2024</v>
      </c>
      <c r="W1686" s="495"/>
      <c r="X1686" s="496">
        <f t="shared" si="110"/>
        <v>3.4124345952600801</v>
      </c>
      <c r="Y1686" s="497" t="str">
        <f t="shared" si="109"/>
        <v/>
      </c>
      <c r="Z1686" s="497" t="str">
        <f t="shared" si="109"/>
        <v/>
      </c>
    </row>
    <row r="1687" spans="1:26" s="82" customFormat="1" ht="32" x14ac:dyDescent="0.4">
      <c r="A1687" s="493">
        <v>61857</v>
      </c>
      <c r="B1687" s="105" t="s">
        <v>433</v>
      </c>
      <c r="C1687" s="493" t="s">
        <v>330</v>
      </c>
      <c r="D1687" s="105" t="s">
        <v>1986</v>
      </c>
      <c r="E1687" s="105" t="s">
        <v>1987</v>
      </c>
      <c r="F1687" s="493">
        <v>61478</v>
      </c>
      <c r="G1687" s="105" t="s">
        <v>38</v>
      </c>
      <c r="H1687" s="105" t="s">
        <v>342</v>
      </c>
      <c r="I1687" s="105" t="s">
        <v>334</v>
      </c>
      <c r="J1687" s="493">
        <v>326</v>
      </c>
      <c r="K1687" s="493">
        <v>7</v>
      </c>
      <c r="L1687" s="105" t="s">
        <v>727</v>
      </c>
      <c r="M1687" s="105" t="s">
        <v>295</v>
      </c>
      <c r="N1687" s="105" t="s">
        <v>226</v>
      </c>
      <c r="O1687" s="105" t="s">
        <v>226</v>
      </c>
      <c r="P1687" s="105" t="s">
        <v>350</v>
      </c>
      <c r="Q1687" s="494">
        <v>0</v>
      </c>
      <c r="R1687" s="494">
        <v>0</v>
      </c>
      <c r="S1687" s="494">
        <v>0</v>
      </c>
      <c r="T1687" s="494">
        <v>0</v>
      </c>
      <c r="U1687" s="494">
        <v>0</v>
      </c>
      <c r="V1687" s="493">
        <v>2024</v>
      </c>
      <c r="W1687" s="495"/>
      <c r="X1687" s="496" t="str">
        <f t="shared" si="110"/>
        <v/>
      </c>
      <c r="Y1687" s="497" t="str">
        <f t="shared" si="109"/>
        <v/>
      </c>
      <c r="Z1687" s="497" t="str">
        <f t="shared" si="109"/>
        <v/>
      </c>
    </row>
    <row r="1688" spans="1:26" s="82" customFormat="1" ht="32" x14ac:dyDescent="0.4">
      <c r="A1688" s="493">
        <v>61857</v>
      </c>
      <c r="B1688" s="105" t="s">
        <v>433</v>
      </c>
      <c r="C1688" s="493" t="s">
        <v>330</v>
      </c>
      <c r="D1688" s="105" t="s">
        <v>1986</v>
      </c>
      <c r="E1688" s="105" t="s">
        <v>1987</v>
      </c>
      <c r="F1688" s="493">
        <v>61478</v>
      </c>
      <c r="G1688" s="105" t="s">
        <v>38</v>
      </c>
      <c r="H1688" s="105" t="s">
        <v>342</v>
      </c>
      <c r="I1688" s="105" t="s">
        <v>334</v>
      </c>
      <c r="J1688" s="493">
        <v>326</v>
      </c>
      <c r="K1688" s="493">
        <v>7</v>
      </c>
      <c r="L1688" s="105" t="s">
        <v>727</v>
      </c>
      <c r="M1688" s="105" t="s">
        <v>295</v>
      </c>
      <c r="N1688" s="105" t="s">
        <v>228</v>
      </c>
      <c r="O1688" s="105" t="s">
        <v>228</v>
      </c>
      <c r="P1688" s="105" t="s">
        <v>356</v>
      </c>
      <c r="Q1688" s="494">
        <v>672480</v>
      </c>
      <c r="R1688" s="494">
        <v>611463</v>
      </c>
      <c r="S1688" s="494">
        <v>672480</v>
      </c>
      <c r="T1688" s="494">
        <v>611463</v>
      </c>
      <c r="U1688" s="494">
        <v>51789</v>
      </c>
      <c r="V1688" s="493">
        <v>2024</v>
      </c>
      <c r="W1688" s="495"/>
      <c r="X1688" s="496" t="str">
        <f t="shared" si="110"/>
        <v/>
      </c>
      <c r="Y1688" s="497">
        <f t="shared" ref="Y1688:Z1707" si="111">IF(AND($M1688=$Y$2,$N1688=$Y$3,NOT($Q1688=$R1688),NOT($U1688=0)),IF($K1688=5,$S1688/($U1688+(8/5)*$U1688),IF($K1688=7,$S1688/($U1688+(29/25)*$U1688),"")),"")</f>
        <v>6.0115725990718758</v>
      </c>
      <c r="Z1688" s="497">
        <f t="shared" si="111"/>
        <v>6.0115725990718758</v>
      </c>
    </row>
    <row r="1689" spans="1:26" s="82" customFormat="1" ht="32" x14ac:dyDescent="0.4">
      <c r="A1689" s="493">
        <v>61857</v>
      </c>
      <c r="B1689" s="105" t="s">
        <v>433</v>
      </c>
      <c r="C1689" s="493" t="s">
        <v>330</v>
      </c>
      <c r="D1689" s="105" t="s">
        <v>1986</v>
      </c>
      <c r="E1689" s="105" t="s">
        <v>1987</v>
      </c>
      <c r="F1689" s="493">
        <v>61478</v>
      </c>
      <c r="G1689" s="105" t="s">
        <v>38</v>
      </c>
      <c r="H1689" s="105" t="s">
        <v>342</v>
      </c>
      <c r="I1689" s="105" t="s">
        <v>334</v>
      </c>
      <c r="J1689" s="493">
        <v>326</v>
      </c>
      <c r="K1689" s="493">
        <v>7</v>
      </c>
      <c r="L1689" s="105" t="s">
        <v>727</v>
      </c>
      <c r="M1689" s="105" t="s">
        <v>359</v>
      </c>
      <c r="N1689" s="105" t="s">
        <v>228</v>
      </c>
      <c r="O1689" s="105" t="s">
        <v>228</v>
      </c>
      <c r="P1689" s="105" t="s">
        <v>356</v>
      </c>
      <c r="Q1689" s="494">
        <v>829328</v>
      </c>
      <c r="R1689" s="494">
        <v>829328</v>
      </c>
      <c r="S1689" s="494">
        <v>829328</v>
      </c>
      <c r="T1689" s="494">
        <v>829328</v>
      </c>
      <c r="U1689" s="494">
        <v>95486</v>
      </c>
      <c r="V1689" s="493">
        <v>2024</v>
      </c>
      <c r="W1689" s="495"/>
      <c r="X1689" s="496" t="str">
        <f t="shared" si="110"/>
        <v/>
      </c>
      <c r="Y1689" s="497" t="str">
        <f t="shared" si="111"/>
        <v/>
      </c>
      <c r="Z1689" s="497" t="str">
        <f t="shared" si="111"/>
        <v/>
      </c>
    </row>
    <row r="1690" spans="1:26" s="82" customFormat="1" ht="32" x14ac:dyDescent="0.4">
      <c r="A1690" s="493">
        <v>61863</v>
      </c>
      <c r="B1690" s="105" t="s">
        <v>329</v>
      </c>
      <c r="C1690" s="493" t="s">
        <v>330</v>
      </c>
      <c r="D1690" s="105" t="s">
        <v>1988</v>
      </c>
      <c r="E1690" s="105" t="s">
        <v>1778</v>
      </c>
      <c r="F1690" s="493">
        <v>60584</v>
      </c>
      <c r="G1690" s="105" t="s">
        <v>52</v>
      </c>
      <c r="H1690" s="105" t="s">
        <v>333</v>
      </c>
      <c r="I1690" s="105" t="s">
        <v>334</v>
      </c>
      <c r="J1690" s="493">
        <v>22</v>
      </c>
      <c r="K1690" s="493">
        <v>2</v>
      </c>
      <c r="L1690" s="105" t="s">
        <v>343</v>
      </c>
      <c r="M1690" s="105" t="s">
        <v>655</v>
      </c>
      <c r="N1690" s="105" t="s">
        <v>656</v>
      </c>
      <c r="O1690" s="105" t="s">
        <v>656</v>
      </c>
      <c r="P1690" s="105" t="s">
        <v>339</v>
      </c>
      <c r="Q1690" s="494">
        <v>0</v>
      </c>
      <c r="R1690" s="494">
        <v>0</v>
      </c>
      <c r="S1690" s="494">
        <v>11110</v>
      </c>
      <c r="T1690" s="494">
        <v>11110</v>
      </c>
      <c r="U1690" s="494">
        <v>3256</v>
      </c>
      <c r="V1690" s="493">
        <v>2024</v>
      </c>
      <c r="W1690" s="495"/>
      <c r="X1690" s="496">
        <f t="shared" si="110"/>
        <v>3.4121621621621623</v>
      </c>
      <c r="Y1690" s="497" t="str">
        <f t="shared" si="111"/>
        <v/>
      </c>
      <c r="Z1690" s="497" t="str">
        <f t="shared" si="111"/>
        <v/>
      </c>
    </row>
    <row r="1691" spans="1:26" s="82" customFormat="1" ht="32" x14ac:dyDescent="0.4">
      <c r="A1691" s="493">
        <v>61888</v>
      </c>
      <c r="B1691" s="105" t="s">
        <v>329</v>
      </c>
      <c r="C1691" s="493" t="s">
        <v>330</v>
      </c>
      <c r="D1691" s="105" t="s">
        <v>1989</v>
      </c>
      <c r="E1691" s="105" t="s">
        <v>1778</v>
      </c>
      <c r="F1691" s="493">
        <v>60584</v>
      </c>
      <c r="G1691" s="105" t="s">
        <v>52</v>
      </c>
      <c r="H1691" s="105" t="s">
        <v>333</v>
      </c>
      <c r="I1691" s="105" t="s">
        <v>334</v>
      </c>
      <c r="J1691" s="493">
        <v>22</v>
      </c>
      <c r="K1691" s="493">
        <v>2</v>
      </c>
      <c r="L1691" s="105" t="s">
        <v>343</v>
      </c>
      <c r="M1691" s="105" t="s">
        <v>655</v>
      </c>
      <c r="N1691" s="105" t="s">
        <v>656</v>
      </c>
      <c r="O1691" s="105" t="s">
        <v>656</v>
      </c>
      <c r="P1691" s="105" t="s">
        <v>339</v>
      </c>
      <c r="Q1691" s="494">
        <v>0</v>
      </c>
      <c r="R1691" s="494">
        <v>0</v>
      </c>
      <c r="S1691" s="494">
        <v>10678</v>
      </c>
      <c r="T1691" s="494">
        <v>10678</v>
      </c>
      <c r="U1691" s="494">
        <v>3129</v>
      </c>
      <c r="V1691" s="493">
        <v>2024</v>
      </c>
      <c r="W1691" s="495"/>
      <c r="X1691" s="496">
        <f t="shared" si="110"/>
        <v>3.4125918823905401</v>
      </c>
      <c r="Y1691" s="497" t="str">
        <f t="shared" si="111"/>
        <v/>
      </c>
      <c r="Z1691" s="497" t="str">
        <f t="shared" si="111"/>
        <v/>
      </c>
    </row>
    <row r="1692" spans="1:26" s="82" customFormat="1" ht="32" x14ac:dyDescent="0.4">
      <c r="A1692" s="493">
        <v>61899</v>
      </c>
      <c r="B1692" s="105" t="s">
        <v>329</v>
      </c>
      <c r="C1692" s="493" t="s">
        <v>330</v>
      </c>
      <c r="D1692" s="105" t="s">
        <v>1990</v>
      </c>
      <c r="E1692" s="105" t="s">
        <v>1991</v>
      </c>
      <c r="F1692" s="493">
        <v>63970</v>
      </c>
      <c r="G1692" s="105" t="s">
        <v>52</v>
      </c>
      <c r="H1692" s="105" t="s">
        <v>333</v>
      </c>
      <c r="I1692" s="105" t="s">
        <v>334</v>
      </c>
      <c r="J1692" s="493">
        <v>22</v>
      </c>
      <c r="K1692" s="493">
        <v>2</v>
      </c>
      <c r="L1692" s="105" t="s">
        <v>343</v>
      </c>
      <c r="M1692" s="105" t="s">
        <v>655</v>
      </c>
      <c r="N1692" s="105" t="s">
        <v>656</v>
      </c>
      <c r="O1692" s="105" t="s">
        <v>656</v>
      </c>
      <c r="P1692" s="105" t="s">
        <v>339</v>
      </c>
      <c r="Q1692" s="494">
        <v>0</v>
      </c>
      <c r="R1692" s="494">
        <v>0</v>
      </c>
      <c r="S1692" s="494">
        <v>12651</v>
      </c>
      <c r="T1692" s="494">
        <v>12651</v>
      </c>
      <c r="U1692" s="494">
        <v>3708</v>
      </c>
      <c r="V1692" s="493">
        <v>2024</v>
      </c>
      <c r="W1692" s="495"/>
      <c r="X1692" s="496">
        <f t="shared" si="110"/>
        <v>3.4118122977346279</v>
      </c>
      <c r="Y1692" s="497" t="str">
        <f t="shared" si="111"/>
        <v/>
      </c>
      <c r="Z1692" s="497" t="str">
        <f t="shared" si="111"/>
        <v/>
      </c>
    </row>
    <row r="1693" spans="1:26" s="82" customFormat="1" ht="32" x14ac:dyDescent="0.4">
      <c r="A1693" s="493">
        <v>61900</v>
      </c>
      <c r="B1693" s="105" t="s">
        <v>329</v>
      </c>
      <c r="C1693" s="493" t="s">
        <v>330</v>
      </c>
      <c r="D1693" s="105" t="s">
        <v>1992</v>
      </c>
      <c r="E1693" s="105" t="s">
        <v>1991</v>
      </c>
      <c r="F1693" s="493">
        <v>63970</v>
      </c>
      <c r="G1693" s="105" t="s">
        <v>52</v>
      </c>
      <c r="H1693" s="105" t="s">
        <v>333</v>
      </c>
      <c r="I1693" s="105" t="s">
        <v>334</v>
      </c>
      <c r="J1693" s="493">
        <v>22</v>
      </c>
      <c r="K1693" s="493">
        <v>2</v>
      </c>
      <c r="L1693" s="105" t="s">
        <v>343</v>
      </c>
      <c r="M1693" s="105" t="s">
        <v>655</v>
      </c>
      <c r="N1693" s="105" t="s">
        <v>656</v>
      </c>
      <c r="O1693" s="105" t="s">
        <v>656</v>
      </c>
      <c r="P1693" s="105" t="s">
        <v>339</v>
      </c>
      <c r="Q1693" s="494">
        <v>0</v>
      </c>
      <c r="R1693" s="494">
        <v>0</v>
      </c>
      <c r="S1693" s="494">
        <v>9752</v>
      </c>
      <c r="T1693" s="494">
        <v>9752</v>
      </c>
      <c r="U1693" s="494">
        <v>2858</v>
      </c>
      <c r="V1693" s="493">
        <v>2024</v>
      </c>
      <c r="W1693" s="495"/>
      <c r="X1693" s="496">
        <f t="shared" si="110"/>
        <v>3.4121763470958713</v>
      </c>
      <c r="Y1693" s="497" t="str">
        <f t="shared" si="111"/>
        <v/>
      </c>
      <c r="Z1693" s="497" t="str">
        <f t="shared" si="111"/>
        <v/>
      </c>
    </row>
    <row r="1694" spans="1:26" s="82" customFormat="1" ht="32" x14ac:dyDescent="0.4">
      <c r="A1694" s="493">
        <v>61902</v>
      </c>
      <c r="B1694" s="105" t="s">
        <v>329</v>
      </c>
      <c r="C1694" s="493" t="s">
        <v>330</v>
      </c>
      <c r="D1694" s="105" t="s">
        <v>1993</v>
      </c>
      <c r="E1694" s="105" t="s">
        <v>1991</v>
      </c>
      <c r="F1694" s="493">
        <v>63970</v>
      </c>
      <c r="G1694" s="105" t="s">
        <v>52</v>
      </c>
      <c r="H1694" s="105" t="s">
        <v>333</v>
      </c>
      <c r="I1694" s="105" t="s">
        <v>334</v>
      </c>
      <c r="J1694" s="493">
        <v>22</v>
      </c>
      <c r="K1694" s="493">
        <v>2</v>
      </c>
      <c r="L1694" s="105" t="s">
        <v>343</v>
      </c>
      <c r="M1694" s="105" t="s">
        <v>655</v>
      </c>
      <c r="N1694" s="105" t="s">
        <v>656</v>
      </c>
      <c r="O1694" s="105" t="s">
        <v>656</v>
      </c>
      <c r="P1694" s="105" t="s">
        <v>339</v>
      </c>
      <c r="Q1694" s="494">
        <v>0</v>
      </c>
      <c r="R1694" s="494">
        <v>0</v>
      </c>
      <c r="S1694" s="494">
        <v>6898</v>
      </c>
      <c r="T1694" s="494">
        <v>6898</v>
      </c>
      <c r="U1694" s="494">
        <v>2022</v>
      </c>
      <c r="V1694" s="493">
        <v>2024</v>
      </c>
      <c r="W1694" s="495"/>
      <c r="X1694" s="496">
        <f t="shared" si="110"/>
        <v>3.4114737883283879</v>
      </c>
      <c r="Y1694" s="497" t="str">
        <f t="shared" si="111"/>
        <v/>
      </c>
      <c r="Z1694" s="497" t="str">
        <f t="shared" si="111"/>
        <v/>
      </c>
    </row>
    <row r="1695" spans="1:26" s="82" customFormat="1" ht="32" x14ac:dyDescent="0.4">
      <c r="A1695" s="493">
        <v>61903</v>
      </c>
      <c r="B1695" s="105" t="s">
        <v>329</v>
      </c>
      <c r="C1695" s="493" t="s">
        <v>330</v>
      </c>
      <c r="D1695" s="105" t="s">
        <v>1994</v>
      </c>
      <c r="E1695" s="105" t="s">
        <v>1778</v>
      </c>
      <c r="F1695" s="493">
        <v>60584</v>
      </c>
      <c r="G1695" s="105" t="s">
        <v>52</v>
      </c>
      <c r="H1695" s="105" t="s">
        <v>333</v>
      </c>
      <c r="I1695" s="105" t="s">
        <v>334</v>
      </c>
      <c r="J1695" s="493">
        <v>22</v>
      </c>
      <c r="K1695" s="493">
        <v>2</v>
      </c>
      <c r="L1695" s="105" t="s">
        <v>343</v>
      </c>
      <c r="M1695" s="105" t="s">
        <v>655</v>
      </c>
      <c r="N1695" s="105" t="s">
        <v>656</v>
      </c>
      <c r="O1695" s="105" t="s">
        <v>656</v>
      </c>
      <c r="P1695" s="105" t="s">
        <v>339</v>
      </c>
      <c r="Q1695" s="494">
        <v>0</v>
      </c>
      <c r="R1695" s="494">
        <v>0</v>
      </c>
      <c r="S1695" s="494">
        <v>11648</v>
      </c>
      <c r="T1695" s="494">
        <v>11648</v>
      </c>
      <c r="U1695" s="494">
        <v>3414</v>
      </c>
      <c r="V1695" s="493">
        <v>2024</v>
      </c>
      <c r="W1695" s="495"/>
      <c r="X1695" s="496">
        <f t="shared" si="110"/>
        <v>3.4118336262448739</v>
      </c>
      <c r="Y1695" s="497" t="str">
        <f t="shared" si="111"/>
        <v/>
      </c>
      <c r="Z1695" s="497" t="str">
        <f t="shared" si="111"/>
        <v/>
      </c>
    </row>
    <row r="1696" spans="1:26" s="82" customFormat="1" ht="32" x14ac:dyDescent="0.4">
      <c r="A1696" s="493">
        <v>61904</v>
      </c>
      <c r="B1696" s="105" t="s">
        <v>329</v>
      </c>
      <c r="C1696" s="493" t="s">
        <v>330</v>
      </c>
      <c r="D1696" s="105" t="s">
        <v>1995</v>
      </c>
      <c r="E1696" s="105" t="s">
        <v>1778</v>
      </c>
      <c r="F1696" s="493">
        <v>60584</v>
      </c>
      <c r="G1696" s="105" t="s">
        <v>52</v>
      </c>
      <c r="H1696" s="105" t="s">
        <v>333</v>
      </c>
      <c r="I1696" s="105" t="s">
        <v>334</v>
      </c>
      <c r="J1696" s="493">
        <v>22</v>
      </c>
      <c r="K1696" s="493">
        <v>2</v>
      </c>
      <c r="L1696" s="105" t="s">
        <v>343</v>
      </c>
      <c r="M1696" s="105" t="s">
        <v>655</v>
      </c>
      <c r="N1696" s="105" t="s">
        <v>656</v>
      </c>
      <c r="O1696" s="105" t="s">
        <v>656</v>
      </c>
      <c r="P1696" s="105" t="s">
        <v>339</v>
      </c>
      <c r="Q1696" s="494">
        <v>0</v>
      </c>
      <c r="R1696" s="494">
        <v>0</v>
      </c>
      <c r="S1696" s="494">
        <v>11605</v>
      </c>
      <c r="T1696" s="494">
        <v>11605</v>
      </c>
      <c r="U1696" s="494">
        <v>3401</v>
      </c>
      <c r="V1696" s="493">
        <v>2024</v>
      </c>
      <c r="W1696" s="495"/>
      <c r="X1696" s="496">
        <f t="shared" si="110"/>
        <v>3.4122316965598354</v>
      </c>
      <c r="Y1696" s="497" t="str">
        <f t="shared" si="111"/>
        <v/>
      </c>
      <c r="Z1696" s="497" t="str">
        <f t="shared" si="111"/>
        <v/>
      </c>
    </row>
    <row r="1697" spans="1:26" s="82" customFormat="1" ht="32" x14ac:dyDescent="0.4">
      <c r="A1697" s="493">
        <v>61905</v>
      </c>
      <c r="B1697" s="105" t="s">
        <v>329</v>
      </c>
      <c r="C1697" s="493" t="s">
        <v>330</v>
      </c>
      <c r="D1697" s="105" t="s">
        <v>1996</v>
      </c>
      <c r="E1697" s="105" t="s">
        <v>1778</v>
      </c>
      <c r="F1697" s="493">
        <v>60584</v>
      </c>
      <c r="G1697" s="105" t="s">
        <v>52</v>
      </c>
      <c r="H1697" s="105" t="s">
        <v>333</v>
      </c>
      <c r="I1697" s="105" t="s">
        <v>334</v>
      </c>
      <c r="J1697" s="493">
        <v>22</v>
      </c>
      <c r="K1697" s="493">
        <v>2</v>
      </c>
      <c r="L1697" s="105" t="s">
        <v>343</v>
      </c>
      <c r="M1697" s="105" t="s">
        <v>655</v>
      </c>
      <c r="N1697" s="105" t="s">
        <v>656</v>
      </c>
      <c r="O1697" s="105" t="s">
        <v>656</v>
      </c>
      <c r="P1697" s="105" t="s">
        <v>339</v>
      </c>
      <c r="Q1697" s="494">
        <v>0</v>
      </c>
      <c r="R1697" s="494">
        <v>0</v>
      </c>
      <c r="S1697" s="494">
        <v>11709</v>
      </c>
      <c r="T1697" s="494">
        <v>11709</v>
      </c>
      <c r="U1697" s="494">
        <v>3432</v>
      </c>
      <c r="V1697" s="493">
        <v>2024</v>
      </c>
      <c r="W1697" s="495"/>
      <c r="X1697" s="496">
        <f t="shared" si="110"/>
        <v>3.4117132867132867</v>
      </c>
      <c r="Y1697" s="497" t="str">
        <f t="shared" si="111"/>
        <v/>
      </c>
      <c r="Z1697" s="497" t="str">
        <f t="shared" si="111"/>
        <v/>
      </c>
    </row>
    <row r="1698" spans="1:26" s="82" customFormat="1" ht="32" x14ac:dyDescent="0.4">
      <c r="A1698" s="493">
        <v>61917</v>
      </c>
      <c r="B1698" s="105" t="s">
        <v>329</v>
      </c>
      <c r="C1698" s="493" t="s">
        <v>330</v>
      </c>
      <c r="D1698" s="105" t="s">
        <v>1997</v>
      </c>
      <c r="E1698" s="105" t="s">
        <v>1998</v>
      </c>
      <c r="F1698" s="493">
        <v>61520</v>
      </c>
      <c r="G1698" s="105" t="s">
        <v>52</v>
      </c>
      <c r="H1698" s="105" t="s">
        <v>333</v>
      </c>
      <c r="I1698" s="105" t="s">
        <v>334</v>
      </c>
      <c r="J1698" s="493">
        <v>22</v>
      </c>
      <c r="K1698" s="493">
        <v>2</v>
      </c>
      <c r="L1698" s="105" t="s">
        <v>343</v>
      </c>
      <c r="M1698" s="105" t="s">
        <v>655</v>
      </c>
      <c r="N1698" s="105" t="s">
        <v>656</v>
      </c>
      <c r="O1698" s="105" t="s">
        <v>656</v>
      </c>
      <c r="P1698" s="105" t="s">
        <v>339</v>
      </c>
      <c r="Q1698" s="494">
        <v>0</v>
      </c>
      <c r="R1698" s="494">
        <v>0</v>
      </c>
      <c r="S1698" s="494">
        <v>7596</v>
      </c>
      <c r="T1698" s="494">
        <v>7596</v>
      </c>
      <c r="U1698" s="494">
        <v>2226</v>
      </c>
      <c r="V1698" s="493">
        <v>2024</v>
      </c>
      <c r="W1698" s="495"/>
      <c r="X1698" s="496">
        <f t="shared" si="110"/>
        <v>3.4123989218328843</v>
      </c>
      <c r="Y1698" s="497" t="str">
        <f t="shared" si="111"/>
        <v/>
      </c>
      <c r="Z1698" s="497" t="str">
        <f t="shared" si="111"/>
        <v/>
      </c>
    </row>
    <row r="1699" spans="1:26" s="82" customFormat="1" x14ac:dyDescent="0.4">
      <c r="A1699" s="493">
        <v>61922</v>
      </c>
      <c r="B1699" s="105" t="s">
        <v>329</v>
      </c>
      <c r="C1699" s="493" t="s">
        <v>330</v>
      </c>
      <c r="D1699" s="105" t="s">
        <v>1999</v>
      </c>
      <c r="E1699" s="105" t="s">
        <v>2000</v>
      </c>
      <c r="F1699" s="493">
        <v>59474</v>
      </c>
      <c r="G1699" s="105" t="s">
        <v>52</v>
      </c>
      <c r="H1699" s="105" t="s">
        <v>333</v>
      </c>
      <c r="I1699" s="105" t="s">
        <v>334</v>
      </c>
      <c r="J1699" s="493">
        <v>22</v>
      </c>
      <c r="K1699" s="493">
        <v>2</v>
      </c>
      <c r="L1699" s="105" t="s">
        <v>343</v>
      </c>
      <c r="M1699" s="105" t="s">
        <v>655</v>
      </c>
      <c r="N1699" s="105" t="s">
        <v>656</v>
      </c>
      <c r="O1699" s="105" t="s">
        <v>656</v>
      </c>
      <c r="P1699" s="105" t="s">
        <v>339</v>
      </c>
      <c r="Q1699" s="494">
        <v>0</v>
      </c>
      <c r="R1699" s="494">
        <v>0</v>
      </c>
      <c r="S1699" s="494">
        <v>11292</v>
      </c>
      <c r="T1699" s="494">
        <v>11292</v>
      </c>
      <c r="U1699" s="494">
        <v>3309</v>
      </c>
      <c r="V1699" s="493">
        <v>2024</v>
      </c>
      <c r="W1699" s="495"/>
      <c r="X1699" s="496">
        <f t="shared" si="110"/>
        <v>3.4125113327289212</v>
      </c>
      <c r="Y1699" s="497" t="str">
        <f t="shared" si="111"/>
        <v/>
      </c>
      <c r="Z1699" s="497" t="str">
        <f t="shared" si="111"/>
        <v/>
      </c>
    </row>
    <row r="1700" spans="1:26" s="82" customFormat="1" ht="32" x14ac:dyDescent="0.4">
      <c r="A1700" s="493">
        <v>61928</v>
      </c>
      <c r="B1700" s="105" t="s">
        <v>329</v>
      </c>
      <c r="C1700" s="493" t="s">
        <v>330</v>
      </c>
      <c r="D1700" s="105" t="s">
        <v>2001</v>
      </c>
      <c r="E1700" s="105" t="s">
        <v>1739</v>
      </c>
      <c r="F1700" s="493">
        <v>61060</v>
      </c>
      <c r="G1700" s="105" t="s">
        <v>36</v>
      </c>
      <c r="H1700" s="105" t="s">
        <v>342</v>
      </c>
      <c r="I1700" s="105" t="s">
        <v>334</v>
      </c>
      <c r="J1700" s="493">
        <v>22</v>
      </c>
      <c r="K1700" s="493">
        <v>2</v>
      </c>
      <c r="L1700" s="105" t="s">
        <v>343</v>
      </c>
      <c r="M1700" s="105" t="s">
        <v>655</v>
      </c>
      <c r="N1700" s="105" t="s">
        <v>656</v>
      </c>
      <c r="O1700" s="105" t="s">
        <v>656</v>
      </c>
      <c r="P1700" s="105" t="s">
        <v>339</v>
      </c>
      <c r="Q1700" s="494">
        <v>0</v>
      </c>
      <c r="R1700" s="494">
        <v>0</v>
      </c>
      <c r="S1700" s="494">
        <v>26111</v>
      </c>
      <c r="T1700" s="494">
        <v>26111</v>
      </c>
      <c r="U1700" s="494">
        <v>7653</v>
      </c>
      <c r="V1700" s="493">
        <v>2024</v>
      </c>
      <c r="W1700" s="495"/>
      <c r="X1700" s="496">
        <f t="shared" si="110"/>
        <v>3.4118646282503593</v>
      </c>
      <c r="Y1700" s="497" t="str">
        <f t="shared" si="111"/>
        <v/>
      </c>
      <c r="Z1700" s="497" t="str">
        <f t="shared" si="111"/>
        <v/>
      </c>
    </row>
    <row r="1701" spans="1:26" s="82" customFormat="1" x14ac:dyDescent="0.4">
      <c r="A1701" s="493">
        <v>61958</v>
      </c>
      <c r="B1701" s="105" t="s">
        <v>329</v>
      </c>
      <c r="C1701" s="493" t="s">
        <v>330</v>
      </c>
      <c r="D1701" s="105" t="s">
        <v>2002</v>
      </c>
      <c r="E1701" s="105" t="s">
        <v>1448</v>
      </c>
      <c r="F1701" s="493">
        <v>61012</v>
      </c>
      <c r="G1701" s="105" t="s">
        <v>52</v>
      </c>
      <c r="H1701" s="105" t="s">
        <v>333</v>
      </c>
      <c r="I1701" s="105" t="s">
        <v>334</v>
      </c>
      <c r="J1701" s="493">
        <v>22</v>
      </c>
      <c r="K1701" s="493">
        <v>2</v>
      </c>
      <c r="L1701" s="105" t="s">
        <v>343</v>
      </c>
      <c r="M1701" s="105" t="s">
        <v>655</v>
      </c>
      <c r="N1701" s="105" t="s">
        <v>656</v>
      </c>
      <c r="O1701" s="105" t="s">
        <v>656</v>
      </c>
      <c r="P1701" s="105" t="s">
        <v>339</v>
      </c>
      <c r="Q1701" s="494">
        <v>0</v>
      </c>
      <c r="R1701" s="494">
        <v>0</v>
      </c>
      <c r="S1701" s="494">
        <v>7096</v>
      </c>
      <c r="T1701" s="494">
        <v>7096</v>
      </c>
      <c r="U1701" s="494">
        <v>2080</v>
      </c>
      <c r="V1701" s="493">
        <v>2024</v>
      </c>
      <c r="W1701" s="495"/>
      <c r="X1701" s="496">
        <f t="shared" si="110"/>
        <v>3.4115384615384614</v>
      </c>
      <c r="Y1701" s="497" t="str">
        <f t="shared" si="111"/>
        <v/>
      </c>
      <c r="Z1701" s="497" t="str">
        <f t="shared" si="111"/>
        <v/>
      </c>
    </row>
    <row r="1702" spans="1:26" s="82" customFormat="1" x14ac:dyDescent="0.4">
      <c r="A1702" s="493">
        <v>61959</v>
      </c>
      <c r="B1702" s="105" t="s">
        <v>329</v>
      </c>
      <c r="C1702" s="493" t="s">
        <v>330</v>
      </c>
      <c r="D1702" s="105" t="s">
        <v>2003</v>
      </c>
      <c r="E1702" s="105" t="s">
        <v>2004</v>
      </c>
      <c r="F1702" s="493">
        <v>61540</v>
      </c>
      <c r="G1702" s="105" t="s">
        <v>36</v>
      </c>
      <c r="H1702" s="105" t="s">
        <v>342</v>
      </c>
      <c r="I1702" s="105" t="s">
        <v>334</v>
      </c>
      <c r="J1702" s="493">
        <v>22</v>
      </c>
      <c r="K1702" s="493">
        <v>2</v>
      </c>
      <c r="L1702" s="105" t="s">
        <v>343</v>
      </c>
      <c r="M1702" s="105" t="s">
        <v>655</v>
      </c>
      <c r="N1702" s="105" t="s">
        <v>656</v>
      </c>
      <c r="O1702" s="105" t="s">
        <v>656</v>
      </c>
      <c r="P1702" s="105" t="s">
        <v>339</v>
      </c>
      <c r="Q1702" s="494">
        <v>0</v>
      </c>
      <c r="R1702" s="494">
        <v>0</v>
      </c>
      <c r="S1702" s="494">
        <v>92601</v>
      </c>
      <c r="T1702" s="494">
        <v>92601</v>
      </c>
      <c r="U1702" s="494">
        <v>27140</v>
      </c>
      <c r="V1702" s="493">
        <v>2024</v>
      </c>
      <c r="W1702" s="495"/>
      <c r="X1702" s="496">
        <f t="shared" si="110"/>
        <v>3.4119749447310244</v>
      </c>
      <c r="Y1702" s="497" t="str">
        <f t="shared" si="111"/>
        <v/>
      </c>
      <c r="Z1702" s="497" t="str">
        <f t="shared" si="111"/>
        <v/>
      </c>
    </row>
    <row r="1703" spans="1:26" s="82" customFormat="1" ht="32" x14ac:dyDescent="0.4">
      <c r="A1703" s="493">
        <v>62001</v>
      </c>
      <c r="B1703" s="105" t="s">
        <v>329</v>
      </c>
      <c r="C1703" s="493" t="s">
        <v>330</v>
      </c>
      <c r="D1703" s="105" t="s">
        <v>2005</v>
      </c>
      <c r="E1703" s="105" t="s">
        <v>2005</v>
      </c>
      <c r="F1703" s="493">
        <v>61578</v>
      </c>
      <c r="G1703" s="105" t="s">
        <v>52</v>
      </c>
      <c r="H1703" s="105" t="s">
        <v>333</v>
      </c>
      <c r="I1703" s="105" t="s">
        <v>334</v>
      </c>
      <c r="J1703" s="493">
        <v>622</v>
      </c>
      <c r="K1703" s="493">
        <v>4</v>
      </c>
      <c r="L1703" s="105" t="s">
        <v>766</v>
      </c>
      <c r="M1703" s="105" t="s">
        <v>359</v>
      </c>
      <c r="N1703" s="105" t="s">
        <v>226</v>
      </c>
      <c r="O1703" s="105" t="s">
        <v>226</v>
      </c>
      <c r="P1703" s="105" t="s">
        <v>350</v>
      </c>
      <c r="Q1703" s="494">
        <v>48</v>
      </c>
      <c r="R1703" s="494">
        <v>48</v>
      </c>
      <c r="S1703" s="494">
        <v>283</v>
      </c>
      <c r="T1703" s="494">
        <v>283</v>
      </c>
      <c r="U1703" s="494">
        <v>25</v>
      </c>
      <c r="V1703" s="493">
        <v>2024</v>
      </c>
      <c r="W1703" s="495"/>
      <c r="X1703" s="496" t="str">
        <f t="shared" si="110"/>
        <v/>
      </c>
      <c r="Y1703" s="497" t="str">
        <f t="shared" si="111"/>
        <v/>
      </c>
      <c r="Z1703" s="497" t="str">
        <f t="shared" si="111"/>
        <v/>
      </c>
    </row>
    <row r="1704" spans="1:26" s="82" customFormat="1" ht="32" x14ac:dyDescent="0.4">
      <c r="A1704" s="493">
        <v>62002</v>
      </c>
      <c r="B1704" s="105" t="s">
        <v>329</v>
      </c>
      <c r="C1704" s="493" t="s">
        <v>330</v>
      </c>
      <c r="D1704" s="105" t="s">
        <v>2006</v>
      </c>
      <c r="E1704" s="105" t="s">
        <v>2006</v>
      </c>
      <c r="F1704" s="493">
        <v>61584</v>
      </c>
      <c r="G1704" s="105" t="s">
        <v>52</v>
      </c>
      <c r="H1704" s="105" t="s">
        <v>333</v>
      </c>
      <c r="I1704" s="105" t="s">
        <v>334</v>
      </c>
      <c r="J1704" s="493">
        <v>622</v>
      </c>
      <c r="K1704" s="493">
        <v>4</v>
      </c>
      <c r="L1704" s="105" t="s">
        <v>766</v>
      </c>
      <c r="M1704" s="105" t="s">
        <v>359</v>
      </c>
      <c r="N1704" s="105" t="s">
        <v>226</v>
      </c>
      <c r="O1704" s="105" t="s">
        <v>226</v>
      </c>
      <c r="P1704" s="105" t="s">
        <v>350</v>
      </c>
      <c r="Q1704" s="494">
        <v>24</v>
      </c>
      <c r="R1704" s="494">
        <v>24</v>
      </c>
      <c r="S1704" s="494">
        <v>142</v>
      </c>
      <c r="T1704" s="494">
        <v>142</v>
      </c>
      <c r="U1704" s="494">
        <v>8</v>
      </c>
      <c r="V1704" s="493">
        <v>2024</v>
      </c>
      <c r="W1704" s="495"/>
      <c r="X1704" s="496" t="str">
        <f t="shared" si="110"/>
        <v/>
      </c>
      <c r="Y1704" s="497" t="str">
        <f t="shared" si="111"/>
        <v/>
      </c>
      <c r="Z1704" s="497" t="str">
        <f t="shared" si="111"/>
        <v/>
      </c>
    </row>
    <row r="1705" spans="1:26" s="82" customFormat="1" ht="32" x14ac:dyDescent="0.4">
      <c r="A1705" s="493">
        <v>62003</v>
      </c>
      <c r="B1705" s="105" t="s">
        <v>329</v>
      </c>
      <c r="C1705" s="493" t="s">
        <v>330</v>
      </c>
      <c r="D1705" s="105" t="s">
        <v>2007</v>
      </c>
      <c r="E1705" s="105" t="s">
        <v>2007</v>
      </c>
      <c r="F1705" s="493">
        <v>61577</v>
      </c>
      <c r="G1705" s="105" t="s">
        <v>52</v>
      </c>
      <c r="H1705" s="105" t="s">
        <v>333</v>
      </c>
      <c r="I1705" s="105" t="s">
        <v>334</v>
      </c>
      <c r="J1705" s="493">
        <v>622</v>
      </c>
      <c r="K1705" s="493">
        <v>4</v>
      </c>
      <c r="L1705" s="105" t="s">
        <v>766</v>
      </c>
      <c r="M1705" s="105" t="s">
        <v>359</v>
      </c>
      <c r="N1705" s="105" t="s">
        <v>226</v>
      </c>
      <c r="O1705" s="105" t="s">
        <v>226</v>
      </c>
      <c r="P1705" s="105" t="s">
        <v>350</v>
      </c>
      <c r="Q1705" s="494">
        <v>55</v>
      </c>
      <c r="R1705" s="494">
        <v>55</v>
      </c>
      <c r="S1705" s="494">
        <v>324</v>
      </c>
      <c r="T1705" s="494">
        <v>324</v>
      </c>
      <c r="U1705" s="494">
        <v>14</v>
      </c>
      <c r="V1705" s="493">
        <v>2024</v>
      </c>
      <c r="W1705" s="495"/>
      <c r="X1705" s="496" t="str">
        <f t="shared" si="110"/>
        <v/>
      </c>
      <c r="Y1705" s="497" t="str">
        <f t="shared" si="111"/>
        <v/>
      </c>
      <c r="Z1705" s="497" t="str">
        <f t="shared" si="111"/>
        <v/>
      </c>
    </row>
    <row r="1706" spans="1:26" s="82" customFormat="1" x14ac:dyDescent="0.4">
      <c r="A1706" s="493">
        <v>62017</v>
      </c>
      <c r="B1706" s="105" t="s">
        <v>329</v>
      </c>
      <c r="C1706" s="493" t="s">
        <v>330</v>
      </c>
      <c r="D1706" s="105" t="s">
        <v>2008</v>
      </c>
      <c r="E1706" s="105" t="s">
        <v>1448</v>
      </c>
      <c r="F1706" s="493">
        <v>61012</v>
      </c>
      <c r="G1706" s="105" t="s">
        <v>52</v>
      </c>
      <c r="H1706" s="105" t="s">
        <v>333</v>
      </c>
      <c r="I1706" s="105" t="s">
        <v>334</v>
      </c>
      <c r="J1706" s="493">
        <v>22</v>
      </c>
      <c r="K1706" s="493">
        <v>2</v>
      </c>
      <c r="L1706" s="105" t="s">
        <v>343</v>
      </c>
      <c r="M1706" s="105" t="s">
        <v>655</v>
      </c>
      <c r="N1706" s="105" t="s">
        <v>656</v>
      </c>
      <c r="O1706" s="105" t="s">
        <v>656</v>
      </c>
      <c r="P1706" s="105" t="s">
        <v>339</v>
      </c>
      <c r="Q1706" s="494">
        <v>0</v>
      </c>
      <c r="R1706" s="494">
        <v>0</v>
      </c>
      <c r="S1706" s="494">
        <v>112397</v>
      </c>
      <c r="T1706" s="494">
        <v>112397</v>
      </c>
      <c r="U1706" s="494">
        <v>32942</v>
      </c>
      <c r="V1706" s="493">
        <v>2024</v>
      </c>
      <c r="W1706" s="495"/>
      <c r="X1706" s="496">
        <f t="shared" si="110"/>
        <v>3.4119664865521218</v>
      </c>
      <c r="Y1706" s="497" t="str">
        <f t="shared" si="111"/>
        <v/>
      </c>
      <c r="Z1706" s="497" t="str">
        <f t="shared" si="111"/>
        <v/>
      </c>
    </row>
    <row r="1707" spans="1:26" s="82" customFormat="1" x14ac:dyDescent="0.4">
      <c r="A1707" s="493">
        <v>62021</v>
      </c>
      <c r="B1707" s="105" t="s">
        <v>329</v>
      </c>
      <c r="C1707" s="493" t="s">
        <v>330</v>
      </c>
      <c r="D1707" s="105" t="s">
        <v>2009</v>
      </c>
      <c r="E1707" s="105" t="s">
        <v>1650</v>
      </c>
      <c r="F1707" s="493">
        <v>58135</v>
      </c>
      <c r="G1707" s="105" t="s">
        <v>37</v>
      </c>
      <c r="H1707" s="105" t="s">
        <v>342</v>
      </c>
      <c r="I1707" s="105" t="s">
        <v>334</v>
      </c>
      <c r="J1707" s="493">
        <v>22</v>
      </c>
      <c r="K1707" s="493">
        <v>2</v>
      </c>
      <c r="L1707" s="105" t="s">
        <v>343</v>
      </c>
      <c r="M1707" s="105" t="s">
        <v>655</v>
      </c>
      <c r="N1707" s="105" t="s">
        <v>656</v>
      </c>
      <c r="O1707" s="105" t="s">
        <v>656</v>
      </c>
      <c r="P1707" s="105" t="s">
        <v>339</v>
      </c>
      <c r="Q1707" s="494">
        <v>0</v>
      </c>
      <c r="R1707" s="494">
        <v>0</v>
      </c>
      <c r="S1707" s="494">
        <v>5275</v>
      </c>
      <c r="T1707" s="494">
        <v>5275</v>
      </c>
      <c r="U1707" s="494">
        <v>1546</v>
      </c>
      <c r="V1707" s="493">
        <v>2024</v>
      </c>
      <c r="W1707" s="495"/>
      <c r="X1707" s="496">
        <f t="shared" si="110"/>
        <v>3.4120310478654594</v>
      </c>
      <c r="Y1707" s="497" t="str">
        <f t="shared" si="111"/>
        <v/>
      </c>
      <c r="Z1707" s="497" t="str">
        <f t="shared" si="111"/>
        <v/>
      </c>
    </row>
    <row r="1708" spans="1:26" s="82" customFormat="1" x14ac:dyDescent="0.4">
      <c r="A1708" s="493">
        <v>62023</v>
      </c>
      <c r="B1708" s="105" t="s">
        <v>329</v>
      </c>
      <c r="C1708" s="493" t="s">
        <v>330</v>
      </c>
      <c r="D1708" s="105" t="s">
        <v>2010</v>
      </c>
      <c r="E1708" s="105" t="s">
        <v>1650</v>
      </c>
      <c r="F1708" s="493">
        <v>58135</v>
      </c>
      <c r="G1708" s="105" t="s">
        <v>37</v>
      </c>
      <c r="H1708" s="105" t="s">
        <v>342</v>
      </c>
      <c r="I1708" s="105" t="s">
        <v>334</v>
      </c>
      <c r="J1708" s="493">
        <v>22</v>
      </c>
      <c r="K1708" s="493">
        <v>2</v>
      </c>
      <c r="L1708" s="105" t="s">
        <v>343</v>
      </c>
      <c r="M1708" s="105" t="s">
        <v>655</v>
      </c>
      <c r="N1708" s="105" t="s">
        <v>656</v>
      </c>
      <c r="O1708" s="105" t="s">
        <v>656</v>
      </c>
      <c r="P1708" s="105" t="s">
        <v>339</v>
      </c>
      <c r="Q1708" s="494">
        <v>0</v>
      </c>
      <c r="R1708" s="494">
        <v>0</v>
      </c>
      <c r="S1708" s="494">
        <v>5242</v>
      </c>
      <c r="T1708" s="494">
        <v>5242</v>
      </c>
      <c r="U1708" s="494">
        <v>1536</v>
      </c>
      <c r="V1708" s="493">
        <v>2024</v>
      </c>
      <c r="W1708" s="495"/>
      <c r="X1708" s="496">
        <f t="shared" si="110"/>
        <v>3.4127604166666665</v>
      </c>
      <c r="Y1708" s="497" t="str">
        <f t="shared" ref="Y1708:Z1727" si="112">IF(AND($M1708=$Y$2,$N1708=$Y$3,NOT($Q1708=$R1708),NOT($U1708=0)),IF($K1708=5,$S1708/($U1708+(8/5)*$U1708),IF($K1708=7,$S1708/($U1708+(29/25)*$U1708),"")),"")</f>
        <v/>
      </c>
      <c r="Z1708" s="497" t="str">
        <f t="shared" si="112"/>
        <v/>
      </c>
    </row>
    <row r="1709" spans="1:26" s="82" customFormat="1" x14ac:dyDescent="0.4">
      <c r="A1709" s="493">
        <v>62024</v>
      </c>
      <c r="B1709" s="105" t="s">
        <v>329</v>
      </c>
      <c r="C1709" s="493" t="s">
        <v>330</v>
      </c>
      <c r="D1709" s="105" t="s">
        <v>2011</v>
      </c>
      <c r="E1709" s="105" t="s">
        <v>1650</v>
      </c>
      <c r="F1709" s="493">
        <v>58135</v>
      </c>
      <c r="G1709" s="105" t="s">
        <v>37</v>
      </c>
      <c r="H1709" s="105" t="s">
        <v>342</v>
      </c>
      <c r="I1709" s="105" t="s">
        <v>334</v>
      </c>
      <c r="J1709" s="493">
        <v>22</v>
      </c>
      <c r="K1709" s="493">
        <v>2</v>
      </c>
      <c r="L1709" s="105" t="s">
        <v>343</v>
      </c>
      <c r="M1709" s="105" t="s">
        <v>655</v>
      </c>
      <c r="N1709" s="105" t="s">
        <v>656</v>
      </c>
      <c r="O1709" s="105" t="s">
        <v>656</v>
      </c>
      <c r="P1709" s="105" t="s">
        <v>339</v>
      </c>
      <c r="Q1709" s="494">
        <v>0</v>
      </c>
      <c r="R1709" s="494">
        <v>0</v>
      </c>
      <c r="S1709" s="494">
        <v>5162</v>
      </c>
      <c r="T1709" s="494">
        <v>5162</v>
      </c>
      <c r="U1709" s="494">
        <v>1513</v>
      </c>
      <c r="V1709" s="493">
        <v>2024</v>
      </c>
      <c r="W1709" s="495"/>
      <c r="X1709" s="496">
        <f t="shared" si="110"/>
        <v>3.4117647058823528</v>
      </c>
      <c r="Y1709" s="497" t="str">
        <f t="shared" si="112"/>
        <v/>
      </c>
      <c r="Z1709" s="497" t="str">
        <f t="shared" si="112"/>
        <v/>
      </c>
    </row>
    <row r="1710" spans="1:26" s="82" customFormat="1" x14ac:dyDescent="0.4">
      <c r="A1710" s="493">
        <v>62025</v>
      </c>
      <c r="B1710" s="105" t="s">
        <v>329</v>
      </c>
      <c r="C1710" s="493" t="s">
        <v>330</v>
      </c>
      <c r="D1710" s="105" t="s">
        <v>2012</v>
      </c>
      <c r="E1710" s="105" t="s">
        <v>1650</v>
      </c>
      <c r="F1710" s="493">
        <v>58135</v>
      </c>
      <c r="G1710" s="105" t="s">
        <v>37</v>
      </c>
      <c r="H1710" s="105" t="s">
        <v>342</v>
      </c>
      <c r="I1710" s="105" t="s">
        <v>334</v>
      </c>
      <c r="J1710" s="493">
        <v>22</v>
      </c>
      <c r="K1710" s="493">
        <v>2</v>
      </c>
      <c r="L1710" s="105" t="s">
        <v>343</v>
      </c>
      <c r="M1710" s="105" t="s">
        <v>655</v>
      </c>
      <c r="N1710" s="105" t="s">
        <v>656</v>
      </c>
      <c r="O1710" s="105" t="s">
        <v>656</v>
      </c>
      <c r="P1710" s="105" t="s">
        <v>339</v>
      </c>
      <c r="Q1710" s="494">
        <v>0</v>
      </c>
      <c r="R1710" s="494">
        <v>0</v>
      </c>
      <c r="S1710" s="494">
        <v>5231</v>
      </c>
      <c r="T1710" s="494">
        <v>5231</v>
      </c>
      <c r="U1710" s="494">
        <v>1533</v>
      </c>
      <c r="V1710" s="493">
        <v>2024</v>
      </c>
      <c r="W1710" s="495"/>
      <c r="X1710" s="496">
        <f t="shared" si="110"/>
        <v>3.4122635355512068</v>
      </c>
      <c r="Y1710" s="497" t="str">
        <f t="shared" si="112"/>
        <v/>
      </c>
      <c r="Z1710" s="497" t="str">
        <f t="shared" si="112"/>
        <v/>
      </c>
    </row>
    <row r="1711" spans="1:26" s="82" customFormat="1" x14ac:dyDescent="0.4">
      <c r="A1711" s="493">
        <v>62026</v>
      </c>
      <c r="B1711" s="105" t="s">
        <v>329</v>
      </c>
      <c r="C1711" s="493" t="s">
        <v>330</v>
      </c>
      <c r="D1711" s="105" t="s">
        <v>2013</v>
      </c>
      <c r="E1711" s="105" t="s">
        <v>1650</v>
      </c>
      <c r="F1711" s="493">
        <v>58135</v>
      </c>
      <c r="G1711" s="105" t="s">
        <v>37</v>
      </c>
      <c r="H1711" s="105" t="s">
        <v>342</v>
      </c>
      <c r="I1711" s="105" t="s">
        <v>334</v>
      </c>
      <c r="J1711" s="493">
        <v>22</v>
      </c>
      <c r="K1711" s="493">
        <v>2</v>
      </c>
      <c r="L1711" s="105" t="s">
        <v>343</v>
      </c>
      <c r="M1711" s="105" t="s">
        <v>655</v>
      </c>
      <c r="N1711" s="105" t="s">
        <v>656</v>
      </c>
      <c r="O1711" s="105" t="s">
        <v>656</v>
      </c>
      <c r="P1711" s="105" t="s">
        <v>339</v>
      </c>
      <c r="Q1711" s="494">
        <v>0</v>
      </c>
      <c r="R1711" s="494">
        <v>0</v>
      </c>
      <c r="S1711" s="494">
        <v>5122</v>
      </c>
      <c r="T1711" s="494">
        <v>5122</v>
      </c>
      <c r="U1711" s="494">
        <v>1501</v>
      </c>
      <c r="V1711" s="493">
        <v>2024</v>
      </c>
      <c r="W1711" s="495"/>
      <c r="X1711" s="496">
        <f t="shared" si="110"/>
        <v>3.412391738840773</v>
      </c>
      <c r="Y1711" s="497" t="str">
        <f t="shared" si="112"/>
        <v/>
      </c>
      <c r="Z1711" s="497" t="str">
        <f t="shared" si="112"/>
        <v/>
      </c>
    </row>
    <row r="1712" spans="1:26" s="82" customFormat="1" ht="32" x14ac:dyDescent="0.4">
      <c r="A1712" s="493">
        <v>62029</v>
      </c>
      <c r="B1712" s="105" t="s">
        <v>329</v>
      </c>
      <c r="C1712" s="493" t="s">
        <v>330</v>
      </c>
      <c r="D1712" s="105" t="s">
        <v>2014</v>
      </c>
      <c r="E1712" s="105" t="s">
        <v>2014</v>
      </c>
      <c r="F1712" s="493">
        <v>61599</v>
      </c>
      <c r="G1712" s="105" t="s">
        <v>52</v>
      </c>
      <c r="H1712" s="105" t="s">
        <v>333</v>
      </c>
      <c r="I1712" s="105" t="s">
        <v>334</v>
      </c>
      <c r="J1712" s="493">
        <v>22</v>
      </c>
      <c r="K1712" s="493">
        <v>2</v>
      </c>
      <c r="L1712" s="105" t="s">
        <v>343</v>
      </c>
      <c r="M1712" s="105" t="s">
        <v>655</v>
      </c>
      <c r="N1712" s="105" t="s">
        <v>656</v>
      </c>
      <c r="O1712" s="105" t="s">
        <v>656</v>
      </c>
      <c r="P1712" s="105" t="s">
        <v>339</v>
      </c>
      <c r="Q1712" s="494">
        <v>0</v>
      </c>
      <c r="R1712" s="494">
        <v>0</v>
      </c>
      <c r="S1712" s="494">
        <v>8356</v>
      </c>
      <c r="T1712" s="494">
        <v>8356</v>
      </c>
      <c r="U1712" s="494">
        <v>2449</v>
      </c>
      <c r="V1712" s="493">
        <v>2024</v>
      </c>
      <c r="W1712" s="495"/>
      <c r="X1712" s="496">
        <f t="shared" si="110"/>
        <v>3.4120048999591672</v>
      </c>
      <c r="Y1712" s="497" t="str">
        <f t="shared" si="112"/>
        <v/>
      </c>
      <c r="Z1712" s="497" t="str">
        <f t="shared" si="112"/>
        <v/>
      </c>
    </row>
    <row r="1713" spans="1:26" s="82" customFormat="1" x14ac:dyDescent="0.4">
      <c r="A1713" s="493">
        <v>62034</v>
      </c>
      <c r="B1713" s="105" t="s">
        <v>329</v>
      </c>
      <c r="C1713" s="493" t="s">
        <v>330</v>
      </c>
      <c r="D1713" s="105" t="s">
        <v>2015</v>
      </c>
      <c r="E1713" s="105" t="s">
        <v>2016</v>
      </c>
      <c r="F1713" s="493">
        <v>65242</v>
      </c>
      <c r="G1713" s="105" t="s">
        <v>52</v>
      </c>
      <c r="H1713" s="105" t="s">
        <v>333</v>
      </c>
      <c r="I1713" s="105" t="s">
        <v>334</v>
      </c>
      <c r="J1713" s="493">
        <v>22</v>
      </c>
      <c r="K1713" s="493">
        <v>2</v>
      </c>
      <c r="L1713" s="105" t="s">
        <v>343</v>
      </c>
      <c r="M1713" s="105" t="s">
        <v>655</v>
      </c>
      <c r="N1713" s="105" t="s">
        <v>656</v>
      </c>
      <c r="O1713" s="105" t="s">
        <v>656</v>
      </c>
      <c r="P1713" s="105" t="s">
        <v>339</v>
      </c>
      <c r="Q1713" s="494">
        <v>0</v>
      </c>
      <c r="R1713" s="494">
        <v>0</v>
      </c>
      <c r="S1713" s="494">
        <v>9358</v>
      </c>
      <c r="T1713" s="494">
        <v>9358</v>
      </c>
      <c r="U1713" s="494">
        <v>2743</v>
      </c>
      <c r="V1713" s="493">
        <v>2024</v>
      </c>
      <c r="W1713" s="495"/>
      <c r="X1713" s="496">
        <f t="shared" si="110"/>
        <v>3.4115931461903024</v>
      </c>
      <c r="Y1713" s="497" t="str">
        <f t="shared" si="112"/>
        <v/>
      </c>
      <c r="Z1713" s="497" t="str">
        <f t="shared" si="112"/>
        <v/>
      </c>
    </row>
    <row r="1714" spans="1:26" s="82" customFormat="1" ht="32" x14ac:dyDescent="0.4">
      <c r="A1714" s="493">
        <v>62050</v>
      </c>
      <c r="B1714" s="105" t="s">
        <v>329</v>
      </c>
      <c r="C1714" s="493" t="s">
        <v>330</v>
      </c>
      <c r="D1714" s="105" t="s">
        <v>2017</v>
      </c>
      <c r="E1714" s="105" t="s">
        <v>2017</v>
      </c>
      <c r="F1714" s="493">
        <v>61618</v>
      </c>
      <c r="G1714" s="105" t="s">
        <v>52</v>
      </c>
      <c r="H1714" s="105" t="s">
        <v>333</v>
      </c>
      <c r="I1714" s="105" t="s">
        <v>334</v>
      </c>
      <c r="J1714" s="493">
        <v>622</v>
      </c>
      <c r="K1714" s="493">
        <v>4</v>
      </c>
      <c r="L1714" s="105" t="s">
        <v>766</v>
      </c>
      <c r="M1714" s="105" t="s">
        <v>359</v>
      </c>
      <c r="N1714" s="105" t="s">
        <v>226</v>
      </c>
      <c r="O1714" s="105" t="s">
        <v>226</v>
      </c>
      <c r="P1714" s="105" t="s">
        <v>350</v>
      </c>
      <c r="Q1714" s="494">
        <v>25</v>
      </c>
      <c r="R1714" s="494">
        <v>25</v>
      </c>
      <c r="S1714" s="494">
        <v>148</v>
      </c>
      <c r="T1714" s="494">
        <v>148</v>
      </c>
      <c r="U1714" s="494">
        <v>30</v>
      </c>
      <c r="V1714" s="493">
        <v>2024</v>
      </c>
      <c r="W1714" s="495"/>
      <c r="X1714" s="496" t="str">
        <f t="shared" si="110"/>
        <v/>
      </c>
      <c r="Y1714" s="497" t="str">
        <f t="shared" si="112"/>
        <v/>
      </c>
      <c r="Z1714" s="497" t="str">
        <f t="shared" si="112"/>
        <v/>
      </c>
    </row>
    <row r="1715" spans="1:26" s="82" customFormat="1" ht="32" x14ac:dyDescent="0.4">
      <c r="A1715" s="493">
        <v>62051</v>
      </c>
      <c r="B1715" s="105" t="s">
        <v>329</v>
      </c>
      <c r="C1715" s="493" t="s">
        <v>330</v>
      </c>
      <c r="D1715" s="105" t="s">
        <v>2018</v>
      </c>
      <c r="E1715" s="105" t="s">
        <v>2018</v>
      </c>
      <c r="F1715" s="493">
        <v>61619</v>
      </c>
      <c r="G1715" s="105" t="s">
        <v>52</v>
      </c>
      <c r="H1715" s="105" t="s">
        <v>333</v>
      </c>
      <c r="I1715" s="105" t="s">
        <v>334</v>
      </c>
      <c r="J1715" s="493">
        <v>622</v>
      </c>
      <c r="K1715" s="493">
        <v>4</v>
      </c>
      <c r="L1715" s="105" t="s">
        <v>766</v>
      </c>
      <c r="M1715" s="105" t="s">
        <v>359</v>
      </c>
      <c r="N1715" s="105" t="s">
        <v>226</v>
      </c>
      <c r="O1715" s="105" t="s">
        <v>226</v>
      </c>
      <c r="P1715" s="105" t="s">
        <v>350</v>
      </c>
      <c r="Q1715" s="494">
        <v>51</v>
      </c>
      <c r="R1715" s="494">
        <v>51</v>
      </c>
      <c r="S1715" s="494">
        <v>300</v>
      </c>
      <c r="T1715" s="494">
        <v>300</v>
      </c>
      <c r="U1715" s="494">
        <v>38</v>
      </c>
      <c r="V1715" s="493">
        <v>2024</v>
      </c>
      <c r="W1715" s="495"/>
      <c r="X1715" s="496" t="str">
        <f t="shared" si="110"/>
        <v/>
      </c>
      <c r="Y1715" s="497" t="str">
        <f t="shared" si="112"/>
        <v/>
      </c>
      <c r="Z1715" s="497" t="str">
        <f t="shared" si="112"/>
        <v/>
      </c>
    </row>
    <row r="1716" spans="1:26" s="82" customFormat="1" ht="32" x14ac:dyDescent="0.4">
      <c r="A1716" s="493">
        <v>62055</v>
      </c>
      <c r="B1716" s="105" t="s">
        <v>329</v>
      </c>
      <c r="C1716" s="493" t="s">
        <v>330</v>
      </c>
      <c r="D1716" s="105" t="s">
        <v>2019</v>
      </c>
      <c r="E1716" s="105" t="s">
        <v>2020</v>
      </c>
      <c r="F1716" s="493">
        <v>54913</v>
      </c>
      <c r="G1716" s="105" t="s">
        <v>33</v>
      </c>
      <c r="H1716" s="105" t="s">
        <v>342</v>
      </c>
      <c r="I1716" s="105" t="s">
        <v>334</v>
      </c>
      <c r="J1716" s="493">
        <v>22</v>
      </c>
      <c r="K1716" s="493">
        <v>1</v>
      </c>
      <c r="L1716" s="105" t="s">
        <v>335</v>
      </c>
      <c r="M1716" s="105" t="s">
        <v>655</v>
      </c>
      <c r="N1716" s="105" t="s">
        <v>656</v>
      </c>
      <c r="O1716" s="105" t="s">
        <v>656</v>
      </c>
      <c r="P1716" s="105" t="s">
        <v>339</v>
      </c>
      <c r="Q1716" s="494">
        <v>0</v>
      </c>
      <c r="R1716" s="494">
        <v>0</v>
      </c>
      <c r="S1716" s="494">
        <v>3937</v>
      </c>
      <c r="T1716" s="494">
        <v>3937</v>
      </c>
      <c r="U1716" s="494">
        <v>1154</v>
      </c>
      <c r="V1716" s="493">
        <v>2024</v>
      </c>
      <c r="W1716" s="495"/>
      <c r="X1716" s="496">
        <f t="shared" si="110"/>
        <v>3.4116117850953205</v>
      </c>
      <c r="Y1716" s="497" t="str">
        <f t="shared" si="112"/>
        <v/>
      </c>
      <c r="Z1716" s="497" t="str">
        <f t="shared" si="112"/>
        <v/>
      </c>
    </row>
    <row r="1717" spans="1:26" s="82" customFormat="1" ht="32" x14ac:dyDescent="0.4">
      <c r="A1717" s="493">
        <v>62059</v>
      </c>
      <c r="B1717" s="105" t="s">
        <v>329</v>
      </c>
      <c r="C1717" s="493" t="s">
        <v>330</v>
      </c>
      <c r="D1717" s="105" t="s">
        <v>2021</v>
      </c>
      <c r="E1717" s="105" t="s">
        <v>2020</v>
      </c>
      <c r="F1717" s="493">
        <v>54913</v>
      </c>
      <c r="G1717" s="105" t="s">
        <v>33</v>
      </c>
      <c r="H1717" s="105" t="s">
        <v>342</v>
      </c>
      <c r="I1717" s="105" t="s">
        <v>334</v>
      </c>
      <c r="J1717" s="493">
        <v>22</v>
      </c>
      <c r="K1717" s="493">
        <v>1</v>
      </c>
      <c r="L1717" s="105" t="s">
        <v>335</v>
      </c>
      <c r="M1717" s="105" t="s">
        <v>655</v>
      </c>
      <c r="N1717" s="105" t="s">
        <v>656</v>
      </c>
      <c r="O1717" s="105" t="s">
        <v>656</v>
      </c>
      <c r="P1717" s="105" t="s">
        <v>339</v>
      </c>
      <c r="Q1717" s="494">
        <v>0</v>
      </c>
      <c r="R1717" s="494">
        <v>0</v>
      </c>
      <c r="S1717" s="494">
        <v>17574</v>
      </c>
      <c r="T1717" s="494">
        <v>17574</v>
      </c>
      <c r="U1717" s="494">
        <v>5151</v>
      </c>
      <c r="V1717" s="493">
        <v>2024</v>
      </c>
      <c r="W1717" s="495"/>
      <c r="X1717" s="496">
        <f t="shared" si="110"/>
        <v>3.4117647058823528</v>
      </c>
      <c r="Y1717" s="497" t="str">
        <f t="shared" si="112"/>
        <v/>
      </c>
      <c r="Z1717" s="497" t="str">
        <f t="shared" si="112"/>
        <v/>
      </c>
    </row>
    <row r="1718" spans="1:26" s="82" customFormat="1" ht="32" x14ac:dyDescent="0.4">
      <c r="A1718" s="493">
        <v>62063</v>
      </c>
      <c r="B1718" s="105" t="s">
        <v>329</v>
      </c>
      <c r="C1718" s="493" t="s">
        <v>330</v>
      </c>
      <c r="D1718" s="105" t="s">
        <v>2022</v>
      </c>
      <c r="E1718" s="105" t="s">
        <v>2020</v>
      </c>
      <c r="F1718" s="493">
        <v>54913</v>
      </c>
      <c r="G1718" s="105" t="s">
        <v>33</v>
      </c>
      <c r="H1718" s="105" t="s">
        <v>342</v>
      </c>
      <c r="I1718" s="105" t="s">
        <v>334</v>
      </c>
      <c r="J1718" s="493">
        <v>22</v>
      </c>
      <c r="K1718" s="493">
        <v>1</v>
      </c>
      <c r="L1718" s="105" t="s">
        <v>335</v>
      </c>
      <c r="M1718" s="105" t="s">
        <v>655</v>
      </c>
      <c r="N1718" s="105" t="s">
        <v>656</v>
      </c>
      <c r="O1718" s="105" t="s">
        <v>656</v>
      </c>
      <c r="P1718" s="105" t="s">
        <v>339</v>
      </c>
      <c r="Q1718" s="494">
        <v>0</v>
      </c>
      <c r="R1718" s="494">
        <v>0</v>
      </c>
      <c r="S1718" s="494">
        <v>10042</v>
      </c>
      <c r="T1718" s="494">
        <v>10042</v>
      </c>
      <c r="U1718" s="494">
        <v>2943</v>
      </c>
      <c r="V1718" s="493">
        <v>2024</v>
      </c>
      <c r="W1718" s="495"/>
      <c r="X1718" s="496">
        <f t="shared" si="110"/>
        <v>3.4121644580360178</v>
      </c>
      <c r="Y1718" s="497" t="str">
        <f t="shared" si="112"/>
        <v/>
      </c>
      <c r="Z1718" s="497" t="str">
        <f t="shared" si="112"/>
        <v/>
      </c>
    </row>
    <row r="1719" spans="1:26" s="82" customFormat="1" ht="32" x14ac:dyDescent="0.4">
      <c r="A1719" s="493">
        <v>62064</v>
      </c>
      <c r="B1719" s="105" t="s">
        <v>329</v>
      </c>
      <c r="C1719" s="493" t="s">
        <v>330</v>
      </c>
      <c r="D1719" s="105" t="s">
        <v>2023</v>
      </c>
      <c r="E1719" s="105" t="s">
        <v>2020</v>
      </c>
      <c r="F1719" s="493">
        <v>54913</v>
      </c>
      <c r="G1719" s="105" t="s">
        <v>33</v>
      </c>
      <c r="H1719" s="105" t="s">
        <v>342</v>
      </c>
      <c r="I1719" s="105" t="s">
        <v>334</v>
      </c>
      <c r="J1719" s="493">
        <v>22</v>
      </c>
      <c r="K1719" s="493">
        <v>1</v>
      </c>
      <c r="L1719" s="105" t="s">
        <v>335</v>
      </c>
      <c r="M1719" s="105" t="s">
        <v>655</v>
      </c>
      <c r="N1719" s="105" t="s">
        <v>656</v>
      </c>
      <c r="O1719" s="105" t="s">
        <v>656</v>
      </c>
      <c r="P1719" s="105" t="s">
        <v>339</v>
      </c>
      <c r="Q1719" s="494">
        <v>0</v>
      </c>
      <c r="R1719" s="494">
        <v>0</v>
      </c>
      <c r="S1719" s="494">
        <v>10452</v>
      </c>
      <c r="T1719" s="494">
        <v>10452</v>
      </c>
      <c r="U1719" s="494">
        <v>3063</v>
      </c>
      <c r="V1719" s="493">
        <v>2024</v>
      </c>
      <c r="W1719" s="495"/>
      <c r="X1719" s="496">
        <f t="shared" si="110"/>
        <v>3.4123408423114592</v>
      </c>
      <c r="Y1719" s="497" t="str">
        <f t="shared" si="112"/>
        <v/>
      </c>
      <c r="Z1719" s="497" t="str">
        <f t="shared" si="112"/>
        <v/>
      </c>
    </row>
    <row r="1720" spans="1:26" s="82" customFormat="1" ht="32" x14ac:dyDescent="0.4">
      <c r="A1720" s="493">
        <v>62065</v>
      </c>
      <c r="B1720" s="105" t="s">
        <v>329</v>
      </c>
      <c r="C1720" s="493" t="s">
        <v>330</v>
      </c>
      <c r="D1720" s="105" t="s">
        <v>2024</v>
      </c>
      <c r="E1720" s="105" t="s">
        <v>2020</v>
      </c>
      <c r="F1720" s="493">
        <v>54913</v>
      </c>
      <c r="G1720" s="105" t="s">
        <v>33</v>
      </c>
      <c r="H1720" s="105" t="s">
        <v>342</v>
      </c>
      <c r="I1720" s="105" t="s">
        <v>334</v>
      </c>
      <c r="J1720" s="493">
        <v>22</v>
      </c>
      <c r="K1720" s="493">
        <v>1</v>
      </c>
      <c r="L1720" s="105" t="s">
        <v>335</v>
      </c>
      <c r="M1720" s="105" t="s">
        <v>655</v>
      </c>
      <c r="N1720" s="105" t="s">
        <v>656</v>
      </c>
      <c r="O1720" s="105" t="s">
        <v>656</v>
      </c>
      <c r="P1720" s="105" t="s">
        <v>339</v>
      </c>
      <c r="Q1720" s="494">
        <v>0</v>
      </c>
      <c r="R1720" s="494">
        <v>0</v>
      </c>
      <c r="S1720" s="494">
        <v>10981</v>
      </c>
      <c r="T1720" s="494">
        <v>10981</v>
      </c>
      <c r="U1720" s="494">
        <v>3218</v>
      </c>
      <c r="V1720" s="493">
        <v>2024</v>
      </c>
      <c r="W1720" s="495"/>
      <c r="X1720" s="496">
        <f t="shared" si="110"/>
        <v>3.4123679303915475</v>
      </c>
      <c r="Y1720" s="497" t="str">
        <f t="shared" si="112"/>
        <v/>
      </c>
      <c r="Z1720" s="497" t="str">
        <f t="shared" si="112"/>
        <v/>
      </c>
    </row>
    <row r="1721" spans="1:26" s="82" customFormat="1" ht="32" x14ac:dyDescent="0.4">
      <c r="A1721" s="493">
        <v>62066</v>
      </c>
      <c r="B1721" s="105" t="s">
        <v>329</v>
      </c>
      <c r="C1721" s="493" t="s">
        <v>330</v>
      </c>
      <c r="D1721" s="105" t="s">
        <v>2025</v>
      </c>
      <c r="E1721" s="105" t="s">
        <v>2020</v>
      </c>
      <c r="F1721" s="493">
        <v>54913</v>
      </c>
      <c r="G1721" s="105" t="s">
        <v>33</v>
      </c>
      <c r="H1721" s="105" t="s">
        <v>342</v>
      </c>
      <c r="I1721" s="105" t="s">
        <v>334</v>
      </c>
      <c r="J1721" s="493">
        <v>22</v>
      </c>
      <c r="K1721" s="493">
        <v>1</v>
      </c>
      <c r="L1721" s="105" t="s">
        <v>335</v>
      </c>
      <c r="M1721" s="105" t="s">
        <v>655</v>
      </c>
      <c r="N1721" s="105" t="s">
        <v>656</v>
      </c>
      <c r="O1721" s="105" t="s">
        <v>656</v>
      </c>
      <c r="P1721" s="105" t="s">
        <v>339</v>
      </c>
      <c r="Q1721" s="494">
        <v>0</v>
      </c>
      <c r="R1721" s="494">
        <v>0</v>
      </c>
      <c r="S1721" s="494">
        <v>10608</v>
      </c>
      <c r="T1721" s="494">
        <v>10608</v>
      </c>
      <c r="U1721" s="494">
        <v>3109</v>
      </c>
      <c r="V1721" s="493">
        <v>2024</v>
      </c>
      <c r="W1721" s="495"/>
      <c r="X1721" s="496">
        <f t="shared" si="110"/>
        <v>3.4120295915085235</v>
      </c>
      <c r="Y1721" s="497" t="str">
        <f t="shared" si="112"/>
        <v/>
      </c>
      <c r="Z1721" s="497" t="str">
        <f t="shared" si="112"/>
        <v/>
      </c>
    </row>
    <row r="1722" spans="1:26" s="82" customFormat="1" ht="32" x14ac:dyDescent="0.4">
      <c r="A1722" s="493">
        <v>62072</v>
      </c>
      <c r="B1722" s="105" t="s">
        <v>329</v>
      </c>
      <c r="C1722" s="493" t="s">
        <v>330</v>
      </c>
      <c r="D1722" s="105" t="s">
        <v>2026</v>
      </c>
      <c r="E1722" s="105" t="s">
        <v>2020</v>
      </c>
      <c r="F1722" s="493">
        <v>54913</v>
      </c>
      <c r="G1722" s="105" t="s">
        <v>33</v>
      </c>
      <c r="H1722" s="105" t="s">
        <v>342</v>
      </c>
      <c r="I1722" s="105" t="s">
        <v>334</v>
      </c>
      <c r="J1722" s="493">
        <v>22</v>
      </c>
      <c r="K1722" s="493">
        <v>1</v>
      </c>
      <c r="L1722" s="105" t="s">
        <v>335</v>
      </c>
      <c r="M1722" s="105" t="s">
        <v>655</v>
      </c>
      <c r="N1722" s="105" t="s">
        <v>656</v>
      </c>
      <c r="O1722" s="105" t="s">
        <v>656</v>
      </c>
      <c r="P1722" s="105" t="s">
        <v>339</v>
      </c>
      <c r="Q1722" s="494">
        <v>0</v>
      </c>
      <c r="R1722" s="494">
        <v>0</v>
      </c>
      <c r="S1722" s="494">
        <v>20250</v>
      </c>
      <c r="T1722" s="494">
        <v>20250</v>
      </c>
      <c r="U1722" s="494">
        <v>5935</v>
      </c>
      <c r="V1722" s="493">
        <v>2024</v>
      </c>
      <c r="W1722" s="495"/>
      <c r="X1722" s="496">
        <f t="shared" si="110"/>
        <v>3.4119629317607414</v>
      </c>
      <c r="Y1722" s="497" t="str">
        <f t="shared" si="112"/>
        <v/>
      </c>
      <c r="Z1722" s="497" t="str">
        <f t="shared" si="112"/>
        <v/>
      </c>
    </row>
    <row r="1723" spans="1:26" s="82" customFormat="1" ht="32" x14ac:dyDescent="0.4">
      <c r="A1723" s="493">
        <v>62073</v>
      </c>
      <c r="B1723" s="105" t="s">
        <v>329</v>
      </c>
      <c r="C1723" s="493" t="s">
        <v>330</v>
      </c>
      <c r="D1723" s="105" t="s">
        <v>2027</v>
      </c>
      <c r="E1723" s="105" t="s">
        <v>2020</v>
      </c>
      <c r="F1723" s="493">
        <v>54913</v>
      </c>
      <c r="G1723" s="105" t="s">
        <v>33</v>
      </c>
      <c r="H1723" s="105" t="s">
        <v>342</v>
      </c>
      <c r="I1723" s="105" t="s">
        <v>334</v>
      </c>
      <c r="J1723" s="493">
        <v>22</v>
      </c>
      <c r="K1723" s="493">
        <v>1</v>
      </c>
      <c r="L1723" s="105" t="s">
        <v>335</v>
      </c>
      <c r="M1723" s="105" t="s">
        <v>655</v>
      </c>
      <c r="N1723" s="105" t="s">
        <v>656</v>
      </c>
      <c r="O1723" s="105" t="s">
        <v>656</v>
      </c>
      <c r="P1723" s="105" t="s">
        <v>339</v>
      </c>
      <c r="Q1723" s="494">
        <v>0</v>
      </c>
      <c r="R1723" s="494">
        <v>0</v>
      </c>
      <c r="S1723" s="494">
        <v>20255</v>
      </c>
      <c r="T1723" s="494">
        <v>20255</v>
      </c>
      <c r="U1723" s="494">
        <v>5936</v>
      </c>
      <c r="V1723" s="493">
        <v>2024</v>
      </c>
      <c r="W1723" s="495"/>
      <c r="X1723" s="496">
        <f t="shared" si="110"/>
        <v>3.4122304582210243</v>
      </c>
      <c r="Y1723" s="497" t="str">
        <f t="shared" si="112"/>
        <v/>
      </c>
      <c r="Z1723" s="497" t="str">
        <f t="shared" si="112"/>
        <v/>
      </c>
    </row>
    <row r="1724" spans="1:26" s="82" customFormat="1" x14ac:dyDescent="0.4">
      <c r="A1724" s="493">
        <v>62076</v>
      </c>
      <c r="B1724" s="105" t="s">
        <v>329</v>
      </c>
      <c r="C1724" s="493" t="s">
        <v>330</v>
      </c>
      <c r="D1724" s="105" t="s">
        <v>2028</v>
      </c>
      <c r="E1724" s="105" t="s">
        <v>1393</v>
      </c>
      <c r="F1724" s="493">
        <v>57313</v>
      </c>
      <c r="G1724" s="105" t="s">
        <v>37</v>
      </c>
      <c r="H1724" s="105" t="s">
        <v>342</v>
      </c>
      <c r="I1724" s="105" t="s">
        <v>334</v>
      </c>
      <c r="J1724" s="493">
        <v>22</v>
      </c>
      <c r="K1724" s="493">
        <v>2</v>
      </c>
      <c r="L1724" s="105" t="s">
        <v>343</v>
      </c>
      <c r="M1724" s="105" t="s">
        <v>655</v>
      </c>
      <c r="N1724" s="105" t="s">
        <v>656</v>
      </c>
      <c r="O1724" s="105" t="s">
        <v>656</v>
      </c>
      <c r="P1724" s="105" t="s">
        <v>339</v>
      </c>
      <c r="Q1724" s="494">
        <v>0</v>
      </c>
      <c r="R1724" s="494">
        <v>0</v>
      </c>
      <c r="S1724" s="494">
        <v>5400</v>
      </c>
      <c r="T1724" s="494">
        <v>5400</v>
      </c>
      <c r="U1724" s="494">
        <v>1583</v>
      </c>
      <c r="V1724" s="493">
        <v>2024</v>
      </c>
      <c r="W1724" s="495"/>
      <c r="X1724" s="496">
        <f t="shared" si="110"/>
        <v>3.4112444725205306</v>
      </c>
      <c r="Y1724" s="497" t="str">
        <f t="shared" si="112"/>
        <v/>
      </c>
      <c r="Z1724" s="497" t="str">
        <f t="shared" si="112"/>
        <v/>
      </c>
    </row>
    <row r="1725" spans="1:26" s="82" customFormat="1" ht="32" x14ac:dyDescent="0.4">
      <c r="A1725" s="493">
        <v>62082</v>
      </c>
      <c r="B1725" s="105" t="s">
        <v>329</v>
      </c>
      <c r="C1725" s="493" t="s">
        <v>330</v>
      </c>
      <c r="D1725" s="105" t="s">
        <v>2029</v>
      </c>
      <c r="E1725" s="105" t="s">
        <v>2020</v>
      </c>
      <c r="F1725" s="493">
        <v>54913</v>
      </c>
      <c r="G1725" s="105" t="s">
        <v>33</v>
      </c>
      <c r="H1725" s="105" t="s">
        <v>342</v>
      </c>
      <c r="I1725" s="105" t="s">
        <v>334</v>
      </c>
      <c r="J1725" s="493">
        <v>22</v>
      </c>
      <c r="K1725" s="493">
        <v>1</v>
      </c>
      <c r="L1725" s="105" t="s">
        <v>335</v>
      </c>
      <c r="M1725" s="105" t="s">
        <v>655</v>
      </c>
      <c r="N1725" s="105" t="s">
        <v>656</v>
      </c>
      <c r="O1725" s="105" t="s">
        <v>656</v>
      </c>
      <c r="P1725" s="105" t="s">
        <v>339</v>
      </c>
      <c r="Q1725" s="494">
        <v>0</v>
      </c>
      <c r="R1725" s="494">
        <v>0</v>
      </c>
      <c r="S1725" s="494">
        <v>29134</v>
      </c>
      <c r="T1725" s="494">
        <v>29134</v>
      </c>
      <c r="U1725" s="494">
        <v>8539</v>
      </c>
      <c r="V1725" s="493">
        <v>2024</v>
      </c>
      <c r="W1725" s="495"/>
      <c r="X1725" s="496">
        <f t="shared" si="110"/>
        <v>3.4118749268064175</v>
      </c>
      <c r="Y1725" s="497" t="str">
        <f t="shared" si="112"/>
        <v/>
      </c>
      <c r="Z1725" s="497" t="str">
        <f t="shared" si="112"/>
        <v/>
      </c>
    </row>
    <row r="1726" spans="1:26" s="82" customFormat="1" ht="32" x14ac:dyDescent="0.4">
      <c r="A1726" s="493">
        <v>62090</v>
      </c>
      <c r="B1726" s="105" t="s">
        <v>329</v>
      </c>
      <c r="C1726" s="493" t="s">
        <v>330</v>
      </c>
      <c r="D1726" s="105" t="s">
        <v>2030</v>
      </c>
      <c r="E1726" s="105" t="s">
        <v>2020</v>
      </c>
      <c r="F1726" s="493">
        <v>54913</v>
      </c>
      <c r="G1726" s="105" t="s">
        <v>33</v>
      </c>
      <c r="H1726" s="105" t="s">
        <v>342</v>
      </c>
      <c r="I1726" s="105" t="s">
        <v>334</v>
      </c>
      <c r="J1726" s="493">
        <v>22</v>
      </c>
      <c r="K1726" s="493">
        <v>1</v>
      </c>
      <c r="L1726" s="105" t="s">
        <v>335</v>
      </c>
      <c r="M1726" s="105" t="s">
        <v>655</v>
      </c>
      <c r="N1726" s="105" t="s">
        <v>656</v>
      </c>
      <c r="O1726" s="105" t="s">
        <v>656</v>
      </c>
      <c r="P1726" s="105" t="s">
        <v>339</v>
      </c>
      <c r="Q1726" s="494">
        <v>0</v>
      </c>
      <c r="R1726" s="494">
        <v>0</v>
      </c>
      <c r="S1726" s="494">
        <v>5947</v>
      </c>
      <c r="T1726" s="494">
        <v>5947</v>
      </c>
      <c r="U1726" s="494">
        <v>1743</v>
      </c>
      <c r="V1726" s="493">
        <v>2024</v>
      </c>
      <c r="W1726" s="495"/>
      <c r="X1726" s="496">
        <f t="shared" si="110"/>
        <v>3.4119334480780266</v>
      </c>
      <c r="Y1726" s="497" t="str">
        <f t="shared" si="112"/>
        <v/>
      </c>
      <c r="Z1726" s="497" t="str">
        <f t="shared" si="112"/>
        <v/>
      </c>
    </row>
    <row r="1727" spans="1:26" s="82" customFormat="1" ht="32" x14ac:dyDescent="0.4">
      <c r="A1727" s="493">
        <v>62091</v>
      </c>
      <c r="B1727" s="105" t="s">
        <v>329</v>
      </c>
      <c r="C1727" s="493" t="s">
        <v>330</v>
      </c>
      <c r="D1727" s="105" t="s">
        <v>2031</v>
      </c>
      <c r="E1727" s="105" t="s">
        <v>2020</v>
      </c>
      <c r="F1727" s="493">
        <v>54913</v>
      </c>
      <c r="G1727" s="105" t="s">
        <v>33</v>
      </c>
      <c r="H1727" s="105" t="s">
        <v>342</v>
      </c>
      <c r="I1727" s="105" t="s">
        <v>334</v>
      </c>
      <c r="J1727" s="493">
        <v>22</v>
      </c>
      <c r="K1727" s="493">
        <v>1</v>
      </c>
      <c r="L1727" s="105" t="s">
        <v>335</v>
      </c>
      <c r="M1727" s="105" t="s">
        <v>655</v>
      </c>
      <c r="N1727" s="105" t="s">
        <v>656</v>
      </c>
      <c r="O1727" s="105" t="s">
        <v>656</v>
      </c>
      <c r="P1727" s="105" t="s">
        <v>339</v>
      </c>
      <c r="Q1727" s="494">
        <v>0</v>
      </c>
      <c r="R1727" s="494">
        <v>0</v>
      </c>
      <c r="S1727" s="494">
        <v>19432</v>
      </c>
      <c r="T1727" s="494">
        <v>19432</v>
      </c>
      <c r="U1727" s="494">
        <v>5695</v>
      </c>
      <c r="V1727" s="493">
        <v>2024</v>
      </c>
      <c r="W1727" s="495"/>
      <c r="X1727" s="496">
        <f t="shared" si="110"/>
        <v>3.4121158911325726</v>
      </c>
      <c r="Y1727" s="497" t="str">
        <f t="shared" si="112"/>
        <v/>
      </c>
      <c r="Z1727" s="497" t="str">
        <f t="shared" si="112"/>
        <v/>
      </c>
    </row>
    <row r="1728" spans="1:26" s="82" customFormat="1" ht="32" x14ac:dyDescent="0.4">
      <c r="A1728" s="493">
        <v>62092</v>
      </c>
      <c r="B1728" s="105" t="s">
        <v>329</v>
      </c>
      <c r="C1728" s="493" t="s">
        <v>330</v>
      </c>
      <c r="D1728" s="105" t="s">
        <v>2032</v>
      </c>
      <c r="E1728" s="105" t="s">
        <v>2020</v>
      </c>
      <c r="F1728" s="493">
        <v>54913</v>
      </c>
      <c r="G1728" s="105" t="s">
        <v>33</v>
      </c>
      <c r="H1728" s="105" t="s">
        <v>342</v>
      </c>
      <c r="I1728" s="105" t="s">
        <v>334</v>
      </c>
      <c r="J1728" s="493">
        <v>22</v>
      </c>
      <c r="K1728" s="493">
        <v>1</v>
      </c>
      <c r="L1728" s="105" t="s">
        <v>335</v>
      </c>
      <c r="M1728" s="105" t="s">
        <v>655</v>
      </c>
      <c r="N1728" s="105" t="s">
        <v>656</v>
      </c>
      <c r="O1728" s="105" t="s">
        <v>656</v>
      </c>
      <c r="P1728" s="105" t="s">
        <v>339</v>
      </c>
      <c r="Q1728" s="494">
        <v>0</v>
      </c>
      <c r="R1728" s="494">
        <v>0</v>
      </c>
      <c r="S1728" s="494">
        <v>20243</v>
      </c>
      <c r="T1728" s="494">
        <v>20243</v>
      </c>
      <c r="U1728" s="494">
        <v>5933</v>
      </c>
      <c r="V1728" s="493">
        <v>2024</v>
      </c>
      <c r="W1728" s="495"/>
      <c r="X1728" s="496">
        <f t="shared" si="110"/>
        <v>3.411933254677229</v>
      </c>
      <c r="Y1728" s="497" t="str">
        <f t="shared" ref="Y1728:Z1747" si="113">IF(AND($M1728=$Y$2,$N1728=$Y$3,NOT($Q1728=$R1728),NOT($U1728=0)),IF($K1728=5,$S1728/($U1728+(8/5)*$U1728),IF($K1728=7,$S1728/($U1728+(29/25)*$U1728),"")),"")</f>
        <v/>
      </c>
      <c r="Z1728" s="497" t="str">
        <f t="shared" si="113"/>
        <v/>
      </c>
    </row>
    <row r="1729" spans="1:26" s="82" customFormat="1" ht="32" x14ac:dyDescent="0.4">
      <c r="A1729" s="493">
        <v>62093</v>
      </c>
      <c r="B1729" s="105" t="s">
        <v>329</v>
      </c>
      <c r="C1729" s="493" t="s">
        <v>330</v>
      </c>
      <c r="D1729" s="105" t="s">
        <v>2033</v>
      </c>
      <c r="E1729" s="105" t="s">
        <v>2020</v>
      </c>
      <c r="F1729" s="493">
        <v>54913</v>
      </c>
      <c r="G1729" s="105" t="s">
        <v>33</v>
      </c>
      <c r="H1729" s="105" t="s">
        <v>342</v>
      </c>
      <c r="I1729" s="105" t="s">
        <v>334</v>
      </c>
      <c r="J1729" s="493">
        <v>22</v>
      </c>
      <c r="K1729" s="493">
        <v>1</v>
      </c>
      <c r="L1729" s="105" t="s">
        <v>335</v>
      </c>
      <c r="M1729" s="105" t="s">
        <v>655</v>
      </c>
      <c r="N1729" s="105" t="s">
        <v>656</v>
      </c>
      <c r="O1729" s="105" t="s">
        <v>656</v>
      </c>
      <c r="P1729" s="105" t="s">
        <v>339</v>
      </c>
      <c r="Q1729" s="494">
        <v>0</v>
      </c>
      <c r="R1729" s="494">
        <v>0</v>
      </c>
      <c r="S1729" s="494">
        <v>6705</v>
      </c>
      <c r="T1729" s="494">
        <v>6705</v>
      </c>
      <c r="U1729" s="494">
        <v>1965</v>
      </c>
      <c r="V1729" s="493">
        <v>2024</v>
      </c>
      <c r="W1729" s="495"/>
      <c r="X1729" s="496">
        <f t="shared" si="110"/>
        <v>3.4122137404580153</v>
      </c>
      <c r="Y1729" s="497" t="str">
        <f t="shared" si="113"/>
        <v/>
      </c>
      <c r="Z1729" s="497" t="str">
        <f t="shared" si="113"/>
        <v/>
      </c>
    </row>
    <row r="1730" spans="1:26" s="82" customFormat="1" ht="32" x14ac:dyDescent="0.4">
      <c r="A1730" s="493">
        <v>62097</v>
      </c>
      <c r="B1730" s="105" t="s">
        <v>329</v>
      </c>
      <c r="C1730" s="493" t="s">
        <v>330</v>
      </c>
      <c r="D1730" s="105" t="s">
        <v>2034</v>
      </c>
      <c r="E1730" s="105" t="s">
        <v>2020</v>
      </c>
      <c r="F1730" s="493">
        <v>54913</v>
      </c>
      <c r="G1730" s="105" t="s">
        <v>33</v>
      </c>
      <c r="H1730" s="105" t="s">
        <v>342</v>
      </c>
      <c r="I1730" s="105" t="s">
        <v>334</v>
      </c>
      <c r="J1730" s="493">
        <v>22</v>
      </c>
      <c r="K1730" s="493">
        <v>1</v>
      </c>
      <c r="L1730" s="105" t="s">
        <v>335</v>
      </c>
      <c r="M1730" s="105" t="s">
        <v>655</v>
      </c>
      <c r="N1730" s="105" t="s">
        <v>656</v>
      </c>
      <c r="O1730" s="105" t="s">
        <v>656</v>
      </c>
      <c r="P1730" s="105" t="s">
        <v>339</v>
      </c>
      <c r="Q1730" s="494">
        <v>0</v>
      </c>
      <c r="R1730" s="494">
        <v>0</v>
      </c>
      <c r="S1730" s="494">
        <v>8461</v>
      </c>
      <c r="T1730" s="494">
        <v>8461</v>
      </c>
      <c r="U1730" s="494">
        <v>2480</v>
      </c>
      <c r="V1730" s="493">
        <v>2024</v>
      </c>
      <c r="W1730" s="495"/>
      <c r="X1730" s="496">
        <f t="shared" si="110"/>
        <v>3.4116935483870967</v>
      </c>
      <c r="Y1730" s="497" t="str">
        <f t="shared" si="113"/>
        <v/>
      </c>
      <c r="Z1730" s="497" t="str">
        <f t="shared" si="113"/>
        <v/>
      </c>
    </row>
    <row r="1731" spans="1:26" s="82" customFormat="1" x14ac:dyDescent="0.4">
      <c r="A1731" s="493">
        <v>62106</v>
      </c>
      <c r="B1731" s="105" t="s">
        <v>329</v>
      </c>
      <c r="C1731" s="493" t="s">
        <v>330</v>
      </c>
      <c r="D1731" s="105" t="s">
        <v>2035</v>
      </c>
      <c r="E1731" s="105" t="s">
        <v>2035</v>
      </c>
      <c r="F1731" s="493">
        <v>61648</v>
      </c>
      <c r="G1731" s="105" t="s">
        <v>38</v>
      </c>
      <c r="H1731" s="105" t="s">
        <v>342</v>
      </c>
      <c r="I1731" s="105" t="s">
        <v>334</v>
      </c>
      <c r="J1731" s="493">
        <v>22</v>
      </c>
      <c r="K1731" s="493">
        <v>2</v>
      </c>
      <c r="L1731" s="105" t="s">
        <v>343</v>
      </c>
      <c r="M1731" s="105" t="s">
        <v>695</v>
      </c>
      <c r="N1731" s="105" t="s">
        <v>696</v>
      </c>
      <c r="O1731" s="105" t="s">
        <v>696</v>
      </c>
      <c r="P1731" s="105" t="s">
        <v>339</v>
      </c>
      <c r="Q1731" s="494">
        <v>0</v>
      </c>
      <c r="R1731" s="494">
        <v>0</v>
      </c>
      <c r="S1731" s="494">
        <v>21388</v>
      </c>
      <c r="T1731" s="494">
        <v>21388</v>
      </c>
      <c r="U1731" s="494">
        <v>6269</v>
      </c>
      <c r="V1731" s="493">
        <v>2024</v>
      </c>
      <c r="W1731" s="495"/>
      <c r="X1731" s="496">
        <f t="shared" si="110"/>
        <v>3.4117084064444092</v>
      </c>
      <c r="Y1731" s="497" t="str">
        <f t="shared" si="113"/>
        <v/>
      </c>
      <c r="Z1731" s="497" t="str">
        <f t="shared" si="113"/>
        <v/>
      </c>
    </row>
    <row r="1732" spans="1:26" s="82" customFormat="1" x14ac:dyDescent="0.4">
      <c r="A1732" s="493">
        <v>62107</v>
      </c>
      <c r="B1732" s="105" t="s">
        <v>329</v>
      </c>
      <c r="C1732" s="493" t="s">
        <v>330</v>
      </c>
      <c r="D1732" s="105" t="s">
        <v>2036</v>
      </c>
      <c r="E1732" s="105" t="s">
        <v>2036</v>
      </c>
      <c r="F1732" s="493">
        <v>61649</v>
      </c>
      <c r="G1732" s="105" t="s">
        <v>38</v>
      </c>
      <c r="H1732" s="105" t="s">
        <v>342</v>
      </c>
      <c r="I1732" s="105" t="s">
        <v>334</v>
      </c>
      <c r="J1732" s="493">
        <v>22</v>
      </c>
      <c r="K1732" s="493">
        <v>2</v>
      </c>
      <c r="L1732" s="105" t="s">
        <v>343</v>
      </c>
      <c r="M1732" s="105" t="s">
        <v>695</v>
      </c>
      <c r="N1732" s="105" t="s">
        <v>696</v>
      </c>
      <c r="O1732" s="105" t="s">
        <v>696</v>
      </c>
      <c r="P1732" s="105" t="s">
        <v>339</v>
      </c>
      <c r="Q1732" s="494">
        <v>0</v>
      </c>
      <c r="R1732" s="494">
        <v>0</v>
      </c>
      <c r="S1732" s="494">
        <v>19971</v>
      </c>
      <c r="T1732" s="494">
        <v>19971</v>
      </c>
      <c r="U1732" s="494">
        <v>5853</v>
      </c>
      <c r="V1732" s="493">
        <v>2024</v>
      </c>
      <c r="W1732" s="495"/>
      <c r="X1732" s="496">
        <f t="shared" si="110"/>
        <v>3.4120963608405948</v>
      </c>
      <c r="Y1732" s="497" t="str">
        <f t="shared" si="113"/>
        <v/>
      </c>
      <c r="Z1732" s="497" t="str">
        <f t="shared" si="113"/>
        <v/>
      </c>
    </row>
    <row r="1733" spans="1:26" s="82" customFormat="1" x14ac:dyDescent="0.4">
      <c r="A1733" s="493">
        <v>62108</v>
      </c>
      <c r="B1733" s="105" t="s">
        <v>329</v>
      </c>
      <c r="C1733" s="493" t="s">
        <v>330</v>
      </c>
      <c r="D1733" s="105" t="s">
        <v>2037</v>
      </c>
      <c r="E1733" s="105" t="s">
        <v>2037</v>
      </c>
      <c r="F1733" s="493">
        <v>61650</v>
      </c>
      <c r="G1733" s="105" t="s">
        <v>38</v>
      </c>
      <c r="H1733" s="105" t="s">
        <v>342</v>
      </c>
      <c r="I1733" s="105" t="s">
        <v>334</v>
      </c>
      <c r="J1733" s="493">
        <v>22</v>
      </c>
      <c r="K1733" s="493">
        <v>2</v>
      </c>
      <c r="L1733" s="105" t="s">
        <v>343</v>
      </c>
      <c r="M1733" s="105" t="s">
        <v>695</v>
      </c>
      <c r="N1733" s="105" t="s">
        <v>696</v>
      </c>
      <c r="O1733" s="105" t="s">
        <v>696</v>
      </c>
      <c r="P1733" s="105" t="s">
        <v>339</v>
      </c>
      <c r="Q1733" s="494">
        <v>0</v>
      </c>
      <c r="R1733" s="494">
        <v>0</v>
      </c>
      <c r="S1733" s="494">
        <v>20871</v>
      </c>
      <c r="T1733" s="494">
        <v>20871</v>
      </c>
      <c r="U1733" s="494">
        <v>6117</v>
      </c>
      <c r="V1733" s="493">
        <v>2024</v>
      </c>
      <c r="W1733" s="495"/>
      <c r="X1733" s="496">
        <f t="shared" si="110"/>
        <v>3.4119666503187838</v>
      </c>
      <c r="Y1733" s="497" t="str">
        <f t="shared" si="113"/>
        <v/>
      </c>
      <c r="Z1733" s="497" t="str">
        <f t="shared" si="113"/>
        <v/>
      </c>
    </row>
    <row r="1734" spans="1:26" s="82" customFormat="1" x14ac:dyDescent="0.4">
      <c r="A1734" s="493">
        <v>62109</v>
      </c>
      <c r="B1734" s="105" t="s">
        <v>329</v>
      </c>
      <c r="C1734" s="493" t="s">
        <v>330</v>
      </c>
      <c r="D1734" s="105" t="s">
        <v>2038</v>
      </c>
      <c r="E1734" s="105" t="s">
        <v>2038</v>
      </c>
      <c r="F1734" s="493">
        <v>61651</v>
      </c>
      <c r="G1734" s="105" t="s">
        <v>38</v>
      </c>
      <c r="H1734" s="105" t="s">
        <v>342</v>
      </c>
      <c r="I1734" s="105" t="s">
        <v>334</v>
      </c>
      <c r="J1734" s="493">
        <v>22</v>
      </c>
      <c r="K1734" s="493">
        <v>2</v>
      </c>
      <c r="L1734" s="105" t="s">
        <v>343</v>
      </c>
      <c r="M1734" s="105" t="s">
        <v>695</v>
      </c>
      <c r="N1734" s="105" t="s">
        <v>696</v>
      </c>
      <c r="O1734" s="105" t="s">
        <v>696</v>
      </c>
      <c r="P1734" s="105" t="s">
        <v>339</v>
      </c>
      <c r="Q1734" s="494">
        <v>0</v>
      </c>
      <c r="R1734" s="494">
        <v>0</v>
      </c>
      <c r="S1734" s="494">
        <v>20623</v>
      </c>
      <c r="T1734" s="494">
        <v>20623</v>
      </c>
      <c r="U1734" s="494">
        <v>6044</v>
      </c>
      <c r="V1734" s="493">
        <v>2024</v>
      </c>
      <c r="W1734" s="495"/>
      <c r="X1734" s="496">
        <f t="shared" si="110"/>
        <v>3.4121442753143612</v>
      </c>
      <c r="Y1734" s="497" t="str">
        <f t="shared" si="113"/>
        <v/>
      </c>
      <c r="Z1734" s="497" t="str">
        <f t="shared" si="113"/>
        <v/>
      </c>
    </row>
    <row r="1735" spans="1:26" s="82" customFormat="1" x14ac:dyDescent="0.4">
      <c r="A1735" s="493">
        <v>62110</v>
      </c>
      <c r="B1735" s="105" t="s">
        <v>329</v>
      </c>
      <c r="C1735" s="493" t="s">
        <v>330</v>
      </c>
      <c r="D1735" s="105" t="s">
        <v>2039</v>
      </c>
      <c r="E1735" s="105" t="s">
        <v>2039</v>
      </c>
      <c r="F1735" s="493">
        <v>61652</v>
      </c>
      <c r="G1735" s="105" t="s">
        <v>38</v>
      </c>
      <c r="H1735" s="105" t="s">
        <v>342</v>
      </c>
      <c r="I1735" s="105" t="s">
        <v>334</v>
      </c>
      <c r="J1735" s="493">
        <v>22</v>
      </c>
      <c r="K1735" s="493">
        <v>2</v>
      </c>
      <c r="L1735" s="105" t="s">
        <v>343</v>
      </c>
      <c r="M1735" s="105" t="s">
        <v>695</v>
      </c>
      <c r="N1735" s="105" t="s">
        <v>696</v>
      </c>
      <c r="O1735" s="105" t="s">
        <v>696</v>
      </c>
      <c r="P1735" s="105" t="s">
        <v>339</v>
      </c>
      <c r="Q1735" s="494">
        <v>0</v>
      </c>
      <c r="R1735" s="494">
        <v>0</v>
      </c>
      <c r="S1735" s="494">
        <v>21588</v>
      </c>
      <c r="T1735" s="494">
        <v>21588</v>
      </c>
      <c r="U1735" s="494">
        <v>6327</v>
      </c>
      <c r="V1735" s="493">
        <v>2024</v>
      </c>
      <c r="W1735" s="495"/>
      <c r="X1735" s="496">
        <f t="shared" si="110"/>
        <v>3.4120436225699384</v>
      </c>
      <c r="Y1735" s="497" t="str">
        <f t="shared" si="113"/>
        <v/>
      </c>
      <c r="Z1735" s="497" t="str">
        <f t="shared" si="113"/>
        <v/>
      </c>
    </row>
    <row r="1736" spans="1:26" s="82" customFormat="1" x14ac:dyDescent="0.4">
      <c r="A1736" s="493">
        <v>62111</v>
      </c>
      <c r="B1736" s="105" t="s">
        <v>329</v>
      </c>
      <c r="C1736" s="493" t="s">
        <v>330</v>
      </c>
      <c r="D1736" s="105" t="s">
        <v>2040</v>
      </c>
      <c r="E1736" s="105" t="s">
        <v>2040</v>
      </c>
      <c r="F1736" s="493">
        <v>61653</v>
      </c>
      <c r="G1736" s="105" t="s">
        <v>38</v>
      </c>
      <c r="H1736" s="105" t="s">
        <v>342</v>
      </c>
      <c r="I1736" s="105" t="s">
        <v>334</v>
      </c>
      <c r="J1736" s="493">
        <v>22</v>
      </c>
      <c r="K1736" s="493">
        <v>2</v>
      </c>
      <c r="L1736" s="105" t="s">
        <v>343</v>
      </c>
      <c r="M1736" s="105" t="s">
        <v>695</v>
      </c>
      <c r="N1736" s="105" t="s">
        <v>696</v>
      </c>
      <c r="O1736" s="105" t="s">
        <v>696</v>
      </c>
      <c r="P1736" s="105" t="s">
        <v>339</v>
      </c>
      <c r="Q1736" s="494">
        <v>0</v>
      </c>
      <c r="R1736" s="494">
        <v>0</v>
      </c>
      <c r="S1736" s="494">
        <v>22046</v>
      </c>
      <c r="T1736" s="494">
        <v>22046</v>
      </c>
      <c r="U1736" s="494">
        <v>6461</v>
      </c>
      <c r="V1736" s="493">
        <v>2024</v>
      </c>
      <c r="W1736" s="495"/>
      <c r="X1736" s="496">
        <f t="shared" si="110"/>
        <v>3.4121652994892431</v>
      </c>
      <c r="Y1736" s="497" t="str">
        <f t="shared" si="113"/>
        <v/>
      </c>
      <c r="Z1736" s="497" t="str">
        <f t="shared" si="113"/>
        <v/>
      </c>
    </row>
    <row r="1737" spans="1:26" s="82" customFormat="1" x14ac:dyDescent="0.4">
      <c r="A1737" s="493">
        <v>62112</v>
      </c>
      <c r="B1737" s="105" t="s">
        <v>329</v>
      </c>
      <c r="C1737" s="493" t="s">
        <v>330</v>
      </c>
      <c r="D1737" s="105" t="s">
        <v>2041</v>
      </c>
      <c r="E1737" s="105" t="s">
        <v>2041</v>
      </c>
      <c r="F1737" s="493">
        <v>61654</v>
      </c>
      <c r="G1737" s="105" t="s">
        <v>38</v>
      </c>
      <c r="H1737" s="105" t="s">
        <v>342</v>
      </c>
      <c r="I1737" s="105" t="s">
        <v>334</v>
      </c>
      <c r="J1737" s="493">
        <v>22</v>
      </c>
      <c r="K1737" s="493">
        <v>2</v>
      </c>
      <c r="L1737" s="105" t="s">
        <v>343</v>
      </c>
      <c r="M1737" s="105" t="s">
        <v>695</v>
      </c>
      <c r="N1737" s="105" t="s">
        <v>696</v>
      </c>
      <c r="O1737" s="105" t="s">
        <v>696</v>
      </c>
      <c r="P1737" s="105" t="s">
        <v>339</v>
      </c>
      <c r="Q1737" s="494">
        <v>0</v>
      </c>
      <c r="R1737" s="494">
        <v>0</v>
      </c>
      <c r="S1737" s="494">
        <v>22654</v>
      </c>
      <c r="T1737" s="494">
        <v>22654</v>
      </c>
      <c r="U1737" s="494">
        <v>6639</v>
      </c>
      <c r="V1737" s="493">
        <v>2024</v>
      </c>
      <c r="W1737" s="495"/>
      <c r="X1737" s="496">
        <f t="shared" ref="X1737:X1800" si="114">IF(OR(K1737&gt;3,T1737=0,NOT(U1737&gt;0)),"",T1737/U1737)</f>
        <v>3.4122608826630518</v>
      </c>
      <c r="Y1737" s="497" t="str">
        <f t="shared" si="113"/>
        <v/>
      </c>
      <c r="Z1737" s="497" t="str">
        <f t="shared" si="113"/>
        <v/>
      </c>
    </row>
    <row r="1738" spans="1:26" s="82" customFormat="1" x14ac:dyDescent="0.4">
      <c r="A1738" s="493">
        <v>62118</v>
      </c>
      <c r="B1738" s="105" t="s">
        <v>329</v>
      </c>
      <c r="C1738" s="493" t="s">
        <v>330</v>
      </c>
      <c r="D1738" s="105" t="s">
        <v>2042</v>
      </c>
      <c r="E1738" s="105" t="s">
        <v>1356</v>
      </c>
      <c r="F1738" s="493">
        <v>65164</v>
      </c>
      <c r="G1738" s="105" t="s">
        <v>38</v>
      </c>
      <c r="H1738" s="105" t="s">
        <v>342</v>
      </c>
      <c r="I1738" s="105" t="s">
        <v>334</v>
      </c>
      <c r="J1738" s="493">
        <v>22</v>
      </c>
      <c r="K1738" s="493">
        <v>2</v>
      </c>
      <c r="L1738" s="105" t="s">
        <v>343</v>
      </c>
      <c r="M1738" s="105" t="s">
        <v>655</v>
      </c>
      <c r="N1738" s="105" t="s">
        <v>656</v>
      </c>
      <c r="O1738" s="105" t="s">
        <v>656</v>
      </c>
      <c r="P1738" s="105" t="s">
        <v>339</v>
      </c>
      <c r="Q1738" s="494">
        <v>0</v>
      </c>
      <c r="R1738" s="494">
        <v>0</v>
      </c>
      <c r="S1738" s="494">
        <v>15023</v>
      </c>
      <c r="T1738" s="494">
        <v>15023</v>
      </c>
      <c r="U1738" s="494">
        <v>4403</v>
      </c>
      <c r="V1738" s="493">
        <v>2024</v>
      </c>
      <c r="W1738" s="495"/>
      <c r="X1738" s="496">
        <f t="shared" si="114"/>
        <v>3.4119918237565297</v>
      </c>
      <c r="Y1738" s="497" t="str">
        <f t="shared" si="113"/>
        <v/>
      </c>
      <c r="Z1738" s="497" t="str">
        <f t="shared" si="113"/>
        <v/>
      </c>
    </row>
    <row r="1739" spans="1:26" s="82" customFormat="1" x14ac:dyDescent="0.4">
      <c r="A1739" s="493">
        <v>62135</v>
      </c>
      <c r="B1739" s="105" t="s">
        <v>329</v>
      </c>
      <c r="C1739" s="493" t="s">
        <v>330</v>
      </c>
      <c r="D1739" s="105" t="s">
        <v>2043</v>
      </c>
      <c r="E1739" s="105" t="s">
        <v>1448</v>
      </c>
      <c r="F1739" s="493">
        <v>61012</v>
      </c>
      <c r="G1739" s="105" t="s">
        <v>33</v>
      </c>
      <c r="H1739" s="105" t="s">
        <v>342</v>
      </c>
      <c r="I1739" s="105" t="s">
        <v>334</v>
      </c>
      <c r="J1739" s="493">
        <v>22</v>
      </c>
      <c r="K1739" s="493">
        <v>2</v>
      </c>
      <c r="L1739" s="105" t="s">
        <v>343</v>
      </c>
      <c r="M1739" s="105" t="s">
        <v>655</v>
      </c>
      <c r="N1739" s="105" t="s">
        <v>656</v>
      </c>
      <c r="O1739" s="105" t="s">
        <v>656</v>
      </c>
      <c r="P1739" s="105" t="s">
        <v>339</v>
      </c>
      <c r="Q1739" s="494">
        <v>0</v>
      </c>
      <c r="R1739" s="494">
        <v>0</v>
      </c>
      <c r="S1739" s="494">
        <v>20038</v>
      </c>
      <c r="T1739" s="494">
        <v>20038</v>
      </c>
      <c r="U1739" s="494">
        <v>5873</v>
      </c>
      <c r="V1739" s="493">
        <v>2024</v>
      </c>
      <c r="W1739" s="495"/>
      <c r="X1739" s="496">
        <f t="shared" si="114"/>
        <v>3.4118848969862081</v>
      </c>
      <c r="Y1739" s="497" t="str">
        <f t="shared" si="113"/>
        <v/>
      </c>
      <c r="Z1739" s="497" t="str">
        <f t="shared" si="113"/>
        <v/>
      </c>
    </row>
    <row r="1740" spans="1:26" s="82" customFormat="1" x14ac:dyDescent="0.4">
      <c r="A1740" s="493">
        <v>62145</v>
      </c>
      <c r="B1740" s="105" t="s">
        <v>329</v>
      </c>
      <c r="C1740" s="493" t="s">
        <v>330</v>
      </c>
      <c r="D1740" s="105" t="s">
        <v>2044</v>
      </c>
      <c r="E1740" s="105" t="s">
        <v>2044</v>
      </c>
      <c r="F1740" s="493">
        <v>61681</v>
      </c>
      <c r="G1740" s="105" t="s">
        <v>52</v>
      </c>
      <c r="H1740" s="105" t="s">
        <v>333</v>
      </c>
      <c r="I1740" s="105" t="s">
        <v>334</v>
      </c>
      <c r="J1740" s="493">
        <v>22</v>
      </c>
      <c r="K1740" s="493">
        <v>2</v>
      </c>
      <c r="L1740" s="105" t="s">
        <v>343</v>
      </c>
      <c r="M1740" s="105" t="s">
        <v>655</v>
      </c>
      <c r="N1740" s="105" t="s">
        <v>656</v>
      </c>
      <c r="O1740" s="105" t="s">
        <v>656</v>
      </c>
      <c r="P1740" s="105" t="s">
        <v>339</v>
      </c>
      <c r="Q1740" s="494">
        <v>0</v>
      </c>
      <c r="R1740" s="494">
        <v>0</v>
      </c>
      <c r="S1740" s="494">
        <v>12184</v>
      </c>
      <c r="T1740" s="494">
        <v>12184</v>
      </c>
      <c r="U1740" s="494">
        <v>3571</v>
      </c>
      <c r="V1740" s="493">
        <v>2024</v>
      </c>
      <c r="W1740" s="495"/>
      <c r="X1740" s="496">
        <f t="shared" si="114"/>
        <v>3.4119294315317839</v>
      </c>
      <c r="Y1740" s="497" t="str">
        <f t="shared" si="113"/>
        <v/>
      </c>
      <c r="Z1740" s="497" t="str">
        <f t="shared" si="113"/>
        <v/>
      </c>
    </row>
    <row r="1741" spans="1:26" s="82" customFormat="1" x14ac:dyDescent="0.4">
      <c r="A1741" s="493">
        <v>62146</v>
      </c>
      <c r="B1741" s="105" t="s">
        <v>329</v>
      </c>
      <c r="C1741" s="493" t="s">
        <v>330</v>
      </c>
      <c r="D1741" s="105" t="s">
        <v>2045</v>
      </c>
      <c r="E1741" s="105" t="s">
        <v>2046</v>
      </c>
      <c r="F1741" s="493">
        <v>61682</v>
      </c>
      <c r="G1741" s="105" t="s">
        <v>52</v>
      </c>
      <c r="H1741" s="105" t="s">
        <v>333</v>
      </c>
      <c r="I1741" s="105" t="s">
        <v>334</v>
      </c>
      <c r="J1741" s="493">
        <v>22</v>
      </c>
      <c r="K1741" s="493">
        <v>2</v>
      </c>
      <c r="L1741" s="105" t="s">
        <v>343</v>
      </c>
      <c r="M1741" s="105" t="s">
        <v>655</v>
      </c>
      <c r="N1741" s="105" t="s">
        <v>656</v>
      </c>
      <c r="O1741" s="105" t="s">
        <v>656</v>
      </c>
      <c r="P1741" s="105" t="s">
        <v>339</v>
      </c>
      <c r="Q1741" s="494">
        <v>0</v>
      </c>
      <c r="R1741" s="494">
        <v>0</v>
      </c>
      <c r="S1741" s="494">
        <v>3454</v>
      </c>
      <c r="T1741" s="494">
        <v>3454</v>
      </c>
      <c r="U1741" s="494">
        <v>1012</v>
      </c>
      <c r="V1741" s="493">
        <v>2024</v>
      </c>
      <c r="W1741" s="495"/>
      <c r="X1741" s="496">
        <f t="shared" si="114"/>
        <v>3.4130434782608696</v>
      </c>
      <c r="Y1741" s="497" t="str">
        <f t="shared" si="113"/>
        <v/>
      </c>
      <c r="Z1741" s="497" t="str">
        <f t="shared" si="113"/>
        <v/>
      </c>
    </row>
    <row r="1742" spans="1:26" s="82" customFormat="1" x14ac:dyDescent="0.4">
      <c r="A1742" s="493">
        <v>62147</v>
      </c>
      <c r="B1742" s="105" t="s">
        <v>329</v>
      </c>
      <c r="C1742" s="493" t="s">
        <v>330</v>
      </c>
      <c r="D1742" s="105" t="s">
        <v>2047</v>
      </c>
      <c r="E1742" s="105" t="s">
        <v>2048</v>
      </c>
      <c r="F1742" s="493">
        <v>61687</v>
      </c>
      <c r="G1742" s="105" t="s">
        <v>52</v>
      </c>
      <c r="H1742" s="105" t="s">
        <v>333</v>
      </c>
      <c r="I1742" s="105" t="s">
        <v>334</v>
      </c>
      <c r="J1742" s="493">
        <v>22</v>
      </c>
      <c r="K1742" s="493">
        <v>2</v>
      </c>
      <c r="L1742" s="105" t="s">
        <v>343</v>
      </c>
      <c r="M1742" s="105" t="s">
        <v>403</v>
      </c>
      <c r="N1742" s="105" t="s">
        <v>404</v>
      </c>
      <c r="O1742" s="105" t="s">
        <v>232</v>
      </c>
      <c r="P1742" s="105" t="s">
        <v>346</v>
      </c>
      <c r="Q1742" s="494">
        <v>24708</v>
      </c>
      <c r="R1742" s="494">
        <v>24708</v>
      </c>
      <c r="S1742" s="494">
        <v>0</v>
      </c>
      <c r="T1742" s="494">
        <v>0</v>
      </c>
      <c r="U1742" s="494">
        <v>-2868</v>
      </c>
      <c r="V1742" s="493">
        <v>2024</v>
      </c>
      <c r="W1742" s="495"/>
      <c r="X1742" s="496" t="str">
        <f t="shared" si="114"/>
        <v/>
      </c>
      <c r="Y1742" s="497" t="str">
        <f t="shared" si="113"/>
        <v/>
      </c>
      <c r="Z1742" s="497" t="str">
        <f t="shared" si="113"/>
        <v/>
      </c>
    </row>
    <row r="1743" spans="1:26" s="82" customFormat="1" x14ac:dyDescent="0.4">
      <c r="A1743" s="493">
        <v>62154</v>
      </c>
      <c r="B1743" s="105" t="s">
        <v>329</v>
      </c>
      <c r="C1743" s="493" t="s">
        <v>330</v>
      </c>
      <c r="D1743" s="105" t="s">
        <v>2049</v>
      </c>
      <c r="E1743" s="105" t="s">
        <v>2050</v>
      </c>
      <c r="F1743" s="493">
        <v>61194</v>
      </c>
      <c r="G1743" s="105" t="s">
        <v>52</v>
      </c>
      <c r="H1743" s="105" t="s">
        <v>333</v>
      </c>
      <c r="I1743" s="105" t="s">
        <v>334</v>
      </c>
      <c r="J1743" s="493">
        <v>22</v>
      </c>
      <c r="K1743" s="493">
        <v>2</v>
      </c>
      <c r="L1743" s="105" t="s">
        <v>343</v>
      </c>
      <c r="M1743" s="105" t="s">
        <v>655</v>
      </c>
      <c r="N1743" s="105" t="s">
        <v>656</v>
      </c>
      <c r="O1743" s="105" t="s">
        <v>656</v>
      </c>
      <c r="P1743" s="105" t="s">
        <v>339</v>
      </c>
      <c r="Q1743" s="494">
        <v>0</v>
      </c>
      <c r="R1743" s="494">
        <v>0</v>
      </c>
      <c r="S1743" s="494">
        <v>11322</v>
      </c>
      <c r="T1743" s="494">
        <v>11322</v>
      </c>
      <c r="U1743" s="494">
        <v>3318</v>
      </c>
      <c r="V1743" s="493">
        <v>2024</v>
      </c>
      <c r="W1743" s="495"/>
      <c r="X1743" s="496">
        <f t="shared" si="114"/>
        <v>3.4122965641952985</v>
      </c>
      <c r="Y1743" s="497" t="str">
        <f t="shared" si="113"/>
        <v/>
      </c>
      <c r="Z1743" s="497" t="str">
        <f t="shared" si="113"/>
        <v/>
      </c>
    </row>
    <row r="1744" spans="1:26" s="82" customFormat="1" x14ac:dyDescent="0.4">
      <c r="A1744" s="493">
        <v>62155</v>
      </c>
      <c r="B1744" s="105" t="s">
        <v>329</v>
      </c>
      <c r="C1744" s="493" t="s">
        <v>330</v>
      </c>
      <c r="D1744" s="105" t="s">
        <v>2051</v>
      </c>
      <c r="E1744" s="105" t="s">
        <v>2016</v>
      </c>
      <c r="F1744" s="493">
        <v>65242</v>
      </c>
      <c r="G1744" s="105" t="s">
        <v>52</v>
      </c>
      <c r="H1744" s="105" t="s">
        <v>333</v>
      </c>
      <c r="I1744" s="105" t="s">
        <v>334</v>
      </c>
      <c r="J1744" s="493">
        <v>22</v>
      </c>
      <c r="K1744" s="493">
        <v>2</v>
      </c>
      <c r="L1744" s="105" t="s">
        <v>343</v>
      </c>
      <c r="M1744" s="105" t="s">
        <v>655</v>
      </c>
      <c r="N1744" s="105" t="s">
        <v>656</v>
      </c>
      <c r="O1744" s="105" t="s">
        <v>656</v>
      </c>
      <c r="P1744" s="105" t="s">
        <v>339</v>
      </c>
      <c r="Q1744" s="494">
        <v>0</v>
      </c>
      <c r="R1744" s="494">
        <v>0</v>
      </c>
      <c r="S1744" s="494">
        <v>6945</v>
      </c>
      <c r="T1744" s="494">
        <v>6945</v>
      </c>
      <c r="U1744" s="494">
        <v>2035.44</v>
      </c>
      <c r="V1744" s="493">
        <v>2024</v>
      </c>
      <c r="W1744" s="495"/>
      <c r="X1744" s="496">
        <f t="shared" si="114"/>
        <v>3.412038674684589</v>
      </c>
      <c r="Y1744" s="497" t="str">
        <f t="shared" si="113"/>
        <v/>
      </c>
      <c r="Z1744" s="497" t="str">
        <f t="shared" si="113"/>
        <v/>
      </c>
    </row>
    <row r="1745" spans="1:26" s="82" customFormat="1" x14ac:dyDescent="0.4">
      <c r="A1745" s="493">
        <v>62156</v>
      </c>
      <c r="B1745" s="105" t="s">
        <v>329</v>
      </c>
      <c r="C1745" s="493" t="s">
        <v>330</v>
      </c>
      <c r="D1745" s="105" t="s">
        <v>2052</v>
      </c>
      <c r="E1745" s="105" t="s">
        <v>2050</v>
      </c>
      <c r="F1745" s="493">
        <v>61194</v>
      </c>
      <c r="G1745" s="105" t="s">
        <v>52</v>
      </c>
      <c r="H1745" s="105" t="s">
        <v>333</v>
      </c>
      <c r="I1745" s="105" t="s">
        <v>334</v>
      </c>
      <c r="J1745" s="493">
        <v>22</v>
      </c>
      <c r="K1745" s="493">
        <v>2</v>
      </c>
      <c r="L1745" s="105" t="s">
        <v>343</v>
      </c>
      <c r="M1745" s="105" t="s">
        <v>655</v>
      </c>
      <c r="N1745" s="105" t="s">
        <v>656</v>
      </c>
      <c r="O1745" s="105" t="s">
        <v>656</v>
      </c>
      <c r="P1745" s="105" t="s">
        <v>339</v>
      </c>
      <c r="Q1745" s="494">
        <v>0</v>
      </c>
      <c r="R1745" s="494">
        <v>0</v>
      </c>
      <c r="S1745" s="494">
        <v>10123</v>
      </c>
      <c r="T1745" s="494">
        <v>10123</v>
      </c>
      <c r="U1745" s="494">
        <v>2967</v>
      </c>
      <c r="V1745" s="493">
        <v>2024</v>
      </c>
      <c r="W1745" s="495"/>
      <c r="X1745" s="496">
        <f t="shared" si="114"/>
        <v>3.4118638355240982</v>
      </c>
      <c r="Y1745" s="497" t="str">
        <f t="shared" si="113"/>
        <v/>
      </c>
      <c r="Z1745" s="497" t="str">
        <f t="shared" si="113"/>
        <v/>
      </c>
    </row>
    <row r="1746" spans="1:26" s="82" customFormat="1" ht="32" x14ac:dyDescent="0.4">
      <c r="A1746" s="493">
        <v>62157</v>
      </c>
      <c r="B1746" s="105" t="s">
        <v>329</v>
      </c>
      <c r="C1746" s="493" t="s">
        <v>330</v>
      </c>
      <c r="D1746" s="105" t="s">
        <v>2053</v>
      </c>
      <c r="E1746" s="105" t="s">
        <v>1313</v>
      </c>
      <c r="F1746" s="493">
        <v>60281</v>
      </c>
      <c r="G1746" s="105" t="s">
        <v>52</v>
      </c>
      <c r="H1746" s="105" t="s">
        <v>333</v>
      </c>
      <c r="I1746" s="105" t="s">
        <v>334</v>
      </c>
      <c r="J1746" s="493">
        <v>22</v>
      </c>
      <c r="K1746" s="493">
        <v>2</v>
      </c>
      <c r="L1746" s="105" t="s">
        <v>343</v>
      </c>
      <c r="M1746" s="105" t="s">
        <v>655</v>
      </c>
      <c r="N1746" s="105" t="s">
        <v>656</v>
      </c>
      <c r="O1746" s="105" t="s">
        <v>656</v>
      </c>
      <c r="P1746" s="105" t="s">
        <v>339</v>
      </c>
      <c r="Q1746" s="494">
        <v>0</v>
      </c>
      <c r="R1746" s="494">
        <v>0</v>
      </c>
      <c r="S1746" s="494">
        <v>9399</v>
      </c>
      <c r="T1746" s="494">
        <v>9399</v>
      </c>
      <c r="U1746" s="494">
        <v>2755</v>
      </c>
      <c r="V1746" s="493">
        <v>2024</v>
      </c>
      <c r="W1746" s="495"/>
      <c r="X1746" s="496">
        <f t="shared" si="114"/>
        <v>3.4116152450090742</v>
      </c>
      <c r="Y1746" s="497" t="str">
        <f t="shared" si="113"/>
        <v/>
      </c>
      <c r="Z1746" s="497" t="str">
        <f t="shared" si="113"/>
        <v/>
      </c>
    </row>
    <row r="1747" spans="1:26" s="82" customFormat="1" x14ac:dyDescent="0.4">
      <c r="A1747" s="493">
        <v>62158</v>
      </c>
      <c r="B1747" s="105" t="s">
        <v>329</v>
      </c>
      <c r="C1747" s="493" t="s">
        <v>330</v>
      </c>
      <c r="D1747" s="105" t="s">
        <v>2054</v>
      </c>
      <c r="E1747" s="105" t="s">
        <v>2050</v>
      </c>
      <c r="F1747" s="493">
        <v>61194</v>
      </c>
      <c r="G1747" s="105" t="s">
        <v>52</v>
      </c>
      <c r="H1747" s="105" t="s">
        <v>333</v>
      </c>
      <c r="I1747" s="105" t="s">
        <v>334</v>
      </c>
      <c r="J1747" s="493">
        <v>22</v>
      </c>
      <c r="K1747" s="493">
        <v>2</v>
      </c>
      <c r="L1747" s="105" t="s">
        <v>343</v>
      </c>
      <c r="M1747" s="105" t="s">
        <v>655</v>
      </c>
      <c r="N1747" s="105" t="s">
        <v>656</v>
      </c>
      <c r="O1747" s="105" t="s">
        <v>656</v>
      </c>
      <c r="P1747" s="105" t="s">
        <v>339</v>
      </c>
      <c r="Q1747" s="494">
        <v>0</v>
      </c>
      <c r="R1747" s="494">
        <v>0</v>
      </c>
      <c r="S1747" s="494">
        <v>11007</v>
      </c>
      <c r="T1747" s="494">
        <v>11007</v>
      </c>
      <c r="U1747" s="494">
        <v>3226</v>
      </c>
      <c r="V1747" s="493">
        <v>2024</v>
      </c>
      <c r="W1747" s="495"/>
      <c r="X1747" s="496">
        <f t="shared" si="114"/>
        <v>3.411965282083075</v>
      </c>
      <c r="Y1747" s="497" t="str">
        <f t="shared" si="113"/>
        <v/>
      </c>
      <c r="Z1747" s="497" t="str">
        <f t="shared" si="113"/>
        <v/>
      </c>
    </row>
    <row r="1748" spans="1:26" s="82" customFormat="1" x14ac:dyDescent="0.4">
      <c r="A1748" s="493">
        <v>62159</v>
      </c>
      <c r="B1748" s="105" t="s">
        <v>329</v>
      </c>
      <c r="C1748" s="493" t="s">
        <v>330</v>
      </c>
      <c r="D1748" s="105" t="s">
        <v>2055</v>
      </c>
      <c r="E1748" s="105" t="s">
        <v>2016</v>
      </c>
      <c r="F1748" s="493">
        <v>65242</v>
      </c>
      <c r="G1748" s="105" t="s">
        <v>52</v>
      </c>
      <c r="H1748" s="105" t="s">
        <v>333</v>
      </c>
      <c r="I1748" s="105" t="s">
        <v>334</v>
      </c>
      <c r="J1748" s="493">
        <v>22</v>
      </c>
      <c r="K1748" s="493">
        <v>2</v>
      </c>
      <c r="L1748" s="105" t="s">
        <v>343</v>
      </c>
      <c r="M1748" s="105" t="s">
        <v>655</v>
      </c>
      <c r="N1748" s="105" t="s">
        <v>656</v>
      </c>
      <c r="O1748" s="105" t="s">
        <v>656</v>
      </c>
      <c r="P1748" s="105" t="s">
        <v>339</v>
      </c>
      <c r="Q1748" s="494">
        <v>0</v>
      </c>
      <c r="R1748" s="494">
        <v>0</v>
      </c>
      <c r="S1748" s="494">
        <v>9206</v>
      </c>
      <c r="T1748" s="494">
        <v>9206</v>
      </c>
      <c r="U1748" s="494">
        <v>2698</v>
      </c>
      <c r="V1748" s="493">
        <v>2024</v>
      </c>
      <c r="W1748" s="495"/>
      <c r="X1748" s="496">
        <f t="shared" si="114"/>
        <v>3.4121571534469979</v>
      </c>
      <c r="Y1748" s="497" t="str">
        <f t="shared" ref="Y1748:Z1767" si="115">IF(AND($M1748=$Y$2,$N1748=$Y$3,NOT($Q1748=$R1748),NOT($U1748=0)),IF($K1748=5,$S1748/($U1748+(8/5)*$U1748),IF($K1748=7,$S1748/($U1748+(29/25)*$U1748),"")),"")</f>
        <v/>
      </c>
      <c r="Z1748" s="497" t="str">
        <f t="shared" si="115"/>
        <v/>
      </c>
    </row>
    <row r="1749" spans="1:26" s="82" customFormat="1" x14ac:dyDescent="0.4">
      <c r="A1749" s="493">
        <v>62160</v>
      </c>
      <c r="B1749" s="105" t="s">
        <v>329</v>
      </c>
      <c r="C1749" s="493" t="s">
        <v>330</v>
      </c>
      <c r="D1749" s="105" t="s">
        <v>2056</v>
      </c>
      <c r="E1749" s="105" t="s">
        <v>2016</v>
      </c>
      <c r="F1749" s="493">
        <v>65242</v>
      </c>
      <c r="G1749" s="105" t="s">
        <v>52</v>
      </c>
      <c r="H1749" s="105" t="s">
        <v>333</v>
      </c>
      <c r="I1749" s="105" t="s">
        <v>334</v>
      </c>
      <c r="J1749" s="493">
        <v>22</v>
      </c>
      <c r="K1749" s="493">
        <v>2</v>
      </c>
      <c r="L1749" s="105" t="s">
        <v>343</v>
      </c>
      <c r="M1749" s="105" t="s">
        <v>655</v>
      </c>
      <c r="N1749" s="105" t="s">
        <v>656</v>
      </c>
      <c r="O1749" s="105" t="s">
        <v>656</v>
      </c>
      <c r="P1749" s="105" t="s">
        <v>339</v>
      </c>
      <c r="Q1749" s="494">
        <v>0</v>
      </c>
      <c r="R1749" s="494">
        <v>0</v>
      </c>
      <c r="S1749" s="494">
        <v>9887</v>
      </c>
      <c r="T1749" s="494">
        <v>9887</v>
      </c>
      <c r="U1749" s="494">
        <v>2898</v>
      </c>
      <c r="V1749" s="493">
        <v>2024</v>
      </c>
      <c r="W1749" s="495"/>
      <c r="X1749" s="496">
        <f t="shared" si="114"/>
        <v>3.4116632160110423</v>
      </c>
      <c r="Y1749" s="497" t="str">
        <f t="shared" si="115"/>
        <v/>
      </c>
      <c r="Z1749" s="497" t="str">
        <f t="shared" si="115"/>
        <v/>
      </c>
    </row>
    <row r="1750" spans="1:26" s="82" customFormat="1" ht="32" x14ac:dyDescent="0.4">
      <c r="A1750" s="493">
        <v>62174</v>
      </c>
      <c r="B1750" s="105" t="s">
        <v>329</v>
      </c>
      <c r="C1750" s="493" t="s">
        <v>330</v>
      </c>
      <c r="D1750" s="105" t="s">
        <v>2057</v>
      </c>
      <c r="E1750" s="105" t="s">
        <v>2057</v>
      </c>
      <c r="F1750" s="493">
        <v>61690</v>
      </c>
      <c r="G1750" s="105" t="s">
        <v>52</v>
      </c>
      <c r="H1750" s="105" t="s">
        <v>333</v>
      </c>
      <c r="I1750" s="105" t="s">
        <v>334</v>
      </c>
      <c r="J1750" s="493">
        <v>622</v>
      </c>
      <c r="K1750" s="493">
        <v>4</v>
      </c>
      <c r="L1750" s="105" t="s">
        <v>766</v>
      </c>
      <c r="M1750" s="105" t="s">
        <v>359</v>
      </c>
      <c r="N1750" s="105" t="s">
        <v>226</v>
      </c>
      <c r="O1750" s="105" t="s">
        <v>226</v>
      </c>
      <c r="P1750" s="105" t="s">
        <v>350</v>
      </c>
      <c r="Q1750" s="494">
        <v>37</v>
      </c>
      <c r="R1750" s="494">
        <v>37</v>
      </c>
      <c r="S1750" s="494">
        <v>216</v>
      </c>
      <c r="T1750" s="494">
        <v>216</v>
      </c>
      <c r="U1750" s="494">
        <v>21</v>
      </c>
      <c r="V1750" s="493">
        <v>2024</v>
      </c>
      <c r="W1750" s="495"/>
      <c r="X1750" s="496" t="str">
        <f t="shared" si="114"/>
        <v/>
      </c>
      <c r="Y1750" s="497" t="str">
        <f t="shared" si="115"/>
        <v/>
      </c>
      <c r="Z1750" s="497" t="str">
        <f t="shared" si="115"/>
        <v/>
      </c>
    </row>
    <row r="1751" spans="1:26" s="82" customFormat="1" x14ac:dyDescent="0.4">
      <c r="A1751" s="493">
        <v>62196</v>
      </c>
      <c r="B1751" s="105" t="s">
        <v>329</v>
      </c>
      <c r="C1751" s="493" t="s">
        <v>330</v>
      </c>
      <c r="D1751" s="105" t="s">
        <v>2058</v>
      </c>
      <c r="E1751" s="105" t="s">
        <v>2059</v>
      </c>
      <c r="F1751" s="493">
        <v>61700</v>
      </c>
      <c r="G1751" s="105" t="s">
        <v>33</v>
      </c>
      <c r="H1751" s="105" t="s">
        <v>342</v>
      </c>
      <c r="I1751" s="105" t="s">
        <v>334</v>
      </c>
      <c r="J1751" s="493">
        <v>22</v>
      </c>
      <c r="K1751" s="493">
        <v>2</v>
      </c>
      <c r="L1751" s="105" t="s">
        <v>343</v>
      </c>
      <c r="M1751" s="105" t="s">
        <v>655</v>
      </c>
      <c r="N1751" s="105" t="s">
        <v>656</v>
      </c>
      <c r="O1751" s="105" t="s">
        <v>656</v>
      </c>
      <c r="P1751" s="105" t="s">
        <v>339</v>
      </c>
      <c r="Q1751" s="494">
        <v>0</v>
      </c>
      <c r="R1751" s="494">
        <v>0</v>
      </c>
      <c r="S1751" s="494">
        <v>10076</v>
      </c>
      <c r="T1751" s="494">
        <v>10076</v>
      </c>
      <c r="U1751" s="494">
        <v>2953</v>
      </c>
      <c r="V1751" s="493">
        <v>2024</v>
      </c>
      <c r="W1751" s="495"/>
      <c r="X1751" s="496">
        <f t="shared" si="114"/>
        <v>3.4121232644768034</v>
      </c>
      <c r="Y1751" s="497" t="str">
        <f t="shared" si="115"/>
        <v/>
      </c>
      <c r="Z1751" s="497" t="str">
        <f t="shared" si="115"/>
        <v/>
      </c>
    </row>
    <row r="1752" spans="1:26" s="82" customFormat="1" ht="32" x14ac:dyDescent="0.4">
      <c r="A1752" s="493">
        <v>62197</v>
      </c>
      <c r="B1752" s="105" t="s">
        <v>329</v>
      </c>
      <c r="C1752" s="493" t="s">
        <v>330</v>
      </c>
      <c r="D1752" s="105" t="s">
        <v>2060</v>
      </c>
      <c r="E1752" s="105" t="s">
        <v>1313</v>
      </c>
      <c r="F1752" s="493">
        <v>60281</v>
      </c>
      <c r="G1752" s="105" t="s">
        <v>33</v>
      </c>
      <c r="H1752" s="105" t="s">
        <v>342</v>
      </c>
      <c r="I1752" s="105" t="s">
        <v>334</v>
      </c>
      <c r="J1752" s="493">
        <v>22</v>
      </c>
      <c r="K1752" s="493">
        <v>2</v>
      </c>
      <c r="L1752" s="105" t="s">
        <v>343</v>
      </c>
      <c r="M1752" s="105" t="s">
        <v>655</v>
      </c>
      <c r="N1752" s="105" t="s">
        <v>656</v>
      </c>
      <c r="O1752" s="105" t="s">
        <v>656</v>
      </c>
      <c r="P1752" s="105" t="s">
        <v>339</v>
      </c>
      <c r="Q1752" s="494">
        <v>0</v>
      </c>
      <c r="R1752" s="494">
        <v>0</v>
      </c>
      <c r="S1752" s="494">
        <v>11503</v>
      </c>
      <c r="T1752" s="494">
        <v>11503</v>
      </c>
      <c r="U1752" s="494">
        <v>3371</v>
      </c>
      <c r="V1752" s="493">
        <v>2024</v>
      </c>
      <c r="W1752" s="495"/>
      <c r="X1752" s="496">
        <f t="shared" si="114"/>
        <v>3.4123405517650549</v>
      </c>
      <c r="Y1752" s="497" t="str">
        <f t="shared" si="115"/>
        <v/>
      </c>
      <c r="Z1752" s="497" t="str">
        <f t="shared" si="115"/>
        <v/>
      </c>
    </row>
    <row r="1753" spans="1:26" s="82" customFormat="1" x14ac:dyDescent="0.4">
      <c r="A1753" s="493">
        <v>62198</v>
      </c>
      <c r="B1753" s="105" t="s">
        <v>329</v>
      </c>
      <c r="C1753" s="493" t="s">
        <v>330</v>
      </c>
      <c r="D1753" s="105" t="s">
        <v>2061</v>
      </c>
      <c r="E1753" s="105" t="s">
        <v>2062</v>
      </c>
      <c r="F1753" s="493">
        <v>61693</v>
      </c>
      <c r="G1753" s="105" t="s">
        <v>33</v>
      </c>
      <c r="H1753" s="105" t="s">
        <v>342</v>
      </c>
      <c r="I1753" s="105" t="s">
        <v>334</v>
      </c>
      <c r="J1753" s="493">
        <v>22</v>
      </c>
      <c r="K1753" s="493">
        <v>2</v>
      </c>
      <c r="L1753" s="105" t="s">
        <v>343</v>
      </c>
      <c r="M1753" s="105" t="s">
        <v>655</v>
      </c>
      <c r="N1753" s="105" t="s">
        <v>656</v>
      </c>
      <c r="O1753" s="105" t="s">
        <v>656</v>
      </c>
      <c r="P1753" s="105" t="s">
        <v>339</v>
      </c>
      <c r="Q1753" s="494">
        <v>0</v>
      </c>
      <c r="R1753" s="494">
        <v>0</v>
      </c>
      <c r="S1753" s="494">
        <v>11012</v>
      </c>
      <c r="T1753" s="494">
        <v>11012</v>
      </c>
      <c r="U1753" s="494">
        <v>3228</v>
      </c>
      <c r="V1753" s="493">
        <v>2024</v>
      </c>
      <c r="W1753" s="495"/>
      <c r="X1753" s="496">
        <f t="shared" si="114"/>
        <v>3.4114002478314744</v>
      </c>
      <c r="Y1753" s="497" t="str">
        <f t="shared" si="115"/>
        <v/>
      </c>
      <c r="Z1753" s="497" t="str">
        <f t="shared" si="115"/>
        <v/>
      </c>
    </row>
    <row r="1754" spans="1:26" s="82" customFormat="1" x14ac:dyDescent="0.4">
      <c r="A1754" s="493">
        <v>62199</v>
      </c>
      <c r="B1754" s="105" t="s">
        <v>329</v>
      </c>
      <c r="C1754" s="493" t="s">
        <v>330</v>
      </c>
      <c r="D1754" s="105" t="s">
        <v>2063</v>
      </c>
      <c r="E1754" s="105" t="s">
        <v>2064</v>
      </c>
      <c r="F1754" s="493">
        <v>61692</v>
      </c>
      <c r="G1754" s="105" t="s">
        <v>33</v>
      </c>
      <c r="H1754" s="105" t="s">
        <v>342</v>
      </c>
      <c r="I1754" s="105" t="s">
        <v>334</v>
      </c>
      <c r="J1754" s="493">
        <v>22</v>
      </c>
      <c r="K1754" s="493">
        <v>2</v>
      </c>
      <c r="L1754" s="105" t="s">
        <v>343</v>
      </c>
      <c r="M1754" s="105" t="s">
        <v>655</v>
      </c>
      <c r="N1754" s="105" t="s">
        <v>656</v>
      </c>
      <c r="O1754" s="105" t="s">
        <v>656</v>
      </c>
      <c r="P1754" s="105" t="s">
        <v>339</v>
      </c>
      <c r="Q1754" s="494">
        <v>0</v>
      </c>
      <c r="R1754" s="494">
        <v>0</v>
      </c>
      <c r="S1754" s="494">
        <v>10348</v>
      </c>
      <c r="T1754" s="494">
        <v>10348</v>
      </c>
      <c r="U1754" s="494">
        <v>3033</v>
      </c>
      <c r="V1754" s="493">
        <v>2024</v>
      </c>
      <c r="W1754" s="495"/>
      <c r="X1754" s="496">
        <f t="shared" si="114"/>
        <v>3.4118034948895484</v>
      </c>
      <c r="Y1754" s="497" t="str">
        <f t="shared" si="115"/>
        <v/>
      </c>
      <c r="Z1754" s="497" t="str">
        <f t="shared" si="115"/>
        <v/>
      </c>
    </row>
    <row r="1755" spans="1:26" s="82" customFormat="1" x14ac:dyDescent="0.4">
      <c r="A1755" s="493">
        <v>62201</v>
      </c>
      <c r="B1755" s="105" t="s">
        <v>329</v>
      </c>
      <c r="C1755" s="493" t="s">
        <v>330</v>
      </c>
      <c r="D1755" s="105" t="s">
        <v>2065</v>
      </c>
      <c r="E1755" s="105" t="s">
        <v>2066</v>
      </c>
      <c r="F1755" s="493">
        <v>61698</v>
      </c>
      <c r="G1755" s="105" t="s">
        <v>33</v>
      </c>
      <c r="H1755" s="105" t="s">
        <v>342</v>
      </c>
      <c r="I1755" s="105" t="s">
        <v>334</v>
      </c>
      <c r="J1755" s="493">
        <v>22</v>
      </c>
      <c r="K1755" s="493">
        <v>2</v>
      </c>
      <c r="L1755" s="105" t="s">
        <v>343</v>
      </c>
      <c r="M1755" s="105" t="s">
        <v>655</v>
      </c>
      <c r="N1755" s="105" t="s">
        <v>656</v>
      </c>
      <c r="O1755" s="105" t="s">
        <v>656</v>
      </c>
      <c r="P1755" s="105" t="s">
        <v>339</v>
      </c>
      <c r="Q1755" s="494">
        <v>0</v>
      </c>
      <c r="R1755" s="494">
        <v>0</v>
      </c>
      <c r="S1755" s="494">
        <v>9551</v>
      </c>
      <c r="T1755" s="494">
        <v>9551</v>
      </c>
      <c r="U1755" s="494">
        <v>2799</v>
      </c>
      <c r="V1755" s="493">
        <v>2024</v>
      </c>
      <c r="W1755" s="495"/>
      <c r="X1755" s="496">
        <f t="shared" si="114"/>
        <v>3.4122901036084317</v>
      </c>
      <c r="Y1755" s="497" t="str">
        <f t="shared" si="115"/>
        <v/>
      </c>
      <c r="Z1755" s="497" t="str">
        <f t="shared" si="115"/>
        <v/>
      </c>
    </row>
    <row r="1756" spans="1:26" s="82" customFormat="1" x14ac:dyDescent="0.4">
      <c r="A1756" s="493">
        <v>62202</v>
      </c>
      <c r="B1756" s="105" t="s">
        <v>329</v>
      </c>
      <c r="C1756" s="493" t="s">
        <v>330</v>
      </c>
      <c r="D1756" s="105" t="s">
        <v>2067</v>
      </c>
      <c r="E1756" s="105" t="s">
        <v>1448</v>
      </c>
      <c r="F1756" s="493">
        <v>61012</v>
      </c>
      <c r="G1756" s="105" t="s">
        <v>33</v>
      </c>
      <c r="H1756" s="105" t="s">
        <v>342</v>
      </c>
      <c r="I1756" s="105" t="s">
        <v>334</v>
      </c>
      <c r="J1756" s="493">
        <v>22</v>
      </c>
      <c r="K1756" s="493">
        <v>2</v>
      </c>
      <c r="L1756" s="105" t="s">
        <v>343</v>
      </c>
      <c r="M1756" s="105" t="s">
        <v>655</v>
      </c>
      <c r="N1756" s="105" t="s">
        <v>656</v>
      </c>
      <c r="O1756" s="105" t="s">
        <v>656</v>
      </c>
      <c r="P1756" s="105" t="s">
        <v>339</v>
      </c>
      <c r="Q1756" s="494">
        <v>0</v>
      </c>
      <c r="R1756" s="494">
        <v>0</v>
      </c>
      <c r="S1756" s="494">
        <v>22587</v>
      </c>
      <c r="T1756" s="494">
        <v>22587</v>
      </c>
      <c r="U1756" s="494">
        <v>6620</v>
      </c>
      <c r="V1756" s="493">
        <v>2024</v>
      </c>
      <c r="W1756" s="495"/>
      <c r="X1756" s="496">
        <f t="shared" si="114"/>
        <v>3.4119335347432025</v>
      </c>
      <c r="Y1756" s="497" t="str">
        <f t="shared" si="115"/>
        <v/>
      </c>
      <c r="Z1756" s="497" t="str">
        <f t="shared" si="115"/>
        <v/>
      </c>
    </row>
    <row r="1757" spans="1:26" s="82" customFormat="1" x14ac:dyDescent="0.4">
      <c r="A1757" s="493">
        <v>62203</v>
      </c>
      <c r="B1757" s="105" t="s">
        <v>329</v>
      </c>
      <c r="C1757" s="493" t="s">
        <v>330</v>
      </c>
      <c r="D1757" s="105" t="s">
        <v>2068</v>
      </c>
      <c r="E1757" s="105" t="s">
        <v>2068</v>
      </c>
      <c r="F1757" s="493">
        <v>61725</v>
      </c>
      <c r="G1757" s="105" t="s">
        <v>33</v>
      </c>
      <c r="H1757" s="105" t="s">
        <v>342</v>
      </c>
      <c r="I1757" s="105" t="s">
        <v>334</v>
      </c>
      <c r="J1757" s="493">
        <v>22</v>
      </c>
      <c r="K1757" s="493">
        <v>2</v>
      </c>
      <c r="L1757" s="105" t="s">
        <v>343</v>
      </c>
      <c r="M1757" s="105" t="s">
        <v>655</v>
      </c>
      <c r="N1757" s="105" t="s">
        <v>656</v>
      </c>
      <c r="O1757" s="105" t="s">
        <v>656</v>
      </c>
      <c r="P1757" s="105" t="s">
        <v>339</v>
      </c>
      <c r="Q1757" s="494">
        <v>0</v>
      </c>
      <c r="R1757" s="494">
        <v>0</v>
      </c>
      <c r="S1757" s="494">
        <v>11393</v>
      </c>
      <c r="T1757" s="494">
        <v>11393</v>
      </c>
      <c r="U1757" s="494">
        <v>3339</v>
      </c>
      <c r="V1757" s="493">
        <v>2024</v>
      </c>
      <c r="W1757" s="495"/>
      <c r="X1757" s="496">
        <f t="shared" si="114"/>
        <v>3.4120994309673556</v>
      </c>
      <c r="Y1757" s="497" t="str">
        <f t="shared" si="115"/>
        <v/>
      </c>
      <c r="Z1757" s="497" t="str">
        <f t="shared" si="115"/>
        <v/>
      </c>
    </row>
    <row r="1758" spans="1:26" s="82" customFormat="1" ht="32" x14ac:dyDescent="0.4">
      <c r="A1758" s="493">
        <v>62219</v>
      </c>
      <c r="B1758" s="105" t="s">
        <v>329</v>
      </c>
      <c r="C1758" s="493" t="s">
        <v>330</v>
      </c>
      <c r="D1758" s="105" t="s">
        <v>2069</v>
      </c>
      <c r="E1758" s="105" t="s">
        <v>654</v>
      </c>
      <c r="F1758" s="493">
        <v>11806</v>
      </c>
      <c r="G1758" s="105" t="s">
        <v>33</v>
      </c>
      <c r="H1758" s="105" t="s">
        <v>342</v>
      </c>
      <c r="I1758" s="105" t="s">
        <v>334</v>
      </c>
      <c r="J1758" s="493">
        <v>22</v>
      </c>
      <c r="K1758" s="493">
        <v>1</v>
      </c>
      <c r="L1758" s="105" t="s">
        <v>335</v>
      </c>
      <c r="M1758" s="105" t="s">
        <v>403</v>
      </c>
      <c r="N1758" s="105" t="s">
        <v>404</v>
      </c>
      <c r="O1758" s="105" t="s">
        <v>232</v>
      </c>
      <c r="P1758" s="105" t="s">
        <v>346</v>
      </c>
      <c r="Q1758" s="494">
        <v>484</v>
      </c>
      <c r="R1758" s="494">
        <v>484</v>
      </c>
      <c r="S1758" s="494">
        <v>0</v>
      </c>
      <c r="T1758" s="494">
        <v>0</v>
      </c>
      <c r="U1758" s="494">
        <v>-58</v>
      </c>
      <c r="V1758" s="493">
        <v>2024</v>
      </c>
      <c r="W1758" s="495"/>
      <c r="X1758" s="496" t="str">
        <f t="shared" si="114"/>
        <v/>
      </c>
      <c r="Y1758" s="497" t="str">
        <f t="shared" si="115"/>
        <v/>
      </c>
      <c r="Z1758" s="497" t="str">
        <f t="shared" si="115"/>
        <v/>
      </c>
    </row>
    <row r="1759" spans="1:26" s="82" customFormat="1" ht="32" x14ac:dyDescent="0.4">
      <c r="A1759" s="493">
        <v>62226</v>
      </c>
      <c r="B1759" s="105" t="s">
        <v>329</v>
      </c>
      <c r="C1759" s="493" t="s">
        <v>330</v>
      </c>
      <c r="D1759" s="105" t="s">
        <v>2070</v>
      </c>
      <c r="E1759" s="105" t="s">
        <v>2071</v>
      </c>
      <c r="F1759" s="493">
        <v>61744</v>
      </c>
      <c r="G1759" s="105" t="s">
        <v>33</v>
      </c>
      <c r="H1759" s="105" t="s">
        <v>342</v>
      </c>
      <c r="I1759" s="105" t="s">
        <v>334</v>
      </c>
      <c r="J1759" s="493">
        <v>22</v>
      </c>
      <c r="K1759" s="493">
        <v>2</v>
      </c>
      <c r="L1759" s="105" t="s">
        <v>343</v>
      </c>
      <c r="M1759" s="105" t="s">
        <v>655</v>
      </c>
      <c r="N1759" s="105" t="s">
        <v>656</v>
      </c>
      <c r="O1759" s="105" t="s">
        <v>656</v>
      </c>
      <c r="P1759" s="105" t="s">
        <v>339</v>
      </c>
      <c r="Q1759" s="494">
        <v>0</v>
      </c>
      <c r="R1759" s="494">
        <v>0</v>
      </c>
      <c r="S1759" s="494">
        <v>6768</v>
      </c>
      <c r="T1759" s="494">
        <v>6768</v>
      </c>
      <c r="U1759" s="494">
        <v>1983</v>
      </c>
      <c r="V1759" s="493">
        <v>2024</v>
      </c>
      <c r="W1759" s="495"/>
      <c r="X1759" s="496">
        <f t="shared" si="114"/>
        <v>3.4130105900151286</v>
      </c>
      <c r="Y1759" s="497" t="str">
        <f t="shared" si="115"/>
        <v/>
      </c>
      <c r="Z1759" s="497" t="str">
        <f t="shared" si="115"/>
        <v/>
      </c>
    </row>
    <row r="1760" spans="1:26" s="82" customFormat="1" ht="32" x14ac:dyDescent="0.4">
      <c r="A1760" s="493">
        <v>62250</v>
      </c>
      <c r="B1760" s="105" t="s">
        <v>329</v>
      </c>
      <c r="C1760" s="493" t="s">
        <v>330</v>
      </c>
      <c r="D1760" s="105" t="s">
        <v>2072</v>
      </c>
      <c r="E1760" s="105" t="s">
        <v>2072</v>
      </c>
      <c r="F1760" s="493">
        <v>61774</v>
      </c>
      <c r="G1760" s="105" t="s">
        <v>52</v>
      </c>
      <c r="H1760" s="105" t="s">
        <v>333</v>
      </c>
      <c r="I1760" s="105" t="s">
        <v>334</v>
      </c>
      <c r="J1760" s="493">
        <v>622</v>
      </c>
      <c r="K1760" s="493">
        <v>4</v>
      </c>
      <c r="L1760" s="105" t="s">
        <v>766</v>
      </c>
      <c r="M1760" s="105" t="s">
        <v>359</v>
      </c>
      <c r="N1760" s="105" t="s">
        <v>226</v>
      </c>
      <c r="O1760" s="105" t="s">
        <v>226</v>
      </c>
      <c r="P1760" s="105" t="s">
        <v>350</v>
      </c>
      <c r="Q1760" s="494">
        <v>145</v>
      </c>
      <c r="R1760" s="494">
        <v>145</v>
      </c>
      <c r="S1760" s="494">
        <v>855</v>
      </c>
      <c r="T1760" s="494">
        <v>855</v>
      </c>
      <c r="U1760" s="494">
        <v>71</v>
      </c>
      <c r="V1760" s="493">
        <v>2024</v>
      </c>
      <c r="W1760" s="495"/>
      <c r="X1760" s="496" t="str">
        <f t="shared" si="114"/>
        <v/>
      </c>
      <c r="Y1760" s="497" t="str">
        <f t="shared" si="115"/>
        <v/>
      </c>
      <c r="Z1760" s="497" t="str">
        <f t="shared" si="115"/>
        <v/>
      </c>
    </row>
    <row r="1761" spans="1:26" s="82" customFormat="1" x14ac:dyDescent="0.4">
      <c r="A1761" s="493">
        <v>62257</v>
      </c>
      <c r="B1761" s="105" t="s">
        <v>329</v>
      </c>
      <c r="C1761" s="493" t="s">
        <v>330</v>
      </c>
      <c r="D1761" s="105" t="s">
        <v>2073</v>
      </c>
      <c r="E1761" s="105" t="s">
        <v>457</v>
      </c>
      <c r="F1761" s="493">
        <v>2144</v>
      </c>
      <c r="G1761" s="105" t="s">
        <v>33</v>
      </c>
      <c r="H1761" s="105" t="s">
        <v>342</v>
      </c>
      <c r="I1761" s="105" t="s">
        <v>334</v>
      </c>
      <c r="J1761" s="493">
        <v>22</v>
      </c>
      <c r="K1761" s="493">
        <v>1</v>
      </c>
      <c r="L1761" s="105" t="s">
        <v>335</v>
      </c>
      <c r="M1761" s="105" t="s">
        <v>403</v>
      </c>
      <c r="N1761" s="105" t="s">
        <v>404</v>
      </c>
      <c r="O1761" s="105" t="s">
        <v>232</v>
      </c>
      <c r="P1761" s="105" t="s">
        <v>346</v>
      </c>
      <c r="Q1761" s="494">
        <v>386</v>
      </c>
      <c r="R1761" s="494">
        <v>386</v>
      </c>
      <c r="S1761" s="494">
        <v>0</v>
      </c>
      <c r="T1761" s="494">
        <v>0</v>
      </c>
      <c r="U1761" s="494">
        <v>-98</v>
      </c>
      <c r="V1761" s="493">
        <v>2024</v>
      </c>
      <c r="W1761" s="495"/>
      <c r="X1761" s="496" t="str">
        <f t="shared" si="114"/>
        <v/>
      </c>
      <c r="Y1761" s="497" t="str">
        <f t="shared" si="115"/>
        <v/>
      </c>
      <c r="Z1761" s="497" t="str">
        <f t="shared" si="115"/>
        <v/>
      </c>
    </row>
    <row r="1762" spans="1:26" s="82" customFormat="1" ht="32" x14ac:dyDescent="0.4">
      <c r="A1762" s="493">
        <v>62264</v>
      </c>
      <c r="B1762" s="105" t="s">
        <v>329</v>
      </c>
      <c r="C1762" s="493" t="s">
        <v>330</v>
      </c>
      <c r="D1762" s="105" t="s">
        <v>2074</v>
      </c>
      <c r="E1762" s="105" t="s">
        <v>2020</v>
      </c>
      <c r="F1762" s="493">
        <v>54913</v>
      </c>
      <c r="G1762" s="105" t="s">
        <v>33</v>
      </c>
      <c r="H1762" s="105" t="s">
        <v>342</v>
      </c>
      <c r="I1762" s="105" t="s">
        <v>334</v>
      </c>
      <c r="J1762" s="493">
        <v>22</v>
      </c>
      <c r="K1762" s="493">
        <v>1</v>
      </c>
      <c r="L1762" s="105" t="s">
        <v>335</v>
      </c>
      <c r="M1762" s="105" t="s">
        <v>655</v>
      </c>
      <c r="N1762" s="105" t="s">
        <v>656</v>
      </c>
      <c r="O1762" s="105" t="s">
        <v>656</v>
      </c>
      <c r="P1762" s="105" t="s">
        <v>339</v>
      </c>
      <c r="Q1762" s="494">
        <v>0</v>
      </c>
      <c r="R1762" s="494">
        <v>0</v>
      </c>
      <c r="S1762" s="494">
        <v>5771</v>
      </c>
      <c r="T1762" s="494">
        <v>5771</v>
      </c>
      <c r="U1762" s="494">
        <v>1691</v>
      </c>
      <c r="V1762" s="493">
        <v>2024</v>
      </c>
      <c r="W1762" s="495"/>
      <c r="X1762" s="496">
        <f t="shared" si="114"/>
        <v>3.4127735068007095</v>
      </c>
      <c r="Y1762" s="497" t="str">
        <f t="shared" si="115"/>
        <v/>
      </c>
      <c r="Z1762" s="497" t="str">
        <f t="shared" si="115"/>
        <v/>
      </c>
    </row>
    <row r="1763" spans="1:26" s="82" customFormat="1" ht="32" x14ac:dyDescent="0.4">
      <c r="A1763" s="493">
        <v>62265</v>
      </c>
      <c r="B1763" s="105" t="s">
        <v>329</v>
      </c>
      <c r="C1763" s="493" t="s">
        <v>330</v>
      </c>
      <c r="D1763" s="105" t="s">
        <v>2075</v>
      </c>
      <c r="E1763" s="105" t="s">
        <v>2020</v>
      </c>
      <c r="F1763" s="493">
        <v>54913</v>
      </c>
      <c r="G1763" s="105" t="s">
        <v>33</v>
      </c>
      <c r="H1763" s="105" t="s">
        <v>342</v>
      </c>
      <c r="I1763" s="105" t="s">
        <v>334</v>
      </c>
      <c r="J1763" s="493">
        <v>22</v>
      </c>
      <c r="K1763" s="493">
        <v>1</v>
      </c>
      <c r="L1763" s="105" t="s">
        <v>335</v>
      </c>
      <c r="M1763" s="105" t="s">
        <v>655</v>
      </c>
      <c r="N1763" s="105" t="s">
        <v>656</v>
      </c>
      <c r="O1763" s="105" t="s">
        <v>656</v>
      </c>
      <c r="P1763" s="105" t="s">
        <v>339</v>
      </c>
      <c r="Q1763" s="494">
        <v>0</v>
      </c>
      <c r="R1763" s="494">
        <v>0</v>
      </c>
      <c r="S1763" s="494">
        <v>1010</v>
      </c>
      <c r="T1763" s="494">
        <v>1010</v>
      </c>
      <c r="U1763" s="494">
        <v>296</v>
      </c>
      <c r="V1763" s="493">
        <v>2024</v>
      </c>
      <c r="W1763" s="495"/>
      <c r="X1763" s="496">
        <f t="shared" si="114"/>
        <v>3.4121621621621623</v>
      </c>
      <c r="Y1763" s="497" t="str">
        <f t="shared" si="115"/>
        <v/>
      </c>
      <c r="Z1763" s="497" t="str">
        <f t="shared" si="115"/>
        <v/>
      </c>
    </row>
    <row r="1764" spans="1:26" s="82" customFormat="1" ht="32" x14ac:dyDescent="0.4">
      <c r="A1764" s="493">
        <v>62266</v>
      </c>
      <c r="B1764" s="105" t="s">
        <v>329</v>
      </c>
      <c r="C1764" s="493" t="s">
        <v>330</v>
      </c>
      <c r="D1764" s="105" t="s">
        <v>2076</v>
      </c>
      <c r="E1764" s="105" t="s">
        <v>2020</v>
      </c>
      <c r="F1764" s="493">
        <v>54913</v>
      </c>
      <c r="G1764" s="105" t="s">
        <v>33</v>
      </c>
      <c r="H1764" s="105" t="s">
        <v>342</v>
      </c>
      <c r="I1764" s="105" t="s">
        <v>334</v>
      </c>
      <c r="J1764" s="493">
        <v>22</v>
      </c>
      <c r="K1764" s="493">
        <v>1</v>
      </c>
      <c r="L1764" s="105" t="s">
        <v>335</v>
      </c>
      <c r="M1764" s="105" t="s">
        <v>655</v>
      </c>
      <c r="N1764" s="105" t="s">
        <v>656</v>
      </c>
      <c r="O1764" s="105" t="s">
        <v>656</v>
      </c>
      <c r="P1764" s="105" t="s">
        <v>339</v>
      </c>
      <c r="Q1764" s="494">
        <v>0</v>
      </c>
      <c r="R1764" s="494">
        <v>0</v>
      </c>
      <c r="S1764" s="494">
        <v>5016</v>
      </c>
      <c r="T1764" s="494">
        <v>5016</v>
      </c>
      <c r="U1764" s="494">
        <v>1470</v>
      </c>
      <c r="V1764" s="493">
        <v>2024</v>
      </c>
      <c r="W1764" s="495"/>
      <c r="X1764" s="496">
        <f t="shared" si="114"/>
        <v>3.4122448979591837</v>
      </c>
      <c r="Y1764" s="497" t="str">
        <f t="shared" si="115"/>
        <v/>
      </c>
      <c r="Z1764" s="497" t="str">
        <f t="shared" si="115"/>
        <v/>
      </c>
    </row>
    <row r="1765" spans="1:26" s="82" customFormat="1" ht="32" x14ac:dyDescent="0.4">
      <c r="A1765" s="493">
        <v>62270</v>
      </c>
      <c r="B1765" s="105" t="s">
        <v>329</v>
      </c>
      <c r="C1765" s="493" t="s">
        <v>330</v>
      </c>
      <c r="D1765" s="105" t="s">
        <v>2077</v>
      </c>
      <c r="E1765" s="105" t="s">
        <v>2077</v>
      </c>
      <c r="F1765" s="493">
        <v>61802</v>
      </c>
      <c r="G1765" s="105" t="s">
        <v>52</v>
      </c>
      <c r="H1765" s="105" t="s">
        <v>333</v>
      </c>
      <c r="I1765" s="105" t="s">
        <v>334</v>
      </c>
      <c r="J1765" s="493">
        <v>622</v>
      </c>
      <c r="K1765" s="493">
        <v>4</v>
      </c>
      <c r="L1765" s="105" t="s">
        <v>766</v>
      </c>
      <c r="M1765" s="105" t="s">
        <v>359</v>
      </c>
      <c r="N1765" s="105" t="s">
        <v>226</v>
      </c>
      <c r="O1765" s="105" t="s">
        <v>226</v>
      </c>
      <c r="P1765" s="105" t="s">
        <v>350</v>
      </c>
      <c r="Q1765" s="494">
        <v>276</v>
      </c>
      <c r="R1765" s="494">
        <v>276</v>
      </c>
      <c r="S1765" s="494">
        <v>1624</v>
      </c>
      <c r="T1765" s="494">
        <v>1624</v>
      </c>
      <c r="U1765" s="494">
        <v>285</v>
      </c>
      <c r="V1765" s="493">
        <v>2024</v>
      </c>
      <c r="W1765" s="495"/>
      <c r="X1765" s="496" t="str">
        <f t="shared" si="114"/>
        <v/>
      </c>
      <c r="Y1765" s="497" t="str">
        <f t="shared" si="115"/>
        <v/>
      </c>
      <c r="Z1765" s="497" t="str">
        <f t="shared" si="115"/>
        <v/>
      </c>
    </row>
    <row r="1766" spans="1:26" s="82" customFormat="1" ht="32" x14ac:dyDescent="0.4">
      <c r="A1766" s="493">
        <v>62271</v>
      </c>
      <c r="B1766" s="105" t="s">
        <v>329</v>
      </c>
      <c r="C1766" s="493" t="s">
        <v>330</v>
      </c>
      <c r="D1766" s="105" t="s">
        <v>2078</v>
      </c>
      <c r="E1766" s="105" t="s">
        <v>2078</v>
      </c>
      <c r="F1766" s="493">
        <v>61800</v>
      </c>
      <c r="G1766" s="105" t="s">
        <v>52</v>
      </c>
      <c r="H1766" s="105" t="s">
        <v>333</v>
      </c>
      <c r="I1766" s="105" t="s">
        <v>334</v>
      </c>
      <c r="J1766" s="493">
        <v>622</v>
      </c>
      <c r="K1766" s="493">
        <v>4</v>
      </c>
      <c r="L1766" s="105" t="s">
        <v>766</v>
      </c>
      <c r="M1766" s="105" t="s">
        <v>359</v>
      </c>
      <c r="N1766" s="105" t="s">
        <v>226</v>
      </c>
      <c r="O1766" s="105" t="s">
        <v>226</v>
      </c>
      <c r="P1766" s="105" t="s">
        <v>350</v>
      </c>
      <c r="Q1766" s="494">
        <v>372</v>
      </c>
      <c r="R1766" s="494">
        <v>372</v>
      </c>
      <c r="S1766" s="494">
        <v>2188</v>
      </c>
      <c r="T1766" s="494">
        <v>2188</v>
      </c>
      <c r="U1766" s="494">
        <v>714</v>
      </c>
      <c r="V1766" s="493">
        <v>2024</v>
      </c>
      <c r="W1766" s="495"/>
      <c r="X1766" s="496" t="str">
        <f t="shared" si="114"/>
        <v/>
      </c>
      <c r="Y1766" s="497" t="str">
        <f t="shared" si="115"/>
        <v/>
      </c>
      <c r="Z1766" s="497" t="str">
        <f t="shared" si="115"/>
        <v/>
      </c>
    </row>
    <row r="1767" spans="1:26" s="82" customFormat="1" x14ac:dyDescent="0.4">
      <c r="A1767" s="493">
        <v>62301</v>
      </c>
      <c r="B1767" s="105" t="s">
        <v>329</v>
      </c>
      <c r="C1767" s="493" t="s">
        <v>330</v>
      </c>
      <c r="D1767" s="105" t="s">
        <v>2079</v>
      </c>
      <c r="E1767" s="105" t="s">
        <v>1448</v>
      </c>
      <c r="F1767" s="493">
        <v>61012</v>
      </c>
      <c r="G1767" s="105" t="s">
        <v>38</v>
      </c>
      <c r="H1767" s="105" t="s">
        <v>342</v>
      </c>
      <c r="I1767" s="105" t="s">
        <v>334</v>
      </c>
      <c r="J1767" s="493">
        <v>22</v>
      </c>
      <c r="K1767" s="493">
        <v>2</v>
      </c>
      <c r="L1767" s="105" t="s">
        <v>343</v>
      </c>
      <c r="M1767" s="105" t="s">
        <v>655</v>
      </c>
      <c r="N1767" s="105" t="s">
        <v>656</v>
      </c>
      <c r="O1767" s="105" t="s">
        <v>656</v>
      </c>
      <c r="P1767" s="105" t="s">
        <v>339</v>
      </c>
      <c r="Q1767" s="494">
        <v>0</v>
      </c>
      <c r="R1767" s="494">
        <v>0</v>
      </c>
      <c r="S1767" s="494">
        <v>19984</v>
      </c>
      <c r="T1767" s="494">
        <v>19984</v>
      </c>
      <c r="U1767" s="494">
        <v>5857</v>
      </c>
      <c r="V1767" s="493">
        <v>2024</v>
      </c>
      <c r="W1767" s="495"/>
      <c r="X1767" s="496">
        <f t="shared" si="114"/>
        <v>3.4119856581867851</v>
      </c>
      <c r="Y1767" s="497" t="str">
        <f t="shared" si="115"/>
        <v/>
      </c>
      <c r="Z1767" s="497" t="str">
        <f t="shared" si="115"/>
        <v/>
      </c>
    </row>
    <row r="1768" spans="1:26" s="82" customFormat="1" x14ac:dyDescent="0.4">
      <c r="A1768" s="493">
        <v>62302</v>
      </c>
      <c r="B1768" s="105" t="s">
        <v>329</v>
      </c>
      <c r="C1768" s="493" t="s">
        <v>330</v>
      </c>
      <c r="D1768" s="105" t="s">
        <v>2080</v>
      </c>
      <c r="E1768" s="105" t="s">
        <v>1448</v>
      </c>
      <c r="F1768" s="493">
        <v>61012</v>
      </c>
      <c r="G1768" s="105" t="s">
        <v>38</v>
      </c>
      <c r="H1768" s="105" t="s">
        <v>342</v>
      </c>
      <c r="I1768" s="105" t="s">
        <v>334</v>
      </c>
      <c r="J1768" s="493">
        <v>22</v>
      </c>
      <c r="K1768" s="493">
        <v>2</v>
      </c>
      <c r="L1768" s="105" t="s">
        <v>343</v>
      </c>
      <c r="M1768" s="105" t="s">
        <v>655</v>
      </c>
      <c r="N1768" s="105" t="s">
        <v>656</v>
      </c>
      <c r="O1768" s="105" t="s">
        <v>656</v>
      </c>
      <c r="P1768" s="105" t="s">
        <v>339</v>
      </c>
      <c r="Q1768" s="494">
        <v>0</v>
      </c>
      <c r="R1768" s="494">
        <v>0</v>
      </c>
      <c r="S1768" s="494">
        <v>22953</v>
      </c>
      <c r="T1768" s="494">
        <v>22953</v>
      </c>
      <c r="U1768" s="494">
        <v>6727</v>
      </c>
      <c r="V1768" s="493">
        <v>2024</v>
      </c>
      <c r="W1768" s="495"/>
      <c r="X1768" s="496">
        <f t="shared" si="114"/>
        <v>3.4120707596253901</v>
      </c>
      <c r="Y1768" s="497" t="str">
        <f t="shared" ref="Y1768:Z1787" si="116">IF(AND($M1768=$Y$2,$N1768=$Y$3,NOT($Q1768=$R1768),NOT($U1768=0)),IF($K1768=5,$S1768/($U1768+(8/5)*$U1768),IF($K1768=7,$S1768/($U1768+(29/25)*$U1768),"")),"")</f>
        <v/>
      </c>
      <c r="Z1768" s="497" t="str">
        <f t="shared" si="116"/>
        <v/>
      </c>
    </row>
    <row r="1769" spans="1:26" s="82" customFormat="1" x14ac:dyDescent="0.4">
      <c r="A1769" s="493">
        <v>62303</v>
      </c>
      <c r="B1769" s="105" t="s">
        <v>329</v>
      </c>
      <c r="C1769" s="493" t="s">
        <v>330</v>
      </c>
      <c r="D1769" s="105" t="s">
        <v>2081</v>
      </c>
      <c r="E1769" s="105" t="s">
        <v>1448</v>
      </c>
      <c r="F1769" s="493">
        <v>61012</v>
      </c>
      <c r="G1769" s="105" t="s">
        <v>52</v>
      </c>
      <c r="H1769" s="105" t="s">
        <v>333</v>
      </c>
      <c r="I1769" s="105" t="s">
        <v>334</v>
      </c>
      <c r="J1769" s="493">
        <v>22</v>
      </c>
      <c r="K1769" s="493">
        <v>2</v>
      </c>
      <c r="L1769" s="105" t="s">
        <v>343</v>
      </c>
      <c r="M1769" s="105" t="s">
        <v>655</v>
      </c>
      <c r="N1769" s="105" t="s">
        <v>656</v>
      </c>
      <c r="O1769" s="105" t="s">
        <v>656</v>
      </c>
      <c r="P1769" s="105" t="s">
        <v>339</v>
      </c>
      <c r="Q1769" s="494">
        <v>0</v>
      </c>
      <c r="R1769" s="494">
        <v>0</v>
      </c>
      <c r="S1769" s="494">
        <v>9791</v>
      </c>
      <c r="T1769" s="494">
        <v>9791</v>
      </c>
      <c r="U1769" s="494">
        <v>2869</v>
      </c>
      <c r="V1769" s="493">
        <v>2024</v>
      </c>
      <c r="W1769" s="495"/>
      <c r="X1769" s="496">
        <f t="shared" si="114"/>
        <v>3.4126873475078425</v>
      </c>
      <c r="Y1769" s="497" t="str">
        <f t="shared" si="116"/>
        <v/>
      </c>
      <c r="Z1769" s="497" t="str">
        <f t="shared" si="116"/>
        <v/>
      </c>
    </row>
    <row r="1770" spans="1:26" s="82" customFormat="1" ht="32" x14ac:dyDescent="0.4">
      <c r="A1770" s="493">
        <v>62318</v>
      </c>
      <c r="B1770" s="105" t="s">
        <v>329</v>
      </c>
      <c r="C1770" s="493" t="s">
        <v>330</v>
      </c>
      <c r="D1770" s="105" t="s">
        <v>2082</v>
      </c>
      <c r="E1770" s="105" t="s">
        <v>1984</v>
      </c>
      <c r="F1770" s="493">
        <v>60496</v>
      </c>
      <c r="G1770" s="105" t="s">
        <v>37</v>
      </c>
      <c r="H1770" s="105" t="s">
        <v>342</v>
      </c>
      <c r="I1770" s="105" t="s">
        <v>334</v>
      </c>
      <c r="J1770" s="493">
        <v>22</v>
      </c>
      <c r="K1770" s="493">
        <v>2</v>
      </c>
      <c r="L1770" s="105" t="s">
        <v>343</v>
      </c>
      <c r="M1770" s="105" t="s">
        <v>655</v>
      </c>
      <c r="N1770" s="105" t="s">
        <v>656</v>
      </c>
      <c r="O1770" s="105" t="s">
        <v>656</v>
      </c>
      <c r="P1770" s="105" t="s">
        <v>339</v>
      </c>
      <c r="Q1770" s="494">
        <v>0</v>
      </c>
      <c r="R1770" s="494">
        <v>0</v>
      </c>
      <c r="S1770" s="494">
        <v>103970</v>
      </c>
      <c r="T1770" s="494">
        <v>103970</v>
      </c>
      <c r="U1770" s="494">
        <v>30472</v>
      </c>
      <c r="V1770" s="493">
        <v>2024</v>
      </c>
      <c r="W1770" s="495"/>
      <c r="X1770" s="496">
        <f t="shared" si="114"/>
        <v>3.4119847729062744</v>
      </c>
      <c r="Y1770" s="497" t="str">
        <f t="shared" si="116"/>
        <v/>
      </c>
      <c r="Z1770" s="497" t="str">
        <f t="shared" si="116"/>
        <v/>
      </c>
    </row>
    <row r="1771" spans="1:26" s="82" customFormat="1" ht="32" x14ac:dyDescent="0.4">
      <c r="A1771" s="493">
        <v>62322</v>
      </c>
      <c r="B1771" s="105" t="s">
        <v>329</v>
      </c>
      <c r="C1771" s="493" t="s">
        <v>330</v>
      </c>
      <c r="D1771" s="105" t="s">
        <v>2083</v>
      </c>
      <c r="E1771" s="105" t="s">
        <v>2083</v>
      </c>
      <c r="F1771" s="493">
        <v>61822</v>
      </c>
      <c r="G1771" s="105" t="s">
        <v>52</v>
      </c>
      <c r="H1771" s="105" t="s">
        <v>333</v>
      </c>
      <c r="I1771" s="105" t="s">
        <v>334</v>
      </c>
      <c r="J1771" s="493">
        <v>22</v>
      </c>
      <c r="K1771" s="493">
        <v>2</v>
      </c>
      <c r="L1771" s="105" t="s">
        <v>343</v>
      </c>
      <c r="M1771" s="105" t="s">
        <v>336</v>
      </c>
      <c r="N1771" s="105" t="s">
        <v>337</v>
      </c>
      <c r="O1771" s="105" t="s">
        <v>338</v>
      </c>
      <c r="P1771" s="105" t="s">
        <v>339</v>
      </c>
      <c r="Q1771" s="494">
        <v>0</v>
      </c>
      <c r="R1771" s="494">
        <v>0</v>
      </c>
      <c r="S1771" s="494">
        <v>74537</v>
      </c>
      <c r="T1771" s="494">
        <v>74537</v>
      </c>
      <c r="U1771" s="494">
        <v>21846</v>
      </c>
      <c r="V1771" s="493">
        <v>2024</v>
      </c>
      <c r="W1771" s="495"/>
      <c r="X1771" s="496">
        <f t="shared" si="114"/>
        <v>3.411928957246178</v>
      </c>
      <c r="Y1771" s="497" t="str">
        <f t="shared" si="116"/>
        <v/>
      </c>
      <c r="Z1771" s="497" t="str">
        <f t="shared" si="116"/>
        <v/>
      </c>
    </row>
    <row r="1772" spans="1:26" s="82" customFormat="1" x14ac:dyDescent="0.4">
      <c r="A1772" s="493">
        <v>62324</v>
      </c>
      <c r="B1772" s="105" t="s">
        <v>329</v>
      </c>
      <c r="C1772" s="493" t="s">
        <v>330</v>
      </c>
      <c r="D1772" s="105" t="s">
        <v>2084</v>
      </c>
      <c r="E1772" s="105" t="s">
        <v>1448</v>
      </c>
      <c r="F1772" s="493">
        <v>61012</v>
      </c>
      <c r="G1772" s="105" t="s">
        <v>33</v>
      </c>
      <c r="H1772" s="105" t="s">
        <v>342</v>
      </c>
      <c r="I1772" s="105" t="s">
        <v>334</v>
      </c>
      <c r="J1772" s="493">
        <v>22</v>
      </c>
      <c r="K1772" s="493">
        <v>2</v>
      </c>
      <c r="L1772" s="105" t="s">
        <v>343</v>
      </c>
      <c r="M1772" s="105" t="s">
        <v>655</v>
      </c>
      <c r="N1772" s="105" t="s">
        <v>656</v>
      </c>
      <c r="O1772" s="105" t="s">
        <v>656</v>
      </c>
      <c r="P1772" s="105" t="s">
        <v>339</v>
      </c>
      <c r="Q1772" s="494">
        <v>0</v>
      </c>
      <c r="R1772" s="494">
        <v>0</v>
      </c>
      <c r="S1772" s="494">
        <v>8989</v>
      </c>
      <c r="T1772" s="494">
        <v>8989</v>
      </c>
      <c r="U1772" s="494">
        <v>2635</v>
      </c>
      <c r="V1772" s="493">
        <v>2024</v>
      </c>
      <c r="W1772" s="495"/>
      <c r="X1772" s="496">
        <f t="shared" si="114"/>
        <v>3.4113851992409869</v>
      </c>
      <c r="Y1772" s="497" t="str">
        <f t="shared" si="116"/>
        <v/>
      </c>
      <c r="Z1772" s="497" t="str">
        <f t="shared" si="116"/>
        <v/>
      </c>
    </row>
    <row r="1773" spans="1:26" s="82" customFormat="1" ht="32" x14ac:dyDescent="0.4">
      <c r="A1773" s="493">
        <v>62357</v>
      </c>
      <c r="B1773" s="105" t="s">
        <v>329</v>
      </c>
      <c r="C1773" s="493" t="s">
        <v>330</v>
      </c>
      <c r="D1773" s="105" t="s">
        <v>2085</v>
      </c>
      <c r="E1773" s="105" t="s">
        <v>2086</v>
      </c>
      <c r="F1773" s="493">
        <v>61888</v>
      </c>
      <c r="G1773" s="105" t="s">
        <v>52</v>
      </c>
      <c r="H1773" s="105" t="s">
        <v>333</v>
      </c>
      <c r="I1773" s="105" t="s">
        <v>334</v>
      </c>
      <c r="J1773" s="493">
        <v>22</v>
      </c>
      <c r="K1773" s="493">
        <v>2</v>
      </c>
      <c r="L1773" s="105" t="s">
        <v>343</v>
      </c>
      <c r="M1773" s="105" t="s">
        <v>655</v>
      </c>
      <c r="N1773" s="105" t="s">
        <v>656</v>
      </c>
      <c r="O1773" s="105" t="s">
        <v>656</v>
      </c>
      <c r="P1773" s="105" t="s">
        <v>339</v>
      </c>
      <c r="Q1773" s="494">
        <v>0</v>
      </c>
      <c r="R1773" s="494">
        <v>0</v>
      </c>
      <c r="S1773" s="494">
        <v>27826</v>
      </c>
      <c r="T1773" s="494">
        <v>27826</v>
      </c>
      <c r="U1773" s="494">
        <v>8156</v>
      </c>
      <c r="V1773" s="493">
        <v>2024</v>
      </c>
      <c r="W1773" s="495"/>
      <c r="X1773" s="496">
        <f t="shared" si="114"/>
        <v>3.4117214320745464</v>
      </c>
      <c r="Y1773" s="497" t="str">
        <f t="shared" si="116"/>
        <v/>
      </c>
      <c r="Z1773" s="497" t="str">
        <f t="shared" si="116"/>
        <v/>
      </c>
    </row>
    <row r="1774" spans="1:26" s="82" customFormat="1" x14ac:dyDescent="0.4">
      <c r="A1774" s="493">
        <v>62363</v>
      </c>
      <c r="B1774" s="105" t="s">
        <v>329</v>
      </c>
      <c r="C1774" s="493" t="s">
        <v>330</v>
      </c>
      <c r="D1774" s="105" t="s">
        <v>2087</v>
      </c>
      <c r="E1774" s="105" t="s">
        <v>1448</v>
      </c>
      <c r="F1774" s="493">
        <v>61012</v>
      </c>
      <c r="G1774" s="105" t="s">
        <v>33</v>
      </c>
      <c r="H1774" s="105" t="s">
        <v>342</v>
      </c>
      <c r="I1774" s="105" t="s">
        <v>334</v>
      </c>
      <c r="J1774" s="493">
        <v>22</v>
      </c>
      <c r="K1774" s="493">
        <v>2</v>
      </c>
      <c r="L1774" s="105" t="s">
        <v>343</v>
      </c>
      <c r="M1774" s="105" t="s">
        <v>655</v>
      </c>
      <c r="N1774" s="105" t="s">
        <v>656</v>
      </c>
      <c r="O1774" s="105" t="s">
        <v>656</v>
      </c>
      <c r="P1774" s="105" t="s">
        <v>339</v>
      </c>
      <c r="Q1774" s="494">
        <v>0</v>
      </c>
      <c r="R1774" s="494">
        <v>0</v>
      </c>
      <c r="S1774" s="494">
        <v>4999</v>
      </c>
      <c r="T1774" s="494">
        <v>4999</v>
      </c>
      <c r="U1774" s="494">
        <v>1465</v>
      </c>
      <c r="V1774" s="493">
        <v>2024</v>
      </c>
      <c r="W1774" s="495"/>
      <c r="X1774" s="496">
        <f t="shared" si="114"/>
        <v>3.4122866894197954</v>
      </c>
      <c r="Y1774" s="497" t="str">
        <f t="shared" si="116"/>
        <v/>
      </c>
      <c r="Z1774" s="497" t="str">
        <f t="shared" si="116"/>
        <v/>
      </c>
    </row>
    <row r="1775" spans="1:26" s="82" customFormat="1" ht="32" x14ac:dyDescent="0.4">
      <c r="A1775" s="493">
        <v>62366</v>
      </c>
      <c r="B1775" s="105" t="s">
        <v>329</v>
      </c>
      <c r="C1775" s="493" t="s">
        <v>330</v>
      </c>
      <c r="D1775" s="105" t="s">
        <v>2088</v>
      </c>
      <c r="E1775" s="105" t="s">
        <v>2088</v>
      </c>
      <c r="F1775" s="493">
        <v>61892</v>
      </c>
      <c r="G1775" s="105" t="s">
        <v>52</v>
      </c>
      <c r="H1775" s="105" t="s">
        <v>333</v>
      </c>
      <c r="I1775" s="105" t="s">
        <v>334</v>
      </c>
      <c r="J1775" s="493">
        <v>622</v>
      </c>
      <c r="K1775" s="493">
        <v>4</v>
      </c>
      <c r="L1775" s="105" t="s">
        <v>766</v>
      </c>
      <c r="M1775" s="105" t="s">
        <v>359</v>
      </c>
      <c r="N1775" s="105" t="s">
        <v>226</v>
      </c>
      <c r="O1775" s="105" t="s">
        <v>226</v>
      </c>
      <c r="P1775" s="105" t="s">
        <v>350</v>
      </c>
      <c r="Q1775" s="494">
        <v>21</v>
      </c>
      <c r="R1775" s="494">
        <v>21</v>
      </c>
      <c r="S1775" s="494">
        <v>124</v>
      </c>
      <c r="T1775" s="494">
        <v>124</v>
      </c>
      <c r="U1775" s="494">
        <v>18</v>
      </c>
      <c r="V1775" s="493">
        <v>2024</v>
      </c>
      <c r="W1775" s="495"/>
      <c r="X1775" s="496" t="str">
        <f t="shared" si="114"/>
        <v/>
      </c>
      <c r="Y1775" s="497" t="str">
        <f t="shared" si="116"/>
        <v/>
      </c>
      <c r="Z1775" s="497" t="str">
        <f t="shared" si="116"/>
        <v/>
      </c>
    </row>
    <row r="1776" spans="1:26" s="82" customFormat="1" ht="32" x14ac:dyDescent="0.4">
      <c r="A1776" s="493">
        <v>62368</v>
      </c>
      <c r="B1776" s="105" t="s">
        <v>329</v>
      </c>
      <c r="C1776" s="493" t="s">
        <v>330</v>
      </c>
      <c r="D1776" s="105" t="s">
        <v>2089</v>
      </c>
      <c r="E1776" s="105" t="s">
        <v>2090</v>
      </c>
      <c r="F1776" s="493">
        <v>61894</v>
      </c>
      <c r="G1776" s="105" t="s">
        <v>33</v>
      </c>
      <c r="H1776" s="105" t="s">
        <v>342</v>
      </c>
      <c r="I1776" s="105" t="s">
        <v>334</v>
      </c>
      <c r="J1776" s="493">
        <v>22</v>
      </c>
      <c r="K1776" s="493">
        <v>2</v>
      </c>
      <c r="L1776" s="105" t="s">
        <v>343</v>
      </c>
      <c r="M1776" s="105" t="s">
        <v>655</v>
      </c>
      <c r="N1776" s="105" t="s">
        <v>656</v>
      </c>
      <c r="O1776" s="105" t="s">
        <v>656</v>
      </c>
      <c r="P1776" s="105" t="s">
        <v>339</v>
      </c>
      <c r="Q1776" s="494">
        <v>0</v>
      </c>
      <c r="R1776" s="494">
        <v>0</v>
      </c>
      <c r="S1776" s="494">
        <v>26065</v>
      </c>
      <c r="T1776" s="494">
        <v>26065</v>
      </c>
      <c r="U1776" s="494">
        <v>7639</v>
      </c>
      <c r="V1776" s="493">
        <v>2024</v>
      </c>
      <c r="W1776" s="495"/>
      <c r="X1776" s="496">
        <f t="shared" si="114"/>
        <v>3.4120958240607409</v>
      </c>
      <c r="Y1776" s="497" t="str">
        <f t="shared" si="116"/>
        <v/>
      </c>
      <c r="Z1776" s="497" t="str">
        <f t="shared" si="116"/>
        <v/>
      </c>
    </row>
    <row r="1777" spans="1:26" s="82" customFormat="1" x14ac:dyDescent="0.4">
      <c r="A1777" s="493">
        <v>62369</v>
      </c>
      <c r="B1777" s="105" t="s">
        <v>329</v>
      </c>
      <c r="C1777" s="493" t="s">
        <v>330</v>
      </c>
      <c r="D1777" s="105" t="s">
        <v>2091</v>
      </c>
      <c r="E1777" s="105" t="s">
        <v>2092</v>
      </c>
      <c r="F1777" s="493">
        <v>61895</v>
      </c>
      <c r="G1777" s="105" t="s">
        <v>33</v>
      </c>
      <c r="H1777" s="105" t="s">
        <v>342</v>
      </c>
      <c r="I1777" s="105" t="s">
        <v>334</v>
      </c>
      <c r="J1777" s="493">
        <v>22</v>
      </c>
      <c r="K1777" s="493">
        <v>2</v>
      </c>
      <c r="L1777" s="105" t="s">
        <v>343</v>
      </c>
      <c r="M1777" s="105" t="s">
        <v>655</v>
      </c>
      <c r="N1777" s="105" t="s">
        <v>656</v>
      </c>
      <c r="O1777" s="105" t="s">
        <v>656</v>
      </c>
      <c r="P1777" s="105" t="s">
        <v>339</v>
      </c>
      <c r="Q1777" s="494">
        <v>0</v>
      </c>
      <c r="R1777" s="494">
        <v>0</v>
      </c>
      <c r="S1777" s="494">
        <v>21928</v>
      </c>
      <c r="T1777" s="494">
        <v>21928</v>
      </c>
      <c r="U1777" s="494">
        <v>6427</v>
      </c>
      <c r="V1777" s="493">
        <v>2024</v>
      </c>
      <c r="W1777" s="495"/>
      <c r="X1777" s="496">
        <f t="shared" si="114"/>
        <v>3.4118562315232612</v>
      </c>
      <c r="Y1777" s="497" t="str">
        <f t="shared" si="116"/>
        <v/>
      </c>
      <c r="Z1777" s="497" t="str">
        <f t="shared" si="116"/>
        <v/>
      </c>
    </row>
    <row r="1778" spans="1:26" s="82" customFormat="1" ht="32" x14ac:dyDescent="0.4">
      <c r="A1778" s="493">
        <v>62370</v>
      </c>
      <c r="B1778" s="105" t="s">
        <v>329</v>
      </c>
      <c r="C1778" s="493" t="s">
        <v>330</v>
      </c>
      <c r="D1778" s="105" t="s">
        <v>2093</v>
      </c>
      <c r="E1778" s="105" t="s">
        <v>2094</v>
      </c>
      <c r="F1778" s="493">
        <v>61896</v>
      </c>
      <c r="G1778" s="105" t="s">
        <v>33</v>
      </c>
      <c r="H1778" s="105" t="s">
        <v>342</v>
      </c>
      <c r="I1778" s="105" t="s">
        <v>334</v>
      </c>
      <c r="J1778" s="493">
        <v>22</v>
      </c>
      <c r="K1778" s="493">
        <v>2</v>
      </c>
      <c r="L1778" s="105" t="s">
        <v>343</v>
      </c>
      <c r="M1778" s="105" t="s">
        <v>655</v>
      </c>
      <c r="N1778" s="105" t="s">
        <v>656</v>
      </c>
      <c r="O1778" s="105" t="s">
        <v>656</v>
      </c>
      <c r="P1778" s="105" t="s">
        <v>339</v>
      </c>
      <c r="Q1778" s="494">
        <v>0</v>
      </c>
      <c r="R1778" s="494">
        <v>0</v>
      </c>
      <c r="S1778" s="494">
        <v>5805</v>
      </c>
      <c r="T1778" s="494">
        <v>5805</v>
      </c>
      <c r="U1778" s="494">
        <v>1702</v>
      </c>
      <c r="V1778" s="493">
        <v>2024</v>
      </c>
      <c r="W1778" s="495"/>
      <c r="X1778" s="496">
        <f t="shared" si="114"/>
        <v>3.4106933019976498</v>
      </c>
      <c r="Y1778" s="497" t="str">
        <f t="shared" si="116"/>
        <v/>
      </c>
      <c r="Z1778" s="497" t="str">
        <f t="shared" si="116"/>
        <v/>
      </c>
    </row>
    <row r="1779" spans="1:26" s="82" customFormat="1" x14ac:dyDescent="0.4">
      <c r="A1779" s="493">
        <v>62371</v>
      </c>
      <c r="B1779" s="105" t="s">
        <v>329</v>
      </c>
      <c r="C1779" s="493" t="s">
        <v>330</v>
      </c>
      <c r="D1779" s="105" t="s">
        <v>2095</v>
      </c>
      <c r="E1779" s="105" t="s">
        <v>2096</v>
      </c>
      <c r="F1779" s="493">
        <v>61897</v>
      </c>
      <c r="G1779" s="105" t="s">
        <v>33</v>
      </c>
      <c r="H1779" s="105" t="s">
        <v>342</v>
      </c>
      <c r="I1779" s="105" t="s">
        <v>334</v>
      </c>
      <c r="J1779" s="493">
        <v>22</v>
      </c>
      <c r="K1779" s="493">
        <v>2</v>
      </c>
      <c r="L1779" s="105" t="s">
        <v>343</v>
      </c>
      <c r="M1779" s="105" t="s">
        <v>655</v>
      </c>
      <c r="N1779" s="105" t="s">
        <v>656</v>
      </c>
      <c r="O1779" s="105" t="s">
        <v>656</v>
      </c>
      <c r="P1779" s="105" t="s">
        <v>339</v>
      </c>
      <c r="Q1779" s="494">
        <v>0</v>
      </c>
      <c r="R1779" s="494">
        <v>0</v>
      </c>
      <c r="S1779" s="494">
        <v>7447</v>
      </c>
      <c r="T1779" s="494">
        <v>7447</v>
      </c>
      <c r="U1779" s="494">
        <v>2182</v>
      </c>
      <c r="V1779" s="493">
        <v>2024</v>
      </c>
      <c r="W1779" s="495"/>
      <c r="X1779" s="496">
        <f t="shared" si="114"/>
        <v>3.4129239230064163</v>
      </c>
      <c r="Y1779" s="497" t="str">
        <f t="shared" si="116"/>
        <v/>
      </c>
      <c r="Z1779" s="497" t="str">
        <f t="shared" si="116"/>
        <v/>
      </c>
    </row>
    <row r="1780" spans="1:26" s="82" customFormat="1" ht="32" x14ac:dyDescent="0.4">
      <c r="A1780" s="493">
        <v>62372</v>
      </c>
      <c r="B1780" s="105" t="s">
        <v>329</v>
      </c>
      <c r="C1780" s="493" t="s">
        <v>330</v>
      </c>
      <c r="D1780" s="105" t="s">
        <v>2097</v>
      </c>
      <c r="E1780" s="105" t="s">
        <v>2098</v>
      </c>
      <c r="F1780" s="493">
        <v>61898</v>
      </c>
      <c r="G1780" s="105" t="s">
        <v>33</v>
      </c>
      <c r="H1780" s="105" t="s">
        <v>342</v>
      </c>
      <c r="I1780" s="105" t="s">
        <v>334</v>
      </c>
      <c r="J1780" s="493">
        <v>22</v>
      </c>
      <c r="K1780" s="493">
        <v>2</v>
      </c>
      <c r="L1780" s="105" t="s">
        <v>343</v>
      </c>
      <c r="M1780" s="105" t="s">
        <v>655</v>
      </c>
      <c r="N1780" s="105" t="s">
        <v>656</v>
      </c>
      <c r="O1780" s="105" t="s">
        <v>656</v>
      </c>
      <c r="P1780" s="105" t="s">
        <v>339</v>
      </c>
      <c r="Q1780" s="494">
        <v>0</v>
      </c>
      <c r="R1780" s="494">
        <v>0</v>
      </c>
      <c r="S1780" s="494">
        <v>8035</v>
      </c>
      <c r="T1780" s="494">
        <v>8035</v>
      </c>
      <c r="U1780" s="494">
        <v>2355</v>
      </c>
      <c r="V1780" s="493">
        <v>2024</v>
      </c>
      <c r="W1780" s="495"/>
      <c r="X1780" s="496">
        <f t="shared" si="114"/>
        <v>3.4118895966029723</v>
      </c>
      <c r="Y1780" s="497" t="str">
        <f t="shared" si="116"/>
        <v/>
      </c>
      <c r="Z1780" s="497" t="str">
        <f t="shared" si="116"/>
        <v/>
      </c>
    </row>
    <row r="1781" spans="1:26" s="82" customFormat="1" ht="32" x14ac:dyDescent="0.4">
      <c r="A1781" s="493">
        <v>62381</v>
      </c>
      <c r="B1781" s="105" t="s">
        <v>329</v>
      </c>
      <c r="C1781" s="493" t="s">
        <v>330</v>
      </c>
      <c r="D1781" s="105" t="s">
        <v>2099</v>
      </c>
      <c r="E1781" s="105" t="s">
        <v>394</v>
      </c>
      <c r="F1781" s="493">
        <v>7601</v>
      </c>
      <c r="G1781" s="105" t="s">
        <v>36</v>
      </c>
      <c r="H1781" s="105" t="s">
        <v>342</v>
      </c>
      <c r="I1781" s="105" t="s">
        <v>334</v>
      </c>
      <c r="J1781" s="493">
        <v>22</v>
      </c>
      <c r="K1781" s="493">
        <v>1</v>
      </c>
      <c r="L1781" s="105" t="s">
        <v>335</v>
      </c>
      <c r="M1781" s="105" t="s">
        <v>403</v>
      </c>
      <c r="N1781" s="105" t="s">
        <v>404</v>
      </c>
      <c r="O1781" s="105" t="s">
        <v>232</v>
      </c>
      <c r="P1781" s="105" t="s">
        <v>346</v>
      </c>
      <c r="Q1781" s="494">
        <v>234</v>
      </c>
      <c r="R1781" s="494">
        <v>234</v>
      </c>
      <c r="S1781" s="494">
        <v>0</v>
      </c>
      <c r="T1781" s="494">
        <v>0</v>
      </c>
      <c r="U1781" s="494">
        <v>748</v>
      </c>
      <c r="V1781" s="493">
        <v>2024</v>
      </c>
      <c r="W1781" s="495"/>
      <c r="X1781" s="496" t="str">
        <f t="shared" si="114"/>
        <v/>
      </c>
      <c r="Y1781" s="497" t="str">
        <f t="shared" si="116"/>
        <v/>
      </c>
      <c r="Z1781" s="497" t="str">
        <f t="shared" si="116"/>
        <v/>
      </c>
    </row>
    <row r="1782" spans="1:26" s="82" customFormat="1" ht="32" x14ac:dyDescent="0.4">
      <c r="A1782" s="493">
        <v>62381</v>
      </c>
      <c r="B1782" s="105" t="s">
        <v>329</v>
      </c>
      <c r="C1782" s="493" t="s">
        <v>330</v>
      </c>
      <c r="D1782" s="105" t="s">
        <v>2099</v>
      </c>
      <c r="E1782" s="105" t="s">
        <v>394</v>
      </c>
      <c r="F1782" s="493">
        <v>7601</v>
      </c>
      <c r="G1782" s="105" t="s">
        <v>36</v>
      </c>
      <c r="H1782" s="105" t="s">
        <v>342</v>
      </c>
      <c r="I1782" s="105" t="s">
        <v>334</v>
      </c>
      <c r="J1782" s="493">
        <v>22</v>
      </c>
      <c r="K1782" s="493">
        <v>1</v>
      </c>
      <c r="L1782" s="105" t="s">
        <v>335</v>
      </c>
      <c r="M1782" s="105" t="s">
        <v>655</v>
      </c>
      <c r="N1782" s="105" t="s">
        <v>656</v>
      </c>
      <c r="O1782" s="105" t="s">
        <v>656</v>
      </c>
      <c r="P1782" s="105" t="s">
        <v>339</v>
      </c>
      <c r="Q1782" s="494">
        <v>0</v>
      </c>
      <c r="R1782" s="494">
        <v>0</v>
      </c>
      <c r="S1782" s="494">
        <v>27281</v>
      </c>
      <c r="T1782" s="494">
        <v>27281</v>
      </c>
      <c r="U1782" s="494">
        <v>7995</v>
      </c>
      <c r="V1782" s="493">
        <v>2024</v>
      </c>
      <c r="W1782" s="495"/>
      <c r="X1782" s="496">
        <f t="shared" si="114"/>
        <v>3.412257661038149</v>
      </c>
      <c r="Y1782" s="497" t="str">
        <f t="shared" si="116"/>
        <v/>
      </c>
      <c r="Z1782" s="497" t="str">
        <f t="shared" si="116"/>
        <v/>
      </c>
    </row>
    <row r="1783" spans="1:26" s="82" customFormat="1" ht="32" x14ac:dyDescent="0.4">
      <c r="A1783" s="493">
        <v>62382</v>
      </c>
      <c r="B1783" s="105" t="s">
        <v>329</v>
      </c>
      <c r="C1783" s="493" t="s">
        <v>330</v>
      </c>
      <c r="D1783" s="105" t="s">
        <v>2100</v>
      </c>
      <c r="E1783" s="105" t="s">
        <v>394</v>
      </c>
      <c r="F1783" s="493">
        <v>7601</v>
      </c>
      <c r="G1783" s="105" t="s">
        <v>36</v>
      </c>
      <c r="H1783" s="105" t="s">
        <v>342</v>
      </c>
      <c r="I1783" s="105" t="s">
        <v>334</v>
      </c>
      <c r="J1783" s="493">
        <v>22</v>
      </c>
      <c r="K1783" s="493">
        <v>1</v>
      </c>
      <c r="L1783" s="105" t="s">
        <v>335</v>
      </c>
      <c r="M1783" s="105" t="s">
        <v>403</v>
      </c>
      <c r="N1783" s="105" t="s">
        <v>404</v>
      </c>
      <c r="O1783" s="105" t="s">
        <v>232</v>
      </c>
      <c r="P1783" s="105" t="s">
        <v>346</v>
      </c>
      <c r="Q1783" s="494">
        <v>244</v>
      </c>
      <c r="R1783" s="494">
        <v>244</v>
      </c>
      <c r="S1783" s="494">
        <v>0</v>
      </c>
      <c r="T1783" s="494">
        <v>0</v>
      </c>
      <c r="U1783" s="494">
        <v>792</v>
      </c>
      <c r="V1783" s="493">
        <v>2024</v>
      </c>
      <c r="W1783" s="495"/>
      <c r="X1783" s="496" t="str">
        <f t="shared" si="114"/>
        <v/>
      </c>
      <c r="Y1783" s="497" t="str">
        <f t="shared" si="116"/>
        <v/>
      </c>
      <c r="Z1783" s="497" t="str">
        <f t="shared" si="116"/>
        <v/>
      </c>
    </row>
    <row r="1784" spans="1:26" s="82" customFormat="1" ht="32" x14ac:dyDescent="0.4">
      <c r="A1784" s="493">
        <v>62382</v>
      </c>
      <c r="B1784" s="105" t="s">
        <v>329</v>
      </c>
      <c r="C1784" s="493" t="s">
        <v>330</v>
      </c>
      <c r="D1784" s="105" t="s">
        <v>2100</v>
      </c>
      <c r="E1784" s="105" t="s">
        <v>394</v>
      </c>
      <c r="F1784" s="493">
        <v>7601</v>
      </c>
      <c r="G1784" s="105" t="s">
        <v>36</v>
      </c>
      <c r="H1784" s="105" t="s">
        <v>342</v>
      </c>
      <c r="I1784" s="105" t="s">
        <v>334</v>
      </c>
      <c r="J1784" s="493">
        <v>22</v>
      </c>
      <c r="K1784" s="493">
        <v>1</v>
      </c>
      <c r="L1784" s="105" t="s">
        <v>335</v>
      </c>
      <c r="M1784" s="105" t="s">
        <v>655</v>
      </c>
      <c r="N1784" s="105" t="s">
        <v>656</v>
      </c>
      <c r="O1784" s="105" t="s">
        <v>656</v>
      </c>
      <c r="P1784" s="105" t="s">
        <v>339</v>
      </c>
      <c r="Q1784" s="494">
        <v>0</v>
      </c>
      <c r="R1784" s="494">
        <v>0</v>
      </c>
      <c r="S1784" s="494">
        <v>27354</v>
      </c>
      <c r="T1784" s="494">
        <v>27354</v>
      </c>
      <c r="U1784" s="494">
        <v>8017</v>
      </c>
      <c r="V1784" s="493">
        <v>2024</v>
      </c>
      <c r="W1784" s="495"/>
      <c r="X1784" s="496">
        <f t="shared" si="114"/>
        <v>3.4119995010602469</v>
      </c>
      <c r="Y1784" s="497" t="str">
        <f t="shared" si="116"/>
        <v/>
      </c>
      <c r="Z1784" s="497" t="str">
        <f t="shared" si="116"/>
        <v/>
      </c>
    </row>
    <row r="1785" spans="1:26" s="82" customFormat="1" ht="32" x14ac:dyDescent="0.4">
      <c r="A1785" s="493">
        <v>62383</v>
      </c>
      <c r="B1785" s="105" t="s">
        <v>329</v>
      </c>
      <c r="C1785" s="493" t="s">
        <v>330</v>
      </c>
      <c r="D1785" s="105" t="s">
        <v>2101</v>
      </c>
      <c r="E1785" s="105" t="s">
        <v>394</v>
      </c>
      <c r="F1785" s="493">
        <v>7601</v>
      </c>
      <c r="G1785" s="105" t="s">
        <v>36</v>
      </c>
      <c r="H1785" s="105" t="s">
        <v>342</v>
      </c>
      <c r="I1785" s="105" t="s">
        <v>334</v>
      </c>
      <c r="J1785" s="493">
        <v>22</v>
      </c>
      <c r="K1785" s="493">
        <v>1</v>
      </c>
      <c r="L1785" s="105" t="s">
        <v>335</v>
      </c>
      <c r="M1785" s="105" t="s">
        <v>403</v>
      </c>
      <c r="N1785" s="105" t="s">
        <v>404</v>
      </c>
      <c r="O1785" s="105" t="s">
        <v>232</v>
      </c>
      <c r="P1785" s="105" t="s">
        <v>346</v>
      </c>
      <c r="Q1785" s="494">
        <v>431</v>
      </c>
      <c r="R1785" s="494">
        <v>431</v>
      </c>
      <c r="S1785" s="494">
        <v>0</v>
      </c>
      <c r="T1785" s="494">
        <v>0</v>
      </c>
      <c r="U1785" s="494">
        <v>577</v>
      </c>
      <c r="V1785" s="493">
        <v>2024</v>
      </c>
      <c r="W1785" s="495"/>
      <c r="X1785" s="496" t="str">
        <f t="shared" si="114"/>
        <v/>
      </c>
      <c r="Y1785" s="497" t="str">
        <f t="shared" si="116"/>
        <v/>
      </c>
      <c r="Z1785" s="497" t="str">
        <f t="shared" si="116"/>
        <v/>
      </c>
    </row>
    <row r="1786" spans="1:26" s="82" customFormat="1" ht="32" x14ac:dyDescent="0.4">
      <c r="A1786" s="493">
        <v>62383</v>
      </c>
      <c r="B1786" s="105" t="s">
        <v>329</v>
      </c>
      <c r="C1786" s="493" t="s">
        <v>330</v>
      </c>
      <c r="D1786" s="105" t="s">
        <v>2101</v>
      </c>
      <c r="E1786" s="105" t="s">
        <v>394</v>
      </c>
      <c r="F1786" s="493">
        <v>7601</v>
      </c>
      <c r="G1786" s="105" t="s">
        <v>36</v>
      </c>
      <c r="H1786" s="105" t="s">
        <v>342</v>
      </c>
      <c r="I1786" s="105" t="s">
        <v>334</v>
      </c>
      <c r="J1786" s="493">
        <v>22</v>
      </c>
      <c r="K1786" s="493">
        <v>1</v>
      </c>
      <c r="L1786" s="105" t="s">
        <v>335</v>
      </c>
      <c r="M1786" s="105" t="s">
        <v>655</v>
      </c>
      <c r="N1786" s="105" t="s">
        <v>656</v>
      </c>
      <c r="O1786" s="105" t="s">
        <v>656</v>
      </c>
      <c r="P1786" s="105" t="s">
        <v>339</v>
      </c>
      <c r="Q1786" s="494">
        <v>0</v>
      </c>
      <c r="R1786" s="494">
        <v>0</v>
      </c>
      <c r="S1786" s="494">
        <v>24337</v>
      </c>
      <c r="T1786" s="494">
        <v>24337</v>
      </c>
      <c r="U1786" s="494">
        <v>7132</v>
      </c>
      <c r="V1786" s="493">
        <v>2024</v>
      </c>
      <c r="W1786" s="495"/>
      <c r="X1786" s="496">
        <f t="shared" si="114"/>
        <v>3.4123667975322491</v>
      </c>
      <c r="Y1786" s="497" t="str">
        <f t="shared" si="116"/>
        <v/>
      </c>
      <c r="Z1786" s="497" t="str">
        <f t="shared" si="116"/>
        <v/>
      </c>
    </row>
    <row r="1787" spans="1:26" s="82" customFormat="1" ht="32" x14ac:dyDescent="0.4">
      <c r="A1787" s="493">
        <v>62389</v>
      </c>
      <c r="B1787" s="105" t="s">
        <v>329</v>
      </c>
      <c r="C1787" s="493" t="s">
        <v>330</v>
      </c>
      <c r="D1787" s="105" t="s">
        <v>2102</v>
      </c>
      <c r="E1787" s="105" t="s">
        <v>1313</v>
      </c>
      <c r="F1787" s="493">
        <v>60281</v>
      </c>
      <c r="G1787" s="105" t="s">
        <v>52</v>
      </c>
      <c r="H1787" s="105" t="s">
        <v>333</v>
      </c>
      <c r="I1787" s="105" t="s">
        <v>334</v>
      </c>
      <c r="J1787" s="493">
        <v>22</v>
      </c>
      <c r="K1787" s="493">
        <v>2</v>
      </c>
      <c r="L1787" s="105" t="s">
        <v>343</v>
      </c>
      <c r="M1787" s="105" t="s">
        <v>655</v>
      </c>
      <c r="N1787" s="105" t="s">
        <v>656</v>
      </c>
      <c r="O1787" s="105" t="s">
        <v>656</v>
      </c>
      <c r="P1787" s="105" t="s">
        <v>339</v>
      </c>
      <c r="Q1787" s="494">
        <v>0</v>
      </c>
      <c r="R1787" s="494">
        <v>0</v>
      </c>
      <c r="S1787" s="494">
        <v>79401</v>
      </c>
      <c r="T1787" s="494">
        <v>79401</v>
      </c>
      <c r="U1787" s="494">
        <v>23271</v>
      </c>
      <c r="V1787" s="493">
        <v>2024</v>
      </c>
      <c r="W1787" s="495"/>
      <c r="X1787" s="496">
        <f t="shared" si="114"/>
        <v>3.4120149542348845</v>
      </c>
      <c r="Y1787" s="497" t="str">
        <f t="shared" si="116"/>
        <v/>
      </c>
      <c r="Z1787" s="497" t="str">
        <f t="shared" si="116"/>
        <v/>
      </c>
    </row>
    <row r="1788" spans="1:26" s="82" customFormat="1" ht="32" x14ac:dyDescent="0.4">
      <c r="A1788" s="493">
        <v>62398</v>
      </c>
      <c r="B1788" s="105" t="s">
        <v>329</v>
      </c>
      <c r="C1788" s="493" t="s">
        <v>330</v>
      </c>
      <c r="D1788" s="105" t="s">
        <v>2103</v>
      </c>
      <c r="E1788" s="105" t="s">
        <v>2103</v>
      </c>
      <c r="F1788" s="493">
        <v>61936</v>
      </c>
      <c r="G1788" s="105" t="s">
        <v>52</v>
      </c>
      <c r="H1788" s="105" t="s">
        <v>333</v>
      </c>
      <c r="I1788" s="105" t="s">
        <v>334</v>
      </c>
      <c r="J1788" s="493">
        <v>622</v>
      </c>
      <c r="K1788" s="493">
        <v>4</v>
      </c>
      <c r="L1788" s="105" t="s">
        <v>766</v>
      </c>
      <c r="M1788" s="105" t="s">
        <v>359</v>
      </c>
      <c r="N1788" s="105" t="s">
        <v>226</v>
      </c>
      <c r="O1788" s="105" t="s">
        <v>226</v>
      </c>
      <c r="P1788" s="105" t="s">
        <v>350</v>
      </c>
      <c r="Q1788" s="494">
        <v>72</v>
      </c>
      <c r="R1788" s="494">
        <v>72</v>
      </c>
      <c r="S1788" s="494">
        <v>426</v>
      </c>
      <c r="T1788" s="494">
        <v>426</v>
      </c>
      <c r="U1788" s="494">
        <v>11</v>
      </c>
      <c r="V1788" s="493">
        <v>2024</v>
      </c>
      <c r="W1788" s="495"/>
      <c r="X1788" s="496" t="str">
        <f t="shared" si="114"/>
        <v/>
      </c>
      <c r="Y1788" s="497" t="str">
        <f t="shared" ref="Y1788:Z1807" si="117">IF(AND($M1788=$Y$2,$N1788=$Y$3,NOT($Q1788=$R1788),NOT($U1788=0)),IF($K1788=5,$S1788/($U1788+(8/5)*$U1788),IF($K1788=7,$S1788/($U1788+(29/25)*$U1788),"")),"")</f>
        <v/>
      </c>
      <c r="Z1788" s="497" t="str">
        <f t="shared" si="117"/>
        <v/>
      </c>
    </row>
    <row r="1789" spans="1:26" s="82" customFormat="1" ht="32" x14ac:dyDescent="0.4">
      <c r="A1789" s="493">
        <v>62412</v>
      </c>
      <c r="B1789" s="105" t="s">
        <v>329</v>
      </c>
      <c r="C1789" s="493" t="s">
        <v>330</v>
      </c>
      <c r="D1789" s="105" t="s">
        <v>2104</v>
      </c>
      <c r="E1789" s="105" t="s">
        <v>1313</v>
      </c>
      <c r="F1789" s="493">
        <v>60281</v>
      </c>
      <c r="G1789" s="105" t="s">
        <v>52</v>
      </c>
      <c r="H1789" s="105" t="s">
        <v>333</v>
      </c>
      <c r="I1789" s="105" t="s">
        <v>334</v>
      </c>
      <c r="J1789" s="493">
        <v>22</v>
      </c>
      <c r="K1789" s="493">
        <v>2</v>
      </c>
      <c r="L1789" s="105" t="s">
        <v>343</v>
      </c>
      <c r="M1789" s="105" t="s">
        <v>655</v>
      </c>
      <c r="N1789" s="105" t="s">
        <v>656</v>
      </c>
      <c r="O1789" s="105" t="s">
        <v>656</v>
      </c>
      <c r="P1789" s="105" t="s">
        <v>339</v>
      </c>
      <c r="Q1789" s="494">
        <v>0</v>
      </c>
      <c r="R1789" s="494">
        <v>0</v>
      </c>
      <c r="S1789" s="494">
        <v>20854</v>
      </c>
      <c r="T1789" s="494">
        <v>20854</v>
      </c>
      <c r="U1789" s="494">
        <v>6112</v>
      </c>
      <c r="V1789" s="493">
        <v>2024</v>
      </c>
      <c r="W1789" s="495"/>
      <c r="X1789" s="496">
        <f t="shared" si="114"/>
        <v>3.4119764397905761</v>
      </c>
      <c r="Y1789" s="497" t="str">
        <f t="shared" si="117"/>
        <v/>
      </c>
      <c r="Z1789" s="497" t="str">
        <f t="shared" si="117"/>
        <v/>
      </c>
    </row>
    <row r="1790" spans="1:26" s="82" customFormat="1" ht="32" x14ac:dyDescent="0.4">
      <c r="A1790" s="493">
        <v>62413</v>
      </c>
      <c r="B1790" s="105" t="s">
        <v>329</v>
      </c>
      <c r="C1790" s="493" t="s">
        <v>330</v>
      </c>
      <c r="D1790" s="105" t="s">
        <v>2105</v>
      </c>
      <c r="E1790" s="105" t="s">
        <v>1313</v>
      </c>
      <c r="F1790" s="493">
        <v>60281</v>
      </c>
      <c r="G1790" s="105" t="s">
        <v>52</v>
      </c>
      <c r="H1790" s="105" t="s">
        <v>333</v>
      </c>
      <c r="I1790" s="105" t="s">
        <v>334</v>
      </c>
      <c r="J1790" s="493">
        <v>22</v>
      </c>
      <c r="K1790" s="493">
        <v>2</v>
      </c>
      <c r="L1790" s="105" t="s">
        <v>343</v>
      </c>
      <c r="M1790" s="105" t="s">
        <v>655</v>
      </c>
      <c r="N1790" s="105" t="s">
        <v>656</v>
      </c>
      <c r="O1790" s="105" t="s">
        <v>656</v>
      </c>
      <c r="P1790" s="105" t="s">
        <v>339</v>
      </c>
      <c r="Q1790" s="494">
        <v>0</v>
      </c>
      <c r="R1790" s="494">
        <v>0</v>
      </c>
      <c r="S1790" s="494">
        <v>69967</v>
      </c>
      <c r="T1790" s="494">
        <v>69967</v>
      </c>
      <c r="U1790" s="494">
        <v>20506</v>
      </c>
      <c r="V1790" s="493">
        <v>2024</v>
      </c>
      <c r="W1790" s="495"/>
      <c r="X1790" s="496">
        <f t="shared" si="114"/>
        <v>3.4120257485613967</v>
      </c>
      <c r="Y1790" s="497" t="str">
        <f t="shared" si="117"/>
        <v/>
      </c>
      <c r="Z1790" s="497" t="str">
        <f t="shared" si="117"/>
        <v/>
      </c>
    </row>
    <row r="1791" spans="1:26" s="82" customFormat="1" ht="32" x14ac:dyDescent="0.4">
      <c r="A1791" s="493">
        <v>62421</v>
      </c>
      <c r="B1791" s="105" t="s">
        <v>329</v>
      </c>
      <c r="C1791" s="493" t="s">
        <v>330</v>
      </c>
      <c r="D1791" s="105" t="s">
        <v>2106</v>
      </c>
      <c r="E1791" s="105" t="s">
        <v>2106</v>
      </c>
      <c r="F1791" s="493">
        <v>61947</v>
      </c>
      <c r="G1791" s="105" t="s">
        <v>52</v>
      </c>
      <c r="H1791" s="105" t="s">
        <v>333</v>
      </c>
      <c r="I1791" s="105" t="s">
        <v>334</v>
      </c>
      <c r="J1791" s="493">
        <v>622</v>
      </c>
      <c r="K1791" s="493">
        <v>4</v>
      </c>
      <c r="L1791" s="105" t="s">
        <v>766</v>
      </c>
      <c r="M1791" s="105" t="s">
        <v>359</v>
      </c>
      <c r="N1791" s="105" t="s">
        <v>226</v>
      </c>
      <c r="O1791" s="105" t="s">
        <v>226</v>
      </c>
      <c r="P1791" s="105" t="s">
        <v>350</v>
      </c>
      <c r="Q1791" s="494">
        <v>46</v>
      </c>
      <c r="R1791" s="494">
        <v>46</v>
      </c>
      <c r="S1791" s="494">
        <v>271</v>
      </c>
      <c r="T1791" s="494">
        <v>271</v>
      </c>
      <c r="U1791" s="494">
        <v>35</v>
      </c>
      <c r="V1791" s="493">
        <v>2024</v>
      </c>
      <c r="W1791" s="495"/>
      <c r="X1791" s="496" t="str">
        <f t="shared" si="114"/>
        <v/>
      </c>
      <c r="Y1791" s="497" t="str">
        <f t="shared" si="117"/>
        <v/>
      </c>
      <c r="Z1791" s="497" t="str">
        <f t="shared" si="117"/>
        <v/>
      </c>
    </row>
    <row r="1792" spans="1:26" s="82" customFormat="1" ht="32" x14ac:dyDescent="0.4">
      <c r="A1792" s="493">
        <v>62423</v>
      </c>
      <c r="B1792" s="105" t="s">
        <v>329</v>
      </c>
      <c r="C1792" s="493" t="s">
        <v>330</v>
      </c>
      <c r="D1792" s="105" t="s">
        <v>2107</v>
      </c>
      <c r="E1792" s="105" t="s">
        <v>2107</v>
      </c>
      <c r="F1792" s="493">
        <v>61948</v>
      </c>
      <c r="G1792" s="105" t="s">
        <v>52</v>
      </c>
      <c r="H1792" s="105" t="s">
        <v>333</v>
      </c>
      <c r="I1792" s="105" t="s">
        <v>334</v>
      </c>
      <c r="J1792" s="493">
        <v>541</v>
      </c>
      <c r="K1792" s="493">
        <v>4</v>
      </c>
      <c r="L1792" s="105" t="s">
        <v>766</v>
      </c>
      <c r="M1792" s="105" t="s">
        <v>359</v>
      </c>
      <c r="N1792" s="105" t="s">
        <v>226</v>
      </c>
      <c r="O1792" s="105" t="s">
        <v>226</v>
      </c>
      <c r="P1792" s="105" t="s">
        <v>350</v>
      </c>
      <c r="Q1792" s="494">
        <v>554</v>
      </c>
      <c r="R1792" s="494">
        <v>554</v>
      </c>
      <c r="S1792" s="494">
        <v>3051</v>
      </c>
      <c r="T1792" s="494">
        <v>3051</v>
      </c>
      <c r="U1792" s="494">
        <v>198.709</v>
      </c>
      <c r="V1792" s="493">
        <v>2024</v>
      </c>
      <c r="W1792" s="495"/>
      <c r="X1792" s="496" t="str">
        <f t="shared" si="114"/>
        <v/>
      </c>
      <c r="Y1792" s="497" t="str">
        <f t="shared" si="117"/>
        <v/>
      </c>
      <c r="Z1792" s="497" t="str">
        <f t="shared" si="117"/>
        <v/>
      </c>
    </row>
    <row r="1793" spans="1:26" s="82" customFormat="1" ht="32" x14ac:dyDescent="0.4">
      <c r="A1793" s="493">
        <v>62423</v>
      </c>
      <c r="B1793" s="105" t="s">
        <v>329</v>
      </c>
      <c r="C1793" s="493" t="s">
        <v>330</v>
      </c>
      <c r="D1793" s="105" t="s">
        <v>2107</v>
      </c>
      <c r="E1793" s="105" t="s">
        <v>2107</v>
      </c>
      <c r="F1793" s="493">
        <v>61948</v>
      </c>
      <c r="G1793" s="105" t="s">
        <v>52</v>
      </c>
      <c r="H1793" s="105" t="s">
        <v>333</v>
      </c>
      <c r="I1793" s="105" t="s">
        <v>334</v>
      </c>
      <c r="J1793" s="493">
        <v>541</v>
      </c>
      <c r="K1793" s="493">
        <v>4</v>
      </c>
      <c r="L1793" s="105" t="s">
        <v>766</v>
      </c>
      <c r="M1793" s="105" t="s">
        <v>359</v>
      </c>
      <c r="N1793" s="105" t="s">
        <v>228</v>
      </c>
      <c r="O1793" s="105" t="s">
        <v>228</v>
      </c>
      <c r="P1793" s="105" t="s">
        <v>356</v>
      </c>
      <c r="Q1793" s="494">
        <v>49</v>
      </c>
      <c r="R1793" s="494">
        <v>49</v>
      </c>
      <c r="S1793" s="494">
        <v>49</v>
      </c>
      <c r="T1793" s="494">
        <v>49</v>
      </c>
      <c r="U1793" s="494">
        <v>3.2909999999999999</v>
      </c>
      <c r="V1793" s="493">
        <v>2024</v>
      </c>
      <c r="W1793" s="495"/>
      <c r="X1793" s="496" t="str">
        <f t="shared" si="114"/>
        <v/>
      </c>
      <c r="Y1793" s="497" t="str">
        <f t="shared" si="117"/>
        <v/>
      </c>
      <c r="Z1793" s="497" t="str">
        <f t="shared" si="117"/>
        <v/>
      </c>
    </row>
    <row r="1794" spans="1:26" s="82" customFormat="1" ht="32" x14ac:dyDescent="0.4">
      <c r="A1794" s="493">
        <v>62423</v>
      </c>
      <c r="B1794" s="105" t="s">
        <v>329</v>
      </c>
      <c r="C1794" s="493" t="s">
        <v>330</v>
      </c>
      <c r="D1794" s="105" t="s">
        <v>2107</v>
      </c>
      <c r="E1794" s="105" t="s">
        <v>2107</v>
      </c>
      <c r="F1794" s="493">
        <v>61948</v>
      </c>
      <c r="G1794" s="105" t="s">
        <v>52</v>
      </c>
      <c r="H1794" s="105" t="s">
        <v>333</v>
      </c>
      <c r="I1794" s="105" t="s">
        <v>334</v>
      </c>
      <c r="J1794" s="493">
        <v>541</v>
      </c>
      <c r="K1794" s="493">
        <v>4</v>
      </c>
      <c r="L1794" s="105" t="s">
        <v>766</v>
      </c>
      <c r="M1794" s="105" t="s">
        <v>655</v>
      </c>
      <c r="N1794" s="105" t="s">
        <v>656</v>
      </c>
      <c r="O1794" s="105" t="s">
        <v>656</v>
      </c>
      <c r="P1794" s="105" t="s">
        <v>339</v>
      </c>
      <c r="Q1794" s="494">
        <v>0</v>
      </c>
      <c r="R1794" s="494">
        <v>0</v>
      </c>
      <c r="S1794" s="494">
        <v>6479</v>
      </c>
      <c r="T1794" s="494">
        <v>6479</v>
      </c>
      <c r="U1794" s="494">
        <v>1899</v>
      </c>
      <c r="V1794" s="493">
        <v>2024</v>
      </c>
      <c r="W1794" s="495"/>
      <c r="X1794" s="496" t="str">
        <f t="shared" si="114"/>
        <v/>
      </c>
      <c r="Y1794" s="497" t="str">
        <f t="shared" si="117"/>
        <v/>
      </c>
      <c r="Z1794" s="497" t="str">
        <f t="shared" si="117"/>
        <v/>
      </c>
    </row>
    <row r="1795" spans="1:26" s="82" customFormat="1" x14ac:dyDescent="0.4">
      <c r="A1795" s="493">
        <v>62443</v>
      </c>
      <c r="B1795" s="105" t="s">
        <v>329</v>
      </c>
      <c r="C1795" s="493" t="s">
        <v>330</v>
      </c>
      <c r="D1795" s="105" t="s">
        <v>2108</v>
      </c>
      <c r="E1795" s="105" t="s">
        <v>1383</v>
      </c>
      <c r="F1795" s="493">
        <v>61944</v>
      </c>
      <c r="G1795" s="105" t="s">
        <v>36</v>
      </c>
      <c r="H1795" s="105" t="s">
        <v>342</v>
      </c>
      <c r="I1795" s="105" t="s">
        <v>334</v>
      </c>
      <c r="J1795" s="493">
        <v>22</v>
      </c>
      <c r="K1795" s="493">
        <v>2</v>
      </c>
      <c r="L1795" s="105" t="s">
        <v>343</v>
      </c>
      <c r="M1795" s="105" t="s">
        <v>655</v>
      </c>
      <c r="N1795" s="105" t="s">
        <v>656</v>
      </c>
      <c r="O1795" s="105" t="s">
        <v>656</v>
      </c>
      <c r="P1795" s="105" t="s">
        <v>339</v>
      </c>
      <c r="Q1795" s="494">
        <v>0</v>
      </c>
      <c r="R1795" s="494">
        <v>0</v>
      </c>
      <c r="S1795" s="494">
        <v>9527</v>
      </c>
      <c r="T1795" s="494">
        <v>9527</v>
      </c>
      <c r="U1795" s="494">
        <v>2792</v>
      </c>
      <c r="V1795" s="493">
        <v>2024</v>
      </c>
      <c r="W1795" s="495"/>
      <c r="X1795" s="496">
        <f t="shared" si="114"/>
        <v>3.4122492836676219</v>
      </c>
      <c r="Y1795" s="497" t="str">
        <f t="shared" si="117"/>
        <v/>
      </c>
      <c r="Z1795" s="497" t="str">
        <f t="shared" si="117"/>
        <v/>
      </c>
    </row>
    <row r="1796" spans="1:26" s="82" customFormat="1" ht="32" x14ac:dyDescent="0.4">
      <c r="A1796" s="493">
        <v>62446</v>
      </c>
      <c r="B1796" s="105" t="s">
        <v>329</v>
      </c>
      <c r="C1796" s="493" t="s">
        <v>330</v>
      </c>
      <c r="D1796" s="105" t="s">
        <v>2109</v>
      </c>
      <c r="E1796" s="105" t="s">
        <v>2109</v>
      </c>
      <c r="F1796" s="493">
        <v>61955</v>
      </c>
      <c r="G1796" s="105" t="s">
        <v>52</v>
      </c>
      <c r="H1796" s="105" t="s">
        <v>333</v>
      </c>
      <c r="I1796" s="105" t="s">
        <v>334</v>
      </c>
      <c r="J1796" s="493">
        <v>622</v>
      </c>
      <c r="K1796" s="493">
        <v>4</v>
      </c>
      <c r="L1796" s="105" t="s">
        <v>766</v>
      </c>
      <c r="M1796" s="105" t="s">
        <v>359</v>
      </c>
      <c r="N1796" s="105" t="s">
        <v>226</v>
      </c>
      <c r="O1796" s="105" t="s">
        <v>226</v>
      </c>
      <c r="P1796" s="105" t="s">
        <v>350</v>
      </c>
      <c r="Q1796" s="494">
        <v>37</v>
      </c>
      <c r="R1796" s="494">
        <v>37</v>
      </c>
      <c r="S1796" s="494">
        <v>214</v>
      </c>
      <c r="T1796" s="494">
        <v>214</v>
      </c>
      <c r="U1796" s="494">
        <v>17</v>
      </c>
      <c r="V1796" s="493">
        <v>2024</v>
      </c>
      <c r="W1796" s="495"/>
      <c r="X1796" s="496" t="str">
        <f t="shared" si="114"/>
        <v/>
      </c>
      <c r="Y1796" s="497" t="str">
        <f t="shared" si="117"/>
        <v/>
      </c>
      <c r="Z1796" s="497" t="str">
        <f t="shared" si="117"/>
        <v/>
      </c>
    </row>
    <row r="1797" spans="1:26" s="82" customFormat="1" ht="32" x14ac:dyDescent="0.4">
      <c r="A1797" s="493">
        <v>62447</v>
      </c>
      <c r="B1797" s="105" t="s">
        <v>329</v>
      </c>
      <c r="C1797" s="493" t="s">
        <v>330</v>
      </c>
      <c r="D1797" s="105" t="s">
        <v>2110</v>
      </c>
      <c r="E1797" s="105" t="s">
        <v>2110</v>
      </c>
      <c r="F1797" s="493">
        <v>61956</v>
      </c>
      <c r="G1797" s="105" t="s">
        <v>52</v>
      </c>
      <c r="H1797" s="105" t="s">
        <v>333</v>
      </c>
      <c r="I1797" s="105" t="s">
        <v>334</v>
      </c>
      <c r="J1797" s="493">
        <v>622</v>
      </c>
      <c r="K1797" s="493">
        <v>4</v>
      </c>
      <c r="L1797" s="105" t="s">
        <v>766</v>
      </c>
      <c r="M1797" s="105" t="s">
        <v>359</v>
      </c>
      <c r="N1797" s="105" t="s">
        <v>226</v>
      </c>
      <c r="O1797" s="105" t="s">
        <v>226</v>
      </c>
      <c r="P1797" s="105" t="s">
        <v>350</v>
      </c>
      <c r="Q1797" s="494">
        <v>49</v>
      </c>
      <c r="R1797" s="494">
        <v>49</v>
      </c>
      <c r="S1797" s="494">
        <v>289</v>
      </c>
      <c r="T1797" s="494">
        <v>289</v>
      </c>
      <c r="U1797" s="494">
        <v>10.78</v>
      </c>
      <c r="V1797" s="493">
        <v>2024</v>
      </c>
      <c r="W1797" s="495"/>
      <c r="X1797" s="496" t="str">
        <f t="shared" si="114"/>
        <v/>
      </c>
      <c r="Y1797" s="497" t="str">
        <f t="shared" si="117"/>
        <v/>
      </c>
      <c r="Z1797" s="497" t="str">
        <f t="shared" si="117"/>
        <v/>
      </c>
    </row>
    <row r="1798" spans="1:26" s="82" customFormat="1" ht="32" x14ac:dyDescent="0.4">
      <c r="A1798" s="493">
        <v>62450</v>
      </c>
      <c r="B1798" s="105" t="s">
        <v>329</v>
      </c>
      <c r="C1798" s="493" t="s">
        <v>330</v>
      </c>
      <c r="D1798" s="105" t="s">
        <v>2111</v>
      </c>
      <c r="E1798" s="105" t="s">
        <v>2111</v>
      </c>
      <c r="F1798" s="493">
        <v>61965</v>
      </c>
      <c r="G1798" s="105" t="s">
        <v>52</v>
      </c>
      <c r="H1798" s="105" t="s">
        <v>333</v>
      </c>
      <c r="I1798" s="105" t="s">
        <v>334</v>
      </c>
      <c r="J1798" s="493">
        <v>622</v>
      </c>
      <c r="K1798" s="493">
        <v>4</v>
      </c>
      <c r="L1798" s="105" t="s">
        <v>766</v>
      </c>
      <c r="M1798" s="105" t="s">
        <v>359</v>
      </c>
      <c r="N1798" s="105" t="s">
        <v>226</v>
      </c>
      <c r="O1798" s="105" t="s">
        <v>226</v>
      </c>
      <c r="P1798" s="105" t="s">
        <v>350</v>
      </c>
      <c r="Q1798" s="494">
        <v>16</v>
      </c>
      <c r="R1798" s="494">
        <v>16</v>
      </c>
      <c r="S1798" s="494">
        <v>95</v>
      </c>
      <c r="T1798" s="494">
        <v>95</v>
      </c>
      <c r="U1798" s="494">
        <v>8</v>
      </c>
      <c r="V1798" s="493">
        <v>2024</v>
      </c>
      <c r="W1798" s="495"/>
      <c r="X1798" s="496" t="str">
        <f t="shared" si="114"/>
        <v/>
      </c>
      <c r="Y1798" s="497" t="str">
        <f t="shared" si="117"/>
        <v/>
      </c>
      <c r="Z1798" s="497" t="str">
        <f t="shared" si="117"/>
        <v/>
      </c>
    </row>
    <row r="1799" spans="1:26" s="82" customFormat="1" ht="32" x14ac:dyDescent="0.4">
      <c r="A1799" s="493">
        <v>62452</v>
      </c>
      <c r="B1799" s="105" t="s">
        <v>329</v>
      </c>
      <c r="C1799" s="493" t="s">
        <v>330</v>
      </c>
      <c r="D1799" s="105" t="s">
        <v>2112</v>
      </c>
      <c r="E1799" s="105" t="s">
        <v>2113</v>
      </c>
      <c r="F1799" s="493">
        <v>61970</v>
      </c>
      <c r="G1799" s="105" t="s">
        <v>52</v>
      </c>
      <c r="H1799" s="105" t="s">
        <v>333</v>
      </c>
      <c r="I1799" s="105" t="s">
        <v>334</v>
      </c>
      <c r="J1799" s="493">
        <v>622</v>
      </c>
      <c r="K1799" s="493">
        <v>4</v>
      </c>
      <c r="L1799" s="105" t="s">
        <v>766</v>
      </c>
      <c r="M1799" s="105" t="s">
        <v>359</v>
      </c>
      <c r="N1799" s="105" t="s">
        <v>226</v>
      </c>
      <c r="O1799" s="105" t="s">
        <v>226</v>
      </c>
      <c r="P1799" s="105" t="s">
        <v>350</v>
      </c>
      <c r="Q1799" s="494">
        <v>59</v>
      </c>
      <c r="R1799" s="494">
        <v>59</v>
      </c>
      <c r="S1799" s="494">
        <v>348</v>
      </c>
      <c r="T1799" s="494">
        <v>348</v>
      </c>
      <c r="U1799" s="494">
        <v>16</v>
      </c>
      <c r="V1799" s="493">
        <v>2024</v>
      </c>
      <c r="W1799" s="495"/>
      <c r="X1799" s="496" t="str">
        <f t="shared" si="114"/>
        <v/>
      </c>
      <c r="Y1799" s="497" t="str">
        <f t="shared" si="117"/>
        <v/>
      </c>
      <c r="Z1799" s="497" t="str">
        <f t="shared" si="117"/>
        <v/>
      </c>
    </row>
    <row r="1800" spans="1:26" s="82" customFormat="1" ht="32" x14ac:dyDescent="0.4">
      <c r="A1800" s="493">
        <v>62453</v>
      </c>
      <c r="B1800" s="105" t="s">
        <v>329</v>
      </c>
      <c r="C1800" s="493" t="s">
        <v>330</v>
      </c>
      <c r="D1800" s="105" t="s">
        <v>2114</v>
      </c>
      <c r="E1800" s="105" t="s">
        <v>2114</v>
      </c>
      <c r="F1800" s="493">
        <v>61971</v>
      </c>
      <c r="G1800" s="105" t="s">
        <v>52</v>
      </c>
      <c r="H1800" s="105" t="s">
        <v>333</v>
      </c>
      <c r="I1800" s="105" t="s">
        <v>334</v>
      </c>
      <c r="J1800" s="493">
        <v>622</v>
      </c>
      <c r="K1800" s="493">
        <v>4</v>
      </c>
      <c r="L1800" s="105" t="s">
        <v>766</v>
      </c>
      <c r="M1800" s="105" t="s">
        <v>359</v>
      </c>
      <c r="N1800" s="105" t="s">
        <v>226</v>
      </c>
      <c r="O1800" s="105" t="s">
        <v>226</v>
      </c>
      <c r="P1800" s="105" t="s">
        <v>350</v>
      </c>
      <c r="Q1800" s="494">
        <v>26</v>
      </c>
      <c r="R1800" s="494">
        <v>26</v>
      </c>
      <c r="S1800" s="494">
        <v>154</v>
      </c>
      <c r="T1800" s="494">
        <v>154</v>
      </c>
      <c r="U1800" s="494">
        <v>17</v>
      </c>
      <c r="V1800" s="493">
        <v>2024</v>
      </c>
      <c r="W1800" s="495"/>
      <c r="X1800" s="496" t="str">
        <f t="shared" si="114"/>
        <v/>
      </c>
      <c r="Y1800" s="497" t="str">
        <f t="shared" si="117"/>
        <v/>
      </c>
      <c r="Z1800" s="497" t="str">
        <f t="shared" si="117"/>
        <v/>
      </c>
    </row>
    <row r="1801" spans="1:26" s="82" customFormat="1" x14ac:dyDescent="0.4">
      <c r="A1801" s="493">
        <v>62455</v>
      </c>
      <c r="B1801" s="105" t="s">
        <v>329</v>
      </c>
      <c r="C1801" s="493" t="s">
        <v>330</v>
      </c>
      <c r="D1801" s="105" t="s">
        <v>2115</v>
      </c>
      <c r="E1801" s="105" t="s">
        <v>2116</v>
      </c>
      <c r="F1801" s="493">
        <v>57128</v>
      </c>
      <c r="G1801" s="105" t="s">
        <v>37</v>
      </c>
      <c r="H1801" s="105" t="s">
        <v>342</v>
      </c>
      <c r="I1801" s="105" t="s">
        <v>2117</v>
      </c>
      <c r="J1801" s="493">
        <v>22</v>
      </c>
      <c r="K1801" s="493">
        <v>2</v>
      </c>
      <c r="L1801" s="105" t="s">
        <v>343</v>
      </c>
      <c r="M1801" s="105" t="s">
        <v>990</v>
      </c>
      <c r="N1801" s="105" t="s">
        <v>228</v>
      </c>
      <c r="O1801" s="105" t="s">
        <v>228</v>
      </c>
      <c r="P1801" s="105" t="s">
        <v>356</v>
      </c>
      <c r="Q1801" s="494">
        <v>23112</v>
      </c>
      <c r="R1801" s="494">
        <v>23112</v>
      </c>
      <c r="S1801" s="494">
        <v>23575</v>
      </c>
      <c r="T1801" s="494">
        <v>23575</v>
      </c>
      <c r="U1801" s="494">
        <v>3369</v>
      </c>
      <c r="V1801" s="493">
        <v>2024</v>
      </c>
      <c r="W1801" s="495"/>
      <c r="X1801" s="496">
        <f t="shared" ref="X1801:X1864" si="118">IF(OR(K1801&gt;3,T1801=0,NOT(U1801&gt;0)),"",T1801/U1801)</f>
        <v>6.9976254081329774</v>
      </c>
      <c r="Y1801" s="497" t="str">
        <f t="shared" si="117"/>
        <v/>
      </c>
      <c r="Z1801" s="497" t="str">
        <f t="shared" si="117"/>
        <v/>
      </c>
    </row>
    <row r="1802" spans="1:26" s="82" customFormat="1" x14ac:dyDescent="0.4">
      <c r="A1802" s="493">
        <v>62456</v>
      </c>
      <c r="B1802" s="105" t="s">
        <v>329</v>
      </c>
      <c r="C1802" s="493" t="s">
        <v>330</v>
      </c>
      <c r="D1802" s="105" t="s">
        <v>2118</v>
      </c>
      <c r="E1802" s="105" t="s">
        <v>2116</v>
      </c>
      <c r="F1802" s="493">
        <v>57128</v>
      </c>
      <c r="G1802" s="105" t="s">
        <v>52</v>
      </c>
      <c r="H1802" s="105" t="s">
        <v>333</v>
      </c>
      <c r="I1802" s="105" t="s">
        <v>334</v>
      </c>
      <c r="J1802" s="493">
        <v>22</v>
      </c>
      <c r="K1802" s="493">
        <v>2</v>
      </c>
      <c r="L1802" s="105" t="s">
        <v>343</v>
      </c>
      <c r="M1802" s="105" t="s">
        <v>990</v>
      </c>
      <c r="N1802" s="105" t="s">
        <v>228</v>
      </c>
      <c r="O1802" s="105" t="s">
        <v>228</v>
      </c>
      <c r="P1802" s="105" t="s">
        <v>356</v>
      </c>
      <c r="Q1802" s="494">
        <v>83387</v>
      </c>
      <c r="R1802" s="494">
        <v>83387</v>
      </c>
      <c r="S1802" s="494">
        <v>85055</v>
      </c>
      <c r="T1802" s="494">
        <v>85055</v>
      </c>
      <c r="U1802" s="494">
        <v>12267</v>
      </c>
      <c r="V1802" s="493">
        <v>2024</v>
      </c>
      <c r="W1802" s="495"/>
      <c r="X1802" s="496">
        <f t="shared" si="118"/>
        <v>6.9336431075242517</v>
      </c>
      <c r="Y1802" s="497" t="str">
        <f t="shared" si="117"/>
        <v/>
      </c>
      <c r="Z1802" s="497" t="str">
        <f t="shared" si="117"/>
        <v/>
      </c>
    </row>
    <row r="1803" spans="1:26" s="82" customFormat="1" x14ac:dyDescent="0.4">
      <c r="A1803" s="493">
        <v>62471</v>
      </c>
      <c r="B1803" s="105" t="s">
        <v>329</v>
      </c>
      <c r="C1803" s="493" t="s">
        <v>330</v>
      </c>
      <c r="D1803" s="105" t="s">
        <v>2119</v>
      </c>
      <c r="E1803" s="105" t="s">
        <v>2050</v>
      </c>
      <c r="F1803" s="493">
        <v>61194</v>
      </c>
      <c r="G1803" s="105" t="s">
        <v>52</v>
      </c>
      <c r="H1803" s="105" t="s">
        <v>333</v>
      </c>
      <c r="I1803" s="105" t="s">
        <v>334</v>
      </c>
      <c r="J1803" s="493">
        <v>22</v>
      </c>
      <c r="K1803" s="493">
        <v>2</v>
      </c>
      <c r="L1803" s="105" t="s">
        <v>343</v>
      </c>
      <c r="M1803" s="105" t="s">
        <v>655</v>
      </c>
      <c r="N1803" s="105" t="s">
        <v>656</v>
      </c>
      <c r="O1803" s="105" t="s">
        <v>656</v>
      </c>
      <c r="P1803" s="105" t="s">
        <v>339</v>
      </c>
      <c r="Q1803" s="494">
        <v>0</v>
      </c>
      <c r="R1803" s="494">
        <v>0</v>
      </c>
      <c r="S1803" s="494">
        <v>7909</v>
      </c>
      <c r="T1803" s="494">
        <v>7909</v>
      </c>
      <c r="U1803" s="494">
        <v>2318</v>
      </c>
      <c r="V1803" s="493">
        <v>2024</v>
      </c>
      <c r="W1803" s="495"/>
      <c r="X1803" s="496">
        <f t="shared" si="118"/>
        <v>3.411993097497843</v>
      </c>
      <c r="Y1803" s="497" t="str">
        <f t="shared" si="117"/>
        <v/>
      </c>
      <c r="Z1803" s="497" t="str">
        <f t="shared" si="117"/>
        <v/>
      </c>
    </row>
    <row r="1804" spans="1:26" s="82" customFormat="1" x14ac:dyDescent="0.4">
      <c r="A1804" s="493">
        <v>62472</v>
      </c>
      <c r="B1804" s="105" t="s">
        <v>329</v>
      </c>
      <c r="C1804" s="493" t="s">
        <v>330</v>
      </c>
      <c r="D1804" s="105" t="s">
        <v>2120</v>
      </c>
      <c r="E1804" s="105" t="s">
        <v>2050</v>
      </c>
      <c r="F1804" s="493">
        <v>61194</v>
      </c>
      <c r="G1804" s="105" t="s">
        <v>52</v>
      </c>
      <c r="H1804" s="105" t="s">
        <v>333</v>
      </c>
      <c r="I1804" s="105" t="s">
        <v>334</v>
      </c>
      <c r="J1804" s="493">
        <v>22</v>
      </c>
      <c r="K1804" s="493">
        <v>2</v>
      </c>
      <c r="L1804" s="105" t="s">
        <v>343</v>
      </c>
      <c r="M1804" s="105" t="s">
        <v>655</v>
      </c>
      <c r="N1804" s="105" t="s">
        <v>656</v>
      </c>
      <c r="O1804" s="105" t="s">
        <v>656</v>
      </c>
      <c r="P1804" s="105" t="s">
        <v>339</v>
      </c>
      <c r="Q1804" s="494">
        <v>0</v>
      </c>
      <c r="R1804" s="494">
        <v>0</v>
      </c>
      <c r="S1804" s="494">
        <v>11054</v>
      </c>
      <c r="T1804" s="494">
        <v>11054</v>
      </c>
      <c r="U1804" s="494">
        <v>3240</v>
      </c>
      <c r="V1804" s="493">
        <v>2024</v>
      </c>
      <c r="W1804" s="495"/>
      <c r="X1804" s="496">
        <f t="shared" si="118"/>
        <v>3.4117283950617283</v>
      </c>
      <c r="Y1804" s="497" t="str">
        <f t="shared" si="117"/>
        <v/>
      </c>
      <c r="Z1804" s="497" t="str">
        <f t="shared" si="117"/>
        <v/>
      </c>
    </row>
    <row r="1805" spans="1:26" s="82" customFormat="1" x14ac:dyDescent="0.4">
      <c r="A1805" s="493">
        <v>62473</v>
      </c>
      <c r="B1805" s="105" t="s">
        <v>329</v>
      </c>
      <c r="C1805" s="493" t="s">
        <v>330</v>
      </c>
      <c r="D1805" s="105" t="s">
        <v>2121</v>
      </c>
      <c r="E1805" s="105" t="s">
        <v>2050</v>
      </c>
      <c r="F1805" s="493">
        <v>61194</v>
      </c>
      <c r="G1805" s="105" t="s">
        <v>52</v>
      </c>
      <c r="H1805" s="105" t="s">
        <v>333</v>
      </c>
      <c r="I1805" s="105" t="s">
        <v>334</v>
      </c>
      <c r="J1805" s="493">
        <v>22</v>
      </c>
      <c r="K1805" s="493">
        <v>2</v>
      </c>
      <c r="L1805" s="105" t="s">
        <v>343</v>
      </c>
      <c r="M1805" s="105" t="s">
        <v>655</v>
      </c>
      <c r="N1805" s="105" t="s">
        <v>656</v>
      </c>
      <c r="O1805" s="105" t="s">
        <v>656</v>
      </c>
      <c r="P1805" s="105" t="s">
        <v>339</v>
      </c>
      <c r="Q1805" s="494">
        <v>0</v>
      </c>
      <c r="R1805" s="494">
        <v>0</v>
      </c>
      <c r="S1805" s="494">
        <v>12584</v>
      </c>
      <c r="T1805" s="494">
        <v>12584</v>
      </c>
      <c r="U1805" s="494">
        <v>3688</v>
      </c>
      <c r="V1805" s="493">
        <v>2024</v>
      </c>
      <c r="W1805" s="495"/>
      <c r="X1805" s="496">
        <f t="shared" si="118"/>
        <v>3.4121475054229933</v>
      </c>
      <c r="Y1805" s="497" t="str">
        <f t="shared" si="117"/>
        <v/>
      </c>
      <c r="Z1805" s="497" t="str">
        <f t="shared" si="117"/>
        <v/>
      </c>
    </row>
    <row r="1806" spans="1:26" s="82" customFormat="1" x14ac:dyDescent="0.4">
      <c r="A1806" s="493">
        <v>62474</v>
      </c>
      <c r="B1806" s="105" t="s">
        <v>329</v>
      </c>
      <c r="C1806" s="493" t="s">
        <v>330</v>
      </c>
      <c r="D1806" s="105" t="s">
        <v>2122</v>
      </c>
      <c r="E1806" s="105" t="s">
        <v>2016</v>
      </c>
      <c r="F1806" s="493">
        <v>65242</v>
      </c>
      <c r="G1806" s="105" t="s">
        <v>52</v>
      </c>
      <c r="H1806" s="105" t="s">
        <v>333</v>
      </c>
      <c r="I1806" s="105" t="s">
        <v>334</v>
      </c>
      <c r="J1806" s="493">
        <v>22</v>
      </c>
      <c r="K1806" s="493">
        <v>2</v>
      </c>
      <c r="L1806" s="105" t="s">
        <v>343</v>
      </c>
      <c r="M1806" s="105" t="s">
        <v>655</v>
      </c>
      <c r="N1806" s="105" t="s">
        <v>656</v>
      </c>
      <c r="O1806" s="105" t="s">
        <v>656</v>
      </c>
      <c r="P1806" s="105" t="s">
        <v>339</v>
      </c>
      <c r="Q1806" s="494">
        <v>0</v>
      </c>
      <c r="R1806" s="494">
        <v>0</v>
      </c>
      <c r="S1806" s="494">
        <v>19272</v>
      </c>
      <c r="T1806" s="494">
        <v>19272</v>
      </c>
      <c r="U1806" s="494">
        <v>5648</v>
      </c>
      <c r="V1806" s="493">
        <v>2024</v>
      </c>
      <c r="W1806" s="495"/>
      <c r="X1806" s="496">
        <f t="shared" si="118"/>
        <v>3.4121813031161472</v>
      </c>
      <c r="Y1806" s="497" t="str">
        <f t="shared" si="117"/>
        <v/>
      </c>
      <c r="Z1806" s="497" t="str">
        <f t="shared" si="117"/>
        <v/>
      </c>
    </row>
    <row r="1807" spans="1:26" s="82" customFormat="1" x14ac:dyDescent="0.4">
      <c r="A1807" s="493">
        <v>62476</v>
      </c>
      <c r="B1807" s="105" t="s">
        <v>329</v>
      </c>
      <c r="C1807" s="493" t="s">
        <v>330</v>
      </c>
      <c r="D1807" s="105" t="s">
        <v>2123</v>
      </c>
      <c r="E1807" s="105" t="s">
        <v>2050</v>
      </c>
      <c r="F1807" s="493">
        <v>61194</v>
      </c>
      <c r="G1807" s="105" t="s">
        <v>52</v>
      </c>
      <c r="H1807" s="105" t="s">
        <v>333</v>
      </c>
      <c r="I1807" s="105" t="s">
        <v>334</v>
      </c>
      <c r="J1807" s="493">
        <v>22</v>
      </c>
      <c r="K1807" s="493">
        <v>2</v>
      </c>
      <c r="L1807" s="105" t="s">
        <v>343</v>
      </c>
      <c r="M1807" s="105" t="s">
        <v>655</v>
      </c>
      <c r="N1807" s="105" t="s">
        <v>656</v>
      </c>
      <c r="O1807" s="105" t="s">
        <v>656</v>
      </c>
      <c r="P1807" s="105" t="s">
        <v>339</v>
      </c>
      <c r="Q1807" s="494">
        <v>0</v>
      </c>
      <c r="R1807" s="494">
        <v>0</v>
      </c>
      <c r="S1807" s="494">
        <v>10672</v>
      </c>
      <c r="T1807" s="494">
        <v>10672</v>
      </c>
      <c r="U1807" s="494">
        <v>3128</v>
      </c>
      <c r="V1807" s="493">
        <v>2024</v>
      </c>
      <c r="W1807" s="495"/>
      <c r="X1807" s="496">
        <f t="shared" si="118"/>
        <v>3.4117647058823528</v>
      </c>
      <c r="Y1807" s="497" t="str">
        <f t="shared" si="117"/>
        <v/>
      </c>
      <c r="Z1807" s="497" t="str">
        <f t="shared" si="117"/>
        <v/>
      </c>
    </row>
    <row r="1808" spans="1:26" s="82" customFormat="1" x14ac:dyDescent="0.4">
      <c r="A1808" s="493">
        <v>62477</v>
      </c>
      <c r="B1808" s="105" t="s">
        <v>329</v>
      </c>
      <c r="C1808" s="493" t="s">
        <v>330</v>
      </c>
      <c r="D1808" s="105" t="s">
        <v>2124</v>
      </c>
      <c r="E1808" s="105" t="s">
        <v>2016</v>
      </c>
      <c r="F1808" s="493">
        <v>65242</v>
      </c>
      <c r="G1808" s="105" t="s">
        <v>52</v>
      </c>
      <c r="H1808" s="105" t="s">
        <v>333</v>
      </c>
      <c r="I1808" s="105" t="s">
        <v>334</v>
      </c>
      <c r="J1808" s="493">
        <v>22</v>
      </c>
      <c r="K1808" s="493">
        <v>2</v>
      </c>
      <c r="L1808" s="105" t="s">
        <v>343</v>
      </c>
      <c r="M1808" s="105" t="s">
        <v>655</v>
      </c>
      <c r="N1808" s="105" t="s">
        <v>656</v>
      </c>
      <c r="O1808" s="105" t="s">
        <v>656</v>
      </c>
      <c r="P1808" s="105" t="s">
        <v>339</v>
      </c>
      <c r="Q1808" s="494">
        <v>0</v>
      </c>
      <c r="R1808" s="494">
        <v>0</v>
      </c>
      <c r="S1808" s="494">
        <v>5234</v>
      </c>
      <c r="T1808" s="494">
        <v>5234</v>
      </c>
      <c r="U1808" s="494">
        <v>1534</v>
      </c>
      <c r="V1808" s="493">
        <v>2024</v>
      </c>
      <c r="W1808" s="495"/>
      <c r="X1808" s="496">
        <f t="shared" si="118"/>
        <v>3.4119947848761409</v>
      </c>
      <c r="Y1808" s="497" t="str">
        <f t="shared" ref="Y1808:Z1827" si="119">IF(AND($M1808=$Y$2,$N1808=$Y$3,NOT($Q1808=$R1808),NOT($U1808=0)),IF($K1808=5,$S1808/($U1808+(8/5)*$U1808),IF($K1808=7,$S1808/($U1808+(29/25)*$U1808),"")),"")</f>
        <v/>
      </c>
      <c r="Z1808" s="497" t="str">
        <f t="shared" si="119"/>
        <v/>
      </c>
    </row>
    <row r="1809" spans="1:26" s="82" customFormat="1" x14ac:dyDescent="0.4">
      <c r="A1809" s="493">
        <v>62479</v>
      </c>
      <c r="B1809" s="105" t="s">
        <v>329</v>
      </c>
      <c r="C1809" s="493" t="s">
        <v>330</v>
      </c>
      <c r="D1809" s="105" t="s">
        <v>2125</v>
      </c>
      <c r="E1809" s="105" t="s">
        <v>2016</v>
      </c>
      <c r="F1809" s="493">
        <v>65242</v>
      </c>
      <c r="G1809" s="105" t="s">
        <v>52</v>
      </c>
      <c r="H1809" s="105" t="s">
        <v>333</v>
      </c>
      <c r="I1809" s="105" t="s">
        <v>334</v>
      </c>
      <c r="J1809" s="493">
        <v>22</v>
      </c>
      <c r="K1809" s="493">
        <v>2</v>
      </c>
      <c r="L1809" s="105" t="s">
        <v>343</v>
      </c>
      <c r="M1809" s="105" t="s">
        <v>655</v>
      </c>
      <c r="N1809" s="105" t="s">
        <v>656</v>
      </c>
      <c r="O1809" s="105" t="s">
        <v>656</v>
      </c>
      <c r="P1809" s="105" t="s">
        <v>339</v>
      </c>
      <c r="Q1809" s="494">
        <v>0</v>
      </c>
      <c r="R1809" s="494">
        <v>0</v>
      </c>
      <c r="S1809" s="494">
        <v>8552</v>
      </c>
      <c r="T1809" s="494">
        <v>8552</v>
      </c>
      <c r="U1809" s="494">
        <v>2506</v>
      </c>
      <c r="V1809" s="493">
        <v>2024</v>
      </c>
      <c r="W1809" s="495"/>
      <c r="X1809" s="496">
        <f t="shared" si="118"/>
        <v>3.4126097366320831</v>
      </c>
      <c r="Y1809" s="497" t="str">
        <f t="shared" si="119"/>
        <v/>
      </c>
      <c r="Z1809" s="497" t="str">
        <f t="shared" si="119"/>
        <v/>
      </c>
    </row>
    <row r="1810" spans="1:26" s="82" customFormat="1" x14ac:dyDescent="0.4">
      <c r="A1810" s="493">
        <v>62480</v>
      </c>
      <c r="B1810" s="105" t="s">
        <v>329</v>
      </c>
      <c r="C1810" s="493" t="s">
        <v>330</v>
      </c>
      <c r="D1810" s="105" t="s">
        <v>2126</v>
      </c>
      <c r="E1810" s="105" t="s">
        <v>2050</v>
      </c>
      <c r="F1810" s="493">
        <v>61194</v>
      </c>
      <c r="G1810" s="105" t="s">
        <v>52</v>
      </c>
      <c r="H1810" s="105" t="s">
        <v>333</v>
      </c>
      <c r="I1810" s="105" t="s">
        <v>334</v>
      </c>
      <c r="J1810" s="493">
        <v>22</v>
      </c>
      <c r="K1810" s="493">
        <v>2</v>
      </c>
      <c r="L1810" s="105" t="s">
        <v>343</v>
      </c>
      <c r="M1810" s="105" t="s">
        <v>655</v>
      </c>
      <c r="N1810" s="105" t="s">
        <v>656</v>
      </c>
      <c r="O1810" s="105" t="s">
        <v>656</v>
      </c>
      <c r="P1810" s="105" t="s">
        <v>339</v>
      </c>
      <c r="Q1810" s="494">
        <v>0</v>
      </c>
      <c r="R1810" s="494">
        <v>0</v>
      </c>
      <c r="S1810" s="494">
        <v>11199</v>
      </c>
      <c r="T1810" s="494">
        <v>11199</v>
      </c>
      <c r="U1810" s="494">
        <v>3282</v>
      </c>
      <c r="V1810" s="493">
        <v>2024</v>
      </c>
      <c r="W1810" s="495"/>
      <c r="X1810" s="496">
        <f t="shared" si="118"/>
        <v>3.4122486288848264</v>
      </c>
      <c r="Y1810" s="497" t="str">
        <f t="shared" si="119"/>
        <v/>
      </c>
      <c r="Z1810" s="497" t="str">
        <f t="shared" si="119"/>
        <v/>
      </c>
    </row>
    <row r="1811" spans="1:26" s="82" customFormat="1" x14ac:dyDescent="0.4">
      <c r="A1811" s="493">
        <v>62486</v>
      </c>
      <c r="B1811" s="105" t="s">
        <v>329</v>
      </c>
      <c r="C1811" s="493" t="s">
        <v>330</v>
      </c>
      <c r="D1811" s="105" t="s">
        <v>2127</v>
      </c>
      <c r="E1811" s="105" t="s">
        <v>2128</v>
      </c>
      <c r="F1811" s="493">
        <v>62003</v>
      </c>
      <c r="G1811" s="105" t="s">
        <v>52</v>
      </c>
      <c r="H1811" s="105" t="s">
        <v>333</v>
      </c>
      <c r="I1811" s="105" t="s">
        <v>334</v>
      </c>
      <c r="J1811" s="493">
        <v>22</v>
      </c>
      <c r="K1811" s="493">
        <v>2</v>
      </c>
      <c r="L1811" s="105" t="s">
        <v>343</v>
      </c>
      <c r="M1811" s="105" t="s">
        <v>655</v>
      </c>
      <c r="N1811" s="105" t="s">
        <v>656</v>
      </c>
      <c r="O1811" s="105" t="s">
        <v>656</v>
      </c>
      <c r="P1811" s="105" t="s">
        <v>339</v>
      </c>
      <c r="Q1811" s="494">
        <v>0</v>
      </c>
      <c r="R1811" s="494">
        <v>0</v>
      </c>
      <c r="S1811" s="494">
        <v>12270</v>
      </c>
      <c r="T1811" s="494">
        <v>12270</v>
      </c>
      <c r="U1811" s="494">
        <v>3596</v>
      </c>
      <c r="V1811" s="493">
        <v>2024</v>
      </c>
      <c r="W1811" s="495"/>
      <c r="X1811" s="496">
        <f t="shared" si="118"/>
        <v>3.4121245828698554</v>
      </c>
      <c r="Y1811" s="497" t="str">
        <f t="shared" si="119"/>
        <v/>
      </c>
      <c r="Z1811" s="497" t="str">
        <f t="shared" si="119"/>
        <v/>
      </c>
    </row>
    <row r="1812" spans="1:26" s="82" customFormat="1" x14ac:dyDescent="0.4">
      <c r="A1812" s="493">
        <v>62496</v>
      </c>
      <c r="B1812" s="105" t="s">
        <v>329</v>
      </c>
      <c r="C1812" s="493" t="s">
        <v>330</v>
      </c>
      <c r="D1812" s="105" t="s">
        <v>2129</v>
      </c>
      <c r="E1812" s="105" t="s">
        <v>2050</v>
      </c>
      <c r="F1812" s="493">
        <v>61194</v>
      </c>
      <c r="G1812" s="105" t="s">
        <v>52</v>
      </c>
      <c r="H1812" s="105" t="s">
        <v>333</v>
      </c>
      <c r="I1812" s="105" t="s">
        <v>334</v>
      </c>
      <c r="J1812" s="493">
        <v>22</v>
      </c>
      <c r="K1812" s="493">
        <v>2</v>
      </c>
      <c r="L1812" s="105" t="s">
        <v>343</v>
      </c>
      <c r="M1812" s="105" t="s">
        <v>655</v>
      </c>
      <c r="N1812" s="105" t="s">
        <v>656</v>
      </c>
      <c r="O1812" s="105" t="s">
        <v>656</v>
      </c>
      <c r="P1812" s="105" t="s">
        <v>339</v>
      </c>
      <c r="Q1812" s="494">
        <v>0</v>
      </c>
      <c r="R1812" s="494">
        <v>0</v>
      </c>
      <c r="S1812" s="494">
        <v>18774</v>
      </c>
      <c r="T1812" s="494">
        <v>18774</v>
      </c>
      <c r="U1812" s="494">
        <v>5502</v>
      </c>
      <c r="V1812" s="493">
        <v>2024</v>
      </c>
      <c r="W1812" s="495"/>
      <c r="X1812" s="496">
        <f t="shared" si="118"/>
        <v>3.4122137404580153</v>
      </c>
      <c r="Y1812" s="497" t="str">
        <f t="shared" si="119"/>
        <v/>
      </c>
      <c r="Z1812" s="497" t="str">
        <f t="shared" si="119"/>
        <v/>
      </c>
    </row>
    <row r="1813" spans="1:26" s="82" customFormat="1" x14ac:dyDescent="0.4">
      <c r="A1813" s="493">
        <v>62498</v>
      </c>
      <c r="B1813" s="105" t="s">
        <v>329</v>
      </c>
      <c r="C1813" s="493" t="s">
        <v>330</v>
      </c>
      <c r="D1813" s="105" t="s">
        <v>2130</v>
      </c>
      <c r="E1813" s="105" t="s">
        <v>2050</v>
      </c>
      <c r="F1813" s="493">
        <v>61194</v>
      </c>
      <c r="G1813" s="105" t="s">
        <v>52</v>
      </c>
      <c r="H1813" s="105" t="s">
        <v>333</v>
      </c>
      <c r="I1813" s="105" t="s">
        <v>334</v>
      </c>
      <c r="J1813" s="493">
        <v>22</v>
      </c>
      <c r="K1813" s="493">
        <v>2</v>
      </c>
      <c r="L1813" s="105" t="s">
        <v>343</v>
      </c>
      <c r="M1813" s="105" t="s">
        <v>655</v>
      </c>
      <c r="N1813" s="105" t="s">
        <v>656</v>
      </c>
      <c r="O1813" s="105" t="s">
        <v>656</v>
      </c>
      <c r="P1813" s="105" t="s">
        <v>339</v>
      </c>
      <c r="Q1813" s="494">
        <v>0</v>
      </c>
      <c r="R1813" s="494">
        <v>0</v>
      </c>
      <c r="S1813" s="494">
        <v>11238</v>
      </c>
      <c r="T1813" s="494">
        <v>11238</v>
      </c>
      <c r="U1813" s="494">
        <v>3293</v>
      </c>
      <c r="V1813" s="493">
        <v>2024</v>
      </c>
      <c r="W1813" s="495"/>
      <c r="X1813" s="496">
        <f t="shared" si="118"/>
        <v>3.4126935924688735</v>
      </c>
      <c r="Y1813" s="497" t="str">
        <f t="shared" si="119"/>
        <v/>
      </c>
      <c r="Z1813" s="497" t="str">
        <f t="shared" si="119"/>
        <v/>
      </c>
    </row>
    <row r="1814" spans="1:26" s="82" customFormat="1" x14ac:dyDescent="0.4">
      <c r="A1814" s="493">
        <v>62500</v>
      </c>
      <c r="B1814" s="105" t="s">
        <v>329</v>
      </c>
      <c r="C1814" s="493" t="s">
        <v>330</v>
      </c>
      <c r="D1814" s="105" t="s">
        <v>2131</v>
      </c>
      <c r="E1814" s="105" t="s">
        <v>2050</v>
      </c>
      <c r="F1814" s="493">
        <v>61194</v>
      </c>
      <c r="G1814" s="105" t="s">
        <v>52</v>
      </c>
      <c r="H1814" s="105" t="s">
        <v>333</v>
      </c>
      <c r="I1814" s="105" t="s">
        <v>334</v>
      </c>
      <c r="J1814" s="493">
        <v>22</v>
      </c>
      <c r="K1814" s="493">
        <v>2</v>
      </c>
      <c r="L1814" s="105" t="s">
        <v>343</v>
      </c>
      <c r="M1814" s="105" t="s">
        <v>655</v>
      </c>
      <c r="N1814" s="105" t="s">
        <v>656</v>
      </c>
      <c r="O1814" s="105" t="s">
        <v>656</v>
      </c>
      <c r="P1814" s="105" t="s">
        <v>339</v>
      </c>
      <c r="Q1814" s="494">
        <v>0</v>
      </c>
      <c r="R1814" s="494">
        <v>0</v>
      </c>
      <c r="S1814" s="494">
        <v>13399</v>
      </c>
      <c r="T1814" s="494">
        <v>13399</v>
      </c>
      <c r="U1814" s="494">
        <v>3927</v>
      </c>
      <c r="V1814" s="493">
        <v>2024</v>
      </c>
      <c r="W1814" s="495"/>
      <c r="X1814" s="496">
        <f t="shared" si="118"/>
        <v>3.4120193531958236</v>
      </c>
      <c r="Y1814" s="497" t="str">
        <f t="shared" si="119"/>
        <v/>
      </c>
      <c r="Z1814" s="497" t="str">
        <f t="shared" si="119"/>
        <v/>
      </c>
    </row>
    <row r="1815" spans="1:26" s="82" customFormat="1" x14ac:dyDescent="0.4">
      <c r="A1815" s="493">
        <v>62502</v>
      </c>
      <c r="B1815" s="105" t="s">
        <v>329</v>
      </c>
      <c r="C1815" s="493" t="s">
        <v>330</v>
      </c>
      <c r="D1815" s="105" t="s">
        <v>2132</v>
      </c>
      <c r="E1815" s="105" t="s">
        <v>2050</v>
      </c>
      <c r="F1815" s="493">
        <v>61194</v>
      </c>
      <c r="G1815" s="105" t="s">
        <v>52</v>
      </c>
      <c r="H1815" s="105" t="s">
        <v>333</v>
      </c>
      <c r="I1815" s="105" t="s">
        <v>334</v>
      </c>
      <c r="J1815" s="493">
        <v>22</v>
      </c>
      <c r="K1815" s="493">
        <v>2</v>
      </c>
      <c r="L1815" s="105" t="s">
        <v>343</v>
      </c>
      <c r="M1815" s="105" t="s">
        <v>655</v>
      </c>
      <c r="N1815" s="105" t="s">
        <v>656</v>
      </c>
      <c r="O1815" s="105" t="s">
        <v>656</v>
      </c>
      <c r="P1815" s="105" t="s">
        <v>339</v>
      </c>
      <c r="Q1815" s="494">
        <v>0</v>
      </c>
      <c r="R1815" s="494">
        <v>0</v>
      </c>
      <c r="S1815" s="494">
        <v>29458</v>
      </c>
      <c r="T1815" s="494">
        <v>29458</v>
      </c>
      <c r="U1815" s="494">
        <v>8634</v>
      </c>
      <c r="V1815" s="493">
        <v>2024</v>
      </c>
      <c r="W1815" s="495"/>
      <c r="X1815" s="496">
        <f t="shared" si="118"/>
        <v>3.411860088024091</v>
      </c>
      <c r="Y1815" s="497" t="str">
        <f t="shared" si="119"/>
        <v/>
      </c>
      <c r="Z1815" s="497" t="str">
        <f t="shared" si="119"/>
        <v/>
      </c>
    </row>
    <row r="1816" spans="1:26" s="82" customFormat="1" ht="32" x14ac:dyDescent="0.4">
      <c r="A1816" s="493">
        <v>62503</v>
      </c>
      <c r="B1816" s="105" t="s">
        <v>329</v>
      </c>
      <c r="C1816" s="493" t="s">
        <v>330</v>
      </c>
      <c r="D1816" s="105" t="s">
        <v>2133</v>
      </c>
      <c r="E1816" s="105" t="s">
        <v>1778</v>
      </c>
      <c r="F1816" s="493">
        <v>60584</v>
      </c>
      <c r="G1816" s="105" t="s">
        <v>33</v>
      </c>
      <c r="H1816" s="105" t="s">
        <v>342</v>
      </c>
      <c r="I1816" s="105" t="s">
        <v>334</v>
      </c>
      <c r="J1816" s="493">
        <v>22</v>
      </c>
      <c r="K1816" s="493">
        <v>2</v>
      </c>
      <c r="L1816" s="105" t="s">
        <v>343</v>
      </c>
      <c r="M1816" s="105" t="s">
        <v>655</v>
      </c>
      <c r="N1816" s="105" t="s">
        <v>656</v>
      </c>
      <c r="O1816" s="105" t="s">
        <v>656</v>
      </c>
      <c r="P1816" s="105" t="s">
        <v>339</v>
      </c>
      <c r="Q1816" s="494">
        <v>0</v>
      </c>
      <c r="R1816" s="494">
        <v>0</v>
      </c>
      <c r="S1816" s="494">
        <v>9391</v>
      </c>
      <c r="T1816" s="494">
        <v>9391</v>
      </c>
      <c r="U1816" s="494">
        <v>2752</v>
      </c>
      <c r="V1816" s="493">
        <v>2024</v>
      </c>
      <c r="W1816" s="495"/>
      <c r="X1816" s="496">
        <f t="shared" si="118"/>
        <v>3.4124273255813953</v>
      </c>
      <c r="Y1816" s="497" t="str">
        <f t="shared" si="119"/>
        <v/>
      </c>
      <c r="Z1816" s="497" t="str">
        <f t="shared" si="119"/>
        <v/>
      </c>
    </row>
    <row r="1817" spans="1:26" s="82" customFormat="1" x14ac:dyDescent="0.4">
      <c r="A1817" s="493">
        <v>62504</v>
      </c>
      <c r="B1817" s="105" t="s">
        <v>329</v>
      </c>
      <c r="C1817" s="493" t="s">
        <v>330</v>
      </c>
      <c r="D1817" s="105" t="s">
        <v>2134</v>
      </c>
      <c r="E1817" s="105" t="s">
        <v>2135</v>
      </c>
      <c r="F1817" s="493">
        <v>63244</v>
      </c>
      <c r="G1817" s="105" t="s">
        <v>52</v>
      </c>
      <c r="H1817" s="105" t="s">
        <v>333</v>
      </c>
      <c r="I1817" s="105" t="s">
        <v>334</v>
      </c>
      <c r="J1817" s="493">
        <v>22</v>
      </c>
      <c r="K1817" s="493">
        <v>2</v>
      </c>
      <c r="L1817" s="105" t="s">
        <v>343</v>
      </c>
      <c r="M1817" s="105" t="s">
        <v>655</v>
      </c>
      <c r="N1817" s="105" t="s">
        <v>656</v>
      </c>
      <c r="O1817" s="105" t="s">
        <v>656</v>
      </c>
      <c r="P1817" s="105" t="s">
        <v>339</v>
      </c>
      <c r="Q1817" s="494">
        <v>0</v>
      </c>
      <c r="R1817" s="494">
        <v>0</v>
      </c>
      <c r="S1817" s="494">
        <v>8436</v>
      </c>
      <c r="T1817" s="494">
        <v>8436</v>
      </c>
      <c r="U1817" s="494">
        <v>2472</v>
      </c>
      <c r="V1817" s="493">
        <v>2024</v>
      </c>
      <c r="W1817" s="495"/>
      <c r="X1817" s="496">
        <f t="shared" si="118"/>
        <v>3.412621359223301</v>
      </c>
      <c r="Y1817" s="497" t="str">
        <f t="shared" si="119"/>
        <v/>
      </c>
      <c r="Z1817" s="497" t="str">
        <f t="shared" si="119"/>
        <v/>
      </c>
    </row>
    <row r="1818" spans="1:26" s="82" customFormat="1" x14ac:dyDescent="0.4">
      <c r="A1818" s="493">
        <v>62507</v>
      </c>
      <c r="B1818" s="105" t="s">
        <v>329</v>
      </c>
      <c r="C1818" s="493" t="s">
        <v>330</v>
      </c>
      <c r="D1818" s="105" t="s">
        <v>2136</v>
      </c>
      <c r="E1818" s="105" t="s">
        <v>2135</v>
      </c>
      <c r="F1818" s="493">
        <v>63244</v>
      </c>
      <c r="G1818" s="105" t="s">
        <v>52</v>
      </c>
      <c r="H1818" s="105" t="s">
        <v>333</v>
      </c>
      <c r="I1818" s="105" t="s">
        <v>334</v>
      </c>
      <c r="J1818" s="493">
        <v>22</v>
      </c>
      <c r="K1818" s="493">
        <v>2</v>
      </c>
      <c r="L1818" s="105" t="s">
        <v>343</v>
      </c>
      <c r="M1818" s="105" t="s">
        <v>655</v>
      </c>
      <c r="N1818" s="105" t="s">
        <v>656</v>
      </c>
      <c r="O1818" s="105" t="s">
        <v>656</v>
      </c>
      <c r="P1818" s="105" t="s">
        <v>339</v>
      </c>
      <c r="Q1818" s="494">
        <v>0</v>
      </c>
      <c r="R1818" s="494">
        <v>0</v>
      </c>
      <c r="S1818" s="494">
        <v>19200</v>
      </c>
      <c r="T1818" s="494">
        <v>19200</v>
      </c>
      <c r="U1818" s="494">
        <v>5628</v>
      </c>
      <c r="V1818" s="493">
        <v>2024</v>
      </c>
      <c r="W1818" s="495"/>
      <c r="X1818" s="496">
        <f t="shared" si="118"/>
        <v>3.4115138592750531</v>
      </c>
      <c r="Y1818" s="497" t="str">
        <f t="shared" si="119"/>
        <v/>
      </c>
      <c r="Z1818" s="497" t="str">
        <f t="shared" si="119"/>
        <v/>
      </c>
    </row>
    <row r="1819" spans="1:26" s="82" customFormat="1" x14ac:dyDescent="0.4">
      <c r="A1819" s="493">
        <v>62508</v>
      </c>
      <c r="B1819" s="105" t="s">
        <v>329</v>
      </c>
      <c r="C1819" s="493" t="s">
        <v>330</v>
      </c>
      <c r="D1819" s="105" t="s">
        <v>2137</v>
      </c>
      <c r="E1819" s="105" t="s">
        <v>2135</v>
      </c>
      <c r="F1819" s="493">
        <v>63244</v>
      </c>
      <c r="G1819" s="105" t="s">
        <v>52</v>
      </c>
      <c r="H1819" s="105" t="s">
        <v>333</v>
      </c>
      <c r="I1819" s="105" t="s">
        <v>334</v>
      </c>
      <c r="J1819" s="493">
        <v>22</v>
      </c>
      <c r="K1819" s="493">
        <v>2</v>
      </c>
      <c r="L1819" s="105" t="s">
        <v>343</v>
      </c>
      <c r="M1819" s="105" t="s">
        <v>655</v>
      </c>
      <c r="N1819" s="105" t="s">
        <v>656</v>
      </c>
      <c r="O1819" s="105" t="s">
        <v>656</v>
      </c>
      <c r="P1819" s="105" t="s">
        <v>339</v>
      </c>
      <c r="Q1819" s="494">
        <v>0</v>
      </c>
      <c r="R1819" s="494">
        <v>0</v>
      </c>
      <c r="S1819" s="494">
        <v>16056</v>
      </c>
      <c r="T1819" s="494">
        <v>16056</v>
      </c>
      <c r="U1819" s="494">
        <v>4704</v>
      </c>
      <c r="V1819" s="493">
        <v>2024</v>
      </c>
      <c r="W1819" s="495"/>
      <c r="X1819" s="496">
        <f t="shared" si="118"/>
        <v>3.4132653061224492</v>
      </c>
      <c r="Y1819" s="497" t="str">
        <f t="shared" si="119"/>
        <v/>
      </c>
      <c r="Z1819" s="497" t="str">
        <f t="shared" si="119"/>
        <v/>
      </c>
    </row>
    <row r="1820" spans="1:26" s="82" customFormat="1" x14ac:dyDescent="0.4">
      <c r="A1820" s="493">
        <v>62517</v>
      </c>
      <c r="B1820" s="105" t="s">
        <v>329</v>
      </c>
      <c r="C1820" s="493" t="s">
        <v>330</v>
      </c>
      <c r="D1820" s="105" t="s">
        <v>2138</v>
      </c>
      <c r="E1820" s="105" t="s">
        <v>2050</v>
      </c>
      <c r="F1820" s="493">
        <v>61194</v>
      </c>
      <c r="G1820" s="105" t="s">
        <v>52</v>
      </c>
      <c r="H1820" s="105" t="s">
        <v>333</v>
      </c>
      <c r="I1820" s="105" t="s">
        <v>334</v>
      </c>
      <c r="J1820" s="493">
        <v>22</v>
      </c>
      <c r="K1820" s="493">
        <v>2</v>
      </c>
      <c r="L1820" s="105" t="s">
        <v>343</v>
      </c>
      <c r="M1820" s="105" t="s">
        <v>655</v>
      </c>
      <c r="N1820" s="105" t="s">
        <v>656</v>
      </c>
      <c r="O1820" s="105" t="s">
        <v>656</v>
      </c>
      <c r="P1820" s="105" t="s">
        <v>339</v>
      </c>
      <c r="Q1820" s="494">
        <v>0</v>
      </c>
      <c r="R1820" s="494">
        <v>0</v>
      </c>
      <c r="S1820" s="494">
        <v>10122</v>
      </c>
      <c r="T1820" s="494">
        <v>10122</v>
      </c>
      <c r="U1820" s="494">
        <v>2967</v>
      </c>
      <c r="V1820" s="493">
        <v>2024</v>
      </c>
      <c r="W1820" s="495"/>
      <c r="X1820" s="496">
        <f t="shared" si="118"/>
        <v>3.4115267947421639</v>
      </c>
      <c r="Y1820" s="497" t="str">
        <f t="shared" si="119"/>
        <v/>
      </c>
      <c r="Z1820" s="497" t="str">
        <f t="shared" si="119"/>
        <v/>
      </c>
    </row>
    <row r="1821" spans="1:26" s="82" customFormat="1" x14ac:dyDescent="0.4">
      <c r="A1821" s="493">
        <v>62518</v>
      </c>
      <c r="B1821" s="105" t="s">
        <v>329</v>
      </c>
      <c r="C1821" s="493" t="s">
        <v>330</v>
      </c>
      <c r="D1821" s="105" t="s">
        <v>2139</v>
      </c>
      <c r="E1821" s="105" t="s">
        <v>2050</v>
      </c>
      <c r="F1821" s="493">
        <v>61194</v>
      </c>
      <c r="G1821" s="105" t="s">
        <v>52</v>
      </c>
      <c r="H1821" s="105" t="s">
        <v>333</v>
      </c>
      <c r="I1821" s="105" t="s">
        <v>334</v>
      </c>
      <c r="J1821" s="493">
        <v>22</v>
      </c>
      <c r="K1821" s="493">
        <v>2</v>
      </c>
      <c r="L1821" s="105" t="s">
        <v>343</v>
      </c>
      <c r="M1821" s="105" t="s">
        <v>655</v>
      </c>
      <c r="N1821" s="105" t="s">
        <v>656</v>
      </c>
      <c r="O1821" s="105" t="s">
        <v>656</v>
      </c>
      <c r="P1821" s="105" t="s">
        <v>339</v>
      </c>
      <c r="Q1821" s="494">
        <v>0</v>
      </c>
      <c r="R1821" s="494">
        <v>0</v>
      </c>
      <c r="S1821" s="494">
        <v>11247</v>
      </c>
      <c r="T1821" s="494">
        <v>11247</v>
      </c>
      <c r="U1821" s="494">
        <v>3296</v>
      </c>
      <c r="V1821" s="493">
        <v>2024</v>
      </c>
      <c r="W1821" s="495"/>
      <c r="X1821" s="496">
        <f t="shared" si="118"/>
        <v>3.4123179611650487</v>
      </c>
      <c r="Y1821" s="497" t="str">
        <f t="shared" si="119"/>
        <v/>
      </c>
      <c r="Z1821" s="497" t="str">
        <f t="shared" si="119"/>
        <v/>
      </c>
    </row>
    <row r="1822" spans="1:26" s="82" customFormat="1" x14ac:dyDescent="0.4">
      <c r="A1822" s="493">
        <v>62519</v>
      </c>
      <c r="B1822" s="105" t="s">
        <v>329</v>
      </c>
      <c r="C1822" s="493" t="s">
        <v>330</v>
      </c>
      <c r="D1822" s="105" t="s">
        <v>2140</v>
      </c>
      <c r="E1822" s="105" t="s">
        <v>2050</v>
      </c>
      <c r="F1822" s="493">
        <v>61194</v>
      </c>
      <c r="G1822" s="105" t="s">
        <v>52</v>
      </c>
      <c r="H1822" s="105" t="s">
        <v>333</v>
      </c>
      <c r="I1822" s="105" t="s">
        <v>334</v>
      </c>
      <c r="J1822" s="493">
        <v>22</v>
      </c>
      <c r="K1822" s="493">
        <v>2</v>
      </c>
      <c r="L1822" s="105" t="s">
        <v>343</v>
      </c>
      <c r="M1822" s="105" t="s">
        <v>655</v>
      </c>
      <c r="N1822" s="105" t="s">
        <v>656</v>
      </c>
      <c r="O1822" s="105" t="s">
        <v>656</v>
      </c>
      <c r="P1822" s="105" t="s">
        <v>339</v>
      </c>
      <c r="Q1822" s="494">
        <v>0</v>
      </c>
      <c r="R1822" s="494">
        <v>0</v>
      </c>
      <c r="S1822" s="494">
        <v>10271</v>
      </c>
      <c r="T1822" s="494">
        <v>10271</v>
      </c>
      <c r="U1822" s="494">
        <v>3010</v>
      </c>
      <c r="V1822" s="493">
        <v>2024</v>
      </c>
      <c r="W1822" s="495"/>
      <c r="X1822" s="496">
        <f t="shared" si="118"/>
        <v>3.4122923588039868</v>
      </c>
      <c r="Y1822" s="497" t="str">
        <f t="shared" si="119"/>
        <v/>
      </c>
      <c r="Z1822" s="497" t="str">
        <f t="shared" si="119"/>
        <v/>
      </c>
    </row>
    <row r="1823" spans="1:26" s="82" customFormat="1" x14ac:dyDescent="0.4">
      <c r="A1823" s="493">
        <v>62521</v>
      </c>
      <c r="B1823" s="105" t="s">
        <v>329</v>
      </c>
      <c r="C1823" s="493" t="s">
        <v>330</v>
      </c>
      <c r="D1823" s="105" t="s">
        <v>2141</v>
      </c>
      <c r="E1823" s="105" t="s">
        <v>2135</v>
      </c>
      <c r="F1823" s="493">
        <v>63244</v>
      </c>
      <c r="G1823" s="105" t="s">
        <v>52</v>
      </c>
      <c r="H1823" s="105" t="s">
        <v>333</v>
      </c>
      <c r="I1823" s="105" t="s">
        <v>334</v>
      </c>
      <c r="J1823" s="493">
        <v>22</v>
      </c>
      <c r="K1823" s="493">
        <v>2</v>
      </c>
      <c r="L1823" s="105" t="s">
        <v>343</v>
      </c>
      <c r="M1823" s="105" t="s">
        <v>655</v>
      </c>
      <c r="N1823" s="105" t="s">
        <v>656</v>
      </c>
      <c r="O1823" s="105" t="s">
        <v>656</v>
      </c>
      <c r="P1823" s="105" t="s">
        <v>339</v>
      </c>
      <c r="Q1823" s="494">
        <v>0</v>
      </c>
      <c r="R1823" s="494">
        <v>0</v>
      </c>
      <c r="S1823" s="494">
        <v>8436</v>
      </c>
      <c r="T1823" s="494">
        <v>8436</v>
      </c>
      <c r="U1823" s="494">
        <v>2472</v>
      </c>
      <c r="V1823" s="493">
        <v>2024</v>
      </c>
      <c r="W1823" s="495"/>
      <c r="X1823" s="496">
        <f t="shared" si="118"/>
        <v>3.412621359223301</v>
      </c>
      <c r="Y1823" s="497" t="str">
        <f t="shared" si="119"/>
        <v/>
      </c>
      <c r="Z1823" s="497" t="str">
        <f t="shared" si="119"/>
        <v/>
      </c>
    </row>
    <row r="1824" spans="1:26" s="82" customFormat="1" x14ac:dyDescent="0.4">
      <c r="A1824" s="493">
        <v>62524</v>
      </c>
      <c r="B1824" s="105" t="s">
        <v>329</v>
      </c>
      <c r="C1824" s="493" t="s">
        <v>330</v>
      </c>
      <c r="D1824" s="105" t="s">
        <v>2142</v>
      </c>
      <c r="E1824" s="105" t="s">
        <v>2135</v>
      </c>
      <c r="F1824" s="493">
        <v>63244</v>
      </c>
      <c r="G1824" s="105" t="s">
        <v>52</v>
      </c>
      <c r="H1824" s="105" t="s">
        <v>333</v>
      </c>
      <c r="I1824" s="105" t="s">
        <v>334</v>
      </c>
      <c r="J1824" s="493">
        <v>22</v>
      </c>
      <c r="K1824" s="493">
        <v>2</v>
      </c>
      <c r="L1824" s="105" t="s">
        <v>343</v>
      </c>
      <c r="M1824" s="105" t="s">
        <v>655</v>
      </c>
      <c r="N1824" s="105" t="s">
        <v>656</v>
      </c>
      <c r="O1824" s="105" t="s">
        <v>656</v>
      </c>
      <c r="P1824" s="105" t="s">
        <v>339</v>
      </c>
      <c r="Q1824" s="494">
        <v>0</v>
      </c>
      <c r="R1824" s="494">
        <v>0</v>
      </c>
      <c r="S1824" s="494">
        <v>21696</v>
      </c>
      <c r="T1824" s="494">
        <v>21696</v>
      </c>
      <c r="U1824" s="494">
        <v>6360</v>
      </c>
      <c r="V1824" s="493">
        <v>2024</v>
      </c>
      <c r="W1824" s="495"/>
      <c r="X1824" s="496">
        <f t="shared" si="118"/>
        <v>3.4113207547169813</v>
      </c>
      <c r="Y1824" s="497" t="str">
        <f t="shared" si="119"/>
        <v/>
      </c>
      <c r="Z1824" s="497" t="str">
        <f t="shared" si="119"/>
        <v/>
      </c>
    </row>
    <row r="1825" spans="1:26" s="82" customFormat="1" x14ac:dyDescent="0.4">
      <c r="A1825" s="493">
        <v>62525</v>
      </c>
      <c r="B1825" s="105" t="s">
        <v>329</v>
      </c>
      <c r="C1825" s="493" t="s">
        <v>330</v>
      </c>
      <c r="D1825" s="105" t="s">
        <v>2143</v>
      </c>
      <c r="E1825" s="105" t="s">
        <v>2050</v>
      </c>
      <c r="F1825" s="493">
        <v>61194</v>
      </c>
      <c r="G1825" s="105" t="s">
        <v>52</v>
      </c>
      <c r="H1825" s="105" t="s">
        <v>333</v>
      </c>
      <c r="I1825" s="105" t="s">
        <v>334</v>
      </c>
      <c r="J1825" s="493">
        <v>22</v>
      </c>
      <c r="K1825" s="493">
        <v>2</v>
      </c>
      <c r="L1825" s="105" t="s">
        <v>343</v>
      </c>
      <c r="M1825" s="105" t="s">
        <v>655</v>
      </c>
      <c r="N1825" s="105" t="s">
        <v>656</v>
      </c>
      <c r="O1825" s="105" t="s">
        <v>656</v>
      </c>
      <c r="P1825" s="105" t="s">
        <v>339</v>
      </c>
      <c r="Q1825" s="494">
        <v>0</v>
      </c>
      <c r="R1825" s="494">
        <v>0</v>
      </c>
      <c r="S1825" s="494">
        <v>9349</v>
      </c>
      <c r="T1825" s="494">
        <v>9349</v>
      </c>
      <c r="U1825" s="494">
        <v>2740</v>
      </c>
      <c r="V1825" s="493">
        <v>2024</v>
      </c>
      <c r="W1825" s="495"/>
      <c r="X1825" s="496">
        <f t="shared" si="118"/>
        <v>3.4120437956204381</v>
      </c>
      <c r="Y1825" s="497" t="str">
        <f t="shared" si="119"/>
        <v/>
      </c>
      <c r="Z1825" s="497" t="str">
        <f t="shared" si="119"/>
        <v/>
      </c>
    </row>
    <row r="1826" spans="1:26" s="82" customFormat="1" x14ac:dyDescent="0.4">
      <c r="A1826" s="493">
        <v>62526</v>
      </c>
      <c r="B1826" s="105" t="s">
        <v>329</v>
      </c>
      <c r="C1826" s="493" t="s">
        <v>330</v>
      </c>
      <c r="D1826" s="105" t="s">
        <v>2144</v>
      </c>
      <c r="E1826" s="105" t="s">
        <v>2050</v>
      </c>
      <c r="F1826" s="493">
        <v>61194</v>
      </c>
      <c r="G1826" s="105" t="s">
        <v>52</v>
      </c>
      <c r="H1826" s="105" t="s">
        <v>333</v>
      </c>
      <c r="I1826" s="105" t="s">
        <v>334</v>
      </c>
      <c r="J1826" s="493">
        <v>22</v>
      </c>
      <c r="K1826" s="493">
        <v>2</v>
      </c>
      <c r="L1826" s="105" t="s">
        <v>343</v>
      </c>
      <c r="M1826" s="105" t="s">
        <v>655</v>
      </c>
      <c r="N1826" s="105" t="s">
        <v>656</v>
      </c>
      <c r="O1826" s="105" t="s">
        <v>656</v>
      </c>
      <c r="P1826" s="105" t="s">
        <v>339</v>
      </c>
      <c r="Q1826" s="494">
        <v>0</v>
      </c>
      <c r="R1826" s="494">
        <v>0</v>
      </c>
      <c r="S1826" s="494">
        <v>8612</v>
      </c>
      <c r="T1826" s="494">
        <v>8612</v>
      </c>
      <c r="U1826" s="494">
        <v>2524</v>
      </c>
      <c r="V1826" s="493">
        <v>2024</v>
      </c>
      <c r="W1826" s="495"/>
      <c r="X1826" s="496">
        <f t="shared" si="118"/>
        <v>3.4120443740095086</v>
      </c>
      <c r="Y1826" s="497" t="str">
        <f t="shared" si="119"/>
        <v/>
      </c>
      <c r="Z1826" s="497" t="str">
        <f t="shared" si="119"/>
        <v/>
      </c>
    </row>
    <row r="1827" spans="1:26" s="82" customFormat="1" x14ac:dyDescent="0.4">
      <c r="A1827" s="493">
        <v>62527</v>
      </c>
      <c r="B1827" s="105" t="s">
        <v>329</v>
      </c>
      <c r="C1827" s="493" t="s">
        <v>330</v>
      </c>
      <c r="D1827" s="105" t="s">
        <v>2145</v>
      </c>
      <c r="E1827" s="105" t="s">
        <v>2016</v>
      </c>
      <c r="F1827" s="493">
        <v>65242</v>
      </c>
      <c r="G1827" s="105" t="s">
        <v>52</v>
      </c>
      <c r="H1827" s="105" t="s">
        <v>333</v>
      </c>
      <c r="I1827" s="105" t="s">
        <v>334</v>
      </c>
      <c r="J1827" s="493">
        <v>22</v>
      </c>
      <c r="K1827" s="493">
        <v>2</v>
      </c>
      <c r="L1827" s="105" t="s">
        <v>343</v>
      </c>
      <c r="M1827" s="105" t="s">
        <v>655</v>
      </c>
      <c r="N1827" s="105" t="s">
        <v>656</v>
      </c>
      <c r="O1827" s="105" t="s">
        <v>656</v>
      </c>
      <c r="P1827" s="105" t="s">
        <v>339</v>
      </c>
      <c r="Q1827" s="494">
        <v>0</v>
      </c>
      <c r="R1827" s="494">
        <v>0</v>
      </c>
      <c r="S1827" s="494">
        <v>1771</v>
      </c>
      <c r="T1827" s="494">
        <v>1771</v>
      </c>
      <c r="U1827" s="494">
        <v>519</v>
      </c>
      <c r="V1827" s="493">
        <v>2024</v>
      </c>
      <c r="W1827" s="495"/>
      <c r="X1827" s="496">
        <f t="shared" si="118"/>
        <v>3.4123314065510599</v>
      </c>
      <c r="Y1827" s="497" t="str">
        <f t="shared" si="119"/>
        <v/>
      </c>
      <c r="Z1827" s="497" t="str">
        <f t="shared" si="119"/>
        <v/>
      </c>
    </row>
    <row r="1828" spans="1:26" s="82" customFormat="1" x14ac:dyDescent="0.4">
      <c r="A1828" s="493">
        <v>62528</v>
      </c>
      <c r="B1828" s="105" t="s">
        <v>329</v>
      </c>
      <c r="C1828" s="493" t="s">
        <v>330</v>
      </c>
      <c r="D1828" s="105" t="s">
        <v>2146</v>
      </c>
      <c r="E1828" s="105" t="s">
        <v>2016</v>
      </c>
      <c r="F1828" s="493">
        <v>65242</v>
      </c>
      <c r="G1828" s="105" t="s">
        <v>52</v>
      </c>
      <c r="H1828" s="105" t="s">
        <v>333</v>
      </c>
      <c r="I1828" s="105" t="s">
        <v>334</v>
      </c>
      <c r="J1828" s="493">
        <v>22</v>
      </c>
      <c r="K1828" s="493">
        <v>2</v>
      </c>
      <c r="L1828" s="105" t="s">
        <v>343</v>
      </c>
      <c r="M1828" s="105" t="s">
        <v>655</v>
      </c>
      <c r="N1828" s="105" t="s">
        <v>656</v>
      </c>
      <c r="O1828" s="105" t="s">
        <v>656</v>
      </c>
      <c r="P1828" s="105" t="s">
        <v>339</v>
      </c>
      <c r="Q1828" s="494">
        <v>0</v>
      </c>
      <c r="R1828" s="494">
        <v>0</v>
      </c>
      <c r="S1828" s="494">
        <v>7434</v>
      </c>
      <c r="T1828" s="494">
        <v>7434</v>
      </c>
      <c r="U1828" s="494">
        <v>2179</v>
      </c>
      <c r="V1828" s="493">
        <v>2024</v>
      </c>
      <c r="W1828" s="495"/>
      <c r="X1828" s="496">
        <f t="shared" si="118"/>
        <v>3.4116567232675541</v>
      </c>
      <c r="Y1828" s="497" t="str">
        <f t="shared" ref="Y1828:Z1847" si="120">IF(AND($M1828=$Y$2,$N1828=$Y$3,NOT($Q1828=$R1828),NOT($U1828=0)),IF($K1828=5,$S1828/($U1828+(8/5)*$U1828),IF($K1828=7,$S1828/($U1828+(29/25)*$U1828),"")),"")</f>
        <v/>
      </c>
      <c r="Z1828" s="497" t="str">
        <f t="shared" si="120"/>
        <v/>
      </c>
    </row>
    <row r="1829" spans="1:26" s="82" customFormat="1" ht="32" x14ac:dyDescent="0.4">
      <c r="A1829" s="493">
        <v>62530</v>
      </c>
      <c r="B1829" s="105" t="s">
        <v>329</v>
      </c>
      <c r="C1829" s="493" t="s">
        <v>330</v>
      </c>
      <c r="D1829" s="105" t="s">
        <v>2147</v>
      </c>
      <c r="E1829" s="105" t="s">
        <v>1313</v>
      </c>
      <c r="F1829" s="493">
        <v>60281</v>
      </c>
      <c r="G1829" s="105" t="s">
        <v>52</v>
      </c>
      <c r="H1829" s="105" t="s">
        <v>333</v>
      </c>
      <c r="I1829" s="105" t="s">
        <v>334</v>
      </c>
      <c r="J1829" s="493">
        <v>22</v>
      </c>
      <c r="K1829" s="493">
        <v>2</v>
      </c>
      <c r="L1829" s="105" t="s">
        <v>343</v>
      </c>
      <c r="M1829" s="105" t="s">
        <v>655</v>
      </c>
      <c r="N1829" s="105" t="s">
        <v>656</v>
      </c>
      <c r="O1829" s="105" t="s">
        <v>656</v>
      </c>
      <c r="P1829" s="105" t="s">
        <v>339</v>
      </c>
      <c r="Q1829" s="494">
        <v>0</v>
      </c>
      <c r="R1829" s="494">
        <v>0</v>
      </c>
      <c r="S1829" s="494">
        <v>11134</v>
      </c>
      <c r="T1829" s="494">
        <v>11134</v>
      </c>
      <c r="U1829" s="494">
        <v>3263</v>
      </c>
      <c r="V1829" s="493">
        <v>2024</v>
      </c>
      <c r="W1829" s="495"/>
      <c r="X1829" s="496">
        <f t="shared" si="118"/>
        <v>3.4121973643885997</v>
      </c>
      <c r="Y1829" s="497" t="str">
        <f t="shared" si="120"/>
        <v/>
      </c>
      <c r="Z1829" s="497" t="str">
        <f t="shared" si="120"/>
        <v/>
      </c>
    </row>
    <row r="1830" spans="1:26" s="82" customFormat="1" ht="32" x14ac:dyDescent="0.4">
      <c r="A1830" s="493">
        <v>62531</v>
      </c>
      <c r="B1830" s="105" t="s">
        <v>329</v>
      </c>
      <c r="C1830" s="493" t="s">
        <v>330</v>
      </c>
      <c r="D1830" s="105" t="s">
        <v>2148</v>
      </c>
      <c r="E1830" s="105" t="s">
        <v>1313</v>
      </c>
      <c r="F1830" s="493">
        <v>60281</v>
      </c>
      <c r="G1830" s="105" t="s">
        <v>52</v>
      </c>
      <c r="H1830" s="105" t="s">
        <v>333</v>
      </c>
      <c r="I1830" s="105" t="s">
        <v>334</v>
      </c>
      <c r="J1830" s="493">
        <v>22</v>
      </c>
      <c r="K1830" s="493">
        <v>2</v>
      </c>
      <c r="L1830" s="105" t="s">
        <v>343</v>
      </c>
      <c r="M1830" s="105" t="s">
        <v>655</v>
      </c>
      <c r="N1830" s="105" t="s">
        <v>656</v>
      </c>
      <c r="O1830" s="105" t="s">
        <v>656</v>
      </c>
      <c r="P1830" s="105" t="s">
        <v>339</v>
      </c>
      <c r="Q1830" s="494">
        <v>0</v>
      </c>
      <c r="R1830" s="494">
        <v>0</v>
      </c>
      <c r="S1830" s="494">
        <v>11129</v>
      </c>
      <c r="T1830" s="494">
        <v>11129</v>
      </c>
      <c r="U1830" s="494">
        <v>3262</v>
      </c>
      <c r="V1830" s="493">
        <v>2024</v>
      </c>
      <c r="W1830" s="495"/>
      <c r="X1830" s="496">
        <f t="shared" si="118"/>
        <v>3.4117106069895771</v>
      </c>
      <c r="Y1830" s="497" t="str">
        <f t="shared" si="120"/>
        <v/>
      </c>
      <c r="Z1830" s="497" t="str">
        <f t="shared" si="120"/>
        <v/>
      </c>
    </row>
    <row r="1831" spans="1:26" s="82" customFormat="1" ht="32" x14ac:dyDescent="0.4">
      <c r="A1831" s="493">
        <v>62532</v>
      </c>
      <c r="B1831" s="105" t="s">
        <v>329</v>
      </c>
      <c r="C1831" s="493" t="s">
        <v>330</v>
      </c>
      <c r="D1831" s="105" t="s">
        <v>2149</v>
      </c>
      <c r="E1831" s="105" t="s">
        <v>1313</v>
      </c>
      <c r="F1831" s="493">
        <v>60281</v>
      </c>
      <c r="G1831" s="105" t="s">
        <v>52</v>
      </c>
      <c r="H1831" s="105" t="s">
        <v>333</v>
      </c>
      <c r="I1831" s="105" t="s">
        <v>334</v>
      </c>
      <c r="J1831" s="493">
        <v>22</v>
      </c>
      <c r="K1831" s="493">
        <v>2</v>
      </c>
      <c r="L1831" s="105" t="s">
        <v>343</v>
      </c>
      <c r="M1831" s="105" t="s">
        <v>655</v>
      </c>
      <c r="N1831" s="105" t="s">
        <v>656</v>
      </c>
      <c r="O1831" s="105" t="s">
        <v>656</v>
      </c>
      <c r="P1831" s="105" t="s">
        <v>339</v>
      </c>
      <c r="Q1831" s="494">
        <v>0</v>
      </c>
      <c r="R1831" s="494">
        <v>0</v>
      </c>
      <c r="S1831" s="494">
        <v>10579</v>
      </c>
      <c r="T1831" s="494">
        <v>10579</v>
      </c>
      <c r="U1831" s="494">
        <v>3100</v>
      </c>
      <c r="V1831" s="493">
        <v>2024</v>
      </c>
      <c r="W1831" s="495"/>
      <c r="X1831" s="496">
        <f t="shared" si="118"/>
        <v>3.4125806451612903</v>
      </c>
      <c r="Y1831" s="497" t="str">
        <f t="shared" si="120"/>
        <v/>
      </c>
      <c r="Z1831" s="497" t="str">
        <f t="shared" si="120"/>
        <v/>
      </c>
    </row>
    <row r="1832" spans="1:26" s="82" customFormat="1" x14ac:dyDescent="0.4">
      <c r="A1832" s="493">
        <v>62533</v>
      </c>
      <c r="B1832" s="105" t="s">
        <v>329</v>
      </c>
      <c r="C1832" s="493" t="s">
        <v>330</v>
      </c>
      <c r="D1832" s="105" t="s">
        <v>2150</v>
      </c>
      <c r="E1832" s="105" t="s">
        <v>2050</v>
      </c>
      <c r="F1832" s="493">
        <v>61194</v>
      </c>
      <c r="G1832" s="105" t="s">
        <v>52</v>
      </c>
      <c r="H1832" s="105" t="s">
        <v>333</v>
      </c>
      <c r="I1832" s="105" t="s">
        <v>334</v>
      </c>
      <c r="J1832" s="493">
        <v>22</v>
      </c>
      <c r="K1832" s="493">
        <v>2</v>
      </c>
      <c r="L1832" s="105" t="s">
        <v>343</v>
      </c>
      <c r="M1832" s="105" t="s">
        <v>655</v>
      </c>
      <c r="N1832" s="105" t="s">
        <v>656</v>
      </c>
      <c r="O1832" s="105" t="s">
        <v>656</v>
      </c>
      <c r="P1832" s="105" t="s">
        <v>339</v>
      </c>
      <c r="Q1832" s="494">
        <v>0</v>
      </c>
      <c r="R1832" s="494">
        <v>0</v>
      </c>
      <c r="S1832" s="494">
        <v>10511</v>
      </c>
      <c r="T1832" s="494">
        <v>10511</v>
      </c>
      <c r="U1832" s="494">
        <v>3081</v>
      </c>
      <c r="V1832" s="493">
        <v>2024</v>
      </c>
      <c r="W1832" s="495"/>
      <c r="X1832" s="496">
        <f t="shared" si="118"/>
        <v>3.4115546900357026</v>
      </c>
      <c r="Y1832" s="497" t="str">
        <f t="shared" si="120"/>
        <v/>
      </c>
      <c r="Z1832" s="497" t="str">
        <f t="shared" si="120"/>
        <v/>
      </c>
    </row>
    <row r="1833" spans="1:26" s="82" customFormat="1" ht="32" x14ac:dyDescent="0.4">
      <c r="A1833" s="493">
        <v>62549</v>
      </c>
      <c r="B1833" s="105" t="s">
        <v>329</v>
      </c>
      <c r="C1833" s="493" t="s">
        <v>330</v>
      </c>
      <c r="D1833" s="105" t="s">
        <v>2151</v>
      </c>
      <c r="E1833" s="105" t="s">
        <v>2152</v>
      </c>
      <c r="F1833" s="493">
        <v>62052</v>
      </c>
      <c r="G1833" s="105" t="s">
        <v>52</v>
      </c>
      <c r="H1833" s="105" t="s">
        <v>333</v>
      </c>
      <c r="I1833" s="105" t="s">
        <v>334</v>
      </c>
      <c r="J1833" s="493">
        <v>22</v>
      </c>
      <c r="K1833" s="493">
        <v>2</v>
      </c>
      <c r="L1833" s="105" t="s">
        <v>343</v>
      </c>
      <c r="M1833" s="105" t="s">
        <v>655</v>
      </c>
      <c r="N1833" s="105" t="s">
        <v>656</v>
      </c>
      <c r="O1833" s="105" t="s">
        <v>656</v>
      </c>
      <c r="P1833" s="105" t="s">
        <v>339</v>
      </c>
      <c r="Q1833" s="494">
        <v>0</v>
      </c>
      <c r="R1833" s="494">
        <v>0</v>
      </c>
      <c r="S1833" s="494">
        <v>8066</v>
      </c>
      <c r="T1833" s="494">
        <v>8066</v>
      </c>
      <c r="U1833" s="494">
        <v>2364</v>
      </c>
      <c r="V1833" s="493">
        <v>2024</v>
      </c>
      <c r="W1833" s="495"/>
      <c r="X1833" s="496">
        <f t="shared" si="118"/>
        <v>3.4120135363790185</v>
      </c>
      <c r="Y1833" s="497" t="str">
        <f t="shared" si="120"/>
        <v/>
      </c>
      <c r="Z1833" s="497" t="str">
        <f t="shared" si="120"/>
        <v/>
      </c>
    </row>
    <row r="1834" spans="1:26" s="82" customFormat="1" x14ac:dyDescent="0.4">
      <c r="A1834" s="493">
        <v>62550</v>
      </c>
      <c r="B1834" s="105" t="s">
        <v>329</v>
      </c>
      <c r="C1834" s="493" t="s">
        <v>330</v>
      </c>
      <c r="D1834" s="105" t="s">
        <v>2153</v>
      </c>
      <c r="E1834" s="105" t="s">
        <v>2154</v>
      </c>
      <c r="F1834" s="493">
        <v>62053</v>
      </c>
      <c r="G1834" s="105" t="s">
        <v>33</v>
      </c>
      <c r="H1834" s="105" t="s">
        <v>342</v>
      </c>
      <c r="I1834" s="105" t="s">
        <v>334</v>
      </c>
      <c r="J1834" s="493">
        <v>22</v>
      </c>
      <c r="K1834" s="493">
        <v>2</v>
      </c>
      <c r="L1834" s="105" t="s">
        <v>343</v>
      </c>
      <c r="M1834" s="105" t="s">
        <v>655</v>
      </c>
      <c r="N1834" s="105" t="s">
        <v>656</v>
      </c>
      <c r="O1834" s="105" t="s">
        <v>656</v>
      </c>
      <c r="P1834" s="105" t="s">
        <v>339</v>
      </c>
      <c r="Q1834" s="494">
        <v>0</v>
      </c>
      <c r="R1834" s="494">
        <v>0</v>
      </c>
      <c r="S1834" s="494">
        <v>11058</v>
      </c>
      <c r="T1834" s="494">
        <v>11058</v>
      </c>
      <c r="U1834" s="494">
        <v>3241</v>
      </c>
      <c r="V1834" s="493">
        <v>2024</v>
      </c>
      <c r="W1834" s="495"/>
      <c r="X1834" s="496">
        <f t="shared" si="118"/>
        <v>3.4119099043505092</v>
      </c>
      <c r="Y1834" s="497" t="str">
        <f t="shared" si="120"/>
        <v/>
      </c>
      <c r="Z1834" s="497" t="str">
        <f t="shared" si="120"/>
        <v/>
      </c>
    </row>
    <row r="1835" spans="1:26" s="82" customFormat="1" x14ac:dyDescent="0.4">
      <c r="A1835" s="493">
        <v>62551</v>
      </c>
      <c r="B1835" s="105" t="s">
        <v>329</v>
      </c>
      <c r="C1835" s="493" t="s">
        <v>330</v>
      </c>
      <c r="D1835" s="105" t="s">
        <v>2155</v>
      </c>
      <c r="E1835" s="105" t="s">
        <v>2155</v>
      </c>
      <c r="F1835" s="493">
        <v>62054</v>
      </c>
      <c r="G1835" s="105" t="s">
        <v>38</v>
      </c>
      <c r="H1835" s="105" t="s">
        <v>342</v>
      </c>
      <c r="I1835" s="105" t="s">
        <v>334</v>
      </c>
      <c r="J1835" s="493">
        <v>22</v>
      </c>
      <c r="K1835" s="493">
        <v>2</v>
      </c>
      <c r="L1835" s="105" t="s">
        <v>343</v>
      </c>
      <c r="M1835" s="105" t="s">
        <v>655</v>
      </c>
      <c r="N1835" s="105" t="s">
        <v>656</v>
      </c>
      <c r="O1835" s="105" t="s">
        <v>656</v>
      </c>
      <c r="P1835" s="105" t="s">
        <v>339</v>
      </c>
      <c r="Q1835" s="494">
        <v>0</v>
      </c>
      <c r="R1835" s="494">
        <v>0</v>
      </c>
      <c r="S1835" s="494">
        <v>19847</v>
      </c>
      <c r="T1835" s="494">
        <v>19847</v>
      </c>
      <c r="U1835" s="494">
        <v>5817</v>
      </c>
      <c r="V1835" s="493">
        <v>2024</v>
      </c>
      <c r="W1835" s="495"/>
      <c r="X1835" s="496">
        <f t="shared" si="118"/>
        <v>3.4118961664088019</v>
      </c>
      <c r="Y1835" s="497" t="str">
        <f t="shared" si="120"/>
        <v/>
      </c>
      <c r="Z1835" s="497" t="str">
        <f t="shared" si="120"/>
        <v/>
      </c>
    </row>
    <row r="1836" spans="1:26" s="82" customFormat="1" x14ac:dyDescent="0.4">
      <c r="A1836" s="493">
        <v>62552</v>
      </c>
      <c r="B1836" s="105" t="s">
        <v>329</v>
      </c>
      <c r="C1836" s="493" t="s">
        <v>330</v>
      </c>
      <c r="D1836" s="105" t="s">
        <v>2156</v>
      </c>
      <c r="E1836" s="105" t="s">
        <v>2157</v>
      </c>
      <c r="F1836" s="493">
        <v>62055</v>
      </c>
      <c r="G1836" s="105" t="s">
        <v>33</v>
      </c>
      <c r="H1836" s="105" t="s">
        <v>342</v>
      </c>
      <c r="I1836" s="105" t="s">
        <v>334</v>
      </c>
      <c r="J1836" s="493">
        <v>22</v>
      </c>
      <c r="K1836" s="493">
        <v>2</v>
      </c>
      <c r="L1836" s="105" t="s">
        <v>343</v>
      </c>
      <c r="M1836" s="105" t="s">
        <v>655</v>
      </c>
      <c r="N1836" s="105" t="s">
        <v>656</v>
      </c>
      <c r="O1836" s="105" t="s">
        <v>656</v>
      </c>
      <c r="P1836" s="105" t="s">
        <v>339</v>
      </c>
      <c r="Q1836" s="494">
        <v>0</v>
      </c>
      <c r="R1836" s="494">
        <v>0</v>
      </c>
      <c r="S1836" s="494">
        <v>11527</v>
      </c>
      <c r="T1836" s="494">
        <v>11527</v>
      </c>
      <c r="U1836" s="494">
        <v>3378</v>
      </c>
      <c r="V1836" s="493">
        <v>2024</v>
      </c>
      <c r="W1836" s="495"/>
      <c r="X1836" s="496">
        <f t="shared" si="118"/>
        <v>3.4123741859088219</v>
      </c>
      <c r="Y1836" s="497" t="str">
        <f t="shared" si="120"/>
        <v/>
      </c>
      <c r="Z1836" s="497" t="str">
        <f t="shared" si="120"/>
        <v/>
      </c>
    </row>
    <row r="1837" spans="1:26" s="82" customFormat="1" ht="32" x14ac:dyDescent="0.4">
      <c r="A1837" s="493">
        <v>62556</v>
      </c>
      <c r="B1837" s="105" t="s">
        <v>329</v>
      </c>
      <c r="C1837" s="493" t="s">
        <v>330</v>
      </c>
      <c r="D1837" s="105" t="s">
        <v>2158</v>
      </c>
      <c r="E1837" s="105" t="s">
        <v>2159</v>
      </c>
      <c r="F1837" s="493">
        <v>62056</v>
      </c>
      <c r="G1837" s="105" t="s">
        <v>52</v>
      </c>
      <c r="H1837" s="105" t="s">
        <v>333</v>
      </c>
      <c r="I1837" s="105" t="s">
        <v>334</v>
      </c>
      <c r="J1837" s="493">
        <v>22</v>
      </c>
      <c r="K1837" s="493">
        <v>2</v>
      </c>
      <c r="L1837" s="105" t="s">
        <v>343</v>
      </c>
      <c r="M1837" s="105" t="s">
        <v>655</v>
      </c>
      <c r="N1837" s="105" t="s">
        <v>656</v>
      </c>
      <c r="O1837" s="105" t="s">
        <v>656</v>
      </c>
      <c r="P1837" s="105" t="s">
        <v>339</v>
      </c>
      <c r="Q1837" s="494">
        <v>0</v>
      </c>
      <c r="R1837" s="494">
        <v>0</v>
      </c>
      <c r="S1837" s="494">
        <v>11246</v>
      </c>
      <c r="T1837" s="494">
        <v>11246</v>
      </c>
      <c r="U1837" s="494">
        <v>3296</v>
      </c>
      <c r="V1837" s="493">
        <v>2024</v>
      </c>
      <c r="W1837" s="495"/>
      <c r="X1837" s="496">
        <f t="shared" si="118"/>
        <v>3.412014563106796</v>
      </c>
      <c r="Y1837" s="497" t="str">
        <f t="shared" si="120"/>
        <v/>
      </c>
      <c r="Z1837" s="497" t="str">
        <f t="shared" si="120"/>
        <v/>
      </c>
    </row>
    <row r="1838" spans="1:26" s="82" customFormat="1" ht="32" x14ac:dyDescent="0.4">
      <c r="A1838" s="493">
        <v>62557</v>
      </c>
      <c r="B1838" s="105" t="s">
        <v>329</v>
      </c>
      <c r="C1838" s="493" t="s">
        <v>330</v>
      </c>
      <c r="D1838" s="105" t="s">
        <v>2160</v>
      </c>
      <c r="E1838" s="105" t="s">
        <v>2161</v>
      </c>
      <c r="F1838" s="493">
        <v>62057</v>
      </c>
      <c r="G1838" s="105" t="s">
        <v>33</v>
      </c>
      <c r="H1838" s="105" t="s">
        <v>342</v>
      </c>
      <c r="I1838" s="105" t="s">
        <v>334</v>
      </c>
      <c r="J1838" s="493">
        <v>22</v>
      </c>
      <c r="K1838" s="493">
        <v>2</v>
      </c>
      <c r="L1838" s="105" t="s">
        <v>343</v>
      </c>
      <c r="M1838" s="105" t="s">
        <v>655</v>
      </c>
      <c r="N1838" s="105" t="s">
        <v>656</v>
      </c>
      <c r="O1838" s="105" t="s">
        <v>656</v>
      </c>
      <c r="P1838" s="105" t="s">
        <v>339</v>
      </c>
      <c r="Q1838" s="494">
        <v>0</v>
      </c>
      <c r="R1838" s="494">
        <v>0</v>
      </c>
      <c r="S1838" s="494">
        <v>24394</v>
      </c>
      <c r="T1838" s="494">
        <v>24394</v>
      </c>
      <c r="U1838" s="494">
        <v>7150</v>
      </c>
      <c r="V1838" s="493">
        <v>2024</v>
      </c>
      <c r="W1838" s="495"/>
      <c r="X1838" s="496">
        <f t="shared" si="118"/>
        <v>3.4117482517482518</v>
      </c>
      <c r="Y1838" s="497" t="str">
        <f t="shared" si="120"/>
        <v/>
      </c>
      <c r="Z1838" s="497" t="str">
        <f t="shared" si="120"/>
        <v/>
      </c>
    </row>
    <row r="1839" spans="1:26" s="82" customFormat="1" x14ac:dyDescent="0.4">
      <c r="A1839" s="493">
        <v>62558</v>
      </c>
      <c r="B1839" s="105" t="s">
        <v>329</v>
      </c>
      <c r="C1839" s="493" t="s">
        <v>330</v>
      </c>
      <c r="D1839" s="105" t="s">
        <v>2162</v>
      </c>
      <c r="E1839" s="105" t="s">
        <v>2162</v>
      </c>
      <c r="F1839" s="493">
        <v>62058</v>
      </c>
      <c r="G1839" s="105" t="s">
        <v>38</v>
      </c>
      <c r="H1839" s="105" t="s">
        <v>342</v>
      </c>
      <c r="I1839" s="105" t="s">
        <v>334</v>
      </c>
      <c r="J1839" s="493">
        <v>22</v>
      </c>
      <c r="K1839" s="493">
        <v>2</v>
      </c>
      <c r="L1839" s="105" t="s">
        <v>343</v>
      </c>
      <c r="M1839" s="105" t="s">
        <v>655</v>
      </c>
      <c r="N1839" s="105" t="s">
        <v>656</v>
      </c>
      <c r="O1839" s="105" t="s">
        <v>656</v>
      </c>
      <c r="P1839" s="105" t="s">
        <v>339</v>
      </c>
      <c r="Q1839" s="494">
        <v>0</v>
      </c>
      <c r="R1839" s="494">
        <v>0</v>
      </c>
      <c r="S1839" s="494">
        <v>19462</v>
      </c>
      <c r="T1839" s="494">
        <v>19462</v>
      </c>
      <c r="U1839" s="494">
        <v>5704</v>
      </c>
      <c r="V1839" s="493">
        <v>2024</v>
      </c>
      <c r="W1839" s="495"/>
      <c r="X1839" s="496">
        <f t="shared" si="118"/>
        <v>3.4119915848527351</v>
      </c>
      <c r="Y1839" s="497" t="str">
        <f t="shared" si="120"/>
        <v/>
      </c>
      <c r="Z1839" s="497" t="str">
        <f t="shared" si="120"/>
        <v/>
      </c>
    </row>
    <row r="1840" spans="1:26" s="82" customFormat="1" ht="32" x14ac:dyDescent="0.4">
      <c r="A1840" s="493">
        <v>62559</v>
      </c>
      <c r="B1840" s="105" t="s">
        <v>329</v>
      </c>
      <c r="C1840" s="493" t="s">
        <v>330</v>
      </c>
      <c r="D1840" s="105" t="s">
        <v>2163</v>
      </c>
      <c r="E1840" s="105" t="s">
        <v>2164</v>
      </c>
      <c r="F1840" s="493">
        <v>62059</v>
      </c>
      <c r="G1840" s="105" t="s">
        <v>33</v>
      </c>
      <c r="H1840" s="105" t="s">
        <v>342</v>
      </c>
      <c r="I1840" s="105" t="s">
        <v>334</v>
      </c>
      <c r="J1840" s="493">
        <v>22</v>
      </c>
      <c r="K1840" s="493">
        <v>2</v>
      </c>
      <c r="L1840" s="105" t="s">
        <v>343</v>
      </c>
      <c r="M1840" s="105" t="s">
        <v>655</v>
      </c>
      <c r="N1840" s="105" t="s">
        <v>656</v>
      </c>
      <c r="O1840" s="105" t="s">
        <v>656</v>
      </c>
      <c r="P1840" s="105" t="s">
        <v>339</v>
      </c>
      <c r="Q1840" s="494">
        <v>0</v>
      </c>
      <c r="R1840" s="494">
        <v>0</v>
      </c>
      <c r="S1840" s="494">
        <v>7754</v>
      </c>
      <c r="T1840" s="494">
        <v>7754</v>
      </c>
      <c r="U1840" s="494">
        <v>2272</v>
      </c>
      <c r="V1840" s="493">
        <v>2024</v>
      </c>
      <c r="W1840" s="495"/>
      <c r="X1840" s="496">
        <f t="shared" si="118"/>
        <v>3.4128521126760565</v>
      </c>
      <c r="Y1840" s="497" t="str">
        <f t="shared" si="120"/>
        <v/>
      </c>
      <c r="Z1840" s="497" t="str">
        <f t="shared" si="120"/>
        <v/>
      </c>
    </row>
    <row r="1841" spans="1:26" s="82" customFormat="1" ht="32" x14ac:dyDescent="0.4">
      <c r="A1841" s="493">
        <v>62567</v>
      </c>
      <c r="B1841" s="105" t="s">
        <v>329</v>
      </c>
      <c r="C1841" s="493" t="s">
        <v>330</v>
      </c>
      <c r="D1841" s="105" t="s">
        <v>2165</v>
      </c>
      <c r="E1841" s="105" t="s">
        <v>2165</v>
      </c>
      <c r="F1841" s="493">
        <v>62062</v>
      </c>
      <c r="G1841" s="105" t="s">
        <v>38</v>
      </c>
      <c r="H1841" s="105" t="s">
        <v>342</v>
      </c>
      <c r="I1841" s="105" t="s">
        <v>334</v>
      </c>
      <c r="J1841" s="493">
        <v>22</v>
      </c>
      <c r="K1841" s="493">
        <v>2</v>
      </c>
      <c r="L1841" s="105" t="s">
        <v>343</v>
      </c>
      <c r="M1841" s="105" t="s">
        <v>655</v>
      </c>
      <c r="N1841" s="105" t="s">
        <v>656</v>
      </c>
      <c r="O1841" s="105" t="s">
        <v>656</v>
      </c>
      <c r="P1841" s="105" t="s">
        <v>339</v>
      </c>
      <c r="Q1841" s="494">
        <v>0</v>
      </c>
      <c r="R1841" s="494">
        <v>0</v>
      </c>
      <c r="S1841" s="494">
        <v>6534</v>
      </c>
      <c r="T1841" s="494">
        <v>6534</v>
      </c>
      <c r="U1841" s="494">
        <v>1915</v>
      </c>
      <c r="V1841" s="493">
        <v>2024</v>
      </c>
      <c r="W1841" s="495"/>
      <c r="X1841" s="496">
        <f t="shared" si="118"/>
        <v>3.4120104438642298</v>
      </c>
      <c r="Y1841" s="497" t="str">
        <f t="shared" si="120"/>
        <v/>
      </c>
      <c r="Z1841" s="497" t="str">
        <f t="shared" si="120"/>
        <v/>
      </c>
    </row>
    <row r="1842" spans="1:26" s="82" customFormat="1" ht="32" x14ac:dyDescent="0.4">
      <c r="A1842" s="493">
        <v>62568</v>
      </c>
      <c r="B1842" s="105" t="s">
        <v>329</v>
      </c>
      <c r="C1842" s="493" t="s">
        <v>330</v>
      </c>
      <c r="D1842" s="105" t="s">
        <v>2166</v>
      </c>
      <c r="E1842" s="105" t="s">
        <v>2166</v>
      </c>
      <c r="F1842" s="493">
        <v>62061</v>
      </c>
      <c r="G1842" s="105" t="s">
        <v>38</v>
      </c>
      <c r="H1842" s="105" t="s">
        <v>342</v>
      </c>
      <c r="I1842" s="105" t="s">
        <v>334</v>
      </c>
      <c r="J1842" s="493">
        <v>22</v>
      </c>
      <c r="K1842" s="493">
        <v>2</v>
      </c>
      <c r="L1842" s="105" t="s">
        <v>343</v>
      </c>
      <c r="M1842" s="105" t="s">
        <v>655</v>
      </c>
      <c r="N1842" s="105" t="s">
        <v>656</v>
      </c>
      <c r="O1842" s="105" t="s">
        <v>656</v>
      </c>
      <c r="P1842" s="105" t="s">
        <v>339</v>
      </c>
      <c r="Q1842" s="494">
        <v>0</v>
      </c>
      <c r="R1842" s="494">
        <v>0</v>
      </c>
      <c r="S1842" s="494">
        <v>9262</v>
      </c>
      <c r="T1842" s="494">
        <v>9262</v>
      </c>
      <c r="U1842" s="494">
        <v>2714</v>
      </c>
      <c r="V1842" s="493">
        <v>2024</v>
      </c>
      <c r="W1842" s="495"/>
      <c r="X1842" s="496">
        <f t="shared" si="118"/>
        <v>3.4126750184229917</v>
      </c>
      <c r="Y1842" s="497" t="str">
        <f t="shared" si="120"/>
        <v/>
      </c>
      <c r="Z1842" s="497" t="str">
        <f t="shared" si="120"/>
        <v/>
      </c>
    </row>
    <row r="1843" spans="1:26" s="82" customFormat="1" ht="32" x14ac:dyDescent="0.4">
      <c r="A1843" s="493">
        <v>62570</v>
      </c>
      <c r="B1843" s="105" t="s">
        <v>329</v>
      </c>
      <c r="C1843" s="493" t="s">
        <v>330</v>
      </c>
      <c r="D1843" s="105" t="s">
        <v>2167</v>
      </c>
      <c r="E1843" s="105" t="s">
        <v>2168</v>
      </c>
      <c r="F1843" s="493">
        <v>62069</v>
      </c>
      <c r="G1843" s="105" t="s">
        <v>33</v>
      </c>
      <c r="H1843" s="105" t="s">
        <v>342</v>
      </c>
      <c r="I1843" s="105" t="s">
        <v>334</v>
      </c>
      <c r="J1843" s="493">
        <v>721</v>
      </c>
      <c r="K1843" s="493">
        <v>4</v>
      </c>
      <c r="L1843" s="105" t="s">
        <v>766</v>
      </c>
      <c r="M1843" s="105" t="s">
        <v>695</v>
      </c>
      <c r="N1843" s="105" t="s">
        <v>696</v>
      </c>
      <c r="O1843" s="105" t="s">
        <v>696</v>
      </c>
      <c r="P1843" s="105" t="s">
        <v>339</v>
      </c>
      <c r="Q1843" s="494">
        <v>0</v>
      </c>
      <c r="R1843" s="494">
        <v>0</v>
      </c>
      <c r="S1843" s="494">
        <v>0</v>
      </c>
      <c r="T1843" s="494">
        <v>0</v>
      </c>
      <c r="U1843" s="494">
        <v>0</v>
      </c>
      <c r="V1843" s="493">
        <v>2024</v>
      </c>
      <c r="W1843" s="495"/>
      <c r="X1843" s="496" t="str">
        <f t="shared" si="118"/>
        <v/>
      </c>
      <c r="Y1843" s="497" t="str">
        <f t="shared" si="120"/>
        <v/>
      </c>
      <c r="Z1843" s="497" t="str">
        <f t="shared" si="120"/>
        <v/>
      </c>
    </row>
    <row r="1844" spans="1:26" s="82" customFormat="1" x14ac:dyDescent="0.4">
      <c r="A1844" s="493">
        <v>62572</v>
      </c>
      <c r="B1844" s="105" t="s">
        <v>329</v>
      </c>
      <c r="C1844" s="493" t="s">
        <v>330</v>
      </c>
      <c r="D1844" s="105" t="s">
        <v>2169</v>
      </c>
      <c r="E1844" s="105" t="s">
        <v>2116</v>
      </c>
      <c r="F1844" s="493">
        <v>57128</v>
      </c>
      <c r="G1844" s="105" t="s">
        <v>52</v>
      </c>
      <c r="H1844" s="105" t="s">
        <v>333</v>
      </c>
      <c r="I1844" s="105" t="s">
        <v>334</v>
      </c>
      <c r="J1844" s="493">
        <v>22</v>
      </c>
      <c r="K1844" s="493">
        <v>2</v>
      </c>
      <c r="L1844" s="105" t="s">
        <v>343</v>
      </c>
      <c r="M1844" s="105" t="s">
        <v>990</v>
      </c>
      <c r="N1844" s="105" t="s">
        <v>228</v>
      </c>
      <c r="O1844" s="105" t="s">
        <v>228</v>
      </c>
      <c r="P1844" s="105" t="s">
        <v>356</v>
      </c>
      <c r="Q1844" s="494">
        <v>58648</v>
      </c>
      <c r="R1844" s="494">
        <v>58648</v>
      </c>
      <c r="S1844" s="494">
        <v>59922</v>
      </c>
      <c r="T1844" s="494">
        <v>59922</v>
      </c>
      <c r="U1844" s="494">
        <v>8254</v>
      </c>
      <c r="V1844" s="493">
        <v>2024</v>
      </c>
      <c r="W1844" s="495"/>
      <c r="X1844" s="496">
        <f t="shared" si="118"/>
        <v>7.2597528471044344</v>
      </c>
      <c r="Y1844" s="497" t="str">
        <f t="shared" si="120"/>
        <v/>
      </c>
      <c r="Z1844" s="497" t="str">
        <f t="shared" si="120"/>
        <v/>
      </c>
    </row>
    <row r="1845" spans="1:26" s="82" customFormat="1" x14ac:dyDescent="0.4">
      <c r="A1845" s="493">
        <v>62576</v>
      </c>
      <c r="B1845" s="105" t="s">
        <v>329</v>
      </c>
      <c r="C1845" s="493" t="s">
        <v>330</v>
      </c>
      <c r="D1845" s="105" t="s">
        <v>2170</v>
      </c>
      <c r="E1845" s="105" t="s">
        <v>2116</v>
      </c>
      <c r="F1845" s="493">
        <v>57128</v>
      </c>
      <c r="G1845" s="105" t="s">
        <v>52</v>
      </c>
      <c r="H1845" s="105" t="s">
        <v>333</v>
      </c>
      <c r="I1845" s="105" t="s">
        <v>334</v>
      </c>
      <c r="J1845" s="493">
        <v>22</v>
      </c>
      <c r="K1845" s="493">
        <v>2</v>
      </c>
      <c r="L1845" s="105" t="s">
        <v>343</v>
      </c>
      <c r="M1845" s="105" t="s">
        <v>990</v>
      </c>
      <c r="N1845" s="105" t="s">
        <v>228</v>
      </c>
      <c r="O1845" s="105" t="s">
        <v>228</v>
      </c>
      <c r="P1845" s="105" t="s">
        <v>356</v>
      </c>
      <c r="Q1845" s="494">
        <v>65513</v>
      </c>
      <c r="R1845" s="494">
        <v>65513</v>
      </c>
      <c r="S1845" s="494">
        <v>66823</v>
      </c>
      <c r="T1845" s="494">
        <v>66823</v>
      </c>
      <c r="U1845" s="494">
        <v>9670</v>
      </c>
      <c r="V1845" s="493">
        <v>2024</v>
      </c>
      <c r="W1845" s="495"/>
      <c r="X1845" s="496">
        <f t="shared" si="118"/>
        <v>6.9103412616339197</v>
      </c>
      <c r="Y1845" s="497" t="str">
        <f t="shared" si="120"/>
        <v/>
      </c>
      <c r="Z1845" s="497" t="str">
        <f t="shared" si="120"/>
        <v/>
      </c>
    </row>
    <row r="1846" spans="1:26" s="82" customFormat="1" x14ac:dyDescent="0.4">
      <c r="A1846" s="493">
        <v>62579</v>
      </c>
      <c r="B1846" s="105" t="s">
        <v>329</v>
      </c>
      <c r="C1846" s="493" t="s">
        <v>330</v>
      </c>
      <c r="D1846" s="105" t="s">
        <v>2171</v>
      </c>
      <c r="E1846" s="105" t="s">
        <v>2172</v>
      </c>
      <c r="F1846" s="493">
        <v>62070</v>
      </c>
      <c r="G1846" s="105" t="s">
        <v>33</v>
      </c>
      <c r="H1846" s="105" t="s">
        <v>342</v>
      </c>
      <c r="I1846" s="105" t="s">
        <v>334</v>
      </c>
      <c r="J1846" s="493">
        <v>22</v>
      </c>
      <c r="K1846" s="493">
        <v>2</v>
      </c>
      <c r="L1846" s="105" t="s">
        <v>343</v>
      </c>
      <c r="M1846" s="105" t="s">
        <v>655</v>
      </c>
      <c r="N1846" s="105" t="s">
        <v>656</v>
      </c>
      <c r="O1846" s="105" t="s">
        <v>656</v>
      </c>
      <c r="P1846" s="105" t="s">
        <v>339</v>
      </c>
      <c r="Q1846" s="494">
        <v>0</v>
      </c>
      <c r="R1846" s="494">
        <v>0</v>
      </c>
      <c r="S1846" s="494">
        <v>11703</v>
      </c>
      <c r="T1846" s="494">
        <v>11703</v>
      </c>
      <c r="U1846" s="494">
        <v>3430</v>
      </c>
      <c r="V1846" s="493">
        <v>2024</v>
      </c>
      <c r="W1846" s="495"/>
      <c r="X1846" s="496">
        <f t="shared" si="118"/>
        <v>3.4119533527696793</v>
      </c>
      <c r="Y1846" s="497" t="str">
        <f t="shared" si="120"/>
        <v/>
      </c>
      <c r="Z1846" s="497" t="str">
        <f t="shared" si="120"/>
        <v/>
      </c>
    </row>
    <row r="1847" spans="1:26" s="82" customFormat="1" ht="32" x14ac:dyDescent="0.4">
      <c r="A1847" s="493">
        <v>62580</v>
      </c>
      <c r="B1847" s="105" t="s">
        <v>329</v>
      </c>
      <c r="C1847" s="493" t="s">
        <v>330</v>
      </c>
      <c r="D1847" s="105" t="s">
        <v>2173</v>
      </c>
      <c r="E1847" s="105" t="s">
        <v>2174</v>
      </c>
      <c r="F1847" s="493">
        <v>62071</v>
      </c>
      <c r="G1847" s="105" t="s">
        <v>52</v>
      </c>
      <c r="H1847" s="105" t="s">
        <v>333</v>
      </c>
      <c r="I1847" s="105" t="s">
        <v>334</v>
      </c>
      <c r="J1847" s="493">
        <v>22</v>
      </c>
      <c r="K1847" s="493">
        <v>2</v>
      </c>
      <c r="L1847" s="105" t="s">
        <v>343</v>
      </c>
      <c r="M1847" s="105" t="s">
        <v>655</v>
      </c>
      <c r="N1847" s="105" t="s">
        <v>656</v>
      </c>
      <c r="O1847" s="105" t="s">
        <v>656</v>
      </c>
      <c r="P1847" s="105" t="s">
        <v>339</v>
      </c>
      <c r="Q1847" s="494">
        <v>0</v>
      </c>
      <c r="R1847" s="494">
        <v>0</v>
      </c>
      <c r="S1847" s="494">
        <v>22065</v>
      </c>
      <c r="T1847" s="494">
        <v>22065</v>
      </c>
      <c r="U1847" s="494">
        <v>6467</v>
      </c>
      <c r="V1847" s="493">
        <v>2024</v>
      </c>
      <c r="W1847" s="495"/>
      <c r="X1847" s="496">
        <f t="shared" si="118"/>
        <v>3.4119375289933509</v>
      </c>
      <c r="Y1847" s="497" t="str">
        <f t="shared" si="120"/>
        <v/>
      </c>
      <c r="Z1847" s="497" t="str">
        <f t="shared" si="120"/>
        <v/>
      </c>
    </row>
    <row r="1848" spans="1:26" s="82" customFormat="1" ht="32" x14ac:dyDescent="0.4">
      <c r="A1848" s="493">
        <v>62581</v>
      </c>
      <c r="B1848" s="105" t="s">
        <v>329</v>
      </c>
      <c r="C1848" s="493" t="s">
        <v>330</v>
      </c>
      <c r="D1848" s="105" t="s">
        <v>2175</v>
      </c>
      <c r="E1848" s="105" t="s">
        <v>1441</v>
      </c>
      <c r="F1848" s="493">
        <v>59254</v>
      </c>
      <c r="G1848" s="105" t="s">
        <v>33</v>
      </c>
      <c r="H1848" s="105" t="s">
        <v>342</v>
      </c>
      <c r="I1848" s="105" t="s">
        <v>334</v>
      </c>
      <c r="J1848" s="493">
        <v>22</v>
      </c>
      <c r="K1848" s="493">
        <v>2</v>
      </c>
      <c r="L1848" s="105" t="s">
        <v>343</v>
      </c>
      <c r="M1848" s="105" t="s">
        <v>655</v>
      </c>
      <c r="N1848" s="105" t="s">
        <v>656</v>
      </c>
      <c r="O1848" s="105" t="s">
        <v>656</v>
      </c>
      <c r="P1848" s="105" t="s">
        <v>339</v>
      </c>
      <c r="Q1848" s="494">
        <v>0</v>
      </c>
      <c r="R1848" s="494">
        <v>0</v>
      </c>
      <c r="S1848" s="494">
        <v>16965</v>
      </c>
      <c r="T1848" s="494">
        <v>16965</v>
      </c>
      <c r="U1848" s="494">
        <v>4972</v>
      </c>
      <c r="V1848" s="493">
        <v>2024</v>
      </c>
      <c r="W1848" s="495"/>
      <c r="X1848" s="496">
        <f t="shared" si="118"/>
        <v>3.412107803700724</v>
      </c>
      <c r="Y1848" s="497" t="str">
        <f t="shared" ref="Y1848:Z1867" si="121">IF(AND($M1848=$Y$2,$N1848=$Y$3,NOT($Q1848=$R1848),NOT($U1848=0)),IF($K1848=5,$S1848/($U1848+(8/5)*$U1848),IF($K1848=7,$S1848/($U1848+(29/25)*$U1848),"")),"")</f>
        <v/>
      </c>
      <c r="Z1848" s="497" t="str">
        <f t="shared" si="121"/>
        <v/>
      </c>
    </row>
    <row r="1849" spans="1:26" s="82" customFormat="1" x14ac:dyDescent="0.4">
      <c r="A1849" s="493">
        <v>62582</v>
      </c>
      <c r="B1849" s="105" t="s">
        <v>329</v>
      </c>
      <c r="C1849" s="493" t="s">
        <v>330</v>
      </c>
      <c r="D1849" s="105" t="s">
        <v>2176</v>
      </c>
      <c r="E1849" s="105" t="s">
        <v>2177</v>
      </c>
      <c r="F1849" s="493">
        <v>62072</v>
      </c>
      <c r="G1849" s="105" t="s">
        <v>52</v>
      </c>
      <c r="H1849" s="105" t="s">
        <v>333</v>
      </c>
      <c r="I1849" s="105" t="s">
        <v>334</v>
      </c>
      <c r="J1849" s="493">
        <v>22</v>
      </c>
      <c r="K1849" s="493">
        <v>2</v>
      </c>
      <c r="L1849" s="105" t="s">
        <v>343</v>
      </c>
      <c r="M1849" s="105" t="s">
        <v>655</v>
      </c>
      <c r="N1849" s="105" t="s">
        <v>656</v>
      </c>
      <c r="O1849" s="105" t="s">
        <v>656</v>
      </c>
      <c r="P1849" s="105" t="s">
        <v>339</v>
      </c>
      <c r="Q1849" s="494">
        <v>0</v>
      </c>
      <c r="R1849" s="494">
        <v>0</v>
      </c>
      <c r="S1849" s="494">
        <v>28353</v>
      </c>
      <c r="T1849" s="494">
        <v>28353</v>
      </c>
      <c r="U1849" s="494">
        <v>8310</v>
      </c>
      <c r="V1849" s="493">
        <v>2024</v>
      </c>
      <c r="W1849" s="495"/>
      <c r="X1849" s="496">
        <f t="shared" si="118"/>
        <v>3.4119133574007221</v>
      </c>
      <c r="Y1849" s="497" t="str">
        <f t="shared" si="121"/>
        <v/>
      </c>
      <c r="Z1849" s="497" t="str">
        <f t="shared" si="121"/>
        <v/>
      </c>
    </row>
    <row r="1850" spans="1:26" s="82" customFormat="1" ht="32" x14ac:dyDescent="0.4">
      <c r="A1850" s="493">
        <v>62583</v>
      </c>
      <c r="B1850" s="105" t="s">
        <v>329</v>
      </c>
      <c r="C1850" s="493" t="s">
        <v>330</v>
      </c>
      <c r="D1850" s="105" t="s">
        <v>2178</v>
      </c>
      <c r="E1850" s="105" t="s">
        <v>2178</v>
      </c>
      <c r="F1850" s="493">
        <v>62073</v>
      </c>
      <c r="G1850" s="105" t="s">
        <v>33</v>
      </c>
      <c r="H1850" s="105" t="s">
        <v>342</v>
      </c>
      <c r="I1850" s="105" t="s">
        <v>334</v>
      </c>
      <c r="J1850" s="493">
        <v>22</v>
      </c>
      <c r="K1850" s="493">
        <v>2</v>
      </c>
      <c r="L1850" s="105" t="s">
        <v>343</v>
      </c>
      <c r="M1850" s="105" t="s">
        <v>655</v>
      </c>
      <c r="N1850" s="105" t="s">
        <v>656</v>
      </c>
      <c r="O1850" s="105" t="s">
        <v>656</v>
      </c>
      <c r="P1850" s="105" t="s">
        <v>339</v>
      </c>
      <c r="Q1850" s="494">
        <v>0</v>
      </c>
      <c r="R1850" s="494">
        <v>0</v>
      </c>
      <c r="S1850" s="494">
        <v>26450</v>
      </c>
      <c r="T1850" s="494">
        <v>26450</v>
      </c>
      <c r="U1850" s="494">
        <v>7752</v>
      </c>
      <c r="V1850" s="493">
        <v>2024</v>
      </c>
      <c r="W1850" s="495"/>
      <c r="X1850" s="496">
        <f t="shared" si="118"/>
        <v>3.4120227038183693</v>
      </c>
      <c r="Y1850" s="497" t="str">
        <f t="shared" si="121"/>
        <v/>
      </c>
      <c r="Z1850" s="497" t="str">
        <f t="shared" si="121"/>
        <v/>
      </c>
    </row>
    <row r="1851" spans="1:26" s="82" customFormat="1" ht="32" x14ac:dyDescent="0.4">
      <c r="A1851" s="493">
        <v>62585</v>
      </c>
      <c r="B1851" s="105" t="s">
        <v>329</v>
      </c>
      <c r="C1851" s="493" t="s">
        <v>330</v>
      </c>
      <c r="D1851" s="105" t="s">
        <v>2179</v>
      </c>
      <c r="E1851" s="105" t="s">
        <v>654</v>
      </c>
      <c r="F1851" s="493">
        <v>11806</v>
      </c>
      <c r="G1851" s="105" t="s">
        <v>33</v>
      </c>
      <c r="H1851" s="105" t="s">
        <v>342</v>
      </c>
      <c r="I1851" s="105" t="s">
        <v>334</v>
      </c>
      <c r="J1851" s="493">
        <v>22</v>
      </c>
      <c r="K1851" s="493">
        <v>1</v>
      </c>
      <c r="L1851" s="105" t="s">
        <v>335</v>
      </c>
      <c r="M1851" s="105" t="s">
        <v>403</v>
      </c>
      <c r="N1851" s="105" t="s">
        <v>404</v>
      </c>
      <c r="O1851" s="105" t="s">
        <v>232</v>
      </c>
      <c r="P1851" s="105" t="s">
        <v>346</v>
      </c>
      <c r="Q1851" s="494">
        <v>411</v>
      </c>
      <c r="R1851" s="494">
        <v>411</v>
      </c>
      <c r="S1851" s="494">
        <v>0</v>
      </c>
      <c r="T1851" s="494">
        <v>0</v>
      </c>
      <c r="U1851" s="494">
        <v>-36</v>
      </c>
      <c r="V1851" s="493">
        <v>2024</v>
      </c>
      <c r="W1851" s="495"/>
      <c r="X1851" s="496" t="str">
        <f t="shared" si="118"/>
        <v/>
      </c>
      <c r="Y1851" s="497" t="str">
        <f t="shared" si="121"/>
        <v/>
      </c>
      <c r="Z1851" s="497" t="str">
        <f t="shared" si="121"/>
        <v/>
      </c>
    </row>
    <row r="1852" spans="1:26" s="82" customFormat="1" x14ac:dyDescent="0.4">
      <c r="A1852" s="493">
        <v>62588</v>
      </c>
      <c r="B1852" s="105" t="s">
        <v>329</v>
      </c>
      <c r="C1852" s="493" t="s">
        <v>330</v>
      </c>
      <c r="D1852" s="105" t="s">
        <v>2180</v>
      </c>
      <c r="E1852" s="105" t="s">
        <v>2181</v>
      </c>
      <c r="F1852" s="493">
        <v>62091</v>
      </c>
      <c r="G1852" s="105" t="s">
        <v>37</v>
      </c>
      <c r="H1852" s="105" t="s">
        <v>342</v>
      </c>
      <c r="I1852" s="105" t="s">
        <v>334</v>
      </c>
      <c r="J1852" s="493">
        <v>22</v>
      </c>
      <c r="K1852" s="493">
        <v>2</v>
      </c>
      <c r="L1852" s="105" t="s">
        <v>343</v>
      </c>
      <c r="M1852" s="105" t="s">
        <v>990</v>
      </c>
      <c r="N1852" s="105" t="s">
        <v>228</v>
      </c>
      <c r="O1852" s="105" t="s">
        <v>228</v>
      </c>
      <c r="P1852" s="105" t="s">
        <v>356</v>
      </c>
      <c r="Q1852" s="494">
        <v>876496</v>
      </c>
      <c r="R1852" s="494">
        <v>876496</v>
      </c>
      <c r="S1852" s="494">
        <v>902791</v>
      </c>
      <c r="T1852" s="494">
        <v>902791</v>
      </c>
      <c r="U1852" s="494">
        <v>105892</v>
      </c>
      <c r="V1852" s="493">
        <v>2024</v>
      </c>
      <c r="W1852" s="495"/>
      <c r="X1852" s="496">
        <f t="shared" si="118"/>
        <v>8.5255826691345895</v>
      </c>
      <c r="Y1852" s="497" t="str">
        <f t="shared" si="121"/>
        <v/>
      </c>
      <c r="Z1852" s="497" t="str">
        <f t="shared" si="121"/>
        <v/>
      </c>
    </row>
    <row r="1853" spans="1:26" s="82" customFormat="1" ht="32" x14ac:dyDescent="0.4">
      <c r="A1853" s="493">
        <v>62589</v>
      </c>
      <c r="B1853" s="105" t="s">
        <v>329</v>
      </c>
      <c r="C1853" s="493" t="s">
        <v>330</v>
      </c>
      <c r="D1853" s="105" t="s">
        <v>2182</v>
      </c>
      <c r="E1853" s="105" t="s">
        <v>2182</v>
      </c>
      <c r="F1853" s="493">
        <v>62087</v>
      </c>
      <c r="G1853" s="105" t="s">
        <v>52</v>
      </c>
      <c r="H1853" s="105" t="s">
        <v>333</v>
      </c>
      <c r="I1853" s="105" t="s">
        <v>334</v>
      </c>
      <c r="J1853" s="493">
        <v>622</v>
      </c>
      <c r="K1853" s="493">
        <v>4</v>
      </c>
      <c r="L1853" s="105" t="s">
        <v>766</v>
      </c>
      <c r="M1853" s="105" t="s">
        <v>359</v>
      </c>
      <c r="N1853" s="105" t="s">
        <v>226</v>
      </c>
      <c r="O1853" s="105" t="s">
        <v>226</v>
      </c>
      <c r="P1853" s="105" t="s">
        <v>350</v>
      </c>
      <c r="Q1853" s="494">
        <v>13</v>
      </c>
      <c r="R1853" s="494">
        <v>13</v>
      </c>
      <c r="S1853" s="494">
        <v>77</v>
      </c>
      <c r="T1853" s="494">
        <v>77</v>
      </c>
      <c r="U1853" s="494">
        <v>12</v>
      </c>
      <c r="V1853" s="493">
        <v>2024</v>
      </c>
      <c r="W1853" s="495"/>
      <c r="X1853" s="496" t="str">
        <f t="shared" si="118"/>
        <v/>
      </c>
      <c r="Y1853" s="497" t="str">
        <f t="shared" si="121"/>
        <v/>
      </c>
      <c r="Z1853" s="497" t="str">
        <f t="shared" si="121"/>
        <v/>
      </c>
    </row>
    <row r="1854" spans="1:26" s="82" customFormat="1" x14ac:dyDescent="0.4">
      <c r="A1854" s="493">
        <v>62604</v>
      </c>
      <c r="B1854" s="105" t="s">
        <v>329</v>
      </c>
      <c r="C1854" s="493" t="s">
        <v>330</v>
      </c>
      <c r="D1854" s="105" t="s">
        <v>2183</v>
      </c>
      <c r="E1854" s="105" t="s">
        <v>2184</v>
      </c>
      <c r="F1854" s="493">
        <v>59497</v>
      </c>
      <c r="G1854" s="105" t="s">
        <v>33</v>
      </c>
      <c r="H1854" s="105" t="s">
        <v>342</v>
      </c>
      <c r="I1854" s="105" t="s">
        <v>334</v>
      </c>
      <c r="J1854" s="493">
        <v>22</v>
      </c>
      <c r="K1854" s="493">
        <v>2</v>
      </c>
      <c r="L1854" s="105" t="s">
        <v>343</v>
      </c>
      <c r="M1854" s="105" t="s">
        <v>403</v>
      </c>
      <c r="N1854" s="105" t="s">
        <v>404</v>
      </c>
      <c r="O1854" s="105" t="s">
        <v>232</v>
      </c>
      <c r="P1854" s="105" t="s">
        <v>346</v>
      </c>
      <c r="Q1854" s="494">
        <v>870</v>
      </c>
      <c r="R1854" s="494">
        <v>870</v>
      </c>
      <c r="S1854" s="494">
        <v>0</v>
      </c>
      <c r="T1854" s="494">
        <v>0</v>
      </c>
      <c r="U1854" s="494">
        <v>-59</v>
      </c>
      <c r="V1854" s="493">
        <v>2024</v>
      </c>
      <c r="W1854" s="495"/>
      <c r="X1854" s="496" t="str">
        <f t="shared" si="118"/>
        <v/>
      </c>
      <c r="Y1854" s="497" t="str">
        <f t="shared" si="121"/>
        <v/>
      </c>
      <c r="Z1854" s="497" t="str">
        <f t="shared" si="121"/>
        <v/>
      </c>
    </row>
    <row r="1855" spans="1:26" s="82" customFormat="1" x14ac:dyDescent="0.4">
      <c r="A1855" s="493">
        <v>62613</v>
      </c>
      <c r="B1855" s="105" t="s">
        <v>329</v>
      </c>
      <c r="C1855" s="493" t="s">
        <v>330</v>
      </c>
      <c r="D1855" s="105" t="s">
        <v>2185</v>
      </c>
      <c r="E1855" s="105" t="s">
        <v>2186</v>
      </c>
      <c r="F1855" s="493">
        <v>62067</v>
      </c>
      <c r="G1855" s="105" t="s">
        <v>52</v>
      </c>
      <c r="H1855" s="105" t="s">
        <v>333</v>
      </c>
      <c r="I1855" s="105" t="s">
        <v>334</v>
      </c>
      <c r="J1855" s="493">
        <v>22</v>
      </c>
      <c r="K1855" s="493">
        <v>2</v>
      </c>
      <c r="L1855" s="105" t="s">
        <v>343</v>
      </c>
      <c r="M1855" s="105" t="s">
        <v>655</v>
      </c>
      <c r="N1855" s="105" t="s">
        <v>656</v>
      </c>
      <c r="O1855" s="105" t="s">
        <v>656</v>
      </c>
      <c r="P1855" s="105" t="s">
        <v>339</v>
      </c>
      <c r="Q1855" s="494">
        <v>0</v>
      </c>
      <c r="R1855" s="494">
        <v>0</v>
      </c>
      <c r="S1855" s="494">
        <v>7587</v>
      </c>
      <c r="T1855" s="494">
        <v>7587</v>
      </c>
      <c r="U1855" s="494">
        <v>2224</v>
      </c>
      <c r="V1855" s="493">
        <v>2024</v>
      </c>
      <c r="W1855" s="495"/>
      <c r="X1855" s="496">
        <f t="shared" si="118"/>
        <v>3.4114208633093526</v>
      </c>
      <c r="Y1855" s="497" t="str">
        <f t="shared" si="121"/>
        <v/>
      </c>
      <c r="Z1855" s="497" t="str">
        <f t="shared" si="121"/>
        <v/>
      </c>
    </row>
    <row r="1856" spans="1:26" s="82" customFormat="1" x14ac:dyDescent="0.4">
      <c r="A1856" s="493">
        <v>62614</v>
      </c>
      <c r="B1856" s="105" t="s">
        <v>329</v>
      </c>
      <c r="C1856" s="493" t="s">
        <v>330</v>
      </c>
      <c r="D1856" s="105" t="s">
        <v>2187</v>
      </c>
      <c r="E1856" s="105" t="s">
        <v>2186</v>
      </c>
      <c r="F1856" s="493">
        <v>62067</v>
      </c>
      <c r="G1856" s="105" t="s">
        <v>52</v>
      </c>
      <c r="H1856" s="105" t="s">
        <v>333</v>
      </c>
      <c r="I1856" s="105" t="s">
        <v>334</v>
      </c>
      <c r="J1856" s="493">
        <v>22</v>
      </c>
      <c r="K1856" s="493">
        <v>2</v>
      </c>
      <c r="L1856" s="105" t="s">
        <v>343</v>
      </c>
      <c r="M1856" s="105" t="s">
        <v>655</v>
      </c>
      <c r="N1856" s="105" t="s">
        <v>656</v>
      </c>
      <c r="O1856" s="105" t="s">
        <v>656</v>
      </c>
      <c r="P1856" s="105" t="s">
        <v>339</v>
      </c>
      <c r="Q1856" s="494">
        <v>0</v>
      </c>
      <c r="R1856" s="494">
        <v>0</v>
      </c>
      <c r="S1856" s="494">
        <v>13241</v>
      </c>
      <c r="T1856" s="494">
        <v>13241</v>
      </c>
      <c r="U1856" s="494">
        <v>3881</v>
      </c>
      <c r="V1856" s="493">
        <v>2024</v>
      </c>
      <c r="W1856" s="495"/>
      <c r="X1856" s="496">
        <f t="shared" si="118"/>
        <v>3.4117495490852874</v>
      </c>
      <c r="Y1856" s="497" t="str">
        <f t="shared" si="121"/>
        <v/>
      </c>
      <c r="Z1856" s="497" t="str">
        <f t="shared" si="121"/>
        <v/>
      </c>
    </row>
    <row r="1857" spans="1:26" s="82" customFormat="1" x14ac:dyDescent="0.4">
      <c r="A1857" s="493">
        <v>62615</v>
      </c>
      <c r="B1857" s="105" t="s">
        <v>329</v>
      </c>
      <c r="C1857" s="493" t="s">
        <v>330</v>
      </c>
      <c r="D1857" s="105" t="s">
        <v>2188</v>
      </c>
      <c r="E1857" s="105" t="s">
        <v>2186</v>
      </c>
      <c r="F1857" s="493">
        <v>62067</v>
      </c>
      <c r="G1857" s="105" t="s">
        <v>37</v>
      </c>
      <c r="H1857" s="105" t="s">
        <v>342</v>
      </c>
      <c r="I1857" s="105" t="s">
        <v>334</v>
      </c>
      <c r="J1857" s="493">
        <v>22</v>
      </c>
      <c r="K1857" s="493">
        <v>2</v>
      </c>
      <c r="L1857" s="105" t="s">
        <v>343</v>
      </c>
      <c r="M1857" s="105" t="s">
        <v>655</v>
      </c>
      <c r="N1857" s="105" t="s">
        <v>656</v>
      </c>
      <c r="O1857" s="105" t="s">
        <v>656</v>
      </c>
      <c r="P1857" s="105" t="s">
        <v>339</v>
      </c>
      <c r="Q1857" s="494">
        <v>0</v>
      </c>
      <c r="R1857" s="494">
        <v>0</v>
      </c>
      <c r="S1857" s="494">
        <v>4753</v>
      </c>
      <c r="T1857" s="494">
        <v>4753</v>
      </c>
      <c r="U1857" s="494">
        <v>1393.55</v>
      </c>
      <c r="V1857" s="493">
        <v>2024</v>
      </c>
      <c r="W1857" s="495"/>
      <c r="X1857" s="496">
        <f t="shared" si="118"/>
        <v>3.4107136450073554</v>
      </c>
      <c r="Y1857" s="497" t="str">
        <f t="shared" si="121"/>
        <v/>
      </c>
      <c r="Z1857" s="497" t="str">
        <f t="shared" si="121"/>
        <v/>
      </c>
    </row>
    <row r="1858" spans="1:26" s="82" customFormat="1" ht="32" x14ac:dyDescent="0.4">
      <c r="A1858" s="493">
        <v>62619</v>
      </c>
      <c r="B1858" s="105" t="s">
        <v>329</v>
      </c>
      <c r="C1858" s="493" t="s">
        <v>330</v>
      </c>
      <c r="D1858" s="105" t="s">
        <v>2189</v>
      </c>
      <c r="E1858" s="105" t="s">
        <v>2189</v>
      </c>
      <c r="F1858" s="493">
        <v>62110</v>
      </c>
      <c r="G1858" s="105" t="s">
        <v>52</v>
      </c>
      <c r="H1858" s="105" t="s">
        <v>333</v>
      </c>
      <c r="I1858" s="105" t="s">
        <v>334</v>
      </c>
      <c r="J1858" s="493">
        <v>622</v>
      </c>
      <c r="K1858" s="493">
        <v>4</v>
      </c>
      <c r="L1858" s="105" t="s">
        <v>766</v>
      </c>
      <c r="M1858" s="105" t="s">
        <v>359</v>
      </c>
      <c r="N1858" s="105" t="s">
        <v>226</v>
      </c>
      <c r="O1858" s="105" t="s">
        <v>226</v>
      </c>
      <c r="P1858" s="105" t="s">
        <v>350</v>
      </c>
      <c r="Q1858" s="494">
        <v>3</v>
      </c>
      <c r="R1858" s="494">
        <v>3</v>
      </c>
      <c r="S1858" s="494">
        <v>18</v>
      </c>
      <c r="T1858" s="494">
        <v>18</v>
      </c>
      <c r="U1858" s="494">
        <v>1.9490000000000001</v>
      </c>
      <c r="V1858" s="493">
        <v>2024</v>
      </c>
      <c r="W1858" s="495"/>
      <c r="X1858" s="496" t="str">
        <f t="shared" si="118"/>
        <v/>
      </c>
      <c r="Y1858" s="497" t="str">
        <f t="shared" si="121"/>
        <v/>
      </c>
      <c r="Z1858" s="497" t="str">
        <f t="shared" si="121"/>
        <v/>
      </c>
    </row>
    <row r="1859" spans="1:26" s="82" customFormat="1" ht="32" x14ac:dyDescent="0.4">
      <c r="A1859" s="493">
        <v>62619</v>
      </c>
      <c r="B1859" s="105" t="s">
        <v>329</v>
      </c>
      <c r="C1859" s="493" t="s">
        <v>330</v>
      </c>
      <c r="D1859" s="105" t="s">
        <v>2189</v>
      </c>
      <c r="E1859" s="105" t="s">
        <v>2189</v>
      </c>
      <c r="F1859" s="493">
        <v>62110</v>
      </c>
      <c r="G1859" s="105" t="s">
        <v>52</v>
      </c>
      <c r="H1859" s="105" t="s">
        <v>333</v>
      </c>
      <c r="I1859" s="105" t="s">
        <v>334</v>
      </c>
      <c r="J1859" s="493">
        <v>622</v>
      </c>
      <c r="K1859" s="493">
        <v>4</v>
      </c>
      <c r="L1859" s="105" t="s">
        <v>766</v>
      </c>
      <c r="M1859" s="105" t="s">
        <v>359</v>
      </c>
      <c r="N1859" s="105" t="s">
        <v>228</v>
      </c>
      <c r="O1859" s="105" t="s">
        <v>228</v>
      </c>
      <c r="P1859" s="105" t="s">
        <v>356</v>
      </c>
      <c r="Q1859" s="494">
        <v>169</v>
      </c>
      <c r="R1859" s="494">
        <v>169</v>
      </c>
      <c r="S1859" s="494">
        <v>169</v>
      </c>
      <c r="T1859" s="494">
        <v>169</v>
      </c>
      <c r="U1859" s="494">
        <v>19.050999999999998</v>
      </c>
      <c r="V1859" s="493">
        <v>2024</v>
      </c>
      <c r="W1859" s="495"/>
      <c r="X1859" s="496" t="str">
        <f t="shared" si="118"/>
        <v/>
      </c>
      <c r="Y1859" s="497" t="str">
        <f t="shared" si="121"/>
        <v/>
      </c>
      <c r="Z1859" s="497" t="str">
        <f t="shared" si="121"/>
        <v/>
      </c>
    </row>
    <row r="1860" spans="1:26" s="82" customFormat="1" x14ac:dyDescent="0.4">
      <c r="A1860" s="493">
        <v>62625</v>
      </c>
      <c r="B1860" s="105" t="s">
        <v>329</v>
      </c>
      <c r="C1860" s="493" t="s">
        <v>330</v>
      </c>
      <c r="D1860" s="105" t="s">
        <v>2190</v>
      </c>
      <c r="E1860" s="105" t="s">
        <v>463</v>
      </c>
      <c r="F1860" s="493">
        <v>18488</v>
      </c>
      <c r="G1860" s="105" t="s">
        <v>33</v>
      </c>
      <c r="H1860" s="105" t="s">
        <v>342</v>
      </c>
      <c r="I1860" s="105" t="s">
        <v>334</v>
      </c>
      <c r="J1860" s="493">
        <v>22</v>
      </c>
      <c r="K1860" s="493">
        <v>1</v>
      </c>
      <c r="L1860" s="105" t="s">
        <v>335</v>
      </c>
      <c r="M1860" s="105" t="s">
        <v>359</v>
      </c>
      <c r="N1860" s="105" t="s">
        <v>226</v>
      </c>
      <c r="O1860" s="105" t="s">
        <v>226</v>
      </c>
      <c r="P1860" s="105" t="s">
        <v>350</v>
      </c>
      <c r="Q1860" s="494">
        <v>3034</v>
      </c>
      <c r="R1860" s="494">
        <v>3034</v>
      </c>
      <c r="S1860" s="494">
        <v>17476</v>
      </c>
      <c r="T1860" s="494">
        <v>17476</v>
      </c>
      <c r="U1860" s="494">
        <v>1828</v>
      </c>
      <c r="V1860" s="493">
        <v>2024</v>
      </c>
      <c r="W1860" s="495"/>
      <c r="X1860" s="496">
        <f t="shared" si="118"/>
        <v>9.5601750547045956</v>
      </c>
      <c r="Y1860" s="497" t="str">
        <f t="shared" si="121"/>
        <v/>
      </c>
      <c r="Z1860" s="497" t="str">
        <f t="shared" si="121"/>
        <v/>
      </c>
    </row>
    <row r="1861" spans="1:26" s="82" customFormat="1" ht="32" x14ac:dyDescent="0.4">
      <c r="A1861" s="493">
        <v>62639</v>
      </c>
      <c r="B1861" s="105" t="s">
        <v>329</v>
      </c>
      <c r="C1861" s="493" t="s">
        <v>330</v>
      </c>
      <c r="D1861" s="105" t="s">
        <v>2191</v>
      </c>
      <c r="E1861" s="105" t="s">
        <v>1778</v>
      </c>
      <c r="F1861" s="493">
        <v>60584</v>
      </c>
      <c r="G1861" s="105" t="s">
        <v>37</v>
      </c>
      <c r="H1861" s="105" t="s">
        <v>342</v>
      </c>
      <c r="I1861" s="105" t="s">
        <v>334</v>
      </c>
      <c r="J1861" s="493">
        <v>22</v>
      </c>
      <c r="K1861" s="493">
        <v>2</v>
      </c>
      <c r="L1861" s="105" t="s">
        <v>343</v>
      </c>
      <c r="M1861" s="105" t="s">
        <v>655</v>
      </c>
      <c r="N1861" s="105" t="s">
        <v>656</v>
      </c>
      <c r="O1861" s="105" t="s">
        <v>656</v>
      </c>
      <c r="P1861" s="105" t="s">
        <v>339</v>
      </c>
      <c r="Q1861" s="494">
        <v>0</v>
      </c>
      <c r="R1861" s="494">
        <v>0</v>
      </c>
      <c r="S1861" s="494">
        <v>5254</v>
      </c>
      <c r="T1861" s="494">
        <v>5254</v>
      </c>
      <c r="U1861" s="494">
        <v>1540</v>
      </c>
      <c r="V1861" s="493">
        <v>2024</v>
      </c>
      <c r="W1861" s="495"/>
      <c r="X1861" s="496">
        <f t="shared" si="118"/>
        <v>3.4116883116883119</v>
      </c>
      <c r="Y1861" s="497" t="str">
        <f t="shared" si="121"/>
        <v/>
      </c>
      <c r="Z1861" s="497" t="str">
        <f t="shared" si="121"/>
        <v/>
      </c>
    </row>
    <row r="1862" spans="1:26" s="82" customFormat="1" ht="32" x14ac:dyDescent="0.4">
      <c r="A1862" s="493">
        <v>62640</v>
      </c>
      <c r="B1862" s="105" t="s">
        <v>329</v>
      </c>
      <c r="C1862" s="493" t="s">
        <v>330</v>
      </c>
      <c r="D1862" s="105" t="s">
        <v>2192</v>
      </c>
      <c r="E1862" s="105" t="s">
        <v>1778</v>
      </c>
      <c r="F1862" s="493">
        <v>60584</v>
      </c>
      <c r="G1862" s="105" t="s">
        <v>37</v>
      </c>
      <c r="H1862" s="105" t="s">
        <v>342</v>
      </c>
      <c r="I1862" s="105" t="s">
        <v>334</v>
      </c>
      <c r="J1862" s="493">
        <v>22</v>
      </c>
      <c r="K1862" s="493">
        <v>2</v>
      </c>
      <c r="L1862" s="105" t="s">
        <v>343</v>
      </c>
      <c r="M1862" s="105" t="s">
        <v>655</v>
      </c>
      <c r="N1862" s="105" t="s">
        <v>656</v>
      </c>
      <c r="O1862" s="105" t="s">
        <v>656</v>
      </c>
      <c r="P1862" s="105" t="s">
        <v>339</v>
      </c>
      <c r="Q1862" s="494">
        <v>0</v>
      </c>
      <c r="R1862" s="494">
        <v>0</v>
      </c>
      <c r="S1862" s="494">
        <v>4947</v>
      </c>
      <c r="T1862" s="494">
        <v>4947</v>
      </c>
      <c r="U1862" s="494">
        <v>1450</v>
      </c>
      <c r="V1862" s="493">
        <v>2024</v>
      </c>
      <c r="W1862" s="495"/>
      <c r="X1862" s="496">
        <f t="shared" si="118"/>
        <v>3.4117241379310346</v>
      </c>
      <c r="Y1862" s="497" t="str">
        <f t="shared" si="121"/>
        <v/>
      </c>
      <c r="Z1862" s="497" t="str">
        <f t="shared" si="121"/>
        <v/>
      </c>
    </row>
    <row r="1863" spans="1:26" s="82" customFormat="1" ht="32" x14ac:dyDescent="0.4">
      <c r="A1863" s="493">
        <v>62644</v>
      </c>
      <c r="B1863" s="105" t="s">
        <v>329</v>
      </c>
      <c r="C1863" s="493" t="s">
        <v>330</v>
      </c>
      <c r="D1863" s="105" t="s">
        <v>2193</v>
      </c>
      <c r="E1863" s="105" t="s">
        <v>2194</v>
      </c>
      <c r="F1863" s="493">
        <v>62122</v>
      </c>
      <c r="G1863" s="105" t="s">
        <v>33</v>
      </c>
      <c r="H1863" s="105" t="s">
        <v>342</v>
      </c>
      <c r="I1863" s="105" t="s">
        <v>334</v>
      </c>
      <c r="J1863" s="493">
        <v>22</v>
      </c>
      <c r="K1863" s="493">
        <v>2</v>
      </c>
      <c r="L1863" s="105" t="s">
        <v>343</v>
      </c>
      <c r="M1863" s="105" t="s">
        <v>403</v>
      </c>
      <c r="N1863" s="105" t="s">
        <v>404</v>
      </c>
      <c r="O1863" s="105" t="s">
        <v>232</v>
      </c>
      <c r="P1863" s="105" t="s">
        <v>346</v>
      </c>
      <c r="Q1863" s="494">
        <v>966</v>
      </c>
      <c r="R1863" s="494">
        <v>966</v>
      </c>
      <c r="S1863" s="494">
        <v>0</v>
      </c>
      <c r="T1863" s="494">
        <v>0</v>
      </c>
      <c r="U1863" s="494">
        <v>-313</v>
      </c>
      <c r="V1863" s="493">
        <v>2024</v>
      </c>
      <c r="W1863" s="495"/>
      <c r="X1863" s="496" t="str">
        <f t="shared" si="118"/>
        <v/>
      </c>
      <c r="Y1863" s="497" t="str">
        <f t="shared" si="121"/>
        <v/>
      </c>
      <c r="Z1863" s="497" t="str">
        <f t="shared" si="121"/>
        <v/>
      </c>
    </row>
    <row r="1864" spans="1:26" s="82" customFormat="1" x14ac:dyDescent="0.4">
      <c r="A1864" s="493">
        <v>62646</v>
      </c>
      <c r="B1864" s="105" t="s">
        <v>329</v>
      </c>
      <c r="C1864" s="493" t="s">
        <v>330</v>
      </c>
      <c r="D1864" s="105" t="s">
        <v>2195</v>
      </c>
      <c r="E1864" s="105" t="s">
        <v>2196</v>
      </c>
      <c r="F1864" s="493">
        <v>63359</v>
      </c>
      <c r="G1864" s="105" t="s">
        <v>33</v>
      </c>
      <c r="H1864" s="105" t="s">
        <v>342</v>
      </c>
      <c r="I1864" s="105" t="s">
        <v>334</v>
      </c>
      <c r="J1864" s="493">
        <v>22</v>
      </c>
      <c r="K1864" s="493">
        <v>2</v>
      </c>
      <c r="L1864" s="105" t="s">
        <v>343</v>
      </c>
      <c r="M1864" s="105" t="s">
        <v>655</v>
      </c>
      <c r="N1864" s="105" t="s">
        <v>656</v>
      </c>
      <c r="O1864" s="105" t="s">
        <v>656</v>
      </c>
      <c r="P1864" s="105" t="s">
        <v>339</v>
      </c>
      <c r="Q1864" s="494">
        <v>0</v>
      </c>
      <c r="R1864" s="494">
        <v>0</v>
      </c>
      <c r="S1864" s="494">
        <v>10960</v>
      </c>
      <c r="T1864" s="494">
        <v>10960</v>
      </c>
      <c r="U1864" s="494">
        <v>3212</v>
      </c>
      <c r="V1864" s="493">
        <v>2024</v>
      </c>
      <c r="W1864" s="495"/>
      <c r="X1864" s="496">
        <f t="shared" si="118"/>
        <v>3.4122042341220422</v>
      </c>
      <c r="Y1864" s="497" t="str">
        <f t="shared" si="121"/>
        <v/>
      </c>
      <c r="Z1864" s="497" t="str">
        <f t="shared" si="121"/>
        <v/>
      </c>
    </row>
    <row r="1865" spans="1:26" s="82" customFormat="1" x14ac:dyDescent="0.4">
      <c r="A1865" s="493">
        <v>62652</v>
      </c>
      <c r="B1865" s="105" t="s">
        <v>329</v>
      </c>
      <c r="C1865" s="493" t="s">
        <v>330</v>
      </c>
      <c r="D1865" s="105" t="s">
        <v>2197</v>
      </c>
      <c r="E1865" s="105" t="s">
        <v>2196</v>
      </c>
      <c r="F1865" s="493">
        <v>63359</v>
      </c>
      <c r="G1865" s="105" t="s">
        <v>33</v>
      </c>
      <c r="H1865" s="105" t="s">
        <v>342</v>
      </c>
      <c r="I1865" s="105" t="s">
        <v>334</v>
      </c>
      <c r="J1865" s="493">
        <v>22</v>
      </c>
      <c r="K1865" s="493">
        <v>2</v>
      </c>
      <c r="L1865" s="105" t="s">
        <v>343</v>
      </c>
      <c r="M1865" s="105" t="s">
        <v>403</v>
      </c>
      <c r="N1865" s="105" t="s">
        <v>404</v>
      </c>
      <c r="O1865" s="105" t="s">
        <v>232</v>
      </c>
      <c r="P1865" s="105" t="s">
        <v>346</v>
      </c>
      <c r="Q1865" s="494">
        <v>1674</v>
      </c>
      <c r="R1865" s="494">
        <v>1674</v>
      </c>
      <c r="S1865" s="494">
        <v>0</v>
      </c>
      <c r="T1865" s="494">
        <v>0</v>
      </c>
      <c r="U1865" s="494">
        <v>-243</v>
      </c>
      <c r="V1865" s="493">
        <v>2024</v>
      </c>
      <c r="W1865" s="495"/>
      <c r="X1865" s="496" t="str">
        <f t="shared" ref="X1865:X1928" si="122">IF(OR(K1865&gt;3,T1865=0,NOT(U1865&gt;0)),"",T1865/U1865)</f>
        <v/>
      </c>
      <c r="Y1865" s="497" t="str">
        <f t="shared" si="121"/>
        <v/>
      </c>
      <c r="Z1865" s="497" t="str">
        <f t="shared" si="121"/>
        <v/>
      </c>
    </row>
    <row r="1866" spans="1:26" s="82" customFormat="1" x14ac:dyDescent="0.4">
      <c r="A1866" s="493">
        <v>62652</v>
      </c>
      <c r="B1866" s="105" t="s">
        <v>329</v>
      </c>
      <c r="C1866" s="493" t="s">
        <v>330</v>
      </c>
      <c r="D1866" s="105" t="s">
        <v>2197</v>
      </c>
      <c r="E1866" s="105" t="s">
        <v>2196</v>
      </c>
      <c r="F1866" s="493">
        <v>63359</v>
      </c>
      <c r="G1866" s="105" t="s">
        <v>33</v>
      </c>
      <c r="H1866" s="105" t="s">
        <v>342</v>
      </c>
      <c r="I1866" s="105" t="s">
        <v>334</v>
      </c>
      <c r="J1866" s="493">
        <v>22</v>
      </c>
      <c r="K1866" s="493">
        <v>2</v>
      </c>
      <c r="L1866" s="105" t="s">
        <v>343</v>
      </c>
      <c r="M1866" s="105" t="s">
        <v>655</v>
      </c>
      <c r="N1866" s="105" t="s">
        <v>656</v>
      </c>
      <c r="O1866" s="105" t="s">
        <v>656</v>
      </c>
      <c r="P1866" s="105" t="s">
        <v>339</v>
      </c>
      <c r="Q1866" s="494">
        <v>0</v>
      </c>
      <c r="R1866" s="494">
        <v>0</v>
      </c>
      <c r="S1866" s="494">
        <v>30142</v>
      </c>
      <c r="T1866" s="494">
        <v>30142</v>
      </c>
      <c r="U1866" s="494">
        <v>8834</v>
      </c>
      <c r="V1866" s="493">
        <v>2024</v>
      </c>
      <c r="W1866" s="495"/>
      <c r="X1866" s="496">
        <f t="shared" si="122"/>
        <v>3.4120443740095086</v>
      </c>
      <c r="Y1866" s="497" t="str">
        <f t="shared" si="121"/>
        <v/>
      </c>
      <c r="Z1866" s="497" t="str">
        <f t="shared" si="121"/>
        <v/>
      </c>
    </row>
    <row r="1867" spans="1:26" s="82" customFormat="1" x14ac:dyDescent="0.4">
      <c r="A1867" s="493">
        <v>62657</v>
      </c>
      <c r="B1867" s="105" t="s">
        <v>329</v>
      </c>
      <c r="C1867" s="493" t="s">
        <v>330</v>
      </c>
      <c r="D1867" s="105" t="s">
        <v>2198</v>
      </c>
      <c r="E1867" s="105" t="s">
        <v>2199</v>
      </c>
      <c r="F1867" s="493">
        <v>62132</v>
      </c>
      <c r="G1867" s="105" t="s">
        <v>37</v>
      </c>
      <c r="H1867" s="105" t="s">
        <v>342</v>
      </c>
      <c r="I1867" s="105" t="s">
        <v>334</v>
      </c>
      <c r="J1867" s="493">
        <v>22</v>
      </c>
      <c r="K1867" s="493">
        <v>2</v>
      </c>
      <c r="L1867" s="105" t="s">
        <v>343</v>
      </c>
      <c r="M1867" s="105" t="s">
        <v>655</v>
      </c>
      <c r="N1867" s="105" t="s">
        <v>656</v>
      </c>
      <c r="O1867" s="105" t="s">
        <v>656</v>
      </c>
      <c r="P1867" s="105" t="s">
        <v>339</v>
      </c>
      <c r="Q1867" s="494">
        <v>0</v>
      </c>
      <c r="R1867" s="494">
        <v>0</v>
      </c>
      <c r="S1867" s="494">
        <v>182955</v>
      </c>
      <c r="T1867" s="494">
        <v>182955</v>
      </c>
      <c r="U1867" s="494">
        <v>53621</v>
      </c>
      <c r="V1867" s="493">
        <v>2024</v>
      </c>
      <c r="W1867" s="495"/>
      <c r="X1867" s="496">
        <f t="shared" si="122"/>
        <v>3.4120027601126424</v>
      </c>
      <c r="Y1867" s="497" t="str">
        <f t="shared" si="121"/>
        <v/>
      </c>
      <c r="Z1867" s="497" t="str">
        <f t="shared" si="121"/>
        <v/>
      </c>
    </row>
    <row r="1868" spans="1:26" s="82" customFormat="1" x14ac:dyDescent="0.4">
      <c r="A1868" s="493">
        <v>62672</v>
      </c>
      <c r="B1868" s="105" t="s">
        <v>329</v>
      </c>
      <c r="C1868" s="493" t="s">
        <v>330</v>
      </c>
      <c r="D1868" s="105" t="s">
        <v>2200</v>
      </c>
      <c r="E1868" s="105" t="s">
        <v>1606</v>
      </c>
      <c r="F1868" s="493">
        <v>61227</v>
      </c>
      <c r="G1868" s="105" t="s">
        <v>38</v>
      </c>
      <c r="H1868" s="105" t="s">
        <v>342</v>
      </c>
      <c r="I1868" s="105" t="s">
        <v>334</v>
      </c>
      <c r="J1868" s="493">
        <v>22</v>
      </c>
      <c r="K1868" s="493">
        <v>2</v>
      </c>
      <c r="L1868" s="105" t="s">
        <v>343</v>
      </c>
      <c r="M1868" s="105" t="s">
        <v>655</v>
      </c>
      <c r="N1868" s="105" t="s">
        <v>656</v>
      </c>
      <c r="O1868" s="105" t="s">
        <v>656</v>
      </c>
      <c r="P1868" s="105" t="s">
        <v>339</v>
      </c>
      <c r="Q1868" s="494">
        <v>0</v>
      </c>
      <c r="R1868" s="494">
        <v>0</v>
      </c>
      <c r="S1868" s="494">
        <v>14232</v>
      </c>
      <c r="T1868" s="494">
        <v>14232</v>
      </c>
      <c r="U1868" s="494">
        <v>4171</v>
      </c>
      <c r="V1868" s="493">
        <v>2024</v>
      </c>
      <c r="W1868" s="495"/>
      <c r="X1868" s="496">
        <f t="shared" si="122"/>
        <v>3.4121313833613041</v>
      </c>
      <c r="Y1868" s="497" t="str">
        <f t="shared" ref="Y1868:Z1887" si="123">IF(AND($M1868=$Y$2,$N1868=$Y$3,NOT($Q1868=$R1868),NOT($U1868=0)),IF($K1868=5,$S1868/($U1868+(8/5)*$U1868),IF($K1868=7,$S1868/($U1868+(29/25)*$U1868),"")),"")</f>
        <v/>
      </c>
      <c r="Z1868" s="497" t="str">
        <f t="shared" si="123"/>
        <v/>
      </c>
    </row>
    <row r="1869" spans="1:26" s="82" customFormat="1" ht="32" x14ac:dyDescent="0.4">
      <c r="A1869" s="493">
        <v>62695</v>
      </c>
      <c r="B1869" s="105" t="s">
        <v>329</v>
      </c>
      <c r="C1869" s="493" t="s">
        <v>330</v>
      </c>
      <c r="D1869" s="105" t="s">
        <v>2201</v>
      </c>
      <c r="E1869" s="105" t="s">
        <v>1243</v>
      </c>
      <c r="F1869" s="493">
        <v>56769</v>
      </c>
      <c r="G1869" s="105" t="s">
        <v>33</v>
      </c>
      <c r="H1869" s="105" t="s">
        <v>342</v>
      </c>
      <c r="I1869" s="105" t="s">
        <v>334</v>
      </c>
      <c r="J1869" s="493">
        <v>22</v>
      </c>
      <c r="K1869" s="493">
        <v>2</v>
      </c>
      <c r="L1869" s="105" t="s">
        <v>343</v>
      </c>
      <c r="M1869" s="105" t="s">
        <v>403</v>
      </c>
      <c r="N1869" s="105" t="s">
        <v>404</v>
      </c>
      <c r="O1869" s="105" t="s">
        <v>232</v>
      </c>
      <c r="P1869" s="105" t="s">
        <v>346</v>
      </c>
      <c r="Q1869" s="494">
        <v>568</v>
      </c>
      <c r="R1869" s="494">
        <v>568</v>
      </c>
      <c r="S1869" s="494">
        <v>0</v>
      </c>
      <c r="T1869" s="494">
        <v>0</v>
      </c>
      <c r="U1869" s="494">
        <v>-72</v>
      </c>
      <c r="V1869" s="493">
        <v>2024</v>
      </c>
      <c r="W1869" s="495"/>
      <c r="X1869" s="496" t="str">
        <f t="shared" si="122"/>
        <v/>
      </c>
      <c r="Y1869" s="497" t="str">
        <f t="shared" si="123"/>
        <v/>
      </c>
      <c r="Z1869" s="497" t="str">
        <f t="shared" si="123"/>
        <v/>
      </c>
    </row>
    <row r="1870" spans="1:26" s="82" customFormat="1" ht="32" x14ac:dyDescent="0.4">
      <c r="A1870" s="493">
        <v>62695</v>
      </c>
      <c r="B1870" s="105" t="s">
        <v>329</v>
      </c>
      <c r="C1870" s="493" t="s">
        <v>330</v>
      </c>
      <c r="D1870" s="105" t="s">
        <v>2201</v>
      </c>
      <c r="E1870" s="105" t="s">
        <v>1243</v>
      </c>
      <c r="F1870" s="493">
        <v>56769</v>
      </c>
      <c r="G1870" s="105" t="s">
        <v>33</v>
      </c>
      <c r="H1870" s="105" t="s">
        <v>342</v>
      </c>
      <c r="I1870" s="105" t="s">
        <v>334</v>
      </c>
      <c r="J1870" s="493">
        <v>22</v>
      </c>
      <c r="K1870" s="493">
        <v>2</v>
      </c>
      <c r="L1870" s="105" t="s">
        <v>343</v>
      </c>
      <c r="M1870" s="105" t="s">
        <v>655</v>
      </c>
      <c r="N1870" s="105" t="s">
        <v>656</v>
      </c>
      <c r="O1870" s="105" t="s">
        <v>656</v>
      </c>
      <c r="P1870" s="105" t="s">
        <v>339</v>
      </c>
      <c r="Q1870" s="494">
        <v>0</v>
      </c>
      <c r="R1870" s="494">
        <v>0</v>
      </c>
      <c r="S1870" s="494">
        <v>23468</v>
      </c>
      <c r="T1870" s="494">
        <v>23468</v>
      </c>
      <c r="U1870" s="494">
        <v>6878</v>
      </c>
      <c r="V1870" s="493">
        <v>2024</v>
      </c>
      <c r="W1870" s="495"/>
      <c r="X1870" s="496">
        <f t="shared" si="122"/>
        <v>3.4120383832509451</v>
      </c>
      <c r="Y1870" s="497" t="str">
        <f t="shared" si="123"/>
        <v/>
      </c>
      <c r="Z1870" s="497" t="str">
        <f t="shared" si="123"/>
        <v/>
      </c>
    </row>
    <row r="1871" spans="1:26" s="82" customFormat="1" x14ac:dyDescent="0.4">
      <c r="A1871" s="493">
        <v>62721</v>
      </c>
      <c r="B1871" s="105" t="s">
        <v>329</v>
      </c>
      <c r="C1871" s="493" t="s">
        <v>330</v>
      </c>
      <c r="D1871" s="105" t="s">
        <v>2202</v>
      </c>
      <c r="E1871" s="105" t="s">
        <v>1356</v>
      </c>
      <c r="F1871" s="493">
        <v>65164</v>
      </c>
      <c r="G1871" s="105" t="s">
        <v>52</v>
      </c>
      <c r="H1871" s="105" t="s">
        <v>333</v>
      </c>
      <c r="I1871" s="105" t="s">
        <v>334</v>
      </c>
      <c r="J1871" s="493">
        <v>22</v>
      </c>
      <c r="K1871" s="493">
        <v>2</v>
      </c>
      <c r="L1871" s="105" t="s">
        <v>343</v>
      </c>
      <c r="M1871" s="105" t="s">
        <v>655</v>
      </c>
      <c r="N1871" s="105" t="s">
        <v>656</v>
      </c>
      <c r="O1871" s="105" t="s">
        <v>656</v>
      </c>
      <c r="P1871" s="105" t="s">
        <v>339</v>
      </c>
      <c r="Q1871" s="494">
        <v>0</v>
      </c>
      <c r="R1871" s="494">
        <v>0</v>
      </c>
      <c r="S1871" s="494">
        <v>11192</v>
      </c>
      <c r="T1871" s="494">
        <v>11192</v>
      </c>
      <c r="U1871" s="494">
        <v>3280</v>
      </c>
      <c r="V1871" s="493">
        <v>2024</v>
      </c>
      <c r="W1871" s="495"/>
      <c r="X1871" s="496">
        <f t="shared" si="122"/>
        <v>3.4121951219512194</v>
      </c>
      <c r="Y1871" s="497" t="str">
        <f t="shared" si="123"/>
        <v/>
      </c>
      <c r="Z1871" s="497" t="str">
        <f t="shared" si="123"/>
        <v/>
      </c>
    </row>
    <row r="1872" spans="1:26" s="82" customFormat="1" x14ac:dyDescent="0.4">
      <c r="A1872" s="493">
        <v>62722</v>
      </c>
      <c r="B1872" s="105" t="s">
        <v>329</v>
      </c>
      <c r="C1872" s="493" t="s">
        <v>330</v>
      </c>
      <c r="D1872" s="105" t="s">
        <v>2203</v>
      </c>
      <c r="E1872" s="105" t="s">
        <v>1356</v>
      </c>
      <c r="F1872" s="493">
        <v>65164</v>
      </c>
      <c r="G1872" s="105" t="s">
        <v>52</v>
      </c>
      <c r="H1872" s="105" t="s">
        <v>333</v>
      </c>
      <c r="I1872" s="105" t="s">
        <v>334</v>
      </c>
      <c r="J1872" s="493">
        <v>22</v>
      </c>
      <c r="K1872" s="493">
        <v>2</v>
      </c>
      <c r="L1872" s="105" t="s">
        <v>343</v>
      </c>
      <c r="M1872" s="105" t="s">
        <v>655</v>
      </c>
      <c r="N1872" s="105" t="s">
        <v>656</v>
      </c>
      <c r="O1872" s="105" t="s">
        <v>656</v>
      </c>
      <c r="P1872" s="105" t="s">
        <v>339</v>
      </c>
      <c r="Q1872" s="494">
        <v>0</v>
      </c>
      <c r="R1872" s="494">
        <v>0</v>
      </c>
      <c r="S1872" s="494">
        <v>10775</v>
      </c>
      <c r="T1872" s="494">
        <v>10775</v>
      </c>
      <c r="U1872" s="494">
        <v>3158</v>
      </c>
      <c r="V1872" s="493">
        <v>2024</v>
      </c>
      <c r="W1872" s="495"/>
      <c r="X1872" s="496">
        <f t="shared" si="122"/>
        <v>3.4119696010132996</v>
      </c>
      <c r="Y1872" s="497" t="str">
        <f t="shared" si="123"/>
        <v/>
      </c>
      <c r="Z1872" s="497" t="str">
        <f t="shared" si="123"/>
        <v/>
      </c>
    </row>
    <row r="1873" spans="1:26" s="82" customFormat="1" x14ac:dyDescent="0.4">
      <c r="A1873" s="493">
        <v>62723</v>
      </c>
      <c r="B1873" s="105" t="s">
        <v>329</v>
      </c>
      <c r="C1873" s="493" t="s">
        <v>330</v>
      </c>
      <c r="D1873" s="105" t="s">
        <v>2204</v>
      </c>
      <c r="E1873" s="105" t="s">
        <v>1356</v>
      </c>
      <c r="F1873" s="493">
        <v>65164</v>
      </c>
      <c r="G1873" s="105" t="s">
        <v>52</v>
      </c>
      <c r="H1873" s="105" t="s">
        <v>333</v>
      </c>
      <c r="I1873" s="105" t="s">
        <v>334</v>
      </c>
      <c r="J1873" s="493">
        <v>22</v>
      </c>
      <c r="K1873" s="493">
        <v>2</v>
      </c>
      <c r="L1873" s="105" t="s">
        <v>343</v>
      </c>
      <c r="M1873" s="105" t="s">
        <v>655</v>
      </c>
      <c r="N1873" s="105" t="s">
        <v>656</v>
      </c>
      <c r="O1873" s="105" t="s">
        <v>656</v>
      </c>
      <c r="P1873" s="105" t="s">
        <v>339</v>
      </c>
      <c r="Q1873" s="494">
        <v>0</v>
      </c>
      <c r="R1873" s="494">
        <v>0</v>
      </c>
      <c r="S1873" s="494">
        <v>11127</v>
      </c>
      <c r="T1873" s="494">
        <v>11127</v>
      </c>
      <c r="U1873" s="494">
        <v>3261</v>
      </c>
      <c r="V1873" s="493">
        <v>2024</v>
      </c>
      <c r="W1873" s="495"/>
      <c r="X1873" s="496">
        <f t="shared" si="122"/>
        <v>3.4121435142594296</v>
      </c>
      <c r="Y1873" s="497" t="str">
        <f t="shared" si="123"/>
        <v/>
      </c>
      <c r="Z1873" s="497" t="str">
        <f t="shared" si="123"/>
        <v/>
      </c>
    </row>
    <row r="1874" spans="1:26" s="82" customFormat="1" x14ac:dyDescent="0.4">
      <c r="A1874" s="493">
        <v>62724</v>
      </c>
      <c r="B1874" s="105" t="s">
        <v>329</v>
      </c>
      <c r="C1874" s="493" t="s">
        <v>330</v>
      </c>
      <c r="D1874" s="105" t="s">
        <v>2205</v>
      </c>
      <c r="E1874" s="105" t="s">
        <v>1356</v>
      </c>
      <c r="F1874" s="493">
        <v>65164</v>
      </c>
      <c r="G1874" s="105" t="s">
        <v>52</v>
      </c>
      <c r="H1874" s="105" t="s">
        <v>333</v>
      </c>
      <c r="I1874" s="105" t="s">
        <v>334</v>
      </c>
      <c r="J1874" s="493">
        <v>22</v>
      </c>
      <c r="K1874" s="493">
        <v>2</v>
      </c>
      <c r="L1874" s="105" t="s">
        <v>343</v>
      </c>
      <c r="M1874" s="105" t="s">
        <v>655</v>
      </c>
      <c r="N1874" s="105" t="s">
        <v>656</v>
      </c>
      <c r="O1874" s="105" t="s">
        <v>656</v>
      </c>
      <c r="P1874" s="105" t="s">
        <v>339</v>
      </c>
      <c r="Q1874" s="494">
        <v>0</v>
      </c>
      <c r="R1874" s="494">
        <v>0</v>
      </c>
      <c r="S1874" s="494">
        <v>7225</v>
      </c>
      <c r="T1874" s="494">
        <v>7225</v>
      </c>
      <c r="U1874" s="494">
        <v>2118</v>
      </c>
      <c r="V1874" s="493">
        <v>2024</v>
      </c>
      <c r="W1874" s="495"/>
      <c r="X1874" s="496">
        <f t="shared" si="122"/>
        <v>3.4112370160528802</v>
      </c>
      <c r="Y1874" s="497" t="str">
        <f t="shared" si="123"/>
        <v/>
      </c>
      <c r="Z1874" s="497" t="str">
        <f t="shared" si="123"/>
        <v/>
      </c>
    </row>
    <row r="1875" spans="1:26" s="82" customFormat="1" x14ac:dyDescent="0.4">
      <c r="A1875" s="493">
        <v>62725</v>
      </c>
      <c r="B1875" s="105" t="s">
        <v>329</v>
      </c>
      <c r="C1875" s="493" t="s">
        <v>330</v>
      </c>
      <c r="D1875" s="105" t="s">
        <v>2206</v>
      </c>
      <c r="E1875" s="105" t="s">
        <v>1356</v>
      </c>
      <c r="F1875" s="493">
        <v>65164</v>
      </c>
      <c r="G1875" s="105" t="s">
        <v>52</v>
      </c>
      <c r="H1875" s="105" t="s">
        <v>333</v>
      </c>
      <c r="I1875" s="105" t="s">
        <v>334</v>
      </c>
      <c r="J1875" s="493">
        <v>22</v>
      </c>
      <c r="K1875" s="493">
        <v>2</v>
      </c>
      <c r="L1875" s="105" t="s">
        <v>343</v>
      </c>
      <c r="M1875" s="105" t="s">
        <v>655</v>
      </c>
      <c r="N1875" s="105" t="s">
        <v>656</v>
      </c>
      <c r="O1875" s="105" t="s">
        <v>656</v>
      </c>
      <c r="P1875" s="105" t="s">
        <v>339</v>
      </c>
      <c r="Q1875" s="494">
        <v>0</v>
      </c>
      <c r="R1875" s="494">
        <v>0</v>
      </c>
      <c r="S1875" s="494">
        <v>6758</v>
      </c>
      <c r="T1875" s="494">
        <v>6758</v>
      </c>
      <c r="U1875" s="494">
        <v>1981</v>
      </c>
      <c r="V1875" s="493">
        <v>2024</v>
      </c>
      <c r="W1875" s="495"/>
      <c r="X1875" s="496">
        <f t="shared" si="122"/>
        <v>3.4114083796062595</v>
      </c>
      <c r="Y1875" s="497" t="str">
        <f t="shared" si="123"/>
        <v/>
      </c>
      <c r="Z1875" s="497" t="str">
        <f t="shared" si="123"/>
        <v/>
      </c>
    </row>
    <row r="1876" spans="1:26" s="82" customFormat="1" x14ac:dyDescent="0.4">
      <c r="A1876" s="493">
        <v>62728</v>
      </c>
      <c r="B1876" s="105" t="s">
        <v>329</v>
      </c>
      <c r="C1876" s="493" t="s">
        <v>330</v>
      </c>
      <c r="D1876" s="105" t="s">
        <v>2207</v>
      </c>
      <c r="E1876" s="105" t="s">
        <v>2208</v>
      </c>
      <c r="F1876" s="493">
        <v>60531</v>
      </c>
      <c r="G1876" s="105" t="s">
        <v>36</v>
      </c>
      <c r="H1876" s="105" t="s">
        <v>342</v>
      </c>
      <c r="I1876" s="105" t="s">
        <v>334</v>
      </c>
      <c r="J1876" s="493">
        <v>22</v>
      </c>
      <c r="K1876" s="493">
        <v>2</v>
      </c>
      <c r="L1876" s="105" t="s">
        <v>343</v>
      </c>
      <c r="M1876" s="105" t="s">
        <v>655</v>
      </c>
      <c r="N1876" s="105" t="s">
        <v>656</v>
      </c>
      <c r="O1876" s="105" t="s">
        <v>656</v>
      </c>
      <c r="P1876" s="105" t="s">
        <v>339</v>
      </c>
      <c r="Q1876" s="494">
        <v>0</v>
      </c>
      <c r="R1876" s="494">
        <v>0</v>
      </c>
      <c r="S1876" s="494">
        <v>12570</v>
      </c>
      <c r="T1876" s="494">
        <v>12570</v>
      </c>
      <c r="U1876" s="494">
        <v>3684</v>
      </c>
      <c r="V1876" s="493">
        <v>2024</v>
      </c>
      <c r="W1876" s="495"/>
      <c r="X1876" s="496">
        <f t="shared" si="122"/>
        <v>3.4120521172638436</v>
      </c>
      <c r="Y1876" s="497" t="str">
        <f t="shared" si="123"/>
        <v/>
      </c>
      <c r="Z1876" s="497" t="str">
        <f t="shared" si="123"/>
        <v/>
      </c>
    </row>
    <row r="1877" spans="1:26" s="82" customFormat="1" ht="32" x14ac:dyDescent="0.4">
      <c r="A1877" s="493">
        <v>62733</v>
      </c>
      <c r="B1877" s="105" t="s">
        <v>329</v>
      </c>
      <c r="C1877" s="493" t="s">
        <v>330</v>
      </c>
      <c r="D1877" s="105" t="s">
        <v>2209</v>
      </c>
      <c r="E1877" s="105" t="s">
        <v>2210</v>
      </c>
      <c r="F1877" s="493">
        <v>62652</v>
      </c>
      <c r="G1877" s="105" t="s">
        <v>52</v>
      </c>
      <c r="H1877" s="105" t="s">
        <v>333</v>
      </c>
      <c r="I1877" s="105" t="s">
        <v>334</v>
      </c>
      <c r="J1877" s="493">
        <v>22</v>
      </c>
      <c r="K1877" s="493">
        <v>2</v>
      </c>
      <c r="L1877" s="105" t="s">
        <v>343</v>
      </c>
      <c r="M1877" s="105" t="s">
        <v>403</v>
      </c>
      <c r="N1877" s="105" t="s">
        <v>404</v>
      </c>
      <c r="O1877" s="105" t="s">
        <v>232</v>
      </c>
      <c r="P1877" s="105" t="s">
        <v>346</v>
      </c>
      <c r="Q1877" s="494">
        <v>3818</v>
      </c>
      <c r="R1877" s="494">
        <v>3818</v>
      </c>
      <c r="S1877" s="494">
        <v>0</v>
      </c>
      <c r="T1877" s="494">
        <v>0</v>
      </c>
      <c r="U1877" s="494">
        <v>-281</v>
      </c>
      <c r="V1877" s="493">
        <v>2024</v>
      </c>
      <c r="W1877" s="495"/>
      <c r="X1877" s="496" t="str">
        <f t="shared" si="122"/>
        <v/>
      </c>
      <c r="Y1877" s="497" t="str">
        <f t="shared" si="123"/>
        <v/>
      </c>
      <c r="Z1877" s="497" t="str">
        <f t="shared" si="123"/>
        <v/>
      </c>
    </row>
    <row r="1878" spans="1:26" s="82" customFormat="1" ht="32" x14ac:dyDescent="0.4">
      <c r="A1878" s="493">
        <v>62734</v>
      </c>
      <c r="B1878" s="105" t="s">
        <v>329</v>
      </c>
      <c r="C1878" s="493" t="s">
        <v>330</v>
      </c>
      <c r="D1878" s="105" t="s">
        <v>2211</v>
      </c>
      <c r="E1878" s="105" t="s">
        <v>2212</v>
      </c>
      <c r="F1878" s="493">
        <v>62651</v>
      </c>
      <c r="G1878" s="105" t="s">
        <v>52</v>
      </c>
      <c r="H1878" s="105" t="s">
        <v>333</v>
      </c>
      <c r="I1878" s="105" t="s">
        <v>334</v>
      </c>
      <c r="J1878" s="493">
        <v>22</v>
      </c>
      <c r="K1878" s="493">
        <v>2</v>
      </c>
      <c r="L1878" s="105" t="s">
        <v>343</v>
      </c>
      <c r="M1878" s="105" t="s">
        <v>403</v>
      </c>
      <c r="N1878" s="105" t="s">
        <v>404</v>
      </c>
      <c r="O1878" s="105" t="s">
        <v>232</v>
      </c>
      <c r="P1878" s="105" t="s">
        <v>346</v>
      </c>
      <c r="Q1878" s="494">
        <v>5110</v>
      </c>
      <c r="R1878" s="494">
        <v>5110</v>
      </c>
      <c r="S1878" s="494">
        <v>0</v>
      </c>
      <c r="T1878" s="494">
        <v>0</v>
      </c>
      <c r="U1878" s="494">
        <v>-854</v>
      </c>
      <c r="V1878" s="493">
        <v>2024</v>
      </c>
      <c r="W1878" s="495"/>
      <c r="X1878" s="496" t="str">
        <f t="shared" si="122"/>
        <v/>
      </c>
      <c r="Y1878" s="497" t="str">
        <f t="shared" si="123"/>
        <v/>
      </c>
      <c r="Z1878" s="497" t="str">
        <f t="shared" si="123"/>
        <v/>
      </c>
    </row>
    <row r="1879" spans="1:26" s="82" customFormat="1" ht="32" x14ac:dyDescent="0.4">
      <c r="A1879" s="493">
        <v>62736</v>
      </c>
      <c r="B1879" s="105" t="s">
        <v>433</v>
      </c>
      <c r="C1879" s="493" t="s">
        <v>330</v>
      </c>
      <c r="D1879" s="105" t="s">
        <v>2213</v>
      </c>
      <c r="E1879" s="105" t="s">
        <v>2213</v>
      </c>
      <c r="F1879" s="493">
        <v>62657</v>
      </c>
      <c r="G1879" s="105" t="s">
        <v>52</v>
      </c>
      <c r="H1879" s="105" t="s">
        <v>333</v>
      </c>
      <c r="I1879" s="105" t="s">
        <v>334</v>
      </c>
      <c r="J1879" s="493">
        <v>326</v>
      </c>
      <c r="K1879" s="493">
        <v>7</v>
      </c>
      <c r="L1879" s="105" t="s">
        <v>727</v>
      </c>
      <c r="M1879" s="105" t="s">
        <v>295</v>
      </c>
      <c r="N1879" s="105" t="s">
        <v>228</v>
      </c>
      <c r="O1879" s="105" t="s">
        <v>228</v>
      </c>
      <c r="P1879" s="105" t="s">
        <v>356</v>
      </c>
      <c r="Q1879" s="494">
        <v>16596</v>
      </c>
      <c r="R1879" s="494">
        <v>6415</v>
      </c>
      <c r="S1879" s="494">
        <v>17126</v>
      </c>
      <c r="T1879" s="494">
        <v>6621</v>
      </c>
      <c r="U1879" s="494">
        <v>582</v>
      </c>
      <c r="V1879" s="493">
        <v>2024</v>
      </c>
      <c r="W1879" s="495"/>
      <c r="X1879" s="496" t="str">
        <f t="shared" si="122"/>
        <v/>
      </c>
      <c r="Y1879" s="497">
        <f t="shared" si="123"/>
        <v>13.62320224004073</v>
      </c>
      <c r="Z1879" s="497">
        <f t="shared" si="123"/>
        <v>13.62320224004073</v>
      </c>
    </row>
    <row r="1880" spans="1:26" s="82" customFormat="1" ht="32" x14ac:dyDescent="0.4">
      <c r="A1880" s="493">
        <v>62736</v>
      </c>
      <c r="B1880" s="105" t="s">
        <v>433</v>
      </c>
      <c r="C1880" s="493" t="s">
        <v>330</v>
      </c>
      <c r="D1880" s="105" t="s">
        <v>2213</v>
      </c>
      <c r="E1880" s="105" t="s">
        <v>2213</v>
      </c>
      <c r="F1880" s="493">
        <v>62657</v>
      </c>
      <c r="G1880" s="105" t="s">
        <v>52</v>
      </c>
      <c r="H1880" s="105" t="s">
        <v>333</v>
      </c>
      <c r="I1880" s="105" t="s">
        <v>334</v>
      </c>
      <c r="J1880" s="493">
        <v>326</v>
      </c>
      <c r="K1880" s="493">
        <v>7</v>
      </c>
      <c r="L1880" s="105" t="s">
        <v>727</v>
      </c>
      <c r="M1880" s="105" t="s">
        <v>695</v>
      </c>
      <c r="N1880" s="105" t="s">
        <v>696</v>
      </c>
      <c r="O1880" s="105" t="s">
        <v>696</v>
      </c>
      <c r="P1880" s="105" t="s">
        <v>339</v>
      </c>
      <c r="Q1880" s="494">
        <v>0</v>
      </c>
      <c r="R1880" s="494">
        <v>0</v>
      </c>
      <c r="S1880" s="494">
        <v>55</v>
      </c>
      <c r="T1880" s="494">
        <v>55</v>
      </c>
      <c r="U1880" s="494">
        <v>16</v>
      </c>
      <c r="V1880" s="493">
        <v>2024</v>
      </c>
      <c r="W1880" s="495"/>
      <c r="X1880" s="496" t="str">
        <f t="shared" si="122"/>
        <v/>
      </c>
      <c r="Y1880" s="497" t="str">
        <f t="shared" si="123"/>
        <v/>
      </c>
      <c r="Z1880" s="497" t="str">
        <f t="shared" si="123"/>
        <v/>
      </c>
    </row>
    <row r="1881" spans="1:26" s="82" customFormat="1" x14ac:dyDescent="0.4">
      <c r="A1881" s="493">
        <v>62737</v>
      </c>
      <c r="B1881" s="105" t="s">
        <v>329</v>
      </c>
      <c r="C1881" s="493" t="s">
        <v>330</v>
      </c>
      <c r="D1881" s="105" t="s">
        <v>2214</v>
      </c>
      <c r="E1881" s="105" t="s">
        <v>2000</v>
      </c>
      <c r="F1881" s="493">
        <v>59474</v>
      </c>
      <c r="G1881" s="105" t="s">
        <v>52</v>
      </c>
      <c r="H1881" s="105" t="s">
        <v>333</v>
      </c>
      <c r="I1881" s="105" t="s">
        <v>334</v>
      </c>
      <c r="J1881" s="493">
        <v>22</v>
      </c>
      <c r="K1881" s="493">
        <v>2</v>
      </c>
      <c r="L1881" s="105" t="s">
        <v>343</v>
      </c>
      <c r="M1881" s="105" t="s">
        <v>655</v>
      </c>
      <c r="N1881" s="105" t="s">
        <v>656</v>
      </c>
      <c r="O1881" s="105" t="s">
        <v>656</v>
      </c>
      <c r="P1881" s="105" t="s">
        <v>339</v>
      </c>
      <c r="Q1881" s="494">
        <v>0</v>
      </c>
      <c r="R1881" s="494">
        <v>0</v>
      </c>
      <c r="S1881" s="494">
        <v>26744</v>
      </c>
      <c r="T1881" s="494">
        <v>26744</v>
      </c>
      <c r="U1881" s="494">
        <v>7838</v>
      </c>
      <c r="V1881" s="493">
        <v>2024</v>
      </c>
      <c r="W1881" s="495"/>
      <c r="X1881" s="496">
        <f t="shared" si="122"/>
        <v>3.412094922174024</v>
      </c>
      <c r="Y1881" s="497" t="str">
        <f t="shared" si="123"/>
        <v/>
      </c>
      <c r="Z1881" s="497" t="str">
        <f t="shared" si="123"/>
        <v/>
      </c>
    </row>
    <row r="1882" spans="1:26" s="82" customFormat="1" x14ac:dyDescent="0.4">
      <c r="A1882" s="493">
        <v>62738</v>
      </c>
      <c r="B1882" s="105" t="s">
        <v>329</v>
      </c>
      <c r="C1882" s="493" t="s">
        <v>330</v>
      </c>
      <c r="D1882" s="105" t="s">
        <v>2215</v>
      </c>
      <c r="E1882" s="105" t="s">
        <v>2000</v>
      </c>
      <c r="F1882" s="493">
        <v>59474</v>
      </c>
      <c r="G1882" s="105" t="s">
        <v>52</v>
      </c>
      <c r="H1882" s="105" t="s">
        <v>333</v>
      </c>
      <c r="I1882" s="105" t="s">
        <v>334</v>
      </c>
      <c r="J1882" s="493">
        <v>22</v>
      </c>
      <c r="K1882" s="493">
        <v>2</v>
      </c>
      <c r="L1882" s="105" t="s">
        <v>343</v>
      </c>
      <c r="M1882" s="105" t="s">
        <v>655</v>
      </c>
      <c r="N1882" s="105" t="s">
        <v>656</v>
      </c>
      <c r="O1882" s="105" t="s">
        <v>656</v>
      </c>
      <c r="P1882" s="105" t="s">
        <v>339</v>
      </c>
      <c r="Q1882" s="494">
        <v>0</v>
      </c>
      <c r="R1882" s="494">
        <v>0</v>
      </c>
      <c r="S1882" s="494">
        <v>26744</v>
      </c>
      <c r="T1882" s="494">
        <v>26744</v>
      </c>
      <c r="U1882" s="494">
        <v>7838</v>
      </c>
      <c r="V1882" s="493">
        <v>2024</v>
      </c>
      <c r="W1882" s="495"/>
      <c r="X1882" s="496">
        <f t="shared" si="122"/>
        <v>3.412094922174024</v>
      </c>
      <c r="Y1882" s="497" t="str">
        <f t="shared" si="123"/>
        <v/>
      </c>
      <c r="Z1882" s="497" t="str">
        <f t="shared" si="123"/>
        <v/>
      </c>
    </row>
    <row r="1883" spans="1:26" s="82" customFormat="1" ht="48" x14ac:dyDescent="0.4">
      <c r="A1883" s="493">
        <v>62757</v>
      </c>
      <c r="B1883" s="105" t="s">
        <v>433</v>
      </c>
      <c r="C1883" s="493" t="s">
        <v>330</v>
      </c>
      <c r="D1883" s="105" t="s">
        <v>2216</v>
      </c>
      <c r="E1883" s="105" t="s">
        <v>2217</v>
      </c>
      <c r="F1883" s="493">
        <v>62677</v>
      </c>
      <c r="G1883" s="105" t="s">
        <v>33</v>
      </c>
      <c r="H1883" s="105" t="s">
        <v>342</v>
      </c>
      <c r="I1883" s="105" t="s">
        <v>334</v>
      </c>
      <c r="J1883" s="493">
        <v>92214</v>
      </c>
      <c r="K1883" s="493">
        <v>5</v>
      </c>
      <c r="L1883" s="105" t="s">
        <v>771</v>
      </c>
      <c r="M1883" s="105" t="s">
        <v>295</v>
      </c>
      <c r="N1883" s="105" t="s">
        <v>228</v>
      </c>
      <c r="O1883" s="105" t="s">
        <v>228</v>
      </c>
      <c r="P1883" s="105" t="s">
        <v>356</v>
      </c>
      <c r="Q1883" s="494">
        <v>19377</v>
      </c>
      <c r="R1883" s="494">
        <v>12965</v>
      </c>
      <c r="S1883" s="494">
        <v>19377</v>
      </c>
      <c r="T1883" s="494">
        <v>12965</v>
      </c>
      <c r="U1883" s="494">
        <v>1117.2</v>
      </c>
      <c r="V1883" s="493">
        <v>2024</v>
      </c>
      <c r="W1883" s="495"/>
      <c r="X1883" s="496" t="str">
        <f t="shared" si="122"/>
        <v/>
      </c>
      <c r="Y1883" s="497">
        <f t="shared" si="123"/>
        <v>6.670866727257704</v>
      </c>
      <c r="Z1883" s="497">
        <f t="shared" si="123"/>
        <v>6.670866727257704</v>
      </c>
    </row>
    <row r="1884" spans="1:26" s="82" customFormat="1" ht="32" x14ac:dyDescent="0.4">
      <c r="A1884" s="493">
        <v>62759</v>
      </c>
      <c r="B1884" s="105" t="s">
        <v>329</v>
      </c>
      <c r="C1884" s="493" t="s">
        <v>330</v>
      </c>
      <c r="D1884" s="105" t="s">
        <v>2218</v>
      </c>
      <c r="E1884" s="105" t="s">
        <v>1313</v>
      </c>
      <c r="F1884" s="493">
        <v>60281</v>
      </c>
      <c r="G1884" s="105" t="s">
        <v>52</v>
      </c>
      <c r="H1884" s="105" t="s">
        <v>333</v>
      </c>
      <c r="I1884" s="105" t="s">
        <v>334</v>
      </c>
      <c r="J1884" s="493">
        <v>22</v>
      </c>
      <c r="K1884" s="493">
        <v>2</v>
      </c>
      <c r="L1884" s="105" t="s">
        <v>343</v>
      </c>
      <c r="M1884" s="105" t="s">
        <v>655</v>
      </c>
      <c r="N1884" s="105" t="s">
        <v>656</v>
      </c>
      <c r="O1884" s="105" t="s">
        <v>656</v>
      </c>
      <c r="P1884" s="105" t="s">
        <v>339</v>
      </c>
      <c r="Q1884" s="494">
        <v>0</v>
      </c>
      <c r="R1884" s="494">
        <v>0</v>
      </c>
      <c r="S1884" s="494">
        <v>9690</v>
      </c>
      <c r="T1884" s="494">
        <v>9690</v>
      </c>
      <c r="U1884" s="494">
        <v>2840</v>
      </c>
      <c r="V1884" s="493">
        <v>2024</v>
      </c>
      <c r="W1884" s="495"/>
      <c r="X1884" s="496">
        <f t="shared" si="122"/>
        <v>3.4119718309859155</v>
      </c>
      <c r="Y1884" s="497" t="str">
        <f t="shared" si="123"/>
        <v/>
      </c>
      <c r="Z1884" s="497" t="str">
        <f t="shared" si="123"/>
        <v/>
      </c>
    </row>
    <row r="1885" spans="1:26" s="82" customFormat="1" ht="32" x14ac:dyDescent="0.4">
      <c r="A1885" s="493">
        <v>62760</v>
      </c>
      <c r="B1885" s="105" t="s">
        <v>329</v>
      </c>
      <c r="C1885" s="493" t="s">
        <v>330</v>
      </c>
      <c r="D1885" s="105" t="s">
        <v>2219</v>
      </c>
      <c r="E1885" s="105" t="s">
        <v>1313</v>
      </c>
      <c r="F1885" s="493">
        <v>60281</v>
      </c>
      <c r="G1885" s="105" t="s">
        <v>33</v>
      </c>
      <c r="H1885" s="105" t="s">
        <v>342</v>
      </c>
      <c r="I1885" s="105" t="s">
        <v>334</v>
      </c>
      <c r="J1885" s="493">
        <v>22</v>
      </c>
      <c r="K1885" s="493">
        <v>2</v>
      </c>
      <c r="L1885" s="105" t="s">
        <v>343</v>
      </c>
      <c r="M1885" s="105" t="s">
        <v>655</v>
      </c>
      <c r="N1885" s="105" t="s">
        <v>656</v>
      </c>
      <c r="O1885" s="105" t="s">
        <v>656</v>
      </c>
      <c r="P1885" s="105" t="s">
        <v>339</v>
      </c>
      <c r="Q1885" s="494">
        <v>0</v>
      </c>
      <c r="R1885" s="494">
        <v>0</v>
      </c>
      <c r="S1885" s="494">
        <v>9496</v>
      </c>
      <c r="T1885" s="494">
        <v>9496</v>
      </c>
      <c r="U1885" s="494">
        <v>2783</v>
      </c>
      <c r="V1885" s="493">
        <v>2024</v>
      </c>
      <c r="W1885" s="495"/>
      <c r="X1885" s="496">
        <f t="shared" si="122"/>
        <v>3.4121451670858787</v>
      </c>
      <c r="Y1885" s="497" t="str">
        <f t="shared" si="123"/>
        <v/>
      </c>
      <c r="Z1885" s="497" t="str">
        <f t="shared" si="123"/>
        <v/>
      </c>
    </row>
    <row r="1886" spans="1:26" s="82" customFormat="1" ht="32" x14ac:dyDescent="0.4">
      <c r="A1886" s="493">
        <v>62761</v>
      </c>
      <c r="B1886" s="105" t="s">
        <v>329</v>
      </c>
      <c r="C1886" s="493" t="s">
        <v>330</v>
      </c>
      <c r="D1886" s="105" t="s">
        <v>2220</v>
      </c>
      <c r="E1886" s="105" t="s">
        <v>1313</v>
      </c>
      <c r="F1886" s="493">
        <v>60281</v>
      </c>
      <c r="G1886" s="105" t="s">
        <v>52</v>
      </c>
      <c r="H1886" s="105" t="s">
        <v>333</v>
      </c>
      <c r="I1886" s="105" t="s">
        <v>334</v>
      </c>
      <c r="J1886" s="493">
        <v>22</v>
      </c>
      <c r="K1886" s="493">
        <v>2</v>
      </c>
      <c r="L1886" s="105" t="s">
        <v>343</v>
      </c>
      <c r="M1886" s="105" t="s">
        <v>655</v>
      </c>
      <c r="N1886" s="105" t="s">
        <v>656</v>
      </c>
      <c r="O1886" s="105" t="s">
        <v>656</v>
      </c>
      <c r="P1886" s="105" t="s">
        <v>339</v>
      </c>
      <c r="Q1886" s="494">
        <v>0</v>
      </c>
      <c r="R1886" s="494">
        <v>0</v>
      </c>
      <c r="S1886" s="494">
        <v>11361</v>
      </c>
      <c r="T1886" s="494">
        <v>11361</v>
      </c>
      <c r="U1886" s="494">
        <v>3329</v>
      </c>
      <c r="V1886" s="493">
        <v>2024</v>
      </c>
      <c r="W1886" s="495"/>
      <c r="X1886" s="496">
        <f t="shared" si="122"/>
        <v>3.4127365575247821</v>
      </c>
      <c r="Y1886" s="497" t="str">
        <f t="shared" si="123"/>
        <v/>
      </c>
      <c r="Z1886" s="497" t="str">
        <f t="shared" si="123"/>
        <v/>
      </c>
    </row>
    <row r="1887" spans="1:26" s="82" customFormat="1" ht="32" x14ac:dyDescent="0.4">
      <c r="A1887" s="493">
        <v>62763</v>
      </c>
      <c r="B1887" s="105" t="s">
        <v>329</v>
      </c>
      <c r="C1887" s="493" t="s">
        <v>330</v>
      </c>
      <c r="D1887" s="105" t="s">
        <v>2221</v>
      </c>
      <c r="E1887" s="105" t="s">
        <v>1313</v>
      </c>
      <c r="F1887" s="493">
        <v>60281</v>
      </c>
      <c r="G1887" s="105" t="s">
        <v>33</v>
      </c>
      <c r="H1887" s="105" t="s">
        <v>342</v>
      </c>
      <c r="I1887" s="105" t="s">
        <v>334</v>
      </c>
      <c r="J1887" s="493">
        <v>22</v>
      </c>
      <c r="K1887" s="493">
        <v>2</v>
      </c>
      <c r="L1887" s="105" t="s">
        <v>343</v>
      </c>
      <c r="M1887" s="105" t="s">
        <v>655</v>
      </c>
      <c r="N1887" s="105" t="s">
        <v>656</v>
      </c>
      <c r="O1887" s="105" t="s">
        <v>656</v>
      </c>
      <c r="P1887" s="105" t="s">
        <v>339</v>
      </c>
      <c r="Q1887" s="494">
        <v>0</v>
      </c>
      <c r="R1887" s="494">
        <v>0</v>
      </c>
      <c r="S1887" s="494">
        <v>12434</v>
      </c>
      <c r="T1887" s="494">
        <v>12434</v>
      </c>
      <c r="U1887" s="494">
        <v>3644</v>
      </c>
      <c r="V1887" s="493">
        <v>2024</v>
      </c>
      <c r="W1887" s="495"/>
      <c r="X1887" s="496">
        <f t="shared" si="122"/>
        <v>3.4121844127332603</v>
      </c>
      <c r="Y1887" s="497" t="str">
        <f t="shared" si="123"/>
        <v/>
      </c>
      <c r="Z1887" s="497" t="str">
        <f t="shared" si="123"/>
        <v/>
      </c>
    </row>
    <row r="1888" spans="1:26" s="82" customFormat="1" ht="32" x14ac:dyDescent="0.4">
      <c r="A1888" s="493">
        <v>62764</v>
      </c>
      <c r="B1888" s="105" t="s">
        <v>329</v>
      </c>
      <c r="C1888" s="493" t="s">
        <v>330</v>
      </c>
      <c r="D1888" s="105" t="s">
        <v>2222</v>
      </c>
      <c r="E1888" s="105" t="s">
        <v>1313</v>
      </c>
      <c r="F1888" s="493">
        <v>60281</v>
      </c>
      <c r="G1888" s="105" t="s">
        <v>52</v>
      </c>
      <c r="H1888" s="105" t="s">
        <v>333</v>
      </c>
      <c r="I1888" s="105" t="s">
        <v>334</v>
      </c>
      <c r="J1888" s="493">
        <v>22</v>
      </c>
      <c r="K1888" s="493">
        <v>2</v>
      </c>
      <c r="L1888" s="105" t="s">
        <v>343</v>
      </c>
      <c r="M1888" s="105" t="s">
        <v>655</v>
      </c>
      <c r="N1888" s="105" t="s">
        <v>656</v>
      </c>
      <c r="O1888" s="105" t="s">
        <v>656</v>
      </c>
      <c r="P1888" s="105" t="s">
        <v>339</v>
      </c>
      <c r="Q1888" s="494">
        <v>0</v>
      </c>
      <c r="R1888" s="494">
        <v>0</v>
      </c>
      <c r="S1888" s="494">
        <v>11030</v>
      </c>
      <c r="T1888" s="494">
        <v>11030</v>
      </c>
      <c r="U1888" s="494">
        <v>3233</v>
      </c>
      <c r="V1888" s="493">
        <v>2024</v>
      </c>
      <c r="W1888" s="495"/>
      <c r="X1888" s="496">
        <f t="shared" si="122"/>
        <v>3.4116919270027837</v>
      </c>
      <c r="Y1888" s="497" t="str">
        <f t="shared" ref="Y1888:Z1907" si="124">IF(AND($M1888=$Y$2,$N1888=$Y$3,NOT($Q1888=$R1888),NOT($U1888=0)),IF($K1888=5,$S1888/($U1888+(8/5)*$U1888),IF($K1888=7,$S1888/($U1888+(29/25)*$U1888),"")),"")</f>
        <v/>
      </c>
      <c r="Z1888" s="497" t="str">
        <f t="shared" si="124"/>
        <v/>
      </c>
    </row>
    <row r="1889" spans="1:26" s="82" customFormat="1" x14ac:dyDescent="0.4">
      <c r="A1889" s="493">
        <v>62771</v>
      </c>
      <c r="B1889" s="105" t="s">
        <v>329</v>
      </c>
      <c r="C1889" s="493" t="s">
        <v>330</v>
      </c>
      <c r="D1889" s="105" t="s">
        <v>2223</v>
      </c>
      <c r="E1889" s="105" t="s">
        <v>1383</v>
      </c>
      <c r="F1889" s="493">
        <v>61944</v>
      </c>
      <c r="G1889" s="105" t="s">
        <v>38</v>
      </c>
      <c r="H1889" s="105" t="s">
        <v>342</v>
      </c>
      <c r="I1889" s="105" t="s">
        <v>334</v>
      </c>
      <c r="J1889" s="493">
        <v>22</v>
      </c>
      <c r="K1889" s="493">
        <v>2</v>
      </c>
      <c r="L1889" s="105" t="s">
        <v>343</v>
      </c>
      <c r="M1889" s="105" t="s">
        <v>655</v>
      </c>
      <c r="N1889" s="105" t="s">
        <v>656</v>
      </c>
      <c r="O1889" s="105" t="s">
        <v>656</v>
      </c>
      <c r="P1889" s="105" t="s">
        <v>339</v>
      </c>
      <c r="Q1889" s="494">
        <v>0</v>
      </c>
      <c r="R1889" s="494">
        <v>0</v>
      </c>
      <c r="S1889" s="494">
        <v>212210</v>
      </c>
      <c r="T1889" s="494">
        <v>212210</v>
      </c>
      <c r="U1889" s="494">
        <v>62195</v>
      </c>
      <c r="V1889" s="493">
        <v>2024</v>
      </c>
      <c r="W1889" s="495"/>
      <c r="X1889" s="496">
        <f t="shared" si="122"/>
        <v>3.4120106117855133</v>
      </c>
      <c r="Y1889" s="497" t="str">
        <f t="shared" si="124"/>
        <v/>
      </c>
      <c r="Z1889" s="497" t="str">
        <f t="shared" si="124"/>
        <v/>
      </c>
    </row>
    <row r="1890" spans="1:26" s="82" customFormat="1" x14ac:dyDescent="0.4">
      <c r="A1890" s="493">
        <v>62777</v>
      </c>
      <c r="B1890" s="105" t="s">
        <v>329</v>
      </c>
      <c r="C1890" s="493" t="s">
        <v>330</v>
      </c>
      <c r="D1890" s="105" t="s">
        <v>2224</v>
      </c>
      <c r="E1890" s="105" t="s">
        <v>2225</v>
      </c>
      <c r="F1890" s="493">
        <v>62684</v>
      </c>
      <c r="G1890" s="105" t="s">
        <v>52</v>
      </c>
      <c r="H1890" s="105" t="s">
        <v>333</v>
      </c>
      <c r="I1890" s="105" t="s">
        <v>334</v>
      </c>
      <c r="J1890" s="493">
        <v>22</v>
      </c>
      <c r="K1890" s="493">
        <v>2</v>
      </c>
      <c r="L1890" s="105" t="s">
        <v>343</v>
      </c>
      <c r="M1890" s="105" t="s">
        <v>655</v>
      </c>
      <c r="N1890" s="105" t="s">
        <v>656</v>
      </c>
      <c r="O1890" s="105" t="s">
        <v>656</v>
      </c>
      <c r="P1890" s="105" t="s">
        <v>339</v>
      </c>
      <c r="Q1890" s="494">
        <v>0</v>
      </c>
      <c r="R1890" s="494">
        <v>0</v>
      </c>
      <c r="S1890" s="494">
        <v>5328</v>
      </c>
      <c r="T1890" s="494">
        <v>5328</v>
      </c>
      <c r="U1890" s="494">
        <v>1561</v>
      </c>
      <c r="V1890" s="493">
        <v>2024</v>
      </c>
      <c r="W1890" s="495"/>
      <c r="X1890" s="496">
        <f t="shared" si="122"/>
        <v>3.4131966688020499</v>
      </c>
      <c r="Y1890" s="497" t="str">
        <f t="shared" si="124"/>
        <v/>
      </c>
      <c r="Z1890" s="497" t="str">
        <f t="shared" si="124"/>
        <v/>
      </c>
    </row>
    <row r="1891" spans="1:26" s="82" customFormat="1" ht="32" x14ac:dyDescent="0.4">
      <c r="A1891" s="493">
        <v>62781</v>
      </c>
      <c r="B1891" s="105" t="s">
        <v>329</v>
      </c>
      <c r="C1891" s="493" t="s">
        <v>330</v>
      </c>
      <c r="D1891" s="105" t="s">
        <v>2226</v>
      </c>
      <c r="E1891" s="105" t="s">
        <v>1441</v>
      </c>
      <c r="F1891" s="493">
        <v>59254</v>
      </c>
      <c r="G1891" s="105" t="s">
        <v>38</v>
      </c>
      <c r="H1891" s="105" t="s">
        <v>342</v>
      </c>
      <c r="I1891" s="105" t="s">
        <v>334</v>
      </c>
      <c r="J1891" s="493">
        <v>22</v>
      </c>
      <c r="K1891" s="493">
        <v>2</v>
      </c>
      <c r="L1891" s="105" t="s">
        <v>343</v>
      </c>
      <c r="M1891" s="105" t="s">
        <v>655</v>
      </c>
      <c r="N1891" s="105" t="s">
        <v>656</v>
      </c>
      <c r="O1891" s="105" t="s">
        <v>656</v>
      </c>
      <c r="P1891" s="105" t="s">
        <v>339</v>
      </c>
      <c r="Q1891" s="494">
        <v>0</v>
      </c>
      <c r="R1891" s="494">
        <v>0</v>
      </c>
      <c r="S1891" s="494">
        <v>25542</v>
      </c>
      <c r="T1891" s="494">
        <v>25542</v>
      </c>
      <c r="U1891" s="494">
        <v>7486</v>
      </c>
      <c r="V1891" s="493">
        <v>2024</v>
      </c>
      <c r="W1891" s="495"/>
      <c r="X1891" s="496">
        <f t="shared" si="122"/>
        <v>3.4119690088164574</v>
      </c>
      <c r="Y1891" s="497" t="str">
        <f t="shared" si="124"/>
        <v/>
      </c>
      <c r="Z1891" s="497" t="str">
        <f t="shared" si="124"/>
        <v/>
      </c>
    </row>
    <row r="1892" spans="1:26" s="82" customFormat="1" x14ac:dyDescent="0.4">
      <c r="A1892" s="493">
        <v>62784</v>
      </c>
      <c r="B1892" s="105" t="s">
        <v>329</v>
      </c>
      <c r="C1892" s="493" t="s">
        <v>330</v>
      </c>
      <c r="D1892" s="105" t="s">
        <v>2227</v>
      </c>
      <c r="E1892" s="105" t="s">
        <v>2228</v>
      </c>
      <c r="F1892" s="493">
        <v>62688</v>
      </c>
      <c r="G1892" s="105" t="s">
        <v>52</v>
      </c>
      <c r="H1892" s="105" t="s">
        <v>333</v>
      </c>
      <c r="I1892" s="105" t="s">
        <v>334</v>
      </c>
      <c r="J1892" s="493">
        <v>22</v>
      </c>
      <c r="K1892" s="493">
        <v>2</v>
      </c>
      <c r="L1892" s="105" t="s">
        <v>343</v>
      </c>
      <c r="M1892" s="105" t="s">
        <v>655</v>
      </c>
      <c r="N1892" s="105" t="s">
        <v>656</v>
      </c>
      <c r="O1892" s="105" t="s">
        <v>656</v>
      </c>
      <c r="P1892" s="105" t="s">
        <v>339</v>
      </c>
      <c r="Q1892" s="494">
        <v>0</v>
      </c>
      <c r="R1892" s="494">
        <v>0</v>
      </c>
      <c r="S1892" s="494">
        <v>6895</v>
      </c>
      <c r="T1892" s="494">
        <v>6895</v>
      </c>
      <c r="U1892" s="494">
        <v>2021</v>
      </c>
      <c r="V1892" s="493">
        <v>2024</v>
      </c>
      <c r="W1892" s="495"/>
      <c r="X1892" s="496">
        <f t="shared" si="122"/>
        <v>3.4116773874319644</v>
      </c>
      <c r="Y1892" s="497" t="str">
        <f t="shared" si="124"/>
        <v/>
      </c>
      <c r="Z1892" s="497" t="str">
        <f t="shared" si="124"/>
        <v/>
      </c>
    </row>
    <row r="1893" spans="1:26" s="82" customFormat="1" x14ac:dyDescent="0.4">
      <c r="A1893" s="493">
        <v>62785</v>
      </c>
      <c r="B1893" s="105" t="s">
        <v>329</v>
      </c>
      <c r="C1893" s="493" t="s">
        <v>330</v>
      </c>
      <c r="D1893" s="105" t="s">
        <v>2229</v>
      </c>
      <c r="E1893" s="105" t="s">
        <v>2228</v>
      </c>
      <c r="F1893" s="493">
        <v>62688</v>
      </c>
      <c r="G1893" s="105" t="s">
        <v>52</v>
      </c>
      <c r="H1893" s="105" t="s">
        <v>333</v>
      </c>
      <c r="I1893" s="105" t="s">
        <v>334</v>
      </c>
      <c r="J1893" s="493">
        <v>22</v>
      </c>
      <c r="K1893" s="493">
        <v>2</v>
      </c>
      <c r="L1893" s="105" t="s">
        <v>343</v>
      </c>
      <c r="M1893" s="105" t="s">
        <v>655</v>
      </c>
      <c r="N1893" s="105" t="s">
        <v>656</v>
      </c>
      <c r="O1893" s="105" t="s">
        <v>656</v>
      </c>
      <c r="P1893" s="105" t="s">
        <v>339</v>
      </c>
      <c r="Q1893" s="494">
        <v>0</v>
      </c>
      <c r="R1893" s="494">
        <v>0</v>
      </c>
      <c r="S1893" s="494">
        <v>5153</v>
      </c>
      <c r="T1893" s="494">
        <v>5153</v>
      </c>
      <c r="U1893" s="494">
        <v>1510</v>
      </c>
      <c r="V1893" s="493">
        <v>2024</v>
      </c>
      <c r="W1893" s="495"/>
      <c r="X1893" s="496">
        <f t="shared" si="122"/>
        <v>3.4125827814569538</v>
      </c>
      <c r="Y1893" s="497" t="str">
        <f t="shared" si="124"/>
        <v/>
      </c>
      <c r="Z1893" s="497" t="str">
        <f t="shared" si="124"/>
        <v/>
      </c>
    </row>
    <row r="1894" spans="1:26" s="82" customFormat="1" x14ac:dyDescent="0.4">
      <c r="A1894" s="493">
        <v>62788</v>
      </c>
      <c r="B1894" s="105" t="s">
        <v>329</v>
      </c>
      <c r="C1894" s="493" t="s">
        <v>330</v>
      </c>
      <c r="D1894" s="105" t="s">
        <v>2230</v>
      </c>
      <c r="E1894" s="105" t="s">
        <v>2208</v>
      </c>
      <c r="F1894" s="493">
        <v>60531</v>
      </c>
      <c r="G1894" s="105" t="s">
        <v>52</v>
      </c>
      <c r="H1894" s="105" t="s">
        <v>333</v>
      </c>
      <c r="I1894" s="105" t="s">
        <v>334</v>
      </c>
      <c r="J1894" s="493">
        <v>22</v>
      </c>
      <c r="K1894" s="493">
        <v>2</v>
      </c>
      <c r="L1894" s="105" t="s">
        <v>343</v>
      </c>
      <c r="M1894" s="105" t="s">
        <v>655</v>
      </c>
      <c r="N1894" s="105" t="s">
        <v>656</v>
      </c>
      <c r="O1894" s="105" t="s">
        <v>656</v>
      </c>
      <c r="P1894" s="105" t="s">
        <v>339</v>
      </c>
      <c r="Q1894" s="494">
        <v>0</v>
      </c>
      <c r="R1894" s="494">
        <v>0</v>
      </c>
      <c r="S1894" s="494">
        <v>27959</v>
      </c>
      <c r="T1894" s="494">
        <v>27959</v>
      </c>
      <c r="U1894" s="494">
        <v>8195</v>
      </c>
      <c r="V1894" s="493">
        <v>2024</v>
      </c>
      <c r="W1894" s="495"/>
      <c r="X1894" s="496">
        <f t="shared" si="122"/>
        <v>3.4117144600366078</v>
      </c>
      <c r="Y1894" s="497" t="str">
        <f t="shared" si="124"/>
        <v/>
      </c>
      <c r="Z1894" s="497" t="str">
        <f t="shared" si="124"/>
        <v/>
      </c>
    </row>
    <row r="1895" spans="1:26" s="82" customFormat="1" x14ac:dyDescent="0.4">
      <c r="A1895" s="493">
        <v>62810</v>
      </c>
      <c r="B1895" s="105" t="s">
        <v>329</v>
      </c>
      <c r="C1895" s="493" t="s">
        <v>330</v>
      </c>
      <c r="D1895" s="105" t="s">
        <v>2231</v>
      </c>
      <c r="E1895" s="105" t="s">
        <v>2232</v>
      </c>
      <c r="F1895" s="493">
        <v>64994</v>
      </c>
      <c r="G1895" s="105" t="s">
        <v>52</v>
      </c>
      <c r="H1895" s="105" t="s">
        <v>333</v>
      </c>
      <c r="I1895" s="105" t="s">
        <v>334</v>
      </c>
      <c r="J1895" s="493">
        <v>22</v>
      </c>
      <c r="K1895" s="493">
        <v>2</v>
      </c>
      <c r="L1895" s="105" t="s">
        <v>343</v>
      </c>
      <c r="M1895" s="105" t="s">
        <v>655</v>
      </c>
      <c r="N1895" s="105" t="s">
        <v>656</v>
      </c>
      <c r="O1895" s="105" t="s">
        <v>656</v>
      </c>
      <c r="P1895" s="105" t="s">
        <v>339</v>
      </c>
      <c r="Q1895" s="494">
        <v>0</v>
      </c>
      <c r="R1895" s="494">
        <v>0</v>
      </c>
      <c r="S1895" s="494">
        <v>8314</v>
      </c>
      <c r="T1895" s="494">
        <v>8314</v>
      </c>
      <c r="U1895" s="494">
        <v>2437</v>
      </c>
      <c r="V1895" s="493">
        <v>2024</v>
      </c>
      <c r="W1895" s="495"/>
      <c r="X1895" s="496">
        <f t="shared" si="122"/>
        <v>3.4115716044316784</v>
      </c>
      <c r="Y1895" s="497" t="str">
        <f t="shared" si="124"/>
        <v/>
      </c>
      <c r="Z1895" s="497" t="str">
        <f t="shared" si="124"/>
        <v/>
      </c>
    </row>
    <row r="1896" spans="1:26" s="82" customFormat="1" ht="32" x14ac:dyDescent="0.4">
      <c r="A1896" s="493">
        <v>62824</v>
      </c>
      <c r="B1896" s="105" t="s">
        <v>329</v>
      </c>
      <c r="C1896" s="493" t="s">
        <v>330</v>
      </c>
      <c r="D1896" s="105" t="s">
        <v>2233</v>
      </c>
      <c r="E1896" s="105" t="s">
        <v>2234</v>
      </c>
      <c r="F1896" s="493">
        <v>62719</v>
      </c>
      <c r="G1896" s="105" t="s">
        <v>33</v>
      </c>
      <c r="H1896" s="105" t="s">
        <v>342</v>
      </c>
      <c r="I1896" s="105" t="s">
        <v>334</v>
      </c>
      <c r="J1896" s="493">
        <v>22</v>
      </c>
      <c r="K1896" s="493">
        <v>2</v>
      </c>
      <c r="L1896" s="105" t="s">
        <v>343</v>
      </c>
      <c r="M1896" s="105" t="s">
        <v>655</v>
      </c>
      <c r="N1896" s="105" t="s">
        <v>656</v>
      </c>
      <c r="O1896" s="105" t="s">
        <v>656</v>
      </c>
      <c r="P1896" s="105" t="s">
        <v>339</v>
      </c>
      <c r="Q1896" s="494">
        <v>0</v>
      </c>
      <c r="R1896" s="494">
        <v>0</v>
      </c>
      <c r="S1896" s="494">
        <v>10984</v>
      </c>
      <c r="T1896" s="494">
        <v>10984</v>
      </c>
      <c r="U1896" s="494">
        <v>3219</v>
      </c>
      <c r="V1896" s="493">
        <v>2024</v>
      </c>
      <c r="W1896" s="495"/>
      <c r="X1896" s="496">
        <f t="shared" si="122"/>
        <v>3.4122398260329296</v>
      </c>
      <c r="Y1896" s="497" t="str">
        <f t="shared" si="124"/>
        <v/>
      </c>
      <c r="Z1896" s="497" t="str">
        <f t="shared" si="124"/>
        <v/>
      </c>
    </row>
    <row r="1897" spans="1:26" s="82" customFormat="1" ht="32" x14ac:dyDescent="0.4">
      <c r="A1897" s="493">
        <v>62825</v>
      </c>
      <c r="B1897" s="105" t="s">
        <v>329</v>
      </c>
      <c r="C1897" s="493" t="s">
        <v>330</v>
      </c>
      <c r="D1897" s="105" t="s">
        <v>2235</v>
      </c>
      <c r="E1897" s="105" t="s">
        <v>2234</v>
      </c>
      <c r="F1897" s="493">
        <v>62719</v>
      </c>
      <c r="G1897" s="105" t="s">
        <v>33</v>
      </c>
      <c r="H1897" s="105" t="s">
        <v>342</v>
      </c>
      <c r="I1897" s="105" t="s">
        <v>334</v>
      </c>
      <c r="J1897" s="493">
        <v>22</v>
      </c>
      <c r="K1897" s="493">
        <v>2</v>
      </c>
      <c r="L1897" s="105" t="s">
        <v>343</v>
      </c>
      <c r="M1897" s="105" t="s">
        <v>655</v>
      </c>
      <c r="N1897" s="105" t="s">
        <v>656</v>
      </c>
      <c r="O1897" s="105" t="s">
        <v>656</v>
      </c>
      <c r="P1897" s="105" t="s">
        <v>339</v>
      </c>
      <c r="Q1897" s="494">
        <v>0</v>
      </c>
      <c r="R1897" s="494">
        <v>0</v>
      </c>
      <c r="S1897" s="494">
        <v>20943</v>
      </c>
      <c r="T1897" s="494">
        <v>20943</v>
      </c>
      <c r="U1897" s="494">
        <v>6138</v>
      </c>
      <c r="V1897" s="493">
        <v>2024</v>
      </c>
      <c r="W1897" s="495"/>
      <c r="X1897" s="496">
        <f t="shared" si="122"/>
        <v>3.4120234604105573</v>
      </c>
      <c r="Y1897" s="497" t="str">
        <f t="shared" si="124"/>
        <v/>
      </c>
      <c r="Z1897" s="497" t="str">
        <f t="shared" si="124"/>
        <v/>
      </c>
    </row>
    <row r="1898" spans="1:26" s="82" customFormat="1" ht="32" x14ac:dyDescent="0.4">
      <c r="A1898" s="493">
        <v>62826</v>
      </c>
      <c r="B1898" s="105" t="s">
        <v>329</v>
      </c>
      <c r="C1898" s="493" t="s">
        <v>330</v>
      </c>
      <c r="D1898" s="105" t="s">
        <v>2236</v>
      </c>
      <c r="E1898" s="105" t="s">
        <v>2234</v>
      </c>
      <c r="F1898" s="493">
        <v>62719</v>
      </c>
      <c r="G1898" s="105" t="s">
        <v>33</v>
      </c>
      <c r="H1898" s="105" t="s">
        <v>342</v>
      </c>
      <c r="I1898" s="105" t="s">
        <v>334</v>
      </c>
      <c r="J1898" s="493">
        <v>22</v>
      </c>
      <c r="K1898" s="493">
        <v>2</v>
      </c>
      <c r="L1898" s="105" t="s">
        <v>343</v>
      </c>
      <c r="M1898" s="105" t="s">
        <v>655</v>
      </c>
      <c r="N1898" s="105" t="s">
        <v>656</v>
      </c>
      <c r="O1898" s="105" t="s">
        <v>656</v>
      </c>
      <c r="P1898" s="105" t="s">
        <v>339</v>
      </c>
      <c r="Q1898" s="494">
        <v>0</v>
      </c>
      <c r="R1898" s="494">
        <v>0</v>
      </c>
      <c r="S1898" s="494">
        <v>12383</v>
      </c>
      <c r="T1898" s="494">
        <v>12383</v>
      </c>
      <c r="U1898" s="494">
        <v>3629</v>
      </c>
      <c r="V1898" s="493">
        <v>2024</v>
      </c>
      <c r="W1898" s="495"/>
      <c r="X1898" s="496">
        <f t="shared" si="122"/>
        <v>3.412234775420226</v>
      </c>
      <c r="Y1898" s="497" t="str">
        <f t="shared" si="124"/>
        <v/>
      </c>
      <c r="Z1898" s="497" t="str">
        <f t="shared" si="124"/>
        <v/>
      </c>
    </row>
    <row r="1899" spans="1:26" s="82" customFormat="1" ht="32" x14ac:dyDescent="0.4">
      <c r="A1899" s="493">
        <v>62827</v>
      </c>
      <c r="B1899" s="105" t="s">
        <v>329</v>
      </c>
      <c r="C1899" s="493" t="s">
        <v>330</v>
      </c>
      <c r="D1899" s="105" t="s">
        <v>2237</v>
      </c>
      <c r="E1899" s="105" t="s">
        <v>2234</v>
      </c>
      <c r="F1899" s="493">
        <v>62719</v>
      </c>
      <c r="G1899" s="105" t="s">
        <v>33</v>
      </c>
      <c r="H1899" s="105" t="s">
        <v>342</v>
      </c>
      <c r="I1899" s="105" t="s">
        <v>334</v>
      </c>
      <c r="J1899" s="493">
        <v>22</v>
      </c>
      <c r="K1899" s="493">
        <v>2</v>
      </c>
      <c r="L1899" s="105" t="s">
        <v>343</v>
      </c>
      <c r="M1899" s="105" t="s">
        <v>655</v>
      </c>
      <c r="N1899" s="105" t="s">
        <v>656</v>
      </c>
      <c r="O1899" s="105" t="s">
        <v>656</v>
      </c>
      <c r="P1899" s="105" t="s">
        <v>339</v>
      </c>
      <c r="Q1899" s="494">
        <v>0</v>
      </c>
      <c r="R1899" s="494">
        <v>0</v>
      </c>
      <c r="S1899" s="494">
        <v>13825</v>
      </c>
      <c r="T1899" s="494">
        <v>13825</v>
      </c>
      <c r="U1899" s="494">
        <v>4052</v>
      </c>
      <c r="V1899" s="493">
        <v>2024</v>
      </c>
      <c r="W1899" s="495"/>
      <c r="X1899" s="496">
        <f t="shared" si="122"/>
        <v>3.4118953603158935</v>
      </c>
      <c r="Y1899" s="497" t="str">
        <f t="shared" si="124"/>
        <v/>
      </c>
      <c r="Z1899" s="497" t="str">
        <f t="shared" si="124"/>
        <v/>
      </c>
    </row>
    <row r="1900" spans="1:26" s="82" customFormat="1" ht="32" x14ac:dyDescent="0.4">
      <c r="A1900" s="493">
        <v>62831</v>
      </c>
      <c r="B1900" s="105" t="s">
        <v>329</v>
      </c>
      <c r="C1900" s="493" t="s">
        <v>330</v>
      </c>
      <c r="D1900" s="105" t="s">
        <v>2238</v>
      </c>
      <c r="E1900" s="105" t="s">
        <v>1313</v>
      </c>
      <c r="F1900" s="493">
        <v>60281</v>
      </c>
      <c r="G1900" s="105" t="s">
        <v>52</v>
      </c>
      <c r="H1900" s="105" t="s">
        <v>333</v>
      </c>
      <c r="I1900" s="105" t="s">
        <v>334</v>
      </c>
      <c r="J1900" s="493">
        <v>22</v>
      </c>
      <c r="K1900" s="493">
        <v>2</v>
      </c>
      <c r="L1900" s="105" t="s">
        <v>343</v>
      </c>
      <c r="M1900" s="105" t="s">
        <v>655</v>
      </c>
      <c r="N1900" s="105" t="s">
        <v>656</v>
      </c>
      <c r="O1900" s="105" t="s">
        <v>656</v>
      </c>
      <c r="P1900" s="105" t="s">
        <v>339</v>
      </c>
      <c r="Q1900" s="494">
        <v>0</v>
      </c>
      <c r="R1900" s="494">
        <v>0</v>
      </c>
      <c r="S1900" s="494">
        <v>10165</v>
      </c>
      <c r="T1900" s="494">
        <v>10165</v>
      </c>
      <c r="U1900" s="494">
        <v>2979</v>
      </c>
      <c r="V1900" s="493">
        <v>2024</v>
      </c>
      <c r="W1900" s="495"/>
      <c r="X1900" s="496">
        <f t="shared" si="122"/>
        <v>3.412218865391071</v>
      </c>
      <c r="Y1900" s="497" t="str">
        <f t="shared" si="124"/>
        <v/>
      </c>
      <c r="Z1900" s="497" t="str">
        <f t="shared" si="124"/>
        <v/>
      </c>
    </row>
    <row r="1901" spans="1:26" s="82" customFormat="1" ht="32" x14ac:dyDescent="0.4">
      <c r="A1901" s="493">
        <v>62832</v>
      </c>
      <c r="B1901" s="105" t="s">
        <v>329</v>
      </c>
      <c r="C1901" s="493" t="s">
        <v>330</v>
      </c>
      <c r="D1901" s="105" t="s">
        <v>2239</v>
      </c>
      <c r="E1901" s="105" t="s">
        <v>1313</v>
      </c>
      <c r="F1901" s="493">
        <v>60281</v>
      </c>
      <c r="G1901" s="105" t="s">
        <v>52</v>
      </c>
      <c r="H1901" s="105" t="s">
        <v>333</v>
      </c>
      <c r="I1901" s="105" t="s">
        <v>334</v>
      </c>
      <c r="J1901" s="493">
        <v>22</v>
      </c>
      <c r="K1901" s="493">
        <v>2</v>
      </c>
      <c r="L1901" s="105" t="s">
        <v>343</v>
      </c>
      <c r="M1901" s="105" t="s">
        <v>655</v>
      </c>
      <c r="N1901" s="105" t="s">
        <v>656</v>
      </c>
      <c r="O1901" s="105" t="s">
        <v>656</v>
      </c>
      <c r="P1901" s="105" t="s">
        <v>339</v>
      </c>
      <c r="Q1901" s="494">
        <v>0</v>
      </c>
      <c r="R1901" s="494">
        <v>0</v>
      </c>
      <c r="S1901" s="494">
        <v>9912</v>
      </c>
      <c r="T1901" s="494">
        <v>9912</v>
      </c>
      <c r="U1901" s="494">
        <v>2905</v>
      </c>
      <c r="V1901" s="493">
        <v>2024</v>
      </c>
      <c r="W1901" s="495"/>
      <c r="X1901" s="496">
        <f t="shared" si="122"/>
        <v>3.4120481927710844</v>
      </c>
      <c r="Y1901" s="497" t="str">
        <f t="shared" si="124"/>
        <v/>
      </c>
      <c r="Z1901" s="497" t="str">
        <f t="shared" si="124"/>
        <v/>
      </c>
    </row>
    <row r="1902" spans="1:26" s="82" customFormat="1" ht="32" x14ac:dyDescent="0.4">
      <c r="A1902" s="493">
        <v>62834</v>
      </c>
      <c r="B1902" s="105" t="s">
        <v>329</v>
      </c>
      <c r="C1902" s="493" t="s">
        <v>330</v>
      </c>
      <c r="D1902" s="105" t="s">
        <v>2240</v>
      </c>
      <c r="E1902" s="105" t="s">
        <v>1313</v>
      </c>
      <c r="F1902" s="493">
        <v>60281</v>
      </c>
      <c r="G1902" s="105" t="s">
        <v>52</v>
      </c>
      <c r="H1902" s="105" t="s">
        <v>333</v>
      </c>
      <c r="I1902" s="105" t="s">
        <v>334</v>
      </c>
      <c r="J1902" s="493">
        <v>22</v>
      </c>
      <c r="K1902" s="493">
        <v>2</v>
      </c>
      <c r="L1902" s="105" t="s">
        <v>343</v>
      </c>
      <c r="M1902" s="105" t="s">
        <v>655</v>
      </c>
      <c r="N1902" s="105" t="s">
        <v>656</v>
      </c>
      <c r="O1902" s="105" t="s">
        <v>656</v>
      </c>
      <c r="P1902" s="105" t="s">
        <v>339</v>
      </c>
      <c r="Q1902" s="494">
        <v>0</v>
      </c>
      <c r="R1902" s="494">
        <v>0</v>
      </c>
      <c r="S1902" s="494">
        <v>9960</v>
      </c>
      <c r="T1902" s="494">
        <v>9960</v>
      </c>
      <c r="U1902" s="494">
        <v>2919</v>
      </c>
      <c r="V1902" s="493">
        <v>2024</v>
      </c>
      <c r="W1902" s="495"/>
      <c r="X1902" s="496">
        <f t="shared" si="122"/>
        <v>3.4121274409044191</v>
      </c>
      <c r="Y1902" s="497" t="str">
        <f t="shared" si="124"/>
        <v/>
      </c>
      <c r="Z1902" s="497" t="str">
        <f t="shared" si="124"/>
        <v/>
      </c>
    </row>
    <row r="1903" spans="1:26" s="82" customFormat="1" ht="32" x14ac:dyDescent="0.4">
      <c r="A1903" s="493">
        <v>62835</v>
      </c>
      <c r="B1903" s="105" t="s">
        <v>329</v>
      </c>
      <c r="C1903" s="493" t="s">
        <v>330</v>
      </c>
      <c r="D1903" s="105" t="s">
        <v>2241</v>
      </c>
      <c r="E1903" s="105" t="s">
        <v>2242</v>
      </c>
      <c r="F1903" s="493">
        <v>63332</v>
      </c>
      <c r="G1903" s="105" t="s">
        <v>33</v>
      </c>
      <c r="H1903" s="105" t="s">
        <v>342</v>
      </c>
      <c r="I1903" s="105" t="s">
        <v>334</v>
      </c>
      <c r="J1903" s="493">
        <v>339</v>
      </c>
      <c r="K1903" s="493">
        <v>6</v>
      </c>
      <c r="L1903" s="105" t="s">
        <v>729</v>
      </c>
      <c r="M1903" s="105" t="s">
        <v>403</v>
      </c>
      <c r="N1903" s="105" t="s">
        <v>404</v>
      </c>
      <c r="O1903" s="105" t="s">
        <v>232</v>
      </c>
      <c r="P1903" s="105" t="s">
        <v>346</v>
      </c>
      <c r="Q1903" s="494">
        <v>0</v>
      </c>
      <c r="R1903" s="494">
        <v>0</v>
      </c>
      <c r="S1903" s="494">
        <v>0</v>
      </c>
      <c r="T1903" s="494">
        <v>0</v>
      </c>
      <c r="U1903" s="494">
        <v>0</v>
      </c>
      <c r="V1903" s="493">
        <v>2024</v>
      </c>
      <c r="W1903" s="495"/>
      <c r="X1903" s="496" t="str">
        <f t="shared" si="122"/>
        <v/>
      </c>
      <c r="Y1903" s="497" t="str">
        <f t="shared" si="124"/>
        <v/>
      </c>
      <c r="Z1903" s="497" t="str">
        <f t="shared" si="124"/>
        <v/>
      </c>
    </row>
    <row r="1904" spans="1:26" s="82" customFormat="1" ht="32" x14ac:dyDescent="0.4">
      <c r="A1904" s="493">
        <v>62839</v>
      </c>
      <c r="B1904" s="105" t="s">
        <v>329</v>
      </c>
      <c r="C1904" s="493" t="s">
        <v>330</v>
      </c>
      <c r="D1904" s="105" t="s">
        <v>2243</v>
      </c>
      <c r="E1904" s="105" t="s">
        <v>494</v>
      </c>
      <c r="F1904" s="493">
        <v>4226</v>
      </c>
      <c r="G1904" s="105" t="s">
        <v>52</v>
      </c>
      <c r="H1904" s="105" t="s">
        <v>333</v>
      </c>
      <c r="I1904" s="105" t="s">
        <v>334</v>
      </c>
      <c r="J1904" s="493">
        <v>22</v>
      </c>
      <c r="K1904" s="493">
        <v>1</v>
      </c>
      <c r="L1904" s="105" t="s">
        <v>335</v>
      </c>
      <c r="M1904" s="105" t="s">
        <v>403</v>
      </c>
      <c r="N1904" s="105" t="s">
        <v>404</v>
      </c>
      <c r="O1904" s="105" t="s">
        <v>232</v>
      </c>
      <c r="P1904" s="105" t="s">
        <v>346</v>
      </c>
      <c r="Q1904" s="494">
        <v>849</v>
      </c>
      <c r="R1904" s="494">
        <v>849</v>
      </c>
      <c r="S1904" s="494">
        <v>0</v>
      </c>
      <c r="T1904" s="494">
        <v>0</v>
      </c>
      <c r="U1904" s="494">
        <v>-308</v>
      </c>
      <c r="V1904" s="493">
        <v>2024</v>
      </c>
      <c r="W1904" s="495"/>
      <c r="X1904" s="496" t="str">
        <f t="shared" si="122"/>
        <v/>
      </c>
      <c r="Y1904" s="497" t="str">
        <f t="shared" si="124"/>
        <v/>
      </c>
      <c r="Z1904" s="497" t="str">
        <f t="shared" si="124"/>
        <v/>
      </c>
    </row>
    <row r="1905" spans="1:26" s="82" customFormat="1" ht="48" x14ac:dyDescent="0.4">
      <c r="A1905" s="493">
        <v>62842</v>
      </c>
      <c r="B1905" s="105" t="s">
        <v>329</v>
      </c>
      <c r="C1905" s="493" t="s">
        <v>330</v>
      </c>
      <c r="D1905" s="105" t="s">
        <v>2244</v>
      </c>
      <c r="E1905" s="105" t="s">
        <v>1354</v>
      </c>
      <c r="F1905" s="493">
        <v>60025</v>
      </c>
      <c r="G1905" s="105" t="s">
        <v>33</v>
      </c>
      <c r="H1905" s="105" t="s">
        <v>342</v>
      </c>
      <c r="I1905" s="105" t="s">
        <v>334</v>
      </c>
      <c r="J1905" s="493">
        <v>22</v>
      </c>
      <c r="K1905" s="493">
        <v>2</v>
      </c>
      <c r="L1905" s="105" t="s">
        <v>343</v>
      </c>
      <c r="M1905" s="105" t="s">
        <v>655</v>
      </c>
      <c r="N1905" s="105" t="s">
        <v>656</v>
      </c>
      <c r="O1905" s="105" t="s">
        <v>656</v>
      </c>
      <c r="P1905" s="105" t="s">
        <v>339</v>
      </c>
      <c r="Q1905" s="494">
        <v>0</v>
      </c>
      <c r="R1905" s="494">
        <v>0</v>
      </c>
      <c r="S1905" s="494">
        <v>18180</v>
      </c>
      <c r="T1905" s="494">
        <v>18180</v>
      </c>
      <c r="U1905" s="494">
        <v>5328</v>
      </c>
      <c r="V1905" s="493">
        <v>2024</v>
      </c>
      <c r="W1905" s="495"/>
      <c r="X1905" s="496">
        <f t="shared" si="122"/>
        <v>3.4121621621621623</v>
      </c>
      <c r="Y1905" s="497" t="str">
        <f t="shared" si="124"/>
        <v/>
      </c>
      <c r="Z1905" s="497" t="str">
        <f t="shared" si="124"/>
        <v/>
      </c>
    </row>
    <row r="1906" spans="1:26" s="82" customFormat="1" ht="32" x14ac:dyDescent="0.4">
      <c r="A1906" s="493">
        <v>62843</v>
      </c>
      <c r="B1906" s="105" t="s">
        <v>329</v>
      </c>
      <c r="C1906" s="493" t="s">
        <v>330</v>
      </c>
      <c r="D1906" s="105" t="s">
        <v>2245</v>
      </c>
      <c r="E1906" s="105" t="s">
        <v>1773</v>
      </c>
      <c r="F1906" s="493">
        <v>60571</v>
      </c>
      <c r="G1906" s="105" t="s">
        <v>52</v>
      </c>
      <c r="H1906" s="105" t="s">
        <v>333</v>
      </c>
      <c r="I1906" s="105" t="s">
        <v>334</v>
      </c>
      <c r="J1906" s="493">
        <v>22</v>
      </c>
      <c r="K1906" s="493">
        <v>2</v>
      </c>
      <c r="L1906" s="105" t="s">
        <v>343</v>
      </c>
      <c r="M1906" s="105" t="s">
        <v>655</v>
      </c>
      <c r="N1906" s="105" t="s">
        <v>656</v>
      </c>
      <c r="O1906" s="105" t="s">
        <v>656</v>
      </c>
      <c r="P1906" s="105" t="s">
        <v>339</v>
      </c>
      <c r="Q1906" s="494">
        <v>0</v>
      </c>
      <c r="R1906" s="494">
        <v>0</v>
      </c>
      <c r="S1906" s="494">
        <v>9678</v>
      </c>
      <c r="T1906" s="494">
        <v>9678</v>
      </c>
      <c r="U1906" s="494">
        <v>2836</v>
      </c>
      <c r="V1906" s="493">
        <v>2024</v>
      </c>
      <c r="W1906" s="495"/>
      <c r="X1906" s="496">
        <f t="shared" si="122"/>
        <v>3.412552891396333</v>
      </c>
      <c r="Y1906" s="497" t="str">
        <f t="shared" si="124"/>
        <v/>
      </c>
      <c r="Z1906" s="497" t="str">
        <f t="shared" si="124"/>
        <v/>
      </c>
    </row>
    <row r="1907" spans="1:26" s="82" customFormat="1" x14ac:dyDescent="0.4">
      <c r="A1907" s="493">
        <v>62857</v>
      </c>
      <c r="B1907" s="105" t="s">
        <v>329</v>
      </c>
      <c r="C1907" s="493" t="s">
        <v>330</v>
      </c>
      <c r="D1907" s="105" t="s">
        <v>2246</v>
      </c>
      <c r="E1907" s="105" t="s">
        <v>2247</v>
      </c>
      <c r="F1907" s="493">
        <v>62743</v>
      </c>
      <c r="G1907" s="105" t="s">
        <v>34</v>
      </c>
      <c r="H1907" s="105" t="s">
        <v>342</v>
      </c>
      <c r="I1907" s="105" t="s">
        <v>334</v>
      </c>
      <c r="J1907" s="493">
        <v>22</v>
      </c>
      <c r="K1907" s="493">
        <v>2</v>
      </c>
      <c r="L1907" s="105" t="s">
        <v>343</v>
      </c>
      <c r="M1907" s="105" t="s">
        <v>695</v>
      </c>
      <c r="N1907" s="105" t="s">
        <v>696</v>
      </c>
      <c r="O1907" s="105" t="s">
        <v>696</v>
      </c>
      <c r="P1907" s="105" t="s">
        <v>339</v>
      </c>
      <c r="Q1907" s="494">
        <v>0</v>
      </c>
      <c r="R1907" s="494">
        <v>0</v>
      </c>
      <c r="S1907" s="494">
        <v>122186</v>
      </c>
      <c r="T1907" s="494">
        <v>122186</v>
      </c>
      <c r="U1907" s="494">
        <v>35811</v>
      </c>
      <c r="V1907" s="493">
        <v>2024</v>
      </c>
      <c r="W1907" s="495"/>
      <c r="X1907" s="496">
        <f t="shared" si="122"/>
        <v>3.4119683896009607</v>
      </c>
      <c r="Y1907" s="497" t="str">
        <f t="shared" si="124"/>
        <v/>
      </c>
      <c r="Z1907" s="497" t="str">
        <f t="shared" si="124"/>
        <v/>
      </c>
    </row>
    <row r="1908" spans="1:26" s="82" customFormat="1" ht="32" x14ac:dyDescent="0.4">
      <c r="A1908" s="493">
        <v>62859</v>
      </c>
      <c r="B1908" s="105" t="s">
        <v>329</v>
      </c>
      <c r="C1908" s="493" t="s">
        <v>330</v>
      </c>
      <c r="D1908" s="105" t="s">
        <v>2248</v>
      </c>
      <c r="E1908" s="105" t="s">
        <v>690</v>
      </c>
      <c r="F1908" s="493">
        <v>20151</v>
      </c>
      <c r="G1908" s="105" t="s">
        <v>36</v>
      </c>
      <c r="H1908" s="105" t="s">
        <v>342</v>
      </c>
      <c r="I1908" s="105" t="s">
        <v>334</v>
      </c>
      <c r="J1908" s="493">
        <v>22</v>
      </c>
      <c r="K1908" s="493">
        <v>1</v>
      </c>
      <c r="L1908" s="105" t="s">
        <v>335</v>
      </c>
      <c r="M1908" s="105" t="s">
        <v>359</v>
      </c>
      <c r="N1908" s="105" t="s">
        <v>252</v>
      </c>
      <c r="O1908" s="105" t="s">
        <v>688</v>
      </c>
      <c r="P1908" s="105" t="s">
        <v>356</v>
      </c>
      <c r="Q1908" s="494">
        <v>1258681</v>
      </c>
      <c r="R1908" s="494">
        <v>1258681</v>
      </c>
      <c r="S1908" s="494">
        <v>576475</v>
      </c>
      <c r="T1908" s="494">
        <v>576475</v>
      </c>
      <c r="U1908" s="494">
        <v>49484</v>
      </c>
      <c r="V1908" s="493">
        <v>2024</v>
      </c>
      <c r="W1908" s="495"/>
      <c r="X1908" s="496">
        <f t="shared" si="122"/>
        <v>11.649725163689274</v>
      </c>
      <c r="Y1908" s="497" t="str">
        <f t="shared" ref="Y1908:Z1927" si="125">IF(AND($M1908=$Y$2,$N1908=$Y$3,NOT($Q1908=$R1908),NOT($U1908=0)),IF($K1908=5,$S1908/($U1908+(8/5)*$U1908),IF($K1908=7,$S1908/($U1908+(29/25)*$U1908),"")),"")</f>
        <v/>
      </c>
      <c r="Z1908" s="497" t="str">
        <f t="shared" si="125"/>
        <v/>
      </c>
    </row>
    <row r="1909" spans="1:26" s="82" customFormat="1" ht="32" x14ac:dyDescent="0.4">
      <c r="A1909" s="493">
        <v>62860</v>
      </c>
      <c r="B1909" s="105" t="s">
        <v>329</v>
      </c>
      <c r="C1909" s="493" t="s">
        <v>330</v>
      </c>
      <c r="D1909" s="105" t="s">
        <v>2249</v>
      </c>
      <c r="E1909" s="105" t="s">
        <v>1313</v>
      </c>
      <c r="F1909" s="493">
        <v>60281</v>
      </c>
      <c r="G1909" s="105" t="s">
        <v>52</v>
      </c>
      <c r="H1909" s="105" t="s">
        <v>333</v>
      </c>
      <c r="I1909" s="105" t="s">
        <v>334</v>
      </c>
      <c r="J1909" s="493">
        <v>22</v>
      </c>
      <c r="K1909" s="493">
        <v>2</v>
      </c>
      <c r="L1909" s="105" t="s">
        <v>343</v>
      </c>
      <c r="M1909" s="105" t="s">
        <v>655</v>
      </c>
      <c r="N1909" s="105" t="s">
        <v>656</v>
      </c>
      <c r="O1909" s="105" t="s">
        <v>656</v>
      </c>
      <c r="P1909" s="105" t="s">
        <v>339</v>
      </c>
      <c r="Q1909" s="494">
        <v>0</v>
      </c>
      <c r="R1909" s="494">
        <v>0</v>
      </c>
      <c r="S1909" s="494">
        <v>20918</v>
      </c>
      <c r="T1909" s="494">
        <v>20918</v>
      </c>
      <c r="U1909" s="494">
        <v>6131</v>
      </c>
      <c r="V1909" s="493">
        <v>2024</v>
      </c>
      <c r="W1909" s="495"/>
      <c r="X1909" s="496">
        <f t="shared" si="122"/>
        <v>3.4118414614255421</v>
      </c>
      <c r="Y1909" s="497" t="str">
        <f t="shared" si="125"/>
        <v/>
      </c>
      <c r="Z1909" s="497" t="str">
        <f t="shared" si="125"/>
        <v/>
      </c>
    </row>
    <row r="1910" spans="1:26" s="82" customFormat="1" ht="32" x14ac:dyDescent="0.4">
      <c r="A1910" s="493">
        <v>62870</v>
      </c>
      <c r="B1910" s="105" t="s">
        <v>329</v>
      </c>
      <c r="C1910" s="493" t="s">
        <v>330</v>
      </c>
      <c r="D1910" s="105" t="s">
        <v>2250</v>
      </c>
      <c r="E1910" s="105" t="s">
        <v>2251</v>
      </c>
      <c r="F1910" s="493">
        <v>62739</v>
      </c>
      <c r="G1910" s="105" t="s">
        <v>33</v>
      </c>
      <c r="H1910" s="105" t="s">
        <v>342</v>
      </c>
      <c r="I1910" s="105" t="s">
        <v>334</v>
      </c>
      <c r="J1910" s="493">
        <v>22</v>
      </c>
      <c r="K1910" s="493">
        <v>2</v>
      </c>
      <c r="L1910" s="105" t="s">
        <v>343</v>
      </c>
      <c r="M1910" s="105" t="s">
        <v>655</v>
      </c>
      <c r="N1910" s="105" t="s">
        <v>656</v>
      </c>
      <c r="O1910" s="105" t="s">
        <v>656</v>
      </c>
      <c r="P1910" s="105" t="s">
        <v>339</v>
      </c>
      <c r="Q1910" s="494">
        <v>0</v>
      </c>
      <c r="R1910" s="494">
        <v>0</v>
      </c>
      <c r="S1910" s="494">
        <v>14184</v>
      </c>
      <c r="T1910" s="494">
        <v>14184</v>
      </c>
      <c r="U1910" s="494">
        <v>4157</v>
      </c>
      <c r="V1910" s="493">
        <v>2024</v>
      </c>
      <c r="W1910" s="495"/>
      <c r="X1910" s="496">
        <f t="shared" si="122"/>
        <v>3.4120760163579504</v>
      </c>
      <c r="Y1910" s="497" t="str">
        <f t="shared" si="125"/>
        <v/>
      </c>
      <c r="Z1910" s="497" t="str">
        <f t="shared" si="125"/>
        <v/>
      </c>
    </row>
    <row r="1911" spans="1:26" s="82" customFormat="1" ht="32" x14ac:dyDescent="0.4">
      <c r="A1911" s="493">
        <v>62890</v>
      </c>
      <c r="B1911" s="105" t="s">
        <v>329</v>
      </c>
      <c r="C1911" s="493" t="s">
        <v>330</v>
      </c>
      <c r="D1911" s="105" t="s">
        <v>2252</v>
      </c>
      <c r="E1911" s="105" t="s">
        <v>2253</v>
      </c>
      <c r="F1911" s="493">
        <v>62762</v>
      </c>
      <c r="G1911" s="105" t="s">
        <v>33</v>
      </c>
      <c r="H1911" s="105" t="s">
        <v>342</v>
      </c>
      <c r="I1911" s="105" t="s">
        <v>334</v>
      </c>
      <c r="J1911" s="493">
        <v>22</v>
      </c>
      <c r="K1911" s="493">
        <v>2</v>
      </c>
      <c r="L1911" s="105" t="s">
        <v>343</v>
      </c>
      <c r="M1911" s="105" t="s">
        <v>655</v>
      </c>
      <c r="N1911" s="105" t="s">
        <v>656</v>
      </c>
      <c r="O1911" s="105" t="s">
        <v>656</v>
      </c>
      <c r="P1911" s="105" t="s">
        <v>339</v>
      </c>
      <c r="Q1911" s="494">
        <v>0</v>
      </c>
      <c r="R1911" s="494">
        <v>0</v>
      </c>
      <c r="S1911" s="494">
        <v>19951</v>
      </c>
      <c r="T1911" s="494">
        <v>19951</v>
      </c>
      <c r="U1911" s="494">
        <v>5847</v>
      </c>
      <c r="V1911" s="493">
        <v>2024</v>
      </c>
      <c r="W1911" s="495"/>
      <c r="X1911" s="496">
        <f t="shared" si="122"/>
        <v>3.4121771848811355</v>
      </c>
      <c r="Y1911" s="497" t="str">
        <f t="shared" si="125"/>
        <v/>
      </c>
      <c r="Z1911" s="497" t="str">
        <f t="shared" si="125"/>
        <v/>
      </c>
    </row>
    <row r="1912" spans="1:26" s="82" customFormat="1" ht="48" x14ac:dyDescent="0.4">
      <c r="A1912" s="493">
        <v>62897</v>
      </c>
      <c r="B1912" s="105" t="s">
        <v>329</v>
      </c>
      <c r="C1912" s="493" t="s">
        <v>330</v>
      </c>
      <c r="D1912" s="105" t="s">
        <v>2254</v>
      </c>
      <c r="E1912" s="105" t="s">
        <v>1354</v>
      </c>
      <c r="F1912" s="493">
        <v>60025</v>
      </c>
      <c r="G1912" s="105" t="s">
        <v>33</v>
      </c>
      <c r="H1912" s="105" t="s">
        <v>342</v>
      </c>
      <c r="I1912" s="105" t="s">
        <v>334</v>
      </c>
      <c r="J1912" s="493">
        <v>22</v>
      </c>
      <c r="K1912" s="493">
        <v>2</v>
      </c>
      <c r="L1912" s="105" t="s">
        <v>343</v>
      </c>
      <c r="M1912" s="105" t="s">
        <v>695</v>
      </c>
      <c r="N1912" s="105" t="s">
        <v>696</v>
      </c>
      <c r="O1912" s="105" t="s">
        <v>696</v>
      </c>
      <c r="P1912" s="105" t="s">
        <v>339</v>
      </c>
      <c r="Q1912" s="494">
        <v>0</v>
      </c>
      <c r="R1912" s="494">
        <v>0</v>
      </c>
      <c r="S1912" s="494">
        <v>34612</v>
      </c>
      <c r="T1912" s="494">
        <v>34612</v>
      </c>
      <c r="U1912" s="494">
        <v>10144</v>
      </c>
      <c r="V1912" s="493">
        <v>2024</v>
      </c>
      <c r="W1912" s="495"/>
      <c r="X1912" s="496">
        <f t="shared" si="122"/>
        <v>3.4120662460567823</v>
      </c>
      <c r="Y1912" s="497" t="str">
        <f t="shared" si="125"/>
        <v/>
      </c>
      <c r="Z1912" s="497" t="str">
        <f t="shared" si="125"/>
        <v/>
      </c>
    </row>
    <row r="1913" spans="1:26" s="82" customFormat="1" x14ac:dyDescent="0.4">
      <c r="A1913" s="493">
        <v>62898</v>
      </c>
      <c r="B1913" s="105" t="s">
        <v>329</v>
      </c>
      <c r="C1913" s="493" t="s">
        <v>330</v>
      </c>
      <c r="D1913" s="105" t="s">
        <v>2255</v>
      </c>
      <c r="E1913" s="105" t="s">
        <v>2208</v>
      </c>
      <c r="F1913" s="493">
        <v>60531</v>
      </c>
      <c r="G1913" s="105" t="s">
        <v>38</v>
      </c>
      <c r="H1913" s="105" t="s">
        <v>342</v>
      </c>
      <c r="I1913" s="105" t="s">
        <v>334</v>
      </c>
      <c r="J1913" s="493">
        <v>22</v>
      </c>
      <c r="K1913" s="493">
        <v>2</v>
      </c>
      <c r="L1913" s="105" t="s">
        <v>343</v>
      </c>
      <c r="M1913" s="105" t="s">
        <v>655</v>
      </c>
      <c r="N1913" s="105" t="s">
        <v>656</v>
      </c>
      <c r="O1913" s="105" t="s">
        <v>656</v>
      </c>
      <c r="P1913" s="105" t="s">
        <v>339</v>
      </c>
      <c r="Q1913" s="494">
        <v>0</v>
      </c>
      <c r="R1913" s="494">
        <v>0</v>
      </c>
      <c r="S1913" s="494">
        <v>16810</v>
      </c>
      <c r="T1913" s="494">
        <v>16810</v>
      </c>
      <c r="U1913" s="494">
        <v>4926</v>
      </c>
      <c r="V1913" s="493">
        <v>2024</v>
      </c>
      <c r="W1913" s="495"/>
      <c r="X1913" s="496">
        <f t="shared" si="122"/>
        <v>3.4125050751116524</v>
      </c>
      <c r="Y1913" s="497" t="str">
        <f t="shared" si="125"/>
        <v/>
      </c>
      <c r="Z1913" s="497" t="str">
        <f t="shared" si="125"/>
        <v/>
      </c>
    </row>
    <row r="1914" spans="1:26" s="82" customFormat="1" ht="32" x14ac:dyDescent="0.4">
      <c r="A1914" s="493">
        <v>62907</v>
      </c>
      <c r="B1914" s="105" t="s">
        <v>329</v>
      </c>
      <c r="C1914" s="493" t="s">
        <v>330</v>
      </c>
      <c r="D1914" s="105" t="s">
        <v>2256</v>
      </c>
      <c r="E1914" s="105" t="s">
        <v>2257</v>
      </c>
      <c r="F1914" s="493">
        <v>61522</v>
      </c>
      <c r="G1914" s="105" t="s">
        <v>36</v>
      </c>
      <c r="H1914" s="105" t="s">
        <v>342</v>
      </c>
      <c r="I1914" s="105" t="s">
        <v>334</v>
      </c>
      <c r="J1914" s="493">
        <v>22</v>
      </c>
      <c r="K1914" s="493">
        <v>2</v>
      </c>
      <c r="L1914" s="105" t="s">
        <v>343</v>
      </c>
      <c r="M1914" s="105" t="s">
        <v>403</v>
      </c>
      <c r="N1914" s="105" t="s">
        <v>404</v>
      </c>
      <c r="O1914" s="105" t="s">
        <v>232</v>
      </c>
      <c r="P1914" s="105" t="s">
        <v>346</v>
      </c>
      <c r="Q1914" s="494">
        <v>2018</v>
      </c>
      <c r="R1914" s="494">
        <v>2018</v>
      </c>
      <c r="S1914" s="494">
        <v>0</v>
      </c>
      <c r="T1914" s="494">
        <v>0</v>
      </c>
      <c r="U1914" s="494">
        <v>-284</v>
      </c>
      <c r="V1914" s="493">
        <v>2024</v>
      </c>
      <c r="W1914" s="495"/>
      <c r="X1914" s="496" t="str">
        <f t="shared" si="122"/>
        <v/>
      </c>
      <c r="Y1914" s="497" t="str">
        <f t="shared" si="125"/>
        <v/>
      </c>
      <c r="Z1914" s="497" t="str">
        <f t="shared" si="125"/>
        <v/>
      </c>
    </row>
    <row r="1915" spans="1:26" s="82" customFormat="1" x14ac:dyDescent="0.4">
      <c r="A1915" s="493">
        <v>62911</v>
      </c>
      <c r="B1915" s="105" t="s">
        <v>329</v>
      </c>
      <c r="C1915" s="493" t="s">
        <v>330</v>
      </c>
      <c r="D1915" s="105" t="s">
        <v>2258</v>
      </c>
      <c r="E1915" s="105" t="s">
        <v>2259</v>
      </c>
      <c r="F1915" s="493">
        <v>62773</v>
      </c>
      <c r="G1915" s="105" t="s">
        <v>33</v>
      </c>
      <c r="H1915" s="105" t="s">
        <v>342</v>
      </c>
      <c r="I1915" s="105" t="s">
        <v>334</v>
      </c>
      <c r="J1915" s="493">
        <v>22</v>
      </c>
      <c r="K1915" s="493">
        <v>2</v>
      </c>
      <c r="L1915" s="105" t="s">
        <v>343</v>
      </c>
      <c r="M1915" s="105" t="s">
        <v>655</v>
      </c>
      <c r="N1915" s="105" t="s">
        <v>656</v>
      </c>
      <c r="O1915" s="105" t="s">
        <v>656</v>
      </c>
      <c r="P1915" s="105" t="s">
        <v>339</v>
      </c>
      <c r="Q1915" s="494">
        <v>0</v>
      </c>
      <c r="R1915" s="494">
        <v>0</v>
      </c>
      <c r="S1915" s="494">
        <v>10438</v>
      </c>
      <c r="T1915" s="494">
        <v>10438</v>
      </c>
      <c r="U1915" s="494">
        <v>3059</v>
      </c>
      <c r="V1915" s="493">
        <v>2024</v>
      </c>
      <c r="W1915" s="495"/>
      <c r="X1915" s="496">
        <f t="shared" si="122"/>
        <v>3.4122262177182088</v>
      </c>
      <c r="Y1915" s="497" t="str">
        <f t="shared" si="125"/>
        <v/>
      </c>
      <c r="Z1915" s="497" t="str">
        <f t="shared" si="125"/>
        <v/>
      </c>
    </row>
    <row r="1916" spans="1:26" s="82" customFormat="1" x14ac:dyDescent="0.4">
      <c r="A1916" s="493">
        <v>62920</v>
      </c>
      <c r="B1916" s="105" t="s">
        <v>433</v>
      </c>
      <c r="C1916" s="493" t="s">
        <v>330</v>
      </c>
      <c r="D1916" s="105" t="s">
        <v>2260</v>
      </c>
      <c r="E1916" s="105" t="s">
        <v>2260</v>
      </c>
      <c r="F1916" s="493">
        <v>62777</v>
      </c>
      <c r="G1916" s="105" t="s">
        <v>52</v>
      </c>
      <c r="H1916" s="105" t="s">
        <v>333</v>
      </c>
      <c r="I1916" s="105" t="s">
        <v>334</v>
      </c>
      <c r="J1916" s="493">
        <v>22</v>
      </c>
      <c r="K1916" s="493">
        <v>3</v>
      </c>
      <c r="L1916" s="105" t="s">
        <v>436</v>
      </c>
      <c r="M1916" s="105" t="s">
        <v>359</v>
      </c>
      <c r="N1916" s="105" t="s">
        <v>228</v>
      </c>
      <c r="O1916" s="105" t="s">
        <v>228</v>
      </c>
      <c r="P1916" s="105" t="s">
        <v>356</v>
      </c>
      <c r="Q1916" s="494">
        <v>116650</v>
      </c>
      <c r="R1916" s="494">
        <v>110828</v>
      </c>
      <c r="S1916" s="494">
        <v>120150</v>
      </c>
      <c r="T1916" s="494">
        <v>114153</v>
      </c>
      <c r="U1916" s="494">
        <v>10021</v>
      </c>
      <c r="V1916" s="493">
        <v>2024</v>
      </c>
      <c r="W1916" s="495"/>
      <c r="X1916" s="496">
        <f t="shared" si="122"/>
        <v>11.391378105977447</v>
      </c>
      <c r="Y1916" s="497" t="str">
        <f t="shared" si="125"/>
        <v/>
      </c>
      <c r="Z1916" s="497" t="str">
        <f t="shared" si="125"/>
        <v/>
      </c>
    </row>
    <row r="1917" spans="1:26" s="82" customFormat="1" ht="32" x14ac:dyDescent="0.4">
      <c r="A1917" s="493">
        <v>62968</v>
      </c>
      <c r="B1917" s="105" t="s">
        <v>329</v>
      </c>
      <c r="C1917" s="493" t="s">
        <v>330</v>
      </c>
      <c r="D1917" s="105" t="s">
        <v>2261</v>
      </c>
      <c r="E1917" s="105" t="s">
        <v>2262</v>
      </c>
      <c r="F1917" s="493">
        <v>62812</v>
      </c>
      <c r="G1917" s="105" t="s">
        <v>33</v>
      </c>
      <c r="H1917" s="105" t="s">
        <v>342</v>
      </c>
      <c r="I1917" s="105" t="s">
        <v>334</v>
      </c>
      <c r="J1917" s="493">
        <v>22</v>
      </c>
      <c r="K1917" s="493">
        <v>2</v>
      </c>
      <c r="L1917" s="105" t="s">
        <v>343</v>
      </c>
      <c r="M1917" s="105" t="s">
        <v>403</v>
      </c>
      <c r="N1917" s="105" t="s">
        <v>404</v>
      </c>
      <c r="O1917" s="105" t="s">
        <v>232</v>
      </c>
      <c r="P1917" s="105" t="s">
        <v>346</v>
      </c>
      <c r="Q1917" s="494">
        <v>699</v>
      </c>
      <c r="R1917" s="494">
        <v>699</v>
      </c>
      <c r="S1917" s="494">
        <v>0</v>
      </c>
      <c r="T1917" s="494">
        <v>0</v>
      </c>
      <c r="U1917" s="494">
        <v>-108</v>
      </c>
      <c r="V1917" s="493">
        <v>2024</v>
      </c>
      <c r="W1917" s="495"/>
      <c r="X1917" s="496" t="str">
        <f t="shared" si="122"/>
        <v/>
      </c>
      <c r="Y1917" s="497" t="str">
        <f t="shared" si="125"/>
        <v/>
      </c>
      <c r="Z1917" s="497" t="str">
        <f t="shared" si="125"/>
        <v/>
      </c>
    </row>
    <row r="1918" spans="1:26" s="82" customFormat="1" ht="32" x14ac:dyDescent="0.4">
      <c r="A1918" s="493">
        <v>62968</v>
      </c>
      <c r="B1918" s="105" t="s">
        <v>329</v>
      </c>
      <c r="C1918" s="493" t="s">
        <v>330</v>
      </c>
      <c r="D1918" s="105" t="s">
        <v>2261</v>
      </c>
      <c r="E1918" s="105" t="s">
        <v>2262</v>
      </c>
      <c r="F1918" s="493">
        <v>62812</v>
      </c>
      <c r="G1918" s="105" t="s">
        <v>33</v>
      </c>
      <c r="H1918" s="105" t="s">
        <v>342</v>
      </c>
      <c r="I1918" s="105" t="s">
        <v>334</v>
      </c>
      <c r="J1918" s="493">
        <v>22</v>
      </c>
      <c r="K1918" s="493">
        <v>2</v>
      </c>
      <c r="L1918" s="105" t="s">
        <v>343</v>
      </c>
      <c r="M1918" s="105" t="s">
        <v>655</v>
      </c>
      <c r="N1918" s="105" t="s">
        <v>656</v>
      </c>
      <c r="O1918" s="105" t="s">
        <v>656</v>
      </c>
      <c r="P1918" s="105" t="s">
        <v>339</v>
      </c>
      <c r="Q1918" s="494">
        <v>0</v>
      </c>
      <c r="R1918" s="494">
        <v>0</v>
      </c>
      <c r="S1918" s="494">
        <v>14740</v>
      </c>
      <c r="T1918" s="494">
        <v>14740</v>
      </c>
      <c r="U1918" s="494">
        <v>4320</v>
      </c>
      <c r="V1918" s="493">
        <v>2024</v>
      </c>
      <c r="W1918" s="495"/>
      <c r="X1918" s="496">
        <f t="shared" si="122"/>
        <v>3.4120370370370372</v>
      </c>
      <c r="Y1918" s="497" t="str">
        <f t="shared" si="125"/>
        <v/>
      </c>
      <c r="Z1918" s="497" t="str">
        <f t="shared" si="125"/>
        <v/>
      </c>
    </row>
    <row r="1919" spans="1:26" s="82" customFormat="1" ht="32" x14ac:dyDescent="0.4">
      <c r="A1919" s="493">
        <v>62969</v>
      </c>
      <c r="B1919" s="105" t="s">
        <v>329</v>
      </c>
      <c r="C1919" s="493" t="s">
        <v>330</v>
      </c>
      <c r="D1919" s="105" t="s">
        <v>2263</v>
      </c>
      <c r="E1919" s="105" t="s">
        <v>2264</v>
      </c>
      <c r="F1919" s="493">
        <v>62826</v>
      </c>
      <c r="G1919" s="105" t="s">
        <v>33</v>
      </c>
      <c r="H1919" s="105" t="s">
        <v>342</v>
      </c>
      <c r="I1919" s="105" t="s">
        <v>334</v>
      </c>
      <c r="J1919" s="493">
        <v>22</v>
      </c>
      <c r="K1919" s="493">
        <v>2</v>
      </c>
      <c r="L1919" s="105" t="s">
        <v>343</v>
      </c>
      <c r="M1919" s="105" t="s">
        <v>403</v>
      </c>
      <c r="N1919" s="105" t="s">
        <v>404</v>
      </c>
      <c r="O1919" s="105" t="s">
        <v>232</v>
      </c>
      <c r="P1919" s="105" t="s">
        <v>346</v>
      </c>
      <c r="Q1919" s="494">
        <v>1055</v>
      </c>
      <c r="R1919" s="494">
        <v>1055</v>
      </c>
      <c r="S1919" s="494">
        <v>0</v>
      </c>
      <c r="T1919" s="494">
        <v>0</v>
      </c>
      <c r="U1919" s="494">
        <v>-120</v>
      </c>
      <c r="V1919" s="493">
        <v>2024</v>
      </c>
      <c r="W1919" s="495"/>
      <c r="X1919" s="496" t="str">
        <f t="shared" si="122"/>
        <v/>
      </c>
      <c r="Y1919" s="497" t="str">
        <f t="shared" si="125"/>
        <v/>
      </c>
      <c r="Z1919" s="497" t="str">
        <f t="shared" si="125"/>
        <v/>
      </c>
    </row>
    <row r="1920" spans="1:26" s="82" customFormat="1" ht="32" x14ac:dyDescent="0.4">
      <c r="A1920" s="493">
        <v>62969</v>
      </c>
      <c r="B1920" s="105" t="s">
        <v>329</v>
      </c>
      <c r="C1920" s="493" t="s">
        <v>330</v>
      </c>
      <c r="D1920" s="105" t="s">
        <v>2263</v>
      </c>
      <c r="E1920" s="105" t="s">
        <v>2264</v>
      </c>
      <c r="F1920" s="493">
        <v>62826</v>
      </c>
      <c r="G1920" s="105" t="s">
        <v>33</v>
      </c>
      <c r="H1920" s="105" t="s">
        <v>342</v>
      </c>
      <c r="I1920" s="105" t="s">
        <v>334</v>
      </c>
      <c r="J1920" s="493">
        <v>22</v>
      </c>
      <c r="K1920" s="493">
        <v>2</v>
      </c>
      <c r="L1920" s="105" t="s">
        <v>343</v>
      </c>
      <c r="M1920" s="105" t="s">
        <v>655</v>
      </c>
      <c r="N1920" s="105" t="s">
        <v>656</v>
      </c>
      <c r="O1920" s="105" t="s">
        <v>656</v>
      </c>
      <c r="P1920" s="105" t="s">
        <v>339</v>
      </c>
      <c r="Q1920" s="494">
        <v>0</v>
      </c>
      <c r="R1920" s="494">
        <v>0</v>
      </c>
      <c r="S1920" s="494">
        <v>29552</v>
      </c>
      <c r="T1920" s="494">
        <v>29552</v>
      </c>
      <c r="U1920" s="494">
        <v>8661</v>
      </c>
      <c r="V1920" s="493">
        <v>2024</v>
      </c>
      <c r="W1920" s="495"/>
      <c r="X1920" s="496">
        <f t="shared" si="122"/>
        <v>3.4120771273524997</v>
      </c>
      <c r="Y1920" s="497" t="str">
        <f t="shared" si="125"/>
        <v/>
      </c>
      <c r="Z1920" s="497" t="str">
        <f t="shared" si="125"/>
        <v/>
      </c>
    </row>
    <row r="1921" spans="1:26" s="82" customFormat="1" ht="32" x14ac:dyDescent="0.4">
      <c r="A1921" s="493">
        <v>62970</v>
      </c>
      <c r="B1921" s="105" t="s">
        <v>329</v>
      </c>
      <c r="C1921" s="493" t="s">
        <v>330</v>
      </c>
      <c r="D1921" s="105" t="s">
        <v>2265</v>
      </c>
      <c r="E1921" s="105" t="s">
        <v>2266</v>
      </c>
      <c r="F1921" s="493">
        <v>62827</v>
      </c>
      <c r="G1921" s="105" t="s">
        <v>33</v>
      </c>
      <c r="H1921" s="105" t="s">
        <v>342</v>
      </c>
      <c r="I1921" s="105" t="s">
        <v>334</v>
      </c>
      <c r="J1921" s="493">
        <v>22</v>
      </c>
      <c r="K1921" s="493">
        <v>2</v>
      </c>
      <c r="L1921" s="105" t="s">
        <v>343</v>
      </c>
      <c r="M1921" s="105" t="s">
        <v>403</v>
      </c>
      <c r="N1921" s="105" t="s">
        <v>404</v>
      </c>
      <c r="O1921" s="105" t="s">
        <v>232</v>
      </c>
      <c r="P1921" s="105" t="s">
        <v>346</v>
      </c>
      <c r="Q1921" s="494">
        <v>745</v>
      </c>
      <c r="R1921" s="494">
        <v>745</v>
      </c>
      <c r="S1921" s="494">
        <v>0</v>
      </c>
      <c r="T1921" s="494">
        <v>0</v>
      </c>
      <c r="U1921" s="494">
        <v>-151</v>
      </c>
      <c r="V1921" s="493">
        <v>2024</v>
      </c>
      <c r="W1921" s="495"/>
      <c r="X1921" s="496" t="str">
        <f t="shared" si="122"/>
        <v/>
      </c>
      <c r="Y1921" s="497" t="str">
        <f t="shared" si="125"/>
        <v/>
      </c>
      <c r="Z1921" s="497" t="str">
        <f t="shared" si="125"/>
        <v/>
      </c>
    </row>
    <row r="1922" spans="1:26" s="82" customFormat="1" ht="32" x14ac:dyDescent="0.4">
      <c r="A1922" s="493">
        <v>62970</v>
      </c>
      <c r="B1922" s="105" t="s">
        <v>329</v>
      </c>
      <c r="C1922" s="493" t="s">
        <v>330</v>
      </c>
      <c r="D1922" s="105" t="s">
        <v>2265</v>
      </c>
      <c r="E1922" s="105" t="s">
        <v>2266</v>
      </c>
      <c r="F1922" s="493">
        <v>62827</v>
      </c>
      <c r="G1922" s="105" t="s">
        <v>33</v>
      </c>
      <c r="H1922" s="105" t="s">
        <v>342</v>
      </c>
      <c r="I1922" s="105" t="s">
        <v>334</v>
      </c>
      <c r="J1922" s="493">
        <v>22</v>
      </c>
      <c r="K1922" s="493">
        <v>2</v>
      </c>
      <c r="L1922" s="105" t="s">
        <v>343</v>
      </c>
      <c r="M1922" s="105" t="s">
        <v>655</v>
      </c>
      <c r="N1922" s="105" t="s">
        <v>656</v>
      </c>
      <c r="O1922" s="105" t="s">
        <v>656</v>
      </c>
      <c r="P1922" s="105" t="s">
        <v>339</v>
      </c>
      <c r="Q1922" s="494">
        <v>0</v>
      </c>
      <c r="R1922" s="494">
        <v>0</v>
      </c>
      <c r="S1922" s="494">
        <v>31448</v>
      </c>
      <c r="T1922" s="494">
        <v>31448</v>
      </c>
      <c r="U1922" s="494">
        <v>9217</v>
      </c>
      <c r="V1922" s="493">
        <v>2024</v>
      </c>
      <c r="W1922" s="495"/>
      <c r="X1922" s="496">
        <f t="shared" si="122"/>
        <v>3.4119561679505264</v>
      </c>
      <c r="Y1922" s="497" t="str">
        <f t="shared" si="125"/>
        <v/>
      </c>
      <c r="Z1922" s="497" t="str">
        <f t="shared" si="125"/>
        <v/>
      </c>
    </row>
    <row r="1923" spans="1:26" s="82" customFormat="1" ht="32" x14ac:dyDescent="0.4">
      <c r="A1923" s="493">
        <v>62971</v>
      </c>
      <c r="B1923" s="105" t="s">
        <v>329</v>
      </c>
      <c r="C1923" s="493" t="s">
        <v>330</v>
      </c>
      <c r="D1923" s="105" t="s">
        <v>2267</v>
      </c>
      <c r="E1923" s="105" t="s">
        <v>2268</v>
      </c>
      <c r="F1923" s="493">
        <v>62813</v>
      </c>
      <c r="G1923" s="105" t="s">
        <v>33</v>
      </c>
      <c r="H1923" s="105" t="s">
        <v>342</v>
      </c>
      <c r="I1923" s="105" t="s">
        <v>334</v>
      </c>
      <c r="J1923" s="493">
        <v>22</v>
      </c>
      <c r="K1923" s="493">
        <v>2</v>
      </c>
      <c r="L1923" s="105" t="s">
        <v>343</v>
      </c>
      <c r="M1923" s="105" t="s">
        <v>403</v>
      </c>
      <c r="N1923" s="105" t="s">
        <v>404</v>
      </c>
      <c r="O1923" s="105" t="s">
        <v>232</v>
      </c>
      <c r="P1923" s="105" t="s">
        <v>346</v>
      </c>
      <c r="Q1923" s="494">
        <v>0</v>
      </c>
      <c r="R1923" s="494">
        <v>0</v>
      </c>
      <c r="S1923" s="494">
        <v>0</v>
      </c>
      <c r="T1923" s="494">
        <v>0</v>
      </c>
      <c r="U1923" s="494">
        <v>0</v>
      </c>
      <c r="V1923" s="493">
        <v>2024</v>
      </c>
      <c r="W1923" s="495"/>
      <c r="X1923" s="496" t="str">
        <f t="shared" si="122"/>
        <v/>
      </c>
      <c r="Y1923" s="497" t="str">
        <f t="shared" si="125"/>
        <v/>
      </c>
      <c r="Z1923" s="497" t="str">
        <f t="shared" si="125"/>
        <v/>
      </c>
    </row>
    <row r="1924" spans="1:26" s="82" customFormat="1" ht="32" x14ac:dyDescent="0.4">
      <c r="A1924" s="493">
        <v>62971</v>
      </c>
      <c r="B1924" s="105" t="s">
        <v>329</v>
      </c>
      <c r="C1924" s="493" t="s">
        <v>330</v>
      </c>
      <c r="D1924" s="105" t="s">
        <v>2267</v>
      </c>
      <c r="E1924" s="105" t="s">
        <v>2268</v>
      </c>
      <c r="F1924" s="493">
        <v>62813</v>
      </c>
      <c r="G1924" s="105" t="s">
        <v>33</v>
      </c>
      <c r="H1924" s="105" t="s">
        <v>342</v>
      </c>
      <c r="I1924" s="105" t="s">
        <v>334</v>
      </c>
      <c r="J1924" s="493">
        <v>22</v>
      </c>
      <c r="K1924" s="493">
        <v>2</v>
      </c>
      <c r="L1924" s="105" t="s">
        <v>343</v>
      </c>
      <c r="M1924" s="105" t="s">
        <v>655</v>
      </c>
      <c r="N1924" s="105" t="s">
        <v>656</v>
      </c>
      <c r="O1924" s="105" t="s">
        <v>656</v>
      </c>
      <c r="P1924" s="105" t="s">
        <v>339</v>
      </c>
      <c r="Q1924" s="494">
        <v>0</v>
      </c>
      <c r="R1924" s="494">
        <v>0</v>
      </c>
      <c r="S1924" s="494">
        <v>22871</v>
      </c>
      <c r="T1924" s="494">
        <v>22871</v>
      </c>
      <c r="U1924" s="494">
        <v>6703</v>
      </c>
      <c r="V1924" s="493">
        <v>2024</v>
      </c>
      <c r="W1924" s="495"/>
      <c r="X1924" s="496">
        <f t="shared" si="122"/>
        <v>3.4120543040429658</v>
      </c>
      <c r="Y1924" s="497" t="str">
        <f t="shared" si="125"/>
        <v/>
      </c>
      <c r="Z1924" s="497" t="str">
        <f t="shared" si="125"/>
        <v/>
      </c>
    </row>
    <row r="1925" spans="1:26" s="82" customFormat="1" ht="32" x14ac:dyDescent="0.4">
      <c r="A1925" s="493">
        <v>62972</v>
      </c>
      <c r="B1925" s="105" t="s">
        <v>329</v>
      </c>
      <c r="C1925" s="493" t="s">
        <v>330</v>
      </c>
      <c r="D1925" s="105" t="s">
        <v>2269</v>
      </c>
      <c r="E1925" s="105" t="s">
        <v>2270</v>
      </c>
      <c r="F1925" s="493">
        <v>62814</v>
      </c>
      <c r="G1925" s="105" t="s">
        <v>33</v>
      </c>
      <c r="H1925" s="105" t="s">
        <v>342</v>
      </c>
      <c r="I1925" s="105" t="s">
        <v>334</v>
      </c>
      <c r="J1925" s="493">
        <v>22</v>
      </c>
      <c r="K1925" s="493">
        <v>2</v>
      </c>
      <c r="L1925" s="105" t="s">
        <v>343</v>
      </c>
      <c r="M1925" s="105" t="s">
        <v>403</v>
      </c>
      <c r="N1925" s="105" t="s">
        <v>404</v>
      </c>
      <c r="O1925" s="105" t="s">
        <v>232</v>
      </c>
      <c r="P1925" s="105" t="s">
        <v>346</v>
      </c>
      <c r="Q1925" s="494">
        <v>762</v>
      </c>
      <c r="R1925" s="494">
        <v>762</v>
      </c>
      <c r="S1925" s="494">
        <v>0</v>
      </c>
      <c r="T1925" s="494">
        <v>0</v>
      </c>
      <c r="U1925" s="494">
        <v>-26</v>
      </c>
      <c r="V1925" s="493">
        <v>2024</v>
      </c>
      <c r="W1925" s="495"/>
      <c r="X1925" s="496" t="str">
        <f t="shared" si="122"/>
        <v/>
      </c>
      <c r="Y1925" s="497" t="str">
        <f t="shared" si="125"/>
        <v/>
      </c>
      <c r="Z1925" s="497" t="str">
        <f t="shared" si="125"/>
        <v/>
      </c>
    </row>
    <row r="1926" spans="1:26" s="82" customFormat="1" ht="32" x14ac:dyDescent="0.4">
      <c r="A1926" s="493">
        <v>62972</v>
      </c>
      <c r="B1926" s="105" t="s">
        <v>329</v>
      </c>
      <c r="C1926" s="493" t="s">
        <v>330</v>
      </c>
      <c r="D1926" s="105" t="s">
        <v>2269</v>
      </c>
      <c r="E1926" s="105" t="s">
        <v>2270</v>
      </c>
      <c r="F1926" s="493">
        <v>62814</v>
      </c>
      <c r="G1926" s="105" t="s">
        <v>33</v>
      </c>
      <c r="H1926" s="105" t="s">
        <v>342</v>
      </c>
      <c r="I1926" s="105" t="s">
        <v>334</v>
      </c>
      <c r="J1926" s="493">
        <v>22</v>
      </c>
      <c r="K1926" s="493">
        <v>2</v>
      </c>
      <c r="L1926" s="105" t="s">
        <v>343</v>
      </c>
      <c r="M1926" s="105" t="s">
        <v>655</v>
      </c>
      <c r="N1926" s="105" t="s">
        <v>656</v>
      </c>
      <c r="O1926" s="105" t="s">
        <v>656</v>
      </c>
      <c r="P1926" s="105" t="s">
        <v>339</v>
      </c>
      <c r="Q1926" s="494">
        <v>0</v>
      </c>
      <c r="R1926" s="494">
        <v>0</v>
      </c>
      <c r="S1926" s="494">
        <v>15797</v>
      </c>
      <c r="T1926" s="494">
        <v>15797</v>
      </c>
      <c r="U1926" s="494">
        <v>4630</v>
      </c>
      <c r="V1926" s="493">
        <v>2024</v>
      </c>
      <c r="W1926" s="495"/>
      <c r="X1926" s="496">
        <f t="shared" si="122"/>
        <v>3.4118790496760258</v>
      </c>
      <c r="Y1926" s="497" t="str">
        <f t="shared" si="125"/>
        <v/>
      </c>
      <c r="Z1926" s="497" t="str">
        <f t="shared" si="125"/>
        <v/>
      </c>
    </row>
    <row r="1927" spans="1:26" s="82" customFormat="1" x14ac:dyDescent="0.4">
      <c r="A1927" s="493">
        <v>62973</v>
      </c>
      <c r="B1927" s="105" t="s">
        <v>329</v>
      </c>
      <c r="C1927" s="493" t="s">
        <v>330</v>
      </c>
      <c r="D1927" s="105" t="s">
        <v>2271</v>
      </c>
      <c r="E1927" s="105" t="s">
        <v>2272</v>
      </c>
      <c r="F1927" s="493">
        <v>62819</v>
      </c>
      <c r="G1927" s="105" t="s">
        <v>33</v>
      </c>
      <c r="H1927" s="105" t="s">
        <v>342</v>
      </c>
      <c r="I1927" s="105" t="s">
        <v>334</v>
      </c>
      <c r="J1927" s="493">
        <v>22</v>
      </c>
      <c r="K1927" s="493">
        <v>2</v>
      </c>
      <c r="L1927" s="105" t="s">
        <v>343</v>
      </c>
      <c r="M1927" s="105" t="s">
        <v>403</v>
      </c>
      <c r="N1927" s="105" t="s">
        <v>404</v>
      </c>
      <c r="O1927" s="105" t="s">
        <v>232</v>
      </c>
      <c r="P1927" s="105" t="s">
        <v>346</v>
      </c>
      <c r="Q1927" s="494">
        <v>580</v>
      </c>
      <c r="R1927" s="494">
        <v>580</v>
      </c>
      <c r="S1927" s="494">
        <v>0</v>
      </c>
      <c r="T1927" s="494">
        <v>0</v>
      </c>
      <c r="U1927" s="494">
        <v>-63</v>
      </c>
      <c r="V1927" s="493">
        <v>2024</v>
      </c>
      <c r="W1927" s="495"/>
      <c r="X1927" s="496" t="str">
        <f t="shared" si="122"/>
        <v/>
      </c>
      <c r="Y1927" s="497" t="str">
        <f t="shared" si="125"/>
        <v/>
      </c>
      <c r="Z1927" s="497" t="str">
        <f t="shared" si="125"/>
        <v/>
      </c>
    </row>
    <row r="1928" spans="1:26" s="82" customFormat="1" x14ac:dyDescent="0.4">
      <c r="A1928" s="493">
        <v>62973</v>
      </c>
      <c r="B1928" s="105" t="s">
        <v>329</v>
      </c>
      <c r="C1928" s="493" t="s">
        <v>330</v>
      </c>
      <c r="D1928" s="105" t="s">
        <v>2271</v>
      </c>
      <c r="E1928" s="105" t="s">
        <v>2272</v>
      </c>
      <c r="F1928" s="493">
        <v>62819</v>
      </c>
      <c r="G1928" s="105" t="s">
        <v>33</v>
      </c>
      <c r="H1928" s="105" t="s">
        <v>342</v>
      </c>
      <c r="I1928" s="105" t="s">
        <v>334</v>
      </c>
      <c r="J1928" s="493">
        <v>22</v>
      </c>
      <c r="K1928" s="493">
        <v>2</v>
      </c>
      <c r="L1928" s="105" t="s">
        <v>343</v>
      </c>
      <c r="M1928" s="105" t="s">
        <v>655</v>
      </c>
      <c r="N1928" s="105" t="s">
        <v>656</v>
      </c>
      <c r="O1928" s="105" t="s">
        <v>656</v>
      </c>
      <c r="P1928" s="105" t="s">
        <v>339</v>
      </c>
      <c r="Q1928" s="494">
        <v>0</v>
      </c>
      <c r="R1928" s="494">
        <v>0</v>
      </c>
      <c r="S1928" s="494">
        <v>9807</v>
      </c>
      <c r="T1928" s="494">
        <v>9807</v>
      </c>
      <c r="U1928" s="494">
        <v>2874</v>
      </c>
      <c r="V1928" s="493">
        <v>2024</v>
      </c>
      <c r="W1928" s="495"/>
      <c r="X1928" s="496">
        <f t="shared" si="122"/>
        <v>3.4123173277661794</v>
      </c>
      <c r="Y1928" s="497" t="str">
        <f t="shared" ref="Y1928:Z1947" si="126">IF(AND($M1928=$Y$2,$N1928=$Y$3,NOT($Q1928=$R1928),NOT($U1928=0)),IF($K1928=5,$S1928/($U1928+(8/5)*$U1928),IF($K1928=7,$S1928/($U1928+(29/25)*$U1928),"")),"")</f>
        <v/>
      </c>
      <c r="Z1928" s="497" t="str">
        <f t="shared" si="126"/>
        <v/>
      </c>
    </row>
    <row r="1929" spans="1:26" s="82" customFormat="1" x14ac:dyDescent="0.4">
      <c r="A1929" s="493">
        <v>62974</v>
      </c>
      <c r="B1929" s="105" t="s">
        <v>329</v>
      </c>
      <c r="C1929" s="493" t="s">
        <v>330</v>
      </c>
      <c r="D1929" s="105" t="s">
        <v>2273</v>
      </c>
      <c r="E1929" s="105" t="s">
        <v>2274</v>
      </c>
      <c r="F1929" s="493">
        <v>62820</v>
      </c>
      <c r="G1929" s="105" t="s">
        <v>33</v>
      </c>
      <c r="H1929" s="105" t="s">
        <v>342</v>
      </c>
      <c r="I1929" s="105" t="s">
        <v>334</v>
      </c>
      <c r="J1929" s="493">
        <v>22</v>
      </c>
      <c r="K1929" s="493">
        <v>2</v>
      </c>
      <c r="L1929" s="105" t="s">
        <v>343</v>
      </c>
      <c r="M1929" s="105" t="s">
        <v>403</v>
      </c>
      <c r="N1929" s="105" t="s">
        <v>404</v>
      </c>
      <c r="O1929" s="105" t="s">
        <v>232</v>
      </c>
      <c r="P1929" s="105" t="s">
        <v>346</v>
      </c>
      <c r="Q1929" s="494">
        <v>0</v>
      </c>
      <c r="R1929" s="494">
        <v>0</v>
      </c>
      <c r="S1929" s="494">
        <v>0</v>
      </c>
      <c r="T1929" s="494">
        <v>0</v>
      </c>
      <c r="U1929" s="494">
        <v>0</v>
      </c>
      <c r="V1929" s="493">
        <v>2024</v>
      </c>
      <c r="W1929" s="495"/>
      <c r="X1929" s="496" t="str">
        <f t="shared" ref="X1929:X1992" si="127">IF(OR(K1929&gt;3,T1929=0,NOT(U1929&gt;0)),"",T1929/U1929)</f>
        <v/>
      </c>
      <c r="Y1929" s="497" t="str">
        <f t="shared" si="126"/>
        <v/>
      </c>
      <c r="Z1929" s="497" t="str">
        <f t="shared" si="126"/>
        <v/>
      </c>
    </row>
    <row r="1930" spans="1:26" s="82" customFormat="1" x14ac:dyDescent="0.4">
      <c r="A1930" s="493">
        <v>62974</v>
      </c>
      <c r="B1930" s="105" t="s">
        <v>329</v>
      </c>
      <c r="C1930" s="493" t="s">
        <v>330</v>
      </c>
      <c r="D1930" s="105" t="s">
        <v>2273</v>
      </c>
      <c r="E1930" s="105" t="s">
        <v>2274</v>
      </c>
      <c r="F1930" s="493">
        <v>62820</v>
      </c>
      <c r="G1930" s="105" t="s">
        <v>33</v>
      </c>
      <c r="H1930" s="105" t="s">
        <v>342</v>
      </c>
      <c r="I1930" s="105" t="s">
        <v>334</v>
      </c>
      <c r="J1930" s="493">
        <v>22</v>
      </c>
      <c r="K1930" s="493">
        <v>2</v>
      </c>
      <c r="L1930" s="105" t="s">
        <v>343</v>
      </c>
      <c r="M1930" s="105" t="s">
        <v>655</v>
      </c>
      <c r="N1930" s="105" t="s">
        <v>656</v>
      </c>
      <c r="O1930" s="105" t="s">
        <v>656</v>
      </c>
      <c r="P1930" s="105" t="s">
        <v>339</v>
      </c>
      <c r="Q1930" s="494">
        <v>0</v>
      </c>
      <c r="R1930" s="494">
        <v>0</v>
      </c>
      <c r="S1930" s="494">
        <v>26914</v>
      </c>
      <c r="T1930" s="494">
        <v>26914</v>
      </c>
      <c r="U1930" s="494">
        <v>7888</v>
      </c>
      <c r="V1930" s="493">
        <v>2024</v>
      </c>
      <c r="W1930" s="495"/>
      <c r="X1930" s="496">
        <f t="shared" si="127"/>
        <v>3.4120182555780931</v>
      </c>
      <c r="Y1930" s="497" t="str">
        <f t="shared" si="126"/>
        <v/>
      </c>
      <c r="Z1930" s="497" t="str">
        <f t="shared" si="126"/>
        <v/>
      </c>
    </row>
    <row r="1931" spans="1:26" s="82" customFormat="1" ht="32" x14ac:dyDescent="0.4">
      <c r="A1931" s="493">
        <v>62975</v>
      </c>
      <c r="B1931" s="105" t="s">
        <v>329</v>
      </c>
      <c r="C1931" s="493" t="s">
        <v>330</v>
      </c>
      <c r="D1931" s="105" t="s">
        <v>2275</v>
      </c>
      <c r="E1931" s="105" t="s">
        <v>2276</v>
      </c>
      <c r="F1931" s="493">
        <v>62822</v>
      </c>
      <c r="G1931" s="105" t="s">
        <v>33</v>
      </c>
      <c r="H1931" s="105" t="s">
        <v>342</v>
      </c>
      <c r="I1931" s="105" t="s">
        <v>334</v>
      </c>
      <c r="J1931" s="493">
        <v>22</v>
      </c>
      <c r="K1931" s="493">
        <v>2</v>
      </c>
      <c r="L1931" s="105" t="s">
        <v>343</v>
      </c>
      <c r="M1931" s="105" t="s">
        <v>403</v>
      </c>
      <c r="N1931" s="105" t="s">
        <v>404</v>
      </c>
      <c r="O1931" s="105" t="s">
        <v>232</v>
      </c>
      <c r="P1931" s="105" t="s">
        <v>346</v>
      </c>
      <c r="Q1931" s="494">
        <v>1435</v>
      </c>
      <c r="R1931" s="494">
        <v>1435</v>
      </c>
      <c r="S1931" s="494">
        <v>0</v>
      </c>
      <c r="T1931" s="494">
        <v>0</v>
      </c>
      <c r="U1931" s="494">
        <v>-138</v>
      </c>
      <c r="V1931" s="493">
        <v>2024</v>
      </c>
      <c r="W1931" s="495"/>
      <c r="X1931" s="496" t="str">
        <f t="shared" si="127"/>
        <v/>
      </c>
      <c r="Y1931" s="497" t="str">
        <f t="shared" si="126"/>
        <v/>
      </c>
      <c r="Z1931" s="497" t="str">
        <f t="shared" si="126"/>
        <v/>
      </c>
    </row>
    <row r="1932" spans="1:26" s="82" customFormat="1" ht="32" x14ac:dyDescent="0.4">
      <c r="A1932" s="493">
        <v>62975</v>
      </c>
      <c r="B1932" s="105" t="s">
        <v>329</v>
      </c>
      <c r="C1932" s="493" t="s">
        <v>330</v>
      </c>
      <c r="D1932" s="105" t="s">
        <v>2275</v>
      </c>
      <c r="E1932" s="105" t="s">
        <v>2276</v>
      </c>
      <c r="F1932" s="493">
        <v>62822</v>
      </c>
      <c r="G1932" s="105" t="s">
        <v>33</v>
      </c>
      <c r="H1932" s="105" t="s">
        <v>342</v>
      </c>
      <c r="I1932" s="105" t="s">
        <v>334</v>
      </c>
      <c r="J1932" s="493">
        <v>22</v>
      </c>
      <c r="K1932" s="493">
        <v>2</v>
      </c>
      <c r="L1932" s="105" t="s">
        <v>343</v>
      </c>
      <c r="M1932" s="105" t="s">
        <v>655</v>
      </c>
      <c r="N1932" s="105" t="s">
        <v>656</v>
      </c>
      <c r="O1932" s="105" t="s">
        <v>656</v>
      </c>
      <c r="P1932" s="105" t="s">
        <v>339</v>
      </c>
      <c r="Q1932" s="494">
        <v>0</v>
      </c>
      <c r="R1932" s="494">
        <v>0</v>
      </c>
      <c r="S1932" s="494">
        <v>29406</v>
      </c>
      <c r="T1932" s="494">
        <v>29406</v>
      </c>
      <c r="U1932" s="494">
        <v>8619</v>
      </c>
      <c r="V1932" s="493">
        <v>2024</v>
      </c>
      <c r="W1932" s="495"/>
      <c r="X1932" s="496">
        <f t="shared" si="127"/>
        <v>3.4117647058823528</v>
      </c>
      <c r="Y1932" s="497" t="str">
        <f t="shared" si="126"/>
        <v/>
      </c>
      <c r="Z1932" s="497" t="str">
        <f t="shared" si="126"/>
        <v/>
      </c>
    </row>
    <row r="1933" spans="1:26" s="82" customFormat="1" ht="32" x14ac:dyDescent="0.4">
      <c r="A1933" s="493">
        <v>62976</v>
      </c>
      <c r="B1933" s="105" t="s">
        <v>329</v>
      </c>
      <c r="C1933" s="493" t="s">
        <v>330</v>
      </c>
      <c r="D1933" s="105" t="s">
        <v>2277</v>
      </c>
      <c r="E1933" s="105" t="s">
        <v>2278</v>
      </c>
      <c r="F1933" s="493">
        <v>62821</v>
      </c>
      <c r="G1933" s="105" t="s">
        <v>33</v>
      </c>
      <c r="H1933" s="105" t="s">
        <v>342</v>
      </c>
      <c r="I1933" s="105" t="s">
        <v>334</v>
      </c>
      <c r="J1933" s="493">
        <v>22</v>
      </c>
      <c r="K1933" s="493">
        <v>2</v>
      </c>
      <c r="L1933" s="105" t="s">
        <v>343</v>
      </c>
      <c r="M1933" s="105" t="s">
        <v>403</v>
      </c>
      <c r="N1933" s="105" t="s">
        <v>404</v>
      </c>
      <c r="O1933" s="105" t="s">
        <v>232</v>
      </c>
      <c r="P1933" s="105" t="s">
        <v>346</v>
      </c>
      <c r="Q1933" s="494">
        <v>386</v>
      </c>
      <c r="R1933" s="494">
        <v>386</v>
      </c>
      <c r="S1933" s="494">
        <v>0</v>
      </c>
      <c r="T1933" s="494">
        <v>0</v>
      </c>
      <c r="U1933" s="494">
        <v>-75</v>
      </c>
      <c r="V1933" s="493">
        <v>2024</v>
      </c>
      <c r="W1933" s="495"/>
      <c r="X1933" s="496" t="str">
        <f t="shared" si="127"/>
        <v/>
      </c>
      <c r="Y1933" s="497" t="str">
        <f t="shared" si="126"/>
        <v/>
      </c>
      <c r="Z1933" s="497" t="str">
        <f t="shared" si="126"/>
        <v/>
      </c>
    </row>
    <row r="1934" spans="1:26" s="82" customFormat="1" ht="32" x14ac:dyDescent="0.4">
      <c r="A1934" s="493">
        <v>62976</v>
      </c>
      <c r="B1934" s="105" t="s">
        <v>329</v>
      </c>
      <c r="C1934" s="493" t="s">
        <v>330</v>
      </c>
      <c r="D1934" s="105" t="s">
        <v>2277</v>
      </c>
      <c r="E1934" s="105" t="s">
        <v>2278</v>
      </c>
      <c r="F1934" s="493">
        <v>62821</v>
      </c>
      <c r="G1934" s="105" t="s">
        <v>33</v>
      </c>
      <c r="H1934" s="105" t="s">
        <v>342</v>
      </c>
      <c r="I1934" s="105" t="s">
        <v>334</v>
      </c>
      <c r="J1934" s="493">
        <v>22</v>
      </c>
      <c r="K1934" s="493">
        <v>2</v>
      </c>
      <c r="L1934" s="105" t="s">
        <v>343</v>
      </c>
      <c r="M1934" s="105" t="s">
        <v>655</v>
      </c>
      <c r="N1934" s="105" t="s">
        <v>656</v>
      </c>
      <c r="O1934" s="105" t="s">
        <v>656</v>
      </c>
      <c r="P1934" s="105" t="s">
        <v>339</v>
      </c>
      <c r="Q1934" s="494">
        <v>0</v>
      </c>
      <c r="R1934" s="494">
        <v>0</v>
      </c>
      <c r="S1934" s="494">
        <v>16791</v>
      </c>
      <c r="T1934" s="494">
        <v>16791</v>
      </c>
      <c r="U1934" s="494">
        <v>4921</v>
      </c>
      <c r="V1934" s="493">
        <v>2024</v>
      </c>
      <c r="W1934" s="495"/>
      <c r="X1934" s="496">
        <f t="shared" si="127"/>
        <v>3.4121113594797805</v>
      </c>
      <c r="Y1934" s="497" t="str">
        <f t="shared" si="126"/>
        <v/>
      </c>
      <c r="Z1934" s="497" t="str">
        <f t="shared" si="126"/>
        <v/>
      </c>
    </row>
    <row r="1935" spans="1:26" s="82" customFormat="1" ht="32" x14ac:dyDescent="0.4">
      <c r="A1935" s="493">
        <v>62977</v>
      </c>
      <c r="B1935" s="105" t="s">
        <v>329</v>
      </c>
      <c r="C1935" s="493" t="s">
        <v>330</v>
      </c>
      <c r="D1935" s="105" t="s">
        <v>2279</v>
      </c>
      <c r="E1935" s="105" t="s">
        <v>2280</v>
      </c>
      <c r="F1935" s="493">
        <v>62824</v>
      </c>
      <c r="G1935" s="105" t="s">
        <v>33</v>
      </c>
      <c r="H1935" s="105" t="s">
        <v>342</v>
      </c>
      <c r="I1935" s="105" t="s">
        <v>334</v>
      </c>
      <c r="J1935" s="493">
        <v>22</v>
      </c>
      <c r="K1935" s="493">
        <v>2</v>
      </c>
      <c r="L1935" s="105" t="s">
        <v>343</v>
      </c>
      <c r="M1935" s="105" t="s">
        <v>403</v>
      </c>
      <c r="N1935" s="105" t="s">
        <v>404</v>
      </c>
      <c r="O1935" s="105" t="s">
        <v>232</v>
      </c>
      <c r="P1935" s="105" t="s">
        <v>346</v>
      </c>
      <c r="Q1935" s="494">
        <v>0</v>
      </c>
      <c r="R1935" s="494">
        <v>0</v>
      </c>
      <c r="S1935" s="494">
        <v>0</v>
      </c>
      <c r="T1935" s="494">
        <v>0</v>
      </c>
      <c r="U1935" s="494">
        <v>0</v>
      </c>
      <c r="V1935" s="493">
        <v>2024</v>
      </c>
      <c r="W1935" s="495"/>
      <c r="X1935" s="496" t="str">
        <f t="shared" si="127"/>
        <v/>
      </c>
      <c r="Y1935" s="497" t="str">
        <f t="shared" si="126"/>
        <v/>
      </c>
      <c r="Z1935" s="497" t="str">
        <f t="shared" si="126"/>
        <v/>
      </c>
    </row>
    <row r="1936" spans="1:26" s="82" customFormat="1" ht="32" x14ac:dyDescent="0.4">
      <c r="A1936" s="493">
        <v>62977</v>
      </c>
      <c r="B1936" s="105" t="s">
        <v>329</v>
      </c>
      <c r="C1936" s="493" t="s">
        <v>330</v>
      </c>
      <c r="D1936" s="105" t="s">
        <v>2279</v>
      </c>
      <c r="E1936" s="105" t="s">
        <v>2280</v>
      </c>
      <c r="F1936" s="493">
        <v>62824</v>
      </c>
      <c r="G1936" s="105" t="s">
        <v>33</v>
      </c>
      <c r="H1936" s="105" t="s">
        <v>342</v>
      </c>
      <c r="I1936" s="105" t="s">
        <v>334</v>
      </c>
      <c r="J1936" s="493">
        <v>22</v>
      </c>
      <c r="K1936" s="493">
        <v>2</v>
      </c>
      <c r="L1936" s="105" t="s">
        <v>343</v>
      </c>
      <c r="M1936" s="105" t="s">
        <v>655</v>
      </c>
      <c r="N1936" s="105" t="s">
        <v>656</v>
      </c>
      <c r="O1936" s="105" t="s">
        <v>656</v>
      </c>
      <c r="P1936" s="105" t="s">
        <v>339</v>
      </c>
      <c r="Q1936" s="494">
        <v>0</v>
      </c>
      <c r="R1936" s="494">
        <v>0</v>
      </c>
      <c r="S1936" s="494">
        <v>30360</v>
      </c>
      <c r="T1936" s="494">
        <v>30360</v>
      </c>
      <c r="U1936" s="494">
        <v>8898</v>
      </c>
      <c r="V1936" s="493">
        <v>2024</v>
      </c>
      <c r="W1936" s="495"/>
      <c r="X1936" s="496">
        <f t="shared" si="127"/>
        <v>3.4120026972353337</v>
      </c>
      <c r="Y1936" s="497" t="str">
        <f t="shared" si="126"/>
        <v/>
      </c>
      <c r="Z1936" s="497" t="str">
        <f t="shared" si="126"/>
        <v/>
      </c>
    </row>
    <row r="1937" spans="1:26" s="82" customFormat="1" ht="32" x14ac:dyDescent="0.4">
      <c r="A1937" s="493">
        <v>62978</v>
      </c>
      <c r="B1937" s="105" t="s">
        <v>329</v>
      </c>
      <c r="C1937" s="493" t="s">
        <v>330</v>
      </c>
      <c r="D1937" s="105" t="s">
        <v>2281</v>
      </c>
      <c r="E1937" s="105" t="s">
        <v>2282</v>
      </c>
      <c r="F1937" s="493">
        <v>62825</v>
      </c>
      <c r="G1937" s="105" t="s">
        <v>33</v>
      </c>
      <c r="H1937" s="105" t="s">
        <v>342</v>
      </c>
      <c r="I1937" s="105" t="s">
        <v>334</v>
      </c>
      <c r="J1937" s="493">
        <v>22</v>
      </c>
      <c r="K1937" s="493">
        <v>2</v>
      </c>
      <c r="L1937" s="105" t="s">
        <v>343</v>
      </c>
      <c r="M1937" s="105" t="s">
        <v>403</v>
      </c>
      <c r="N1937" s="105" t="s">
        <v>404</v>
      </c>
      <c r="O1937" s="105" t="s">
        <v>232</v>
      </c>
      <c r="P1937" s="105" t="s">
        <v>346</v>
      </c>
      <c r="Q1937" s="494">
        <v>949</v>
      </c>
      <c r="R1937" s="494">
        <v>949</v>
      </c>
      <c r="S1937" s="494">
        <v>0</v>
      </c>
      <c r="T1937" s="494">
        <v>0</v>
      </c>
      <c r="U1937" s="494">
        <v>-158</v>
      </c>
      <c r="V1937" s="493">
        <v>2024</v>
      </c>
      <c r="W1937" s="495"/>
      <c r="X1937" s="496" t="str">
        <f t="shared" si="127"/>
        <v/>
      </c>
      <c r="Y1937" s="497" t="str">
        <f t="shared" si="126"/>
        <v/>
      </c>
      <c r="Z1937" s="497" t="str">
        <f t="shared" si="126"/>
        <v/>
      </c>
    </row>
    <row r="1938" spans="1:26" s="82" customFormat="1" ht="32" x14ac:dyDescent="0.4">
      <c r="A1938" s="493">
        <v>62978</v>
      </c>
      <c r="B1938" s="105" t="s">
        <v>329</v>
      </c>
      <c r="C1938" s="493" t="s">
        <v>330</v>
      </c>
      <c r="D1938" s="105" t="s">
        <v>2281</v>
      </c>
      <c r="E1938" s="105" t="s">
        <v>2282</v>
      </c>
      <c r="F1938" s="493">
        <v>62825</v>
      </c>
      <c r="G1938" s="105" t="s">
        <v>33</v>
      </c>
      <c r="H1938" s="105" t="s">
        <v>342</v>
      </c>
      <c r="I1938" s="105" t="s">
        <v>334</v>
      </c>
      <c r="J1938" s="493">
        <v>22</v>
      </c>
      <c r="K1938" s="493">
        <v>2</v>
      </c>
      <c r="L1938" s="105" t="s">
        <v>343</v>
      </c>
      <c r="M1938" s="105" t="s">
        <v>655</v>
      </c>
      <c r="N1938" s="105" t="s">
        <v>656</v>
      </c>
      <c r="O1938" s="105" t="s">
        <v>656</v>
      </c>
      <c r="P1938" s="105" t="s">
        <v>339</v>
      </c>
      <c r="Q1938" s="494">
        <v>0</v>
      </c>
      <c r="R1938" s="494">
        <v>0</v>
      </c>
      <c r="S1938" s="494">
        <v>29258</v>
      </c>
      <c r="T1938" s="494">
        <v>29258</v>
      </c>
      <c r="U1938" s="494">
        <v>8575</v>
      </c>
      <c r="V1938" s="493">
        <v>2024</v>
      </c>
      <c r="W1938" s="495"/>
      <c r="X1938" s="496">
        <f t="shared" si="127"/>
        <v>3.41201166180758</v>
      </c>
      <c r="Y1938" s="497" t="str">
        <f t="shared" si="126"/>
        <v/>
      </c>
      <c r="Z1938" s="497" t="str">
        <f t="shared" si="126"/>
        <v/>
      </c>
    </row>
    <row r="1939" spans="1:26" s="82" customFormat="1" x14ac:dyDescent="0.4">
      <c r="A1939" s="493">
        <v>62981</v>
      </c>
      <c r="B1939" s="105" t="s">
        <v>329</v>
      </c>
      <c r="C1939" s="493" t="s">
        <v>330</v>
      </c>
      <c r="D1939" s="105" t="s">
        <v>2283</v>
      </c>
      <c r="E1939" s="105" t="s">
        <v>2284</v>
      </c>
      <c r="F1939" s="493">
        <v>56404</v>
      </c>
      <c r="G1939" s="105" t="s">
        <v>52</v>
      </c>
      <c r="H1939" s="105" t="s">
        <v>333</v>
      </c>
      <c r="I1939" s="105" t="s">
        <v>334</v>
      </c>
      <c r="J1939" s="493">
        <v>22</v>
      </c>
      <c r="K1939" s="493">
        <v>1</v>
      </c>
      <c r="L1939" s="105" t="s">
        <v>335</v>
      </c>
      <c r="M1939" s="105" t="s">
        <v>403</v>
      </c>
      <c r="N1939" s="105" t="s">
        <v>404</v>
      </c>
      <c r="O1939" s="105" t="s">
        <v>232</v>
      </c>
      <c r="P1939" s="105" t="s">
        <v>346</v>
      </c>
      <c r="Q1939" s="494">
        <v>460</v>
      </c>
      <c r="R1939" s="494">
        <v>460</v>
      </c>
      <c r="S1939" s="494">
        <v>0</v>
      </c>
      <c r="T1939" s="494">
        <v>0</v>
      </c>
      <c r="U1939" s="494">
        <v>-258</v>
      </c>
      <c r="V1939" s="493">
        <v>2024</v>
      </c>
      <c r="W1939" s="495"/>
      <c r="X1939" s="496" t="str">
        <f t="shared" si="127"/>
        <v/>
      </c>
      <c r="Y1939" s="497" t="str">
        <f t="shared" si="126"/>
        <v/>
      </c>
      <c r="Z1939" s="497" t="str">
        <f t="shared" si="126"/>
        <v/>
      </c>
    </row>
    <row r="1940" spans="1:26" s="82" customFormat="1" x14ac:dyDescent="0.4">
      <c r="A1940" s="493">
        <v>62992</v>
      </c>
      <c r="B1940" s="105" t="s">
        <v>329</v>
      </c>
      <c r="C1940" s="493" t="s">
        <v>330</v>
      </c>
      <c r="D1940" s="105" t="s">
        <v>2285</v>
      </c>
      <c r="E1940" s="105" t="s">
        <v>2286</v>
      </c>
      <c r="F1940" s="493">
        <v>62838</v>
      </c>
      <c r="G1940" s="105" t="s">
        <v>33</v>
      </c>
      <c r="H1940" s="105" t="s">
        <v>342</v>
      </c>
      <c r="I1940" s="105" t="s">
        <v>334</v>
      </c>
      <c r="J1940" s="493">
        <v>22</v>
      </c>
      <c r="K1940" s="493">
        <v>2</v>
      </c>
      <c r="L1940" s="105" t="s">
        <v>343</v>
      </c>
      <c r="M1940" s="105" t="s">
        <v>655</v>
      </c>
      <c r="N1940" s="105" t="s">
        <v>656</v>
      </c>
      <c r="O1940" s="105" t="s">
        <v>656</v>
      </c>
      <c r="P1940" s="105" t="s">
        <v>339</v>
      </c>
      <c r="Q1940" s="494">
        <v>0</v>
      </c>
      <c r="R1940" s="494">
        <v>0</v>
      </c>
      <c r="S1940" s="494">
        <v>23936</v>
      </c>
      <c r="T1940" s="494">
        <v>23936</v>
      </c>
      <c r="U1940" s="494">
        <v>7015</v>
      </c>
      <c r="V1940" s="493">
        <v>2024</v>
      </c>
      <c r="W1940" s="495"/>
      <c r="X1940" s="496">
        <f t="shared" si="127"/>
        <v>3.4121168923734855</v>
      </c>
      <c r="Y1940" s="497" t="str">
        <f t="shared" si="126"/>
        <v/>
      </c>
      <c r="Z1940" s="497" t="str">
        <f t="shared" si="126"/>
        <v/>
      </c>
    </row>
    <row r="1941" spans="1:26" s="82" customFormat="1" x14ac:dyDescent="0.4">
      <c r="A1941" s="493">
        <v>62998</v>
      </c>
      <c r="B1941" s="105" t="s">
        <v>329</v>
      </c>
      <c r="C1941" s="493" t="s">
        <v>330</v>
      </c>
      <c r="D1941" s="105" t="s">
        <v>2287</v>
      </c>
      <c r="E1941" s="105" t="s">
        <v>1448</v>
      </c>
      <c r="F1941" s="493">
        <v>61012</v>
      </c>
      <c r="G1941" s="105" t="s">
        <v>52</v>
      </c>
      <c r="H1941" s="105" t="s">
        <v>333</v>
      </c>
      <c r="I1941" s="105" t="s">
        <v>334</v>
      </c>
      <c r="J1941" s="493">
        <v>22</v>
      </c>
      <c r="K1941" s="493">
        <v>2</v>
      </c>
      <c r="L1941" s="105" t="s">
        <v>343</v>
      </c>
      <c r="M1941" s="105" t="s">
        <v>655</v>
      </c>
      <c r="N1941" s="105" t="s">
        <v>656</v>
      </c>
      <c r="O1941" s="105" t="s">
        <v>656</v>
      </c>
      <c r="P1941" s="105" t="s">
        <v>339</v>
      </c>
      <c r="Q1941" s="494">
        <v>0</v>
      </c>
      <c r="R1941" s="494">
        <v>0</v>
      </c>
      <c r="S1941" s="494">
        <v>20025</v>
      </c>
      <c r="T1941" s="494">
        <v>20025</v>
      </c>
      <c r="U1941" s="494">
        <v>5869</v>
      </c>
      <c r="V1941" s="493">
        <v>2024</v>
      </c>
      <c r="W1941" s="495"/>
      <c r="X1941" s="496">
        <f t="shared" si="127"/>
        <v>3.4119952291702162</v>
      </c>
      <c r="Y1941" s="497" t="str">
        <f t="shared" si="126"/>
        <v/>
      </c>
      <c r="Z1941" s="497" t="str">
        <f t="shared" si="126"/>
        <v/>
      </c>
    </row>
    <row r="1942" spans="1:26" s="82" customFormat="1" x14ac:dyDescent="0.4">
      <c r="A1942" s="493">
        <v>62999</v>
      </c>
      <c r="B1942" s="105" t="s">
        <v>329</v>
      </c>
      <c r="C1942" s="493" t="s">
        <v>330</v>
      </c>
      <c r="D1942" s="105" t="s">
        <v>2288</v>
      </c>
      <c r="E1942" s="105" t="s">
        <v>1448</v>
      </c>
      <c r="F1942" s="493">
        <v>61012</v>
      </c>
      <c r="G1942" s="105" t="s">
        <v>52</v>
      </c>
      <c r="H1942" s="105" t="s">
        <v>333</v>
      </c>
      <c r="I1942" s="105" t="s">
        <v>334</v>
      </c>
      <c r="J1942" s="493">
        <v>22</v>
      </c>
      <c r="K1942" s="493">
        <v>2</v>
      </c>
      <c r="L1942" s="105" t="s">
        <v>343</v>
      </c>
      <c r="M1942" s="105" t="s">
        <v>403</v>
      </c>
      <c r="N1942" s="105" t="s">
        <v>404</v>
      </c>
      <c r="O1942" s="105" t="s">
        <v>232</v>
      </c>
      <c r="P1942" s="105" t="s">
        <v>346</v>
      </c>
      <c r="Q1942" s="494">
        <v>351</v>
      </c>
      <c r="R1942" s="494">
        <v>351</v>
      </c>
      <c r="S1942" s="494">
        <v>0</v>
      </c>
      <c r="T1942" s="494">
        <v>0</v>
      </c>
      <c r="U1942" s="494">
        <v>-26</v>
      </c>
      <c r="V1942" s="493">
        <v>2024</v>
      </c>
      <c r="W1942" s="495"/>
      <c r="X1942" s="496" t="str">
        <f t="shared" si="127"/>
        <v/>
      </c>
      <c r="Y1942" s="497" t="str">
        <f t="shared" si="126"/>
        <v/>
      </c>
      <c r="Z1942" s="497" t="str">
        <f t="shared" si="126"/>
        <v/>
      </c>
    </row>
    <row r="1943" spans="1:26" s="82" customFormat="1" x14ac:dyDescent="0.4">
      <c r="A1943" s="493">
        <v>62999</v>
      </c>
      <c r="B1943" s="105" t="s">
        <v>329</v>
      </c>
      <c r="C1943" s="493" t="s">
        <v>330</v>
      </c>
      <c r="D1943" s="105" t="s">
        <v>2288</v>
      </c>
      <c r="E1943" s="105" t="s">
        <v>1448</v>
      </c>
      <c r="F1943" s="493">
        <v>61012</v>
      </c>
      <c r="G1943" s="105" t="s">
        <v>52</v>
      </c>
      <c r="H1943" s="105" t="s">
        <v>333</v>
      </c>
      <c r="I1943" s="105" t="s">
        <v>334</v>
      </c>
      <c r="J1943" s="493">
        <v>22</v>
      </c>
      <c r="K1943" s="493">
        <v>2</v>
      </c>
      <c r="L1943" s="105" t="s">
        <v>343</v>
      </c>
      <c r="M1943" s="105" t="s">
        <v>655</v>
      </c>
      <c r="N1943" s="105" t="s">
        <v>656</v>
      </c>
      <c r="O1943" s="105" t="s">
        <v>656</v>
      </c>
      <c r="P1943" s="105" t="s">
        <v>339</v>
      </c>
      <c r="Q1943" s="494">
        <v>0</v>
      </c>
      <c r="R1943" s="494">
        <v>0</v>
      </c>
      <c r="S1943" s="494">
        <v>20358</v>
      </c>
      <c r="T1943" s="494">
        <v>20358</v>
      </c>
      <c r="U1943" s="494">
        <v>5967</v>
      </c>
      <c r="V1943" s="493">
        <v>2024</v>
      </c>
      <c r="W1943" s="495"/>
      <c r="X1943" s="496">
        <f t="shared" si="127"/>
        <v>3.4117647058823528</v>
      </c>
      <c r="Y1943" s="497" t="str">
        <f t="shared" si="126"/>
        <v/>
      </c>
      <c r="Z1943" s="497" t="str">
        <f t="shared" si="126"/>
        <v/>
      </c>
    </row>
    <row r="1944" spans="1:26" s="82" customFormat="1" x14ac:dyDescent="0.4">
      <c r="A1944" s="493">
        <v>63000</v>
      </c>
      <c r="B1944" s="105" t="s">
        <v>329</v>
      </c>
      <c r="C1944" s="493" t="s">
        <v>330</v>
      </c>
      <c r="D1944" s="105" t="s">
        <v>2289</v>
      </c>
      <c r="E1944" s="105" t="s">
        <v>1448</v>
      </c>
      <c r="F1944" s="493">
        <v>61012</v>
      </c>
      <c r="G1944" s="105" t="s">
        <v>52</v>
      </c>
      <c r="H1944" s="105" t="s">
        <v>333</v>
      </c>
      <c r="I1944" s="105" t="s">
        <v>334</v>
      </c>
      <c r="J1944" s="493">
        <v>22</v>
      </c>
      <c r="K1944" s="493">
        <v>2</v>
      </c>
      <c r="L1944" s="105" t="s">
        <v>343</v>
      </c>
      <c r="M1944" s="105" t="s">
        <v>403</v>
      </c>
      <c r="N1944" s="105" t="s">
        <v>404</v>
      </c>
      <c r="O1944" s="105" t="s">
        <v>232</v>
      </c>
      <c r="P1944" s="105" t="s">
        <v>346</v>
      </c>
      <c r="Q1944" s="494">
        <v>150</v>
      </c>
      <c r="R1944" s="494">
        <v>150</v>
      </c>
      <c r="S1944" s="494">
        <v>0</v>
      </c>
      <c r="T1944" s="494">
        <v>0</v>
      </c>
      <c r="U1944" s="494">
        <v>-35</v>
      </c>
      <c r="V1944" s="493">
        <v>2024</v>
      </c>
      <c r="W1944" s="495"/>
      <c r="X1944" s="496" t="str">
        <f t="shared" si="127"/>
        <v/>
      </c>
      <c r="Y1944" s="497" t="str">
        <f t="shared" si="126"/>
        <v/>
      </c>
      <c r="Z1944" s="497" t="str">
        <f t="shared" si="126"/>
        <v/>
      </c>
    </row>
    <row r="1945" spans="1:26" s="82" customFormat="1" x14ac:dyDescent="0.4">
      <c r="A1945" s="493">
        <v>63000</v>
      </c>
      <c r="B1945" s="105" t="s">
        <v>329</v>
      </c>
      <c r="C1945" s="493" t="s">
        <v>330</v>
      </c>
      <c r="D1945" s="105" t="s">
        <v>2289</v>
      </c>
      <c r="E1945" s="105" t="s">
        <v>1448</v>
      </c>
      <c r="F1945" s="493">
        <v>61012</v>
      </c>
      <c r="G1945" s="105" t="s">
        <v>52</v>
      </c>
      <c r="H1945" s="105" t="s">
        <v>333</v>
      </c>
      <c r="I1945" s="105" t="s">
        <v>334</v>
      </c>
      <c r="J1945" s="493">
        <v>22</v>
      </c>
      <c r="K1945" s="493">
        <v>2</v>
      </c>
      <c r="L1945" s="105" t="s">
        <v>343</v>
      </c>
      <c r="M1945" s="105" t="s">
        <v>655</v>
      </c>
      <c r="N1945" s="105" t="s">
        <v>656</v>
      </c>
      <c r="O1945" s="105" t="s">
        <v>656</v>
      </c>
      <c r="P1945" s="105" t="s">
        <v>339</v>
      </c>
      <c r="Q1945" s="494">
        <v>0</v>
      </c>
      <c r="R1945" s="494">
        <v>0</v>
      </c>
      <c r="S1945" s="494">
        <v>19822</v>
      </c>
      <c r="T1945" s="494">
        <v>19822</v>
      </c>
      <c r="U1945" s="494">
        <v>5809</v>
      </c>
      <c r="V1945" s="493">
        <v>2024</v>
      </c>
      <c r="W1945" s="495"/>
      <c r="X1945" s="496">
        <f t="shared" si="127"/>
        <v>3.4122912721638836</v>
      </c>
      <c r="Y1945" s="497" t="str">
        <f t="shared" si="126"/>
        <v/>
      </c>
      <c r="Z1945" s="497" t="str">
        <f t="shared" si="126"/>
        <v/>
      </c>
    </row>
    <row r="1946" spans="1:26" s="82" customFormat="1" x14ac:dyDescent="0.4">
      <c r="A1946" s="493">
        <v>63011</v>
      </c>
      <c r="B1946" s="105" t="s">
        <v>329</v>
      </c>
      <c r="C1946" s="493" t="s">
        <v>330</v>
      </c>
      <c r="D1946" s="105" t="s">
        <v>2290</v>
      </c>
      <c r="E1946" s="105" t="s">
        <v>1448</v>
      </c>
      <c r="F1946" s="493">
        <v>61012</v>
      </c>
      <c r="G1946" s="105" t="s">
        <v>33</v>
      </c>
      <c r="H1946" s="105" t="s">
        <v>342</v>
      </c>
      <c r="I1946" s="105" t="s">
        <v>334</v>
      </c>
      <c r="J1946" s="493">
        <v>22</v>
      </c>
      <c r="K1946" s="493">
        <v>2</v>
      </c>
      <c r="L1946" s="105" t="s">
        <v>343</v>
      </c>
      <c r="M1946" s="105" t="s">
        <v>403</v>
      </c>
      <c r="N1946" s="105" t="s">
        <v>404</v>
      </c>
      <c r="O1946" s="105" t="s">
        <v>232</v>
      </c>
      <c r="P1946" s="105" t="s">
        <v>346</v>
      </c>
      <c r="Q1946" s="494">
        <v>598</v>
      </c>
      <c r="R1946" s="494">
        <v>598</v>
      </c>
      <c r="S1946" s="494">
        <v>0</v>
      </c>
      <c r="T1946" s="494">
        <v>0</v>
      </c>
      <c r="U1946" s="494">
        <v>-45</v>
      </c>
      <c r="V1946" s="493">
        <v>2024</v>
      </c>
      <c r="W1946" s="495"/>
      <c r="X1946" s="496" t="str">
        <f t="shared" si="127"/>
        <v/>
      </c>
      <c r="Y1946" s="497" t="str">
        <f t="shared" si="126"/>
        <v/>
      </c>
      <c r="Z1946" s="497" t="str">
        <f t="shared" si="126"/>
        <v/>
      </c>
    </row>
    <row r="1947" spans="1:26" s="82" customFormat="1" x14ac:dyDescent="0.4">
      <c r="A1947" s="493">
        <v>63011</v>
      </c>
      <c r="B1947" s="105" t="s">
        <v>329</v>
      </c>
      <c r="C1947" s="493" t="s">
        <v>330</v>
      </c>
      <c r="D1947" s="105" t="s">
        <v>2290</v>
      </c>
      <c r="E1947" s="105" t="s">
        <v>1448</v>
      </c>
      <c r="F1947" s="493">
        <v>61012</v>
      </c>
      <c r="G1947" s="105" t="s">
        <v>33</v>
      </c>
      <c r="H1947" s="105" t="s">
        <v>342</v>
      </c>
      <c r="I1947" s="105" t="s">
        <v>334</v>
      </c>
      <c r="J1947" s="493">
        <v>22</v>
      </c>
      <c r="K1947" s="493">
        <v>2</v>
      </c>
      <c r="L1947" s="105" t="s">
        <v>343</v>
      </c>
      <c r="M1947" s="105" t="s">
        <v>655</v>
      </c>
      <c r="N1947" s="105" t="s">
        <v>656</v>
      </c>
      <c r="O1947" s="105" t="s">
        <v>656</v>
      </c>
      <c r="P1947" s="105" t="s">
        <v>339</v>
      </c>
      <c r="Q1947" s="494">
        <v>0</v>
      </c>
      <c r="R1947" s="494">
        <v>0</v>
      </c>
      <c r="S1947" s="494">
        <v>11446</v>
      </c>
      <c r="T1947" s="494">
        <v>11446</v>
      </c>
      <c r="U1947" s="494">
        <v>3355</v>
      </c>
      <c r="V1947" s="493">
        <v>2024</v>
      </c>
      <c r="W1947" s="495"/>
      <c r="X1947" s="496">
        <f t="shared" si="127"/>
        <v>3.4116244411326377</v>
      </c>
      <c r="Y1947" s="497" t="str">
        <f t="shared" si="126"/>
        <v/>
      </c>
      <c r="Z1947" s="497" t="str">
        <f t="shared" si="126"/>
        <v/>
      </c>
    </row>
    <row r="1948" spans="1:26" s="82" customFormat="1" x14ac:dyDescent="0.4">
      <c r="A1948" s="493">
        <v>63012</v>
      </c>
      <c r="B1948" s="105" t="s">
        <v>329</v>
      </c>
      <c r="C1948" s="493" t="s">
        <v>330</v>
      </c>
      <c r="D1948" s="105" t="s">
        <v>2291</v>
      </c>
      <c r="E1948" s="105" t="s">
        <v>1448</v>
      </c>
      <c r="F1948" s="493">
        <v>61012</v>
      </c>
      <c r="G1948" s="105" t="s">
        <v>52</v>
      </c>
      <c r="H1948" s="105" t="s">
        <v>333</v>
      </c>
      <c r="I1948" s="105" t="s">
        <v>334</v>
      </c>
      <c r="J1948" s="493">
        <v>22</v>
      </c>
      <c r="K1948" s="493">
        <v>2</v>
      </c>
      <c r="L1948" s="105" t="s">
        <v>343</v>
      </c>
      <c r="M1948" s="105" t="s">
        <v>655</v>
      </c>
      <c r="N1948" s="105" t="s">
        <v>656</v>
      </c>
      <c r="O1948" s="105" t="s">
        <v>656</v>
      </c>
      <c r="P1948" s="105" t="s">
        <v>339</v>
      </c>
      <c r="Q1948" s="494">
        <v>0</v>
      </c>
      <c r="R1948" s="494">
        <v>0</v>
      </c>
      <c r="S1948" s="494">
        <v>20642</v>
      </c>
      <c r="T1948" s="494">
        <v>20642</v>
      </c>
      <c r="U1948" s="494">
        <v>6050</v>
      </c>
      <c r="V1948" s="493">
        <v>2024</v>
      </c>
      <c r="W1948" s="495"/>
      <c r="X1948" s="496">
        <f t="shared" si="127"/>
        <v>3.4119008264462809</v>
      </c>
      <c r="Y1948" s="497" t="str">
        <f t="shared" ref="Y1948:Z1967" si="128">IF(AND($M1948=$Y$2,$N1948=$Y$3,NOT($Q1948=$R1948),NOT($U1948=0)),IF($K1948=5,$S1948/($U1948+(8/5)*$U1948),IF($K1948=7,$S1948/($U1948+(29/25)*$U1948),"")),"")</f>
        <v/>
      </c>
      <c r="Z1948" s="497" t="str">
        <f t="shared" si="128"/>
        <v/>
      </c>
    </row>
    <row r="1949" spans="1:26" s="82" customFormat="1" x14ac:dyDescent="0.4">
      <c r="A1949" s="493">
        <v>63013</v>
      </c>
      <c r="B1949" s="105" t="s">
        <v>329</v>
      </c>
      <c r="C1949" s="493" t="s">
        <v>330</v>
      </c>
      <c r="D1949" s="105" t="s">
        <v>2292</v>
      </c>
      <c r="E1949" s="105" t="s">
        <v>1448</v>
      </c>
      <c r="F1949" s="493">
        <v>61012</v>
      </c>
      <c r="G1949" s="105" t="s">
        <v>52</v>
      </c>
      <c r="H1949" s="105" t="s">
        <v>333</v>
      </c>
      <c r="I1949" s="105" t="s">
        <v>334</v>
      </c>
      <c r="J1949" s="493">
        <v>22</v>
      </c>
      <c r="K1949" s="493">
        <v>2</v>
      </c>
      <c r="L1949" s="105" t="s">
        <v>343</v>
      </c>
      <c r="M1949" s="105" t="s">
        <v>655</v>
      </c>
      <c r="N1949" s="105" t="s">
        <v>656</v>
      </c>
      <c r="O1949" s="105" t="s">
        <v>656</v>
      </c>
      <c r="P1949" s="105" t="s">
        <v>339</v>
      </c>
      <c r="Q1949" s="494">
        <v>0</v>
      </c>
      <c r="R1949" s="494">
        <v>0</v>
      </c>
      <c r="S1949" s="494">
        <v>17912</v>
      </c>
      <c r="T1949" s="494">
        <v>17912</v>
      </c>
      <c r="U1949" s="494">
        <v>5250</v>
      </c>
      <c r="V1949" s="493">
        <v>2024</v>
      </c>
      <c r="W1949" s="495"/>
      <c r="X1949" s="496">
        <f t="shared" si="127"/>
        <v>3.4118095238095236</v>
      </c>
      <c r="Y1949" s="497" t="str">
        <f t="shared" si="128"/>
        <v/>
      </c>
      <c r="Z1949" s="497" t="str">
        <f t="shared" si="128"/>
        <v/>
      </c>
    </row>
    <row r="1950" spans="1:26" s="82" customFormat="1" x14ac:dyDescent="0.4">
      <c r="A1950" s="493">
        <v>63041</v>
      </c>
      <c r="B1950" s="105" t="s">
        <v>329</v>
      </c>
      <c r="C1950" s="493" t="s">
        <v>330</v>
      </c>
      <c r="D1950" s="105" t="s">
        <v>2293</v>
      </c>
      <c r="E1950" s="105" t="s">
        <v>1448</v>
      </c>
      <c r="F1950" s="493">
        <v>61012</v>
      </c>
      <c r="G1950" s="105" t="s">
        <v>33</v>
      </c>
      <c r="H1950" s="105" t="s">
        <v>342</v>
      </c>
      <c r="I1950" s="105" t="s">
        <v>334</v>
      </c>
      <c r="J1950" s="493">
        <v>22</v>
      </c>
      <c r="K1950" s="493">
        <v>2</v>
      </c>
      <c r="L1950" s="105" t="s">
        <v>343</v>
      </c>
      <c r="M1950" s="105" t="s">
        <v>655</v>
      </c>
      <c r="N1950" s="105" t="s">
        <v>656</v>
      </c>
      <c r="O1950" s="105" t="s">
        <v>656</v>
      </c>
      <c r="P1950" s="105" t="s">
        <v>339</v>
      </c>
      <c r="Q1950" s="494">
        <v>0</v>
      </c>
      <c r="R1950" s="494">
        <v>0</v>
      </c>
      <c r="S1950" s="494">
        <v>7777</v>
      </c>
      <c r="T1950" s="494">
        <v>7777</v>
      </c>
      <c r="U1950" s="494">
        <v>2279</v>
      </c>
      <c r="V1950" s="493">
        <v>2024</v>
      </c>
      <c r="W1950" s="495"/>
      <c r="X1950" s="496">
        <f t="shared" si="127"/>
        <v>3.4124616059675295</v>
      </c>
      <c r="Y1950" s="497" t="str">
        <f t="shared" si="128"/>
        <v/>
      </c>
      <c r="Z1950" s="497" t="str">
        <f t="shared" si="128"/>
        <v/>
      </c>
    </row>
    <row r="1951" spans="1:26" s="82" customFormat="1" x14ac:dyDescent="0.4">
      <c r="A1951" s="493">
        <v>63044</v>
      </c>
      <c r="B1951" s="105" t="s">
        <v>329</v>
      </c>
      <c r="C1951" s="493" t="s">
        <v>330</v>
      </c>
      <c r="D1951" s="105" t="s">
        <v>2294</v>
      </c>
      <c r="E1951" s="105" t="s">
        <v>1448</v>
      </c>
      <c r="F1951" s="493">
        <v>61012</v>
      </c>
      <c r="G1951" s="105" t="s">
        <v>33</v>
      </c>
      <c r="H1951" s="105" t="s">
        <v>342</v>
      </c>
      <c r="I1951" s="105" t="s">
        <v>334</v>
      </c>
      <c r="J1951" s="493">
        <v>22</v>
      </c>
      <c r="K1951" s="493">
        <v>2</v>
      </c>
      <c r="L1951" s="105" t="s">
        <v>343</v>
      </c>
      <c r="M1951" s="105" t="s">
        <v>403</v>
      </c>
      <c r="N1951" s="105" t="s">
        <v>404</v>
      </c>
      <c r="O1951" s="105" t="s">
        <v>232</v>
      </c>
      <c r="P1951" s="105" t="s">
        <v>346</v>
      </c>
      <c r="Q1951" s="494">
        <v>1325</v>
      </c>
      <c r="R1951" s="494">
        <v>1325</v>
      </c>
      <c r="S1951" s="494">
        <v>0</v>
      </c>
      <c r="T1951" s="494">
        <v>0</v>
      </c>
      <c r="U1951" s="494">
        <v>-90</v>
      </c>
      <c r="V1951" s="493">
        <v>2024</v>
      </c>
      <c r="W1951" s="495"/>
      <c r="X1951" s="496" t="str">
        <f t="shared" si="127"/>
        <v/>
      </c>
      <c r="Y1951" s="497" t="str">
        <f t="shared" si="128"/>
        <v/>
      </c>
      <c r="Z1951" s="497" t="str">
        <f t="shared" si="128"/>
        <v/>
      </c>
    </row>
    <row r="1952" spans="1:26" s="82" customFormat="1" x14ac:dyDescent="0.4">
      <c r="A1952" s="493">
        <v>63044</v>
      </c>
      <c r="B1952" s="105" t="s">
        <v>329</v>
      </c>
      <c r="C1952" s="493" t="s">
        <v>330</v>
      </c>
      <c r="D1952" s="105" t="s">
        <v>2294</v>
      </c>
      <c r="E1952" s="105" t="s">
        <v>1448</v>
      </c>
      <c r="F1952" s="493">
        <v>61012</v>
      </c>
      <c r="G1952" s="105" t="s">
        <v>33</v>
      </c>
      <c r="H1952" s="105" t="s">
        <v>342</v>
      </c>
      <c r="I1952" s="105" t="s">
        <v>334</v>
      </c>
      <c r="J1952" s="493">
        <v>22</v>
      </c>
      <c r="K1952" s="493">
        <v>2</v>
      </c>
      <c r="L1952" s="105" t="s">
        <v>343</v>
      </c>
      <c r="M1952" s="105" t="s">
        <v>655</v>
      </c>
      <c r="N1952" s="105" t="s">
        <v>656</v>
      </c>
      <c r="O1952" s="105" t="s">
        <v>656</v>
      </c>
      <c r="P1952" s="105" t="s">
        <v>339</v>
      </c>
      <c r="Q1952" s="494">
        <v>0</v>
      </c>
      <c r="R1952" s="494">
        <v>0</v>
      </c>
      <c r="S1952" s="494">
        <v>29927</v>
      </c>
      <c r="T1952" s="494">
        <v>29927</v>
      </c>
      <c r="U1952" s="494">
        <v>8771</v>
      </c>
      <c r="V1952" s="493">
        <v>2024</v>
      </c>
      <c r="W1952" s="495"/>
      <c r="X1952" s="496">
        <f t="shared" si="127"/>
        <v>3.4120396762056777</v>
      </c>
      <c r="Y1952" s="497" t="str">
        <f t="shared" si="128"/>
        <v/>
      </c>
      <c r="Z1952" s="497" t="str">
        <f t="shared" si="128"/>
        <v/>
      </c>
    </row>
    <row r="1953" spans="1:26" s="82" customFormat="1" x14ac:dyDescent="0.4">
      <c r="A1953" s="493">
        <v>63047</v>
      </c>
      <c r="B1953" s="105" t="s">
        <v>329</v>
      </c>
      <c r="C1953" s="493" t="s">
        <v>330</v>
      </c>
      <c r="D1953" s="105" t="s">
        <v>2295</v>
      </c>
      <c r="E1953" s="105" t="s">
        <v>1448</v>
      </c>
      <c r="F1953" s="493">
        <v>61012</v>
      </c>
      <c r="G1953" s="105" t="s">
        <v>33</v>
      </c>
      <c r="H1953" s="105" t="s">
        <v>342</v>
      </c>
      <c r="I1953" s="105" t="s">
        <v>334</v>
      </c>
      <c r="J1953" s="493">
        <v>22</v>
      </c>
      <c r="K1953" s="493">
        <v>2</v>
      </c>
      <c r="L1953" s="105" t="s">
        <v>343</v>
      </c>
      <c r="M1953" s="105" t="s">
        <v>655</v>
      </c>
      <c r="N1953" s="105" t="s">
        <v>656</v>
      </c>
      <c r="O1953" s="105" t="s">
        <v>656</v>
      </c>
      <c r="P1953" s="105" t="s">
        <v>339</v>
      </c>
      <c r="Q1953" s="494">
        <v>0</v>
      </c>
      <c r="R1953" s="494">
        <v>0</v>
      </c>
      <c r="S1953" s="494">
        <v>26234</v>
      </c>
      <c r="T1953" s="494">
        <v>26234</v>
      </c>
      <c r="U1953" s="494">
        <v>7688.87</v>
      </c>
      <c r="V1953" s="493">
        <v>2024</v>
      </c>
      <c r="W1953" s="495"/>
      <c r="X1953" s="496">
        <f t="shared" si="127"/>
        <v>3.4119447981302846</v>
      </c>
      <c r="Y1953" s="497" t="str">
        <f t="shared" si="128"/>
        <v/>
      </c>
      <c r="Z1953" s="497" t="str">
        <f t="shared" si="128"/>
        <v/>
      </c>
    </row>
    <row r="1954" spans="1:26" s="82" customFormat="1" x14ac:dyDescent="0.4">
      <c r="A1954" s="493">
        <v>63048</v>
      </c>
      <c r="B1954" s="105" t="s">
        <v>329</v>
      </c>
      <c r="C1954" s="493" t="s">
        <v>330</v>
      </c>
      <c r="D1954" s="105" t="s">
        <v>2296</v>
      </c>
      <c r="E1954" s="105" t="s">
        <v>1448</v>
      </c>
      <c r="F1954" s="493">
        <v>61012</v>
      </c>
      <c r="G1954" s="105" t="s">
        <v>33</v>
      </c>
      <c r="H1954" s="105" t="s">
        <v>342</v>
      </c>
      <c r="I1954" s="105" t="s">
        <v>334</v>
      </c>
      <c r="J1954" s="493">
        <v>22</v>
      </c>
      <c r="K1954" s="493">
        <v>2</v>
      </c>
      <c r="L1954" s="105" t="s">
        <v>343</v>
      </c>
      <c r="M1954" s="105" t="s">
        <v>655</v>
      </c>
      <c r="N1954" s="105" t="s">
        <v>656</v>
      </c>
      <c r="O1954" s="105" t="s">
        <v>656</v>
      </c>
      <c r="P1954" s="105" t="s">
        <v>339</v>
      </c>
      <c r="Q1954" s="494">
        <v>0</v>
      </c>
      <c r="R1954" s="494">
        <v>0</v>
      </c>
      <c r="S1954" s="494">
        <v>28387</v>
      </c>
      <c r="T1954" s="494">
        <v>28387</v>
      </c>
      <c r="U1954" s="494">
        <v>8320</v>
      </c>
      <c r="V1954" s="493">
        <v>2024</v>
      </c>
      <c r="W1954" s="495"/>
      <c r="X1954" s="496">
        <f t="shared" si="127"/>
        <v>3.4118990384615384</v>
      </c>
      <c r="Y1954" s="497" t="str">
        <f t="shared" si="128"/>
        <v/>
      </c>
      <c r="Z1954" s="497" t="str">
        <f t="shared" si="128"/>
        <v/>
      </c>
    </row>
    <row r="1955" spans="1:26" s="82" customFormat="1" x14ac:dyDescent="0.4">
      <c r="A1955" s="493">
        <v>63051</v>
      </c>
      <c r="B1955" s="105" t="s">
        <v>329</v>
      </c>
      <c r="C1955" s="493" t="s">
        <v>330</v>
      </c>
      <c r="D1955" s="105" t="s">
        <v>2297</v>
      </c>
      <c r="E1955" s="105" t="s">
        <v>1606</v>
      </c>
      <c r="F1955" s="493">
        <v>61227</v>
      </c>
      <c r="G1955" s="105" t="s">
        <v>52</v>
      </c>
      <c r="H1955" s="105" t="s">
        <v>333</v>
      </c>
      <c r="I1955" s="105" t="s">
        <v>334</v>
      </c>
      <c r="J1955" s="493">
        <v>22</v>
      </c>
      <c r="K1955" s="493">
        <v>2</v>
      </c>
      <c r="L1955" s="105" t="s">
        <v>343</v>
      </c>
      <c r="M1955" s="105" t="s">
        <v>655</v>
      </c>
      <c r="N1955" s="105" t="s">
        <v>656</v>
      </c>
      <c r="O1955" s="105" t="s">
        <v>656</v>
      </c>
      <c r="P1955" s="105" t="s">
        <v>339</v>
      </c>
      <c r="Q1955" s="494">
        <v>0</v>
      </c>
      <c r="R1955" s="494">
        <v>0</v>
      </c>
      <c r="S1955" s="494">
        <v>10590</v>
      </c>
      <c r="T1955" s="494">
        <v>10590</v>
      </c>
      <c r="U1955" s="494">
        <v>3104</v>
      </c>
      <c r="V1955" s="493">
        <v>2024</v>
      </c>
      <c r="W1955" s="495"/>
      <c r="X1955" s="496">
        <f t="shared" si="127"/>
        <v>3.4117268041237114</v>
      </c>
      <c r="Y1955" s="497" t="str">
        <f t="shared" si="128"/>
        <v/>
      </c>
      <c r="Z1955" s="497" t="str">
        <f t="shared" si="128"/>
        <v/>
      </c>
    </row>
    <row r="1956" spans="1:26" s="82" customFormat="1" x14ac:dyDescent="0.4">
      <c r="A1956" s="493">
        <v>63052</v>
      </c>
      <c r="B1956" s="105" t="s">
        <v>329</v>
      </c>
      <c r="C1956" s="493" t="s">
        <v>330</v>
      </c>
      <c r="D1956" s="105" t="s">
        <v>2298</v>
      </c>
      <c r="E1956" s="105" t="s">
        <v>1606</v>
      </c>
      <c r="F1956" s="493">
        <v>61227</v>
      </c>
      <c r="G1956" s="105" t="s">
        <v>52</v>
      </c>
      <c r="H1956" s="105" t="s">
        <v>333</v>
      </c>
      <c r="I1956" s="105" t="s">
        <v>334</v>
      </c>
      <c r="J1956" s="493">
        <v>22</v>
      </c>
      <c r="K1956" s="493">
        <v>2</v>
      </c>
      <c r="L1956" s="105" t="s">
        <v>343</v>
      </c>
      <c r="M1956" s="105" t="s">
        <v>655</v>
      </c>
      <c r="N1956" s="105" t="s">
        <v>656</v>
      </c>
      <c r="O1956" s="105" t="s">
        <v>656</v>
      </c>
      <c r="P1956" s="105" t="s">
        <v>339</v>
      </c>
      <c r="Q1956" s="494">
        <v>0</v>
      </c>
      <c r="R1956" s="494">
        <v>0</v>
      </c>
      <c r="S1956" s="494">
        <v>10560</v>
      </c>
      <c r="T1956" s="494">
        <v>10560</v>
      </c>
      <c r="U1956" s="494">
        <v>3095</v>
      </c>
      <c r="V1956" s="493">
        <v>2024</v>
      </c>
      <c r="W1956" s="495"/>
      <c r="X1956" s="496">
        <f t="shared" si="127"/>
        <v>3.4119547657512115</v>
      </c>
      <c r="Y1956" s="497" t="str">
        <f t="shared" si="128"/>
        <v/>
      </c>
      <c r="Z1956" s="497" t="str">
        <f t="shared" si="128"/>
        <v/>
      </c>
    </row>
    <row r="1957" spans="1:26" s="82" customFormat="1" x14ac:dyDescent="0.4">
      <c r="A1957" s="493">
        <v>63055</v>
      </c>
      <c r="B1957" s="105" t="s">
        <v>329</v>
      </c>
      <c r="C1957" s="493" t="s">
        <v>330</v>
      </c>
      <c r="D1957" s="105" t="s">
        <v>2299</v>
      </c>
      <c r="E1957" s="105" t="s">
        <v>1606</v>
      </c>
      <c r="F1957" s="493">
        <v>61227</v>
      </c>
      <c r="G1957" s="105" t="s">
        <v>52</v>
      </c>
      <c r="H1957" s="105" t="s">
        <v>333</v>
      </c>
      <c r="I1957" s="105" t="s">
        <v>334</v>
      </c>
      <c r="J1957" s="493">
        <v>22</v>
      </c>
      <c r="K1957" s="493">
        <v>2</v>
      </c>
      <c r="L1957" s="105" t="s">
        <v>343</v>
      </c>
      <c r="M1957" s="105" t="s">
        <v>655</v>
      </c>
      <c r="N1957" s="105" t="s">
        <v>656</v>
      </c>
      <c r="O1957" s="105" t="s">
        <v>656</v>
      </c>
      <c r="P1957" s="105" t="s">
        <v>339</v>
      </c>
      <c r="Q1957" s="494">
        <v>0</v>
      </c>
      <c r="R1957" s="494">
        <v>0</v>
      </c>
      <c r="S1957" s="494">
        <v>11023</v>
      </c>
      <c r="T1957" s="494">
        <v>11023</v>
      </c>
      <c r="U1957" s="494">
        <v>3231</v>
      </c>
      <c r="V1957" s="493">
        <v>2024</v>
      </c>
      <c r="W1957" s="495"/>
      <c r="X1957" s="496">
        <f t="shared" si="127"/>
        <v>3.4116372640049519</v>
      </c>
      <c r="Y1957" s="497" t="str">
        <f t="shared" si="128"/>
        <v/>
      </c>
      <c r="Z1957" s="497" t="str">
        <f t="shared" si="128"/>
        <v/>
      </c>
    </row>
    <row r="1958" spans="1:26" s="82" customFormat="1" x14ac:dyDescent="0.4">
      <c r="A1958" s="493">
        <v>63056</v>
      </c>
      <c r="B1958" s="105" t="s">
        <v>329</v>
      </c>
      <c r="C1958" s="493" t="s">
        <v>330</v>
      </c>
      <c r="D1958" s="105" t="s">
        <v>2300</v>
      </c>
      <c r="E1958" s="105" t="s">
        <v>1606</v>
      </c>
      <c r="F1958" s="493">
        <v>61227</v>
      </c>
      <c r="G1958" s="105" t="s">
        <v>52</v>
      </c>
      <c r="H1958" s="105" t="s">
        <v>333</v>
      </c>
      <c r="I1958" s="105" t="s">
        <v>334</v>
      </c>
      <c r="J1958" s="493">
        <v>22</v>
      </c>
      <c r="K1958" s="493">
        <v>2</v>
      </c>
      <c r="L1958" s="105" t="s">
        <v>343</v>
      </c>
      <c r="M1958" s="105" t="s">
        <v>655</v>
      </c>
      <c r="N1958" s="105" t="s">
        <v>656</v>
      </c>
      <c r="O1958" s="105" t="s">
        <v>656</v>
      </c>
      <c r="P1958" s="105" t="s">
        <v>339</v>
      </c>
      <c r="Q1958" s="494">
        <v>0</v>
      </c>
      <c r="R1958" s="494">
        <v>0</v>
      </c>
      <c r="S1958" s="494">
        <v>8044</v>
      </c>
      <c r="T1958" s="494">
        <v>8044</v>
      </c>
      <c r="U1958" s="494">
        <v>2358</v>
      </c>
      <c r="V1958" s="493">
        <v>2024</v>
      </c>
      <c r="W1958" s="495"/>
      <c r="X1958" s="496">
        <f t="shared" si="127"/>
        <v>3.4113655640373199</v>
      </c>
      <c r="Y1958" s="497" t="str">
        <f t="shared" si="128"/>
        <v/>
      </c>
      <c r="Z1958" s="497" t="str">
        <f t="shared" si="128"/>
        <v/>
      </c>
    </row>
    <row r="1959" spans="1:26" s="82" customFormat="1" x14ac:dyDescent="0.4">
      <c r="A1959" s="493">
        <v>63057</v>
      </c>
      <c r="B1959" s="105" t="s">
        <v>329</v>
      </c>
      <c r="C1959" s="493" t="s">
        <v>330</v>
      </c>
      <c r="D1959" s="105" t="s">
        <v>2301</v>
      </c>
      <c r="E1959" s="105" t="s">
        <v>1606</v>
      </c>
      <c r="F1959" s="493">
        <v>61227</v>
      </c>
      <c r="G1959" s="105" t="s">
        <v>52</v>
      </c>
      <c r="H1959" s="105" t="s">
        <v>333</v>
      </c>
      <c r="I1959" s="105" t="s">
        <v>334</v>
      </c>
      <c r="J1959" s="493">
        <v>22</v>
      </c>
      <c r="K1959" s="493">
        <v>2</v>
      </c>
      <c r="L1959" s="105" t="s">
        <v>343</v>
      </c>
      <c r="M1959" s="105" t="s">
        <v>655</v>
      </c>
      <c r="N1959" s="105" t="s">
        <v>656</v>
      </c>
      <c r="O1959" s="105" t="s">
        <v>656</v>
      </c>
      <c r="P1959" s="105" t="s">
        <v>339</v>
      </c>
      <c r="Q1959" s="494">
        <v>0</v>
      </c>
      <c r="R1959" s="494">
        <v>0</v>
      </c>
      <c r="S1959" s="494">
        <v>10386</v>
      </c>
      <c r="T1959" s="494">
        <v>10386</v>
      </c>
      <c r="U1959" s="494">
        <v>3044</v>
      </c>
      <c r="V1959" s="493">
        <v>2024</v>
      </c>
      <c r="W1959" s="495"/>
      <c r="X1959" s="496">
        <f t="shared" si="127"/>
        <v>3.4119579500657031</v>
      </c>
      <c r="Y1959" s="497" t="str">
        <f t="shared" si="128"/>
        <v/>
      </c>
      <c r="Z1959" s="497" t="str">
        <f t="shared" si="128"/>
        <v/>
      </c>
    </row>
    <row r="1960" spans="1:26" s="82" customFormat="1" x14ac:dyDescent="0.4">
      <c r="A1960" s="493">
        <v>63058</v>
      </c>
      <c r="B1960" s="105" t="s">
        <v>329</v>
      </c>
      <c r="C1960" s="493" t="s">
        <v>330</v>
      </c>
      <c r="D1960" s="105" t="s">
        <v>2302</v>
      </c>
      <c r="E1960" s="105" t="s">
        <v>1606</v>
      </c>
      <c r="F1960" s="493">
        <v>61227</v>
      </c>
      <c r="G1960" s="105" t="s">
        <v>52</v>
      </c>
      <c r="H1960" s="105" t="s">
        <v>333</v>
      </c>
      <c r="I1960" s="105" t="s">
        <v>334</v>
      </c>
      <c r="J1960" s="493">
        <v>22</v>
      </c>
      <c r="K1960" s="493">
        <v>2</v>
      </c>
      <c r="L1960" s="105" t="s">
        <v>343</v>
      </c>
      <c r="M1960" s="105" t="s">
        <v>655</v>
      </c>
      <c r="N1960" s="105" t="s">
        <v>656</v>
      </c>
      <c r="O1960" s="105" t="s">
        <v>656</v>
      </c>
      <c r="P1960" s="105" t="s">
        <v>339</v>
      </c>
      <c r="Q1960" s="494">
        <v>0</v>
      </c>
      <c r="R1960" s="494">
        <v>0</v>
      </c>
      <c r="S1960" s="494">
        <v>10320</v>
      </c>
      <c r="T1960" s="494">
        <v>10320</v>
      </c>
      <c r="U1960" s="494">
        <v>3025</v>
      </c>
      <c r="V1960" s="493">
        <v>2024</v>
      </c>
      <c r="W1960" s="495"/>
      <c r="X1960" s="496">
        <f t="shared" si="127"/>
        <v>3.4115702479338843</v>
      </c>
      <c r="Y1960" s="497" t="str">
        <f t="shared" si="128"/>
        <v/>
      </c>
      <c r="Z1960" s="497" t="str">
        <f t="shared" si="128"/>
        <v/>
      </c>
    </row>
    <row r="1961" spans="1:26" s="82" customFormat="1" x14ac:dyDescent="0.4">
      <c r="A1961" s="493">
        <v>63059</v>
      </c>
      <c r="B1961" s="105" t="s">
        <v>329</v>
      </c>
      <c r="C1961" s="493" t="s">
        <v>330</v>
      </c>
      <c r="D1961" s="105" t="s">
        <v>2303</v>
      </c>
      <c r="E1961" s="105" t="s">
        <v>1606</v>
      </c>
      <c r="F1961" s="493">
        <v>61227</v>
      </c>
      <c r="G1961" s="105" t="s">
        <v>52</v>
      </c>
      <c r="H1961" s="105" t="s">
        <v>333</v>
      </c>
      <c r="I1961" s="105" t="s">
        <v>334</v>
      </c>
      <c r="J1961" s="493">
        <v>22</v>
      </c>
      <c r="K1961" s="493">
        <v>2</v>
      </c>
      <c r="L1961" s="105" t="s">
        <v>343</v>
      </c>
      <c r="M1961" s="105" t="s">
        <v>655</v>
      </c>
      <c r="N1961" s="105" t="s">
        <v>656</v>
      </c>
      <c r="O1961" s="105" t="s">
        <v>656</v>
      </c>
      <c r="P1961" s="105" t="s">
        <v>339</v>
      </c>
      <c r="Q1961" s="494">
        <v>0</v>
      </c>
      <c r="R1961" s="494">
        <v>0</v>
      </c>
      <c r="S1961" s="494">
        <v>11569</v>
      </c>
      <c r="T1961" s="494">
        <v>11569</v>
      </c>
      <c r="U1961" s="494">
        <v>3390</v>
      </c>
      <c r="V1961" s="493">
        <v>2024</v>
      </c>
      <c r="W1961" s="495"/>
      <c r="X1961" s="496">
        <f t="shared" si="127"/>
        <v>3.4126843657817107</v>
      </c>
      <c r="Y1961" s="497" t="str">
        <f t="shared" si="128"/>
        <v/>
      </c>
      <c r="Z1961" s="497" t="str">
        <f t="shared" si="128"/>
        <v/>
      </c>
    </row>
    <row r="1962" spans="1:26" s="82" customFormat="1" x14ac:dyDescent="0.4">
      <c r="A1962" s="493">
        <v>63060</v>
      </c>
      <c r="B1962" s="105" t="s">
        <v>329</v>
      </c>
      <c r="C1962" s="493" t="s">
        <v>330</v>
      </c>
      <c r="D1962" s="105" t="s">
        <v>2304</v>
      </c>
      <c r="E1962" s="105" t="s">
        <v>1606</v>
      </c>
      <c r="F1962" s="493">
        <v>61227</v>
      </c>
      <c r="G1962" s="105" t="s">
        <v>52</v>
      </c>
      <c r="H1962" s="105" t="s">
        <v>333</v>
      </c>
      <c r="I1962" s="105" t="s">
        <v>334</v>
      </c>
      <c r="J1962" s="493">
        <v>22</v>
      </c>
      <c r="K1962" s="493">
        <v>2</v>
      </c>
      <c r="L1962" s="105" t="s">
        <v>343</v>
      </c>
      <c r="M1962" s="105" t="s">
        <v>655</v>
      </c>
      <c r="N1962" s="105" t="s">
        <v>656</v>
      </c>
      <c r="O1962" s="105" t="s">
        <v>656</v>
      </c>
      <c r="P1962" s="105" t="s">
        <v>339</v>
      </c>
      <c r="Q1962" s="494">
        <v>0</v>
      </c>
      <c r="R1962" s="494">
        <v>0</v>
      </c>
      <c r="S1962" s="494">
        <v>4463</v>
      </c>
      <c r="T1962" s="494">
        <v>4463</v>
      </c>
      <c r="U1962" s="494">
        <v>1308</v>
      </c>
      <c r="V1962" s="493">
        <v>2024</v>
      </c>
      <c r="W1962" s="495"/>
      <c r="X1962" s="496">
        <f t="shared" si="127"/>
        <v>3.4120795107033639</v>
      </c>
      <c r="Y1962" s="497" t="str">
        <f t="shared" si="128"/>
        <v/>
      </c>
      <c r="Z1962" s="497" t="str">
        <f t="shared" si="128"/>
        <v/>
      </c>
    </row>
    <row r="1963" spans="1:26" s="82" customFormat="1" x14ac:dyDescent="0.4">
      <c r="A1963" s="493">
        <v>63079</v>
      </c>
      <c r="B1963" s="105" t="s">
        <v>329</v>
      </c>
      <c r="C1963" s="493" t="s">
        <v>330</v>
      </c>
      <c r="D1963" s="105" t="s">
        <v>2305</v>
      </c>
      <c r="E1963" s="105" t="s">
        <v>1606</v>
      </c>
      <c r="F1963" s="493">
        <v>61227</v>
      </c>
      <c r="G1963" s="105" t="s">
        <v>52</v>
      </c>
      <c r="H1963" s="105" t="s">
        <v>333</v>
      </c>
      <c r="I1963" s="105" t="s">
        <v>334</v>
      </c>
      <c r="J1963" s="493">
        <v>22</v>
      </c>
      <c r="K1963" s="493">
        <v>2</v>
      </c>
      <c r="L1963" s="105" t="s">
        <v>343</v>
      </c>
      <c r="M1963" s="105" t="s">
        <v>655</v>
      </c>
      <c r="N1963" s="105" t="s">
        <v>656</v>
      </c>
      <c r="O1963" s="105" t="s">
        <v>656</v>
      </c>
      <c r="P1963" s="105" t="s">
        <v>339</v>
      </c>
      <c r="Q1963" s="494">
        <v>0</v>
      </c>
      <c r="R1963" s="494">
        <v>0</v>
      </c>
      <c r="S1963" s="494">
        <v>7486</v>
      </c>
      <c r="T1963" s="494">
        <v>7486</v>
      </c>
      <c r="U1963" s="494">
        <v>2194</v>
      </c>
      <c r="V1963" s="493">
        <v>2024</v>
      </c>
      <c r="W1963" s="495"/>
      <c r="X1963" s="496">
        <f t="shared" si="127"/>
        <v>3.4120328167730172</v>
      </c>
      <c r="Y1963" s="497" t="str">
        <f t="shared" si="128"/>
        <v/>
      </c>
      <c r="Z1963" s="497" t="str">
        <f t="shared" si="128"/>
        <v/>
      </c>
    </row>
    <row r="1964" spans="1:26" s="82" customFormat="1" x14ac:dyDescent="0.4">
      <c r="A1964" s="493">
        <v>63086</v>
      </c>
      <c r="B1964" s="105" t="s">
        <v>329</v>
      </c>
      <c r="C1964" s="493" t="s">
        <v>330</v>
      </c>
      <c r="D1964" s="105" t="s">
        <v>2306</v>
      </c>
      <c r="E1964" s="105" t="s">
        <v>1606</v>
      </c>
      <c r="F1964" s="493">
        <v>61227</v>
      </c>
      <c r="G1964" s="105" t="s">
        <v>52</v>
      </c>
      <c r="H1964" s="105" t="s">
        <v>333</v>
      </c>
      <c r="I1964" s="105" t="s">
        <v>334</v>
      </c>
      <c r="J1964" s="493">
        <v>22</v>
      </c>
      <c r="K1964" s="493">
        <v>2</v>
      </c>
      <c r="L1964" s="105" t="s">
        <v>343</v>
      </c>
      <c r="M1964" s="105" t="s">
        <v>655</v>
      </c>
      <c r="N1964" s="105" t="s">
        <v>656</v>
      </c>
      <c r="O1964" s="105" t="s">
        <v>656</v>
      </c>
      <c r="P1964" s="105" t="s">
        <v>339</v>
      </c>
      <c r="Q1964" s="494">
        <v>0</v>
      </c>
      <c r="R1964" s="494">
        <v>0</v>
      </c>
      <c r="S1964" s="494">
        <v>8835</v>
      </c>
      <c r="T1964" s="494">
        <v>8835</v>
      </c>
      <c r="U1964" s="494">
        <v>2589</v>
      </c>
      <c r="V1964" s="493">
        <v>2024</v>
      </c>
      <c r="W1964" s="495"/>
      <c r="X1964" s="496">
        <f t="shared" si="127"/>
        <v>3.4125144843568944</v>
      </c>
      <c r="Y1964" s="497" t="str">
        <f t="shared" si="128"/>
        <v/>
      </c>
      <c r="Z1964" s="497" t="str">
        <f t="shared" si="128"/>
        <v/>
      </c>
    </row>
    <row r="1965" spans="1:26" s="82" customFormat="1" x14ac:dyDescent="0.4">
      <c r="A1965" s="493">
        <v>63106</v>
      </c>
      <c r="B1965" s="105" t="s">
        <v>329</v>
      </c>
      <c r="C1965" s="493" t="s">
        <v>330</v>
      </c>
      <c r="D1965" s="105" t="s">
        <v>2307</v>
      </c>
      <c r="E1965" s="105" t="s">
        <v>1606</v>
      </c>
      <c r="F1965" s="493">
        <v>61227</v>
      </c>
      <c r="G1965" s="105" t="s">
        <v>52</v>
      </c>
      <c r="H1965" s="105" t="s">
        <v>333</v>
      </c>
      <c r="I1965" s="105" t="s">
        <v>334</v>
      </c>
      <c r="J1965" s="493">
        <v>22</v>
      </c>
      <c r="K1965" s="493">
        <v>2</v>
      </c>
      <c r="L1965" s="105" t="s">
        <v>343</v>
      </c>
      <c r="M1965" s="105" t="s">
        <v>655</v>
      </c>
      <c r="N1965" s="105" t="s">
        <v>656</v>
      </c>
      <c r="O1965" s="105" t="s">
        <v>656</v>
      </c>
      <c r="P1965" s="105" t="s">
        <v>339</v>
      </c>
      <c r="Q1965" s="494">
        <v>0</v>
      </c>
      <c r="R1965" s="494">
        <v>0</v>
      </c>
      <c r="S1965" s="494">
        <v>7758</v>
      </c>
      <c r="T1965" s="494">
        <v>7758</v>
      </c>
      <c r="U1965" s="494">
        <v>2274</v>
      </c>
      <c r="V1965" s="493">
        <v>2024</v>
      </c>
      <c r="W1965" s="495"/>
      <c r="X1965" s="496">
        <f t="shared" si="127"/>
        <v>3.4116094986807388</v>
      </c>
      <c r="Y1965" s="497" t="str">
        <f t="shared" si="128"/>
        <v/>
      </c>
      <c r="Z1965" s="497" t="str">
        <f t="shared" si="128"/>
        <v/>
      </c>
    </row>
    <row r="1966" spans="1:26" s="82" customFormat="1" x14ac:dyDescent="0.4">
      <c r="A1966" s="493">
        <v>63107</v>
      </c>
      <c r="B1966" s="105" t="s">
        <v>329</v>
      </c>
      <c r="C1966" s="493" t="s">
        <v>330</v>
      </c>
      <c r="D1966" s="105" t="s">
        <v>2308</v>
      </c>
      <c r="E1966" s="105" t="s">
        <v>1606</v>
      </c>
      <c r="F1966" s="493">
        <v>61227</v>
      </c>
      <c r="G1966" s="105" t="s">
        <v>52</v>
      </c>
      <c r="H1966" s="105" t="s">
        <v>333</v>
      </c>
      <c r="I1966" s="105" t="s">
        <v>334</v>
      </c>
      <c r="J1966" s="493">
        <v>22</v>
      </c>
      <c r="K1966" s="493">
        <v>2</v>
      </c>
      <c r="L1966" s="105" t="s">
        <v>343</v>
      </c>
      <c r="M1966" s="105" t="s">
        <v>655</v>
      </c>
      <c r="N1966" s="105" t="s">
        <v>656</v>
      </c>
      <c r="O1966" s="105" t="s">
        <v>656</v>
      </c>
      <c r="P1966" s="105" t="s">
        <v>339</v>
      </c>
      <c r="Q1966" s="494">
        <v>0</v>
      </c>
      <c r="R1966" s="494">
        <v>0</v>
      </c>
      <c r="S1966" s="494">
        <v>7354</v>
      </c>
      <c r="T1966" s="494">
        <v>7354</v>
      </c>
      <c r="U1966" s="494">
        <v>2155</v>
      </c>
      <c r="V1966" s="493">
        <v>2024</v>
      </c>
      <c r="W1966" s="495"/>
      <c r="X1966" s="496">
        <f t="shared" si="127"/>
        <v>3.4125290023201855</v>
      </c>
      <c r="Y1966" s="497" t="str">
        <f t="shared" si="128"/>
        <v/>
      </c>
      <c r="Z1966" s="497" t="str">
        <f t="shared" si="128"/>
        <v/>
      </c>
    </row>
    <row r="1967" spans="1:26" s="82" customFormat="1" x14ac:dyDescent="0.4">
      <c r="A1967" s="493">
        <v>63108</v>
      </c>
      <c r="B1967" s="105" t="s">
        <v>329</v>
      </c>
      <c r="C1967" s="493" t="s">
        <v>330</v>
      </c>
      <c r="D1967" s="105" t="s">
        <v>2309</v>
      </c>
      <c r="E1967" s="105" t="s">
        <v>1606</v>
      </c>
      <c r="F1967" s="493">
        <v>61227</v>
      </c>
      <c r="G1967" s="105" t="s">
        <v>52</v>
      </c>
      <c r="H1967" s="105" t="s">
        <v>333</v>
      </c>
      <c r="I1967" s="105" t="s">
        <v>334</v>
      </c>
      <c r="J1967" s="493">
        <v>22</v>
      </c>
      <c r="K1967" s="493">
        <v>2</v>
      </c>
      <c r="L1967" s="105" t="s">
        <v>343</v>
      </c>
      <c r="M1967" s="105" t="s">
        <v>655</v>
      </c>
      <c r="N1967" s="105" t="s">
        <v>656</v>
      </c>
      <c r="O1967" s="105" t="s">
        <v>656</v>
      </c>
      <c r="P1967" s="105" t="s">
        <v>339</v>
      </c>
      <c r="Q1967" s="494">
        <v>0</v>
      </c>
      <c r="R1967" s="494">
        <v>0</v>
      </c>
      <c r="S1967" s="494">
        <v>11816</v>
      </c>
      <c r="T1967" s="494">
        <v>11816</v>
      </c>
      <c r="U1967" s="494">
        <v>3463</v>
      </c>
      <c r="V1967" s="493">
        <v>2024</v>
      </c>
      <c r="W1967" s="495"/>
      <c r="X1967" s="496">
        <f t="shared" si="127"/>
        <v>3.4120704591394744</v>
      </c>
      <c r="Y1967" s="497" t="str">
        <f t="shared" si="128"/>
        <v/>
      </c>
      <c r="Z1967" s="497" t="str">
        <f t="shared" si="128"/>
        <v/>
      </c>
    </row>
    <row r="1968" spans="1:26" s="82" customFormat="1" x14ac:dyDescent="0.4">
      <c r="A1968" s="493">
        <v>63112</v>
      </c>
      <c r="B1968" s="105" t="s">
        <v>329</v>
      </c>
      <c r="C1968" s="493" t="s">
        <v>330</v>
      </c>
      <c r="D1968" s="105" t="s">
        <v>2310</v>
      </c>
      <c r="E1968" s="105" t="s">
        <v>1606</v>
      </c>
      <c r="F1968" s="493">
        <v>61227</v>
      </c>
      <c r="G1968" s="105" t="s">
        <v>52</v>
      </c>
      <c r="H1968" s="105" t="s">
        <v>333</v>
      </c>
      <c r="I1968" s="105" t="s">
        <v>334</v>
      </c>
      <c r="J1968" s="493">
        <v>22</v>
      </c>
      <c r="K1968" s="493">
        <v>2</v>
      </c>
      <c r="L1968" s="105" t="s">
        <v>343</v>
      </c>
      <c r="M1968" s="105" t="s">
        <v>655</v>
      </c>
      <c r="N1968" s="105" t="s">
        <v>656</v>
      </c>
      <c r="O1968" s="105" t="s">
        <v>656</v>
      </c>
      <c r="P1968" s="105" t="s">
        <v>339</v>
      </c>
      <c r="Q1968" s="494">
        <v>0</v>
      </c>
      <c r="R1968" s="494">
        <v>0</v>
      </c>
      <c r="S1968" s="494">
        <v>12610</v>
      </c>
      <c r="T1968" s="494">
        <v>12610</v>
      </c>
      <c r="U1968" s="494">
        <v>3696</v>
      </c>
      <c r="V1968" s="493">
        <v>2024</v>
      </c>
      <c r="W1968" s="495"/>
      <c r="X1968" s="496">
        <f t="shared" si="127"/>
        <v>3.4117965367965368</v>
      </c>
      <c r="Y1968" s="497" t="str">
        <f t="shared" ref="Y1968:Z1987" si="129">IF(AND($M1968=$Y$2,$N1968=$Y$3,NOT($Q1968=$R1968),NOT($U1968=0)),IF($K1968=5,$S1968/($U1968+(8/5)*$U1968),IF($K1968=7,$S1968/($U1968+(29/25)*$U1968),"")),"")</f>
        <v/>
      </c>
      <c r="Z1968" s="497" t="str">
        <f t="shared" si="129"/>
        <v/>
      </c>
    </row>
    <row r="1969" spans="1:26" s="82" customFormat="1" x14ac:dyDescent="0.4">
      <c r="A1969" s="493">
        <v>63129</v>
      </c>
      <c r="B1969" s="105" t="s">
        <v>329</v>
      </c>
      <c r="C1969" s="493" t="s">
        <v>330</v>
      </c>
      <c r="D1969" s="105" t="s">
        <v>2311</v>
      </c>
      <c r="E1969" s="105" t="s">
        <v>1448</v>
      </c>
      <c r="F1969" s="493">
        <v>61012</v>
      </c>
      <c r="G1969" s="105" t="s">
        <v>52</v>
      </c>
      <c r="H1969" s="105" t="s">
        <v>333</v>
      </c>
      <c r="I1969" s="105" t="s">
        <v>334</v>
      </c>
      <c r="J1969" s="493">
        <v>22</v>
      </c>
      <c r="K1969" s="493">
        <v>2</v>
      </c>
      <c r="L1969" s="105" t="s">
        <v>343</v>
      </c>
      <c r="M1969" s="105" t="s">
        <v>655</v>
      </c>
      <c r="N1969" s="105" t="s">
        <v>656</v>
      </c>
      <c r="O1969" s="105" t="s">
        <v>656</v>
      </c>
      <c r="P1969" s="105" t="s">
        <v>339</v>
      </c>
      <c r="Q1969" s="494">
        <v>0</v>
      </c>
      <c r="R1969" s="494">
        <v>0</v>
      </c>
      <c r="S1969" s="494">
        <v>24075</v>
      </c>
      <c r="T1969" s="494">
        <v>24075</v>
      </c>
      <c r="U1969" s="494">
        <v>7056</v>
      </c>
      <c r="V1969" s="493">
        <v>2024</v>
      </c>
      <c r="W1969" s="495"/>
      <c r="X1969" s="496">
        <f t="shared" si="127"/>
        <v>3.4119897959183674</v>
      </c>
      <c r="Y1969" s="497" t="str">
        <f t="shared" si="129"/>
        <v/>
      </c>
      <c r="Z1969" s="497" t="str">
        <f t="shared" si="129"/>
        <v/>
      </c>
    </row>
    <row r="1970" spans="1:26" s="82" customFormat="1" x14ac:dyDescent="0.4">
      <c r="A1970" s="493">
        <v>63130</v>
      </c>
      <c r="B1970" s="105" t="s">
        <v>329</v>
      </c>
      <c r="C1970" s="493" t="s">
        <v>330</v>
      </c>
      <c r="D1970" s="105" t="s">
        <v>2312</v>
      </c>
      <c r="E1970" s="105" t="s">
        <v>1448</v>
      </c>
      <c r="F1970" s="493">
        <v>61012</v>
      </c>
      <c r="G1970" s="105" t="s">
        <v>52</v>
      </c>
      <c r="H1970" s="105" t="s">
        <v>333</v>
      </c>
      <c r="I1970" s="105" t="s">
        <v>334</v>
      </c>
      <c r="J1970" s="493">
        <v>22</v>
      </c>
      <c r="K1970" s="493">
        <v>2</v>
      </c>
      <c r="L1970" s="105" t="s">
        <v>343</v>
      </c>
      <c r="M1970" s="105" t="s">
        <v>655</v>
      </c>
      <c r="N1970" s="105" t="s">
        <v>656</v>
      </c>
      <c r="O1970" s="105" t="s">
        <v>656</v>
      </c>
      <c r="P1970" s="105" t="s">
        <v>339</v>
      </c>
      <c r="Q1970" s="494">
        <v>0</v>
      </c>
      <c r="R1970" s="494">
        <v>0</v>
      </c>
      <c r="S1970" s="494">
        <v>16421</v>
      </c>
      <c r="T1970" s="494">
        <v>16421</v>
      </c>
      <c r="U1970" s="494">
        <v>4813</v>
      </c>
      <c r="V1970" s="493">
        <v>2024</v>
      </c>
      <c r="W1970" s="495"/>
      <c r="X1970" s="496">
        <f t="shared" si="127"/>
        <v>3.4118013712861002</v>
      </c>
      <c r="Y1970" s="497" t="str">
        <f t="shared" si="129"/>
        <v/>
      </c>
      <c r="Z1970" s="497" t="str">
        <f t="shared" si="129"/>
        <v/>
      </c>
    </row>
    <row r="1971" spans="1:26" s="82" customFormat="1" x14ac:dyDescent="0.4">
      <c r="A1971" s="493">
        <v>63131</v>
      </c>
      <c r="B1971" s="105" t="s">
        <v>329</v>
      </c>
      <c r="C1971" s="493" t="s">
        <v>330</v>
      </c>
      <c r="D1971" s="105" t="s">
        <v>2313</v>
      </c>
      <c r="E1971" s="105" t="s">
        <v>1448</v>
      </c>
      <c r="F1971" s="493">
        <v>61012</v>
      </c>
      <c r="G1971" s="105" t="s">
        <v>33</v>
      </c>
      <c r="H1971" s="105" t="s">
        <v>342</v>
      </c>
      <c r="I1971" s="105" t="s">
        <v>334</v>
      </c>
      <c r="J1971" s="493">
        <v>22</v>
      </c>
      <c r="K1971" s="493">
        <v>2</v>
      </c>
      <c r="L1971" s="105" t="s">
        <v>343</v>
      </c>
      <c r="M1971" s="105" t="s">
        <v>655</v>
      </c>
      <c r="N1971" s="105" t="s">
        <v>656</v>
      </c>
      <c r="O1971" s="105" t="s">
        <v>656</v>
      </c>
      <c r="P1971" s="105" t="s">
        <v>339</v>
      </c>
      <c r="Q1971" s="494">
        <v>0</v>
      </c>
      <c r="R1971" s="494">
        <v>0</v>
      </c>
      <c r="S1971" s="494">
        <v>29763</v>
      </c>
      <c r="T1971" s="494">
        <v>29763</v>
      </c>
      <c r="U1971" s="494">
        <v>8723</v>
      </c>
      <c r="V1971" s="493">
        <v>2024</v>
      </c>
      <c r="W1971" s="495"/>
      <c r="X1971" s="496">
        <f t="shared" si="127"/>
        <v>3.4120142152929036</v>
      </c>
      <c r="Y1971" s="497" t="str">
        <f t="shared" si="129"/>
        <v/>
      </c>
      <c r="Z1971" s="497" t="str">
        <f t="shared" si="129"/>
        <v/>
      </c>
    </row>
    <row r="1972" spans="1:26" s="82" customFormat="1" ht="32" x14ac:dyDescent="0.4">
      <c r="A1972" s="493">
        <v>63132</v>
      </c>
      <c r="B1972" s="105" t="s">
        <v>329</v>
      </c>
      <c r="C1972" s="493" t="s">
        <v>330</v>
      </c>
      <c r="D1972" s="105" t="s">
        <v>2314</v>
      </c>
      <c r="E1972" s="105" t="s">
        <v>2315</v>
      </c>
      <c r="F1972" s="493">
        <v>65906</v>
      </c>
      <c r="G1972" s="105" t="s">
        <v>34</v>
      </c>
      <c r="H1972" s="105" t="s">
        <v>342</v>
      </c>
      <c r="I1972" s="105" t="s">
        <v>334</v>
      </c>
      <c r="J1972" s="493">
        <v>22</v>
      </c>
      <c r="K1972" s="493">
        <v>2</v>
      </c>
      <c r="L1972" s="105" t="s">
        <v>343</v>
      </c>
      <c r="M1972" s="105" t="s">
        <v>695</v>
      </c>
      <c r="N1972" s="105" t="s">
        <v>696</v>
      </c>
      <c r="O1972" s="105" t="s">
        <v>696</v>
      </c>
      <c r="P1972" s="105" t="s">
        <v>339</v>
      </c>
      <c r="Q1972" s="494">
        <v>0</v>
      </c>
      <c r="R1972" s="494">
        <v>0</v>
      </c>
      <c r="S1972" s="494">
        <v>708689</v>
      </c>
      <c r="T1972" s="494">
        <v>708689</v>
      </c>
      <c r="U1972" s="494">
        <v>207705</v>
      </c>
      <c r="V1972" s="493">
        <v>2024</v>
      </c>
      <c r="W1972" s="495"/>
      <c r="X1972" s="496">
        <f t="shared" si="127"/>
        <v>3.4119977853205268</v>
      </c>
      <c r="Y1972" s="497" t="str">
        <f t="shared" si="129"/>
        <v/>
      </c>
      <c r="Z1972" s="497" t="str">
        <f t="shared" si="129"/>
        <v/>
      </c>
    </row>
    <row r="1973" spans="1:26" s="82" customFormat="1" x14ac:dyDescent="0.4">
      <c r="A1973" s="493">
        <v>63136</v>
      </c>
      <c r="B1973" s="105" t="s">
        <v>329</v>
      </c>
      <c r="C1973" s="493" t="s">
        <v>330</v>
      </c>
      <c r="D1973" s="105" t="s">
        <v>2316</v>
      </c>
      <c r="E1973" s="105" t="s">
        <v>1606</v>
      </c>
      <c r="F1973" s="493">
        <v>61227</v>
      </c>
      <c r="G1973" s="105" t="s">
        <v>38</v>
      </c>
      <c r="H1973" s="105" t="s">
        <v>342</v>
      </c>
      <c r="I1973" s="105" t="s">
        <v>334</v>
      </c>
      <c r="J1973" s="493">
        <v>22</v>
      </c>
      <c r="K1973" s="493">
        <v>2</v>
      </c>
      <c r="L1973" s="105" t="s">
        <v>343</v>
      </c>
      <c r="M1973" s="105" t="s">
        <v>655</v>
      </c>
      <c r="N1973" s="105" t="s">
        <v>656</v>
      </c>
      <c r="O1973" s="105" t="s">
        <v>656</v>
      </c>
      <c r="P1973" s="105" t="s">
        <v>339</v>
      </c>
      <c r="Q1973" s="494">
        <v>0</v>
      </c>
      <c r="R1973" s="494">
        <v>0</v>
      </c>
      <c r="S1973" s="494">
        <v>32189</v>
      </c>
      <c r="T1973" s="494">
        <v>32189</v>
      </c>
      <c r="U1973" s="494">
        <v>9434</v>
      </c>
      <c r="V1973" s="493">
        <v>2024</v>
      </c>
      <c r="W1973" s="495"/>
      <c r="X1973" s="496">
        <f t="shared" si="127"/>
        <v>3.4120203519185925</v>
      </c>
      <c r="Y1973" s="497" t="str">
        <f t="shared" si="129"/>
        <v/>
      </c>
      <c r="Z1973" s="497" t="str">
        <f t="shared" si="129"/>
        <v/>
      </c>
    </row>
    <row r="1974" spans="1:26" s="82" customFormat="1" x14ac:dyDescent="0.4">
      <c r="A1974" s="493">
        <v>63161</v>
      </c>
      <c r="B1974" s="105" t="s">
        <v>329</v>
      </c>
      <c r="C1974" s="493" t="s">
        <v>330</v>
      </c>
      <c r="D1974" s="105" t="s">
        <v>2317</v>
      </c>
      <c r="E1974" s="105" t="s">
        <v>1448</v>
      </c>
      <c r="F1974" s="493">
        <v>61012</v>
      </c>
      <c r="G1974" s="105" t="s">
        <v>52</v>
      </c>
      <c r="H1974" s="105" t="s">
        <v>333</v>
      </c>
      <c r="I1974" s="105" t="s">
        <v>334</v>
      </c>
      <c r="J1974" s="493">
        <v>22</v>
      </c>
      <c r="K1974" s="493">
        <v>2</v>
      </c>
      <c r="L1974" s="105" t="s">
        <v>343</v>
      </c>
      <c r="M1974" s="105" t="s">
        <v>655</v>
      </c>
      <c r="N1974" s="105" t="s">
        <v>656</v>
      </c>
      <c r="O1974" s="105" t="s">
        <v>656</v>
      </c>
      <c r="P1974" s="105" t="s">
        <v>339</v>
      </c>
      <c r="Q1974" s="494">
        <v>0</v>
      </c>
      <c r="R1974" s="494">
        <v>0</v>
      </c>
      <c r="S1974" s="494">
        <v>10477</v>
      </c>
      <c r="T1974" s="494">
        <v>10477</v>
      </c>
      <c r="U1974" s="494">
        <v>3071</v>
      </c>
      <c r="V1974" s="493">
        <v>2024</v>
      </c>
      <c r="W1974" s="495"/>
      <c r="X1974" s="496">
        <f t="shared" si="127"/>
        <v>3.4115923152067729</v>
      </c>
      <c r="Y1974" s="497" t="str">
        <f t="shared" si="129"/>
        <v/>
      </c>
      <c r="Z1974" s="497" t="str">
        <f t="shared" si="129"/>
        <v/>
      </c>
    </row>
    <row r="1975" spans="1:26" s="82" customFormat="1" x14ac:dyDescent="0.4">
      <c r="A1975" s="493">
        <v>63191</v>
      </c>
      <c r="B1975" s="105" t="s">
        <v>329</v>
      </c>
      <c r="C1975" s="493" t="s">
        <v>330</v>
      </c>
      <c r="D1975" s="105" t="s">
        <v>2318</v>
      </c>
      <c r="E1975" s="105" t="s">
        <v>2319</v>
      </c>
      <c r="F1975" s="493">
        <v>62701</v>
      </c>
      <c r="G1975" s="105" t="s">
        <v>38</v>
      </c>
      <c r="H1975" s="105" t="s">
        <v>342</v>
      </c>
      <c r="I1975" s="105" t="s">
        <v>334</v>
      </c>
      <c r="J1975" s="493">
        <v>22</v>
      </c>
      <c r="K1975" s="493">
        <v>2</v>
      </c>
      <c r="L1975" s="105" t="s">
        <v>343</v>
      </c>
      <c r="M1975" s="105" t="s">
        <v>655</v>
      </c>
      <c r="N1975" s="105" t="s">
        <v>656</v>
      </c>
      <c r="O1975" s="105" t="s">
        <v>656</v>
      </c>
      <c r="P1975" s="105" t="s">
        <v>339</v>
      </c>
      <c r="Q1975" s="494">
        <v>0</v>
      </c>
      <c r="R1975" s="494">
        <v>0</v>
      </c>
      <c r="S1975" s="494">
        <v>12320</v>
      </c>
      <c r="T1975" s="494">
        <v>12320</v>
      </c>
      <c r="U1975" s="494">
        <v>3611</v>
      </c>
      <c r="V1975" s="493">
        <v>2024</v>
      </c>
      <c r="W1975" s="495"/>
      <c r="X1975" s="496">
        <f t="shared" si="127"/>
        <v>3.4117972860703407</v>
      </c>
      <c r="Y1975" s="497" t="str">
        <f t="shared" si="129"/>
        <v/>
      </c>
      <c r="Z1975" s="497" t="str">
        <f t="shared" si="129"/>
        <v/>
      </c>
    </row>
    <row r="1976" spans="1:26" s="82" customFormat="1" ht="32" x14ac:dyDescent="0.4">
      <c r="A1976" s="493">
        <v>63203</v>
      </c>
      <c r="B1976" s="105" t="s">
        <v>329</v>
      </c>
      <c r="C1976" s="493" t="s">
        <v>330</v>
      </c>
      <c r="D1976" s="105" t="s">
        <v>2320</v>
      </c>
      <c r="E1976" s="105" t="s">
        <v>2321</v>
      </c>
      <c r="F1976" s="493">
        <v>19780</v>
      </c>
      <c r="G1976" s="105" t="s">
        <v>36</v>
      </c>
      <c r="H1976" s="105" t="s">
        <v>342</v>
      </c>
      <c r="I1976" s="105" t="s">
        <v>334</v>
      </c>
      <c r="J1976" s="493">
        <v>22</v>
      </c>
      <c r="K1976" s="493">
        <v>1</v>
      </c>
      <c r="L1976" s="105" t="s">
        <v>335</v>
      </c>
      <c r="M1976" s="105" t="s">
        <v>295</v>
      </c>
      <c r="N1976" s="105" t="s">
        <v>226</v>
      </c>
      <c r="O1976" s="105" t="s">
        <v>226</v>
      </c>
      <c r="P1976" s="105" t="s">
        <v>350</v>
      </c>
      <c r="Q1976" s="494">
        <v>3619</v>
      </c>
      <c r="R1976" s="494">
        <v>3619</v>
      </c>
      <c r="S1976" s="494">
        <v>21714</v>
      </c>
      <c r="T1976" s="494">
        <v>21714</v>
      </c>
      <c r="U1976" s="494">
        <v>1163</v>
      </c>
      <c r="V1976" s="493">
        <v>2024</v>
      </c>
      <c r="W1976" s="495"/>
      <c r="X1976" s="496">
        <f t="shared" si="127"/>
        <v>18.670679277730009</v>
      </c>
      <c r="Y1976" s="497" t="str">
        <f t="shared" si="129"/>
        <v/>
      </c>
      <c r="Z1976" s="497" t="str">
        <f t="shared" si="129"/>
        <v/>
      </c>
    </row>
    <row r="1977" spans="1:26" s="82" customFormat="1" x14ac:dyDescent="0.4">
      <c r="A1977" s="493">
        <v>63212</v>
      </c>
      <c r="B1977" s="105" t="s">
        <v>329</v>
      </c>
      <c r="C1977" s="493" t="s">
        <v>330</v>
      </c>
      <c r="D1977" s="105" t="s">
        <v>2322</v>
      </c>
      <c r="E1977" s="105" t="s">
        <v>1650</v>
      </c>
      <c r="F1977" s="493">
        <v>58135</v>
      </c>
      <c r="G1977" s="105" t="s">
        <v>36</v>
      </c>
      <c r="H1977" s="105" t="s">
        <v>342</v>
      </c>
      <c r="I1977" s="105" t="s">
        <v>334</v>
      </c>
      <c r="J1977" s="493">
        <v>22</v>
      </c>
      <c r="K1977" s="493">
        <v>2</v>
      </c>
      <c r="L1977" s="105" t="s">
        <v>343</v>
      </c>
      <c r="M1977" s="105" t="s">
        <v>655</v>
      </c>
      <c r="N1977" s="105" t="s">
        <v>656</v>
      </c>
      <c r="O1977" s="105" t="s">
        <v>656</v>
      </c>
      <c r="P1977" s="105" t="s">
        <v>339</v>
      </c>
      <c r="Q1977" s="494">
        <v>0</v>
      </c>
      <c r="R1977" s="494">
        <v>0</v>
      </c>
      <c r="S1977" s="494">
        <v>11729</v>
      </c>
      <c r="T1977" s="494">
        <v>11729</v>
      </c>
      <c r="U1977" s="494">
        <v>3438</v>
      </c>
      <c r="V1977" s="493">
        <v>2024</v>
      </c>
      <c r="W1977" s="495"/>
      <c r="X1977" s="496">
        <f t="shared" si="127"/>
        <v>3.4115764979639325</v>
      </c>
      <c r="Y1977" s="497" t="str">
        <f t="shared" si="129"/>
        <v/>
      </c>
      <c r="Z1977" s="497" t="str">
        <f t="shared" si="129"/>
        <v/>
      </c>
    </row>
    <row r="1978" spans="1:26" s="82" customFormat="1" ht="32" x14ac:dyDescent="0.4">
      <c r="A1978" s="493">
        <v>63214</v>
      </c>
      <c r="B1978" s="105" t="s">
        <v>329</v>
      </c>
      <c r="C1978" s="493" t="s">
        <v>330</v>
      </c>
      <c r="D1978" s="105" t="s">
        <v>2323</v>
      </c>
      <c r="E1978" s="105" t="s">
        <v>2324</v>
      </c>
      <c r="F1978" s="493">
        <v>62950</v>
      </c>
      <c r="G1978" s="105" t="s">
        <v>33</v>
      </c>
      <c r="H1978" s="105" t="s">
        <v>342</v>
      </c>
      <c r="I1978" s="105" t="s">
        <v>334</v>
      </c>
      <c r="J1978" s="493">
        <v>22</v>
      </c>
      <c r="K1978" s="493">
        <v>2</v>
      </c>
      <c r="L1978" s="105" t="s">
        <v>343</v>
      </c>
      <c r="M1978" s="105" t="s">
        <v>403</v>
      </c>
      <c r="N1978" s="105" t="s">
        <v>404</v>
      </c>
      <c r="O1978" s="105" t="s">
        <v>232</v>
      </c>
      <c r="P1978" s="105" t="s">
        <v>346</v>
      </c>
      <c r="Q1978" s="494">
        <v>479</v>
      </c>
      <c r="R1978" s="494">
        <v>479</v>
      </c>
      <c r="S1978" s="494">
        <v>0</v>
      </c>
      <c r="T1978" s="494">
        <v>0</v>
      </c>
      <c r="U1978" s="494">
        <v>-153</v>
      </c>
      <c r="V1978" s="493">
        <v>2024</v>
      </c>
      <c r="W1978" s="495"/>
      <c r="X1978" s="496" t="str">
        <f t="shared" si="127"/>
        <v/>
      </c>
      <c r="Y1978" s="497" t="str">
        <f t="shared" si="129"/>
        <v/>
      </c>
      <c r="Z1978" s="497" t="str">
        <f t="shared" si="129"/>
        <v/>
      </c>
    </row>
    <row r="1979" spans="1:26" s="82" customFormat="1" ht="32" x14ac:dyDescent="0.4">
      <c r="A1979" s="493">
        <v>63214</v>
      </c>
      <c r="B1979" s="105" t="s">
        <v>329</v>
      </c>
      <c r="C1979" s="493" t="s">
        <v>330</v>
      </c>
      <c r="D1979" s="105" t="s">
        <v>2323</v>
      </c>
      <c r="E1979" s="105" t="s">
        <v>2324</v>
      </c>
      <c r="F1979" s="493">
        <v>62950</v>
      </c>
      <c r="G1979" s="105" t="s">
        <v>33</v>
      </c>
      <c r="H1979" s="105" t="s">
        <v>342</v>
      </c>
      <c r="I1979" s="105" t="s">
        <v>334</v>
      </c>
      <c r="J1979" s="493">
        <v>22</v>
      </c>
      <c r="K1979" s="493">
        <v>2</v>
      </c>
      <c r="L1979" s="105" t="s">
        <v>343</v>
      </c>
      <c r="M1979" s="105" t="s">
        <v>655</v>
      </c>
      <c r="N1979" s="105" t="s">
        <v>656</v>
      </c>
      <c r="O1979" s="105" t="s">
        <v>656</v>
      </c>
      <c r="P1979" s="105" t="s">
        <v>339</v>
      </c>
      <c r="Q1979" s="494">
        <v>0</v>
      </c>
      <c r="R1979" s="494">
        <v>0</v>
      </c>
      <c r="S1979" s="494">
        <v>23753</v>
      </c>
      <c r="T1979" s="494">
        <v>23753</v>
      </c>
      <c r="U1979" s="494">
        <v>6961</v>
      </c>
      <c r="V1979" s="493">
        <v>2024</v>
      </c>
      <c r="W1979" s="495"/>
      <c r="X1979" s="496">
        <f t="shared" si="127"/>
        <v>3.4122970837523345</v>
      </c>
      <c r="Y1979" s="497" t="str">
        <f t="shared" si="129"/>
        <v/>
      </c>
      <c r="Z1979" s="497" t="str">
        <f t="shared" si="129"/>
        <v/>
      </c>
    </row>
    <row r="1980" spans="1:26" s="82" customFormat="1" x14ac:dyDescent="0.4">
      <c r="A1980" s="493">
        <v>63224</v>
      </c>
      <c r="B1980" s="105" t="s">
        <v>329</v>
      </c>
      <c r="C1980" s="493" t="s">
        <v>330</v>
      </c>
      <c r="D1980" s="105" t="s">
        <v>2325</v>
      </c>
      <c r="E1980" s="105" t="s">
        <v>2208</v>
      </c>
      <c r="F1980" s="493">
        <v>60531</v>
      </c>
      <c r="G1980" s="105" t="s">
        <v>52</v>
      </c>
      <c r="H1980" s="105" t="s">
        <v>333</v>
      </c>
      <c r="I1980" s="105" t="s">
        <v>334</v>
      </c>
      <c r="J1980" s="493">
        <v>22</v>
      </c>
      <c r="K1980" s="493">
        <v>2</v>
      </c>
      <c r="L1980" s="105" t="s">
        <v>343</v>
      </c>
      <c r="M1980" s="105" t="s">
        <v>655</v>
      </c>
      <c r="N1980" s="105" t="s">
        <v>656</v>
      </c>
      <c r="O1980" s="105" t="s">
        <v>656</v>
      </c>
      <c r="P1980" s="105" t="s">
        <v>339</v>
      </c>
      <c r="Q1980" s="494">
        <v>0</v>
      </c>
      <c r="R1980" s="494">
        <v>0</v>
      </c>
      <c r="S1980" s="494">
        <v>8639</v>
      </c>
      <c r="T1980" s="494">
        <v>8639</v>
      </c>
      <c r="U1980" s="494">
        <v>2532</v>
      </c>
      <c r="V1980" s="493">
        <v>2024</v>
      </c>
      <c r="W1980" s="495"/>
      <c r="X1980" s="496">
        <f t="shared" si="127"/>
        <v>3.4119273301737758</v>
      </c>
      <c r="Y1980" s="497" t="str">
        <f t="shared" si="129"/>
        <v/>
      </c>
      <c r="Z1980" s="497" t="str">
        <f t="shared" si="129"/>
        <v/>
      </c>
    </row>
    <row r="1981" spans="1:26" s="82" customFormat="1" ht="32" x14ac:dyDescent="0.4">
      <c r="A1981" s="493">
        <v>63230</v>
      </c>
      <c r="B1981" s="105" t="s">
        <v>329</v>
      </c>
      <c r="C1981" s="493" t="s">
        <v>330</v>
      </c>
      <c r="D1981" s="105" t="s">
        <v>2326</v>
      </c>
      <c r="E1981" s="105" t="s">
        <v>2327</v>
      </c>
      <c r="F1981" s="493">
        <v>66130</v>
      </c>
      <c r="G1981" s="105" t="s">
        <v>52</v>
      </c>
      <c r="H1981" s="105" t="s">
        <v>333</v>
      </c>
      <c r="I1981" s="105" t="s">
        <v>334</v>
      </c>
      <c r="J1981" s="493">
        <v>111</v>
      </c>
      <c r="K1981" s="493">
        <v>6</v>
      </c>
      <c r="L1981" s="105" t="s">
        <v>729</v>
      </c>
      <c r="M1981" s="105" t="s">
        <v>655</v>
      </c>
      <c r="N1981" s="105" t="s">
        <v>656</v>
      </c>
      <c r="O1981" s="105" t="s">
        <v>656</v>
      </c>
      <c r="P1981" s="105" t="s">
        <v>339</v>
      </c>
      <c r="Q1981" s="494">
        <v>0</v>
      </c>
      <c r="R1981" s="494">
        <v>0</v>
      </c>
      <c r="S1981" s="494">
        <v>23645</v>
      </c>
      <c r="T1981" s="494">
        <v>23645</v>
      </c>
      <c r="U1981" s="494">
        <v>6930</v>
      </c>
      <c r="V1981" s="493">
        <v>2024</v>
      </c>
      <c r="W1981" s="495"/>
      <c r="X1981" s="496" t="str">
        <f t="shared" si="127"/>
        <v/>
      </c>
      <c r="Y1981" s="497" t="str">
        <f t="shared" si="129"/>
        <v/>
      </c>
      <c r="Z1981" s="497" t="str">
        <f t="shared" si="129"/>
        <v/>
      </c>
    </row>
    <row r="1982" spans="1:26" s="82" customFormat="1" ht="32" x14ac:dyDescent="0.4">
      <c r="A1982" s="493">
        <v>63232</v>
      </c>
      <c r="B1982" s="105" t="s">
        <v>329</v>
      </c>
      <c r="C1982" s="493" t="s">
        <v>330</v>
      </c>
      <c r="D1982" s="105" t="s">
        <v>2328</v>
      </c>
      <c r="E1982" s="105" t="s">
        <v>2329</v>
      </c>
      <c r="F1982" s="493">
        <v>62994</v>
      </c>
      <c r="G1982" s="105" t="s">
        <v>33</v>
      </c>
      <c r="H1982" s="105" t="s">
        <v>342</v>
      </c>
      <c r="I1982" s="105" t="s">
        <v>334</v>
      </c>
      <c r="J1982" s="493">
        <v>335</v>
      </c>
      <c r="K1982" s="493">
        <v>6</v>
      </c>
      <c r="L1982" s="105" t="s">
        <v>729</v>
      </c>
      <c r="M1982" s="105" t="s">
        <v>655</v>
      </c>
      <c r="N1982" s="105" t="s">
        <v>656</v>
      </c>
      <c r="O1982" s="105" t="s">
        <v>656</v>
      </c>
      <c r="P1982" s="105" t="s">
        <v>339</v>
      </c>
      <c r="Q1982" s="494">
        <v>0</v>
      </c>
      <c r="R1982" s="494">
        <v>0</v>
      </c>
      <c r="S1982" s="494">
        <v>5486</v>
      </c>
      <c r="T1982" s="494">
        <v>5486</v>
      </c>
      <c r="U1982" s="494">
        <v>1608</v>
      </c>
      <c r="V1982" s="493">
        <v>2024</v>
      </c>
      <c r="W1982" s="495"/>
      <c r="X1982" s="496" t="str">
        <f t="shared" si="127"/>
        <v/>
      </c>
      <c r="Y1982" s="497" t="str">
        <f t="shared" si="129"/>
        <v/>
      </c>
      <c r="Z1982" s="497" t="str">
        <f t="shared" si="129"/>
        <v/>
      </c>
    </row>
    <row r="1983" spans="1:26" s="82" customFormat="1" ht="32" x14ac:dyDescent="0.4">
      <c r="A1983" s="493">
        <v>63236</v>
      </c>
      <c r="B1983" s="105" t="s">
        <v>433</v>
      </c>
      <c r="C1983" s="493" t="s">
        <v>330</v>
      </c>
      <c r="D1983" s="105" t="s">
        <v>2330</v>
      </c>
      <c r="E1983" s="105" t="s">
        <v>2331</v>
      </c>
      <c r="F1983" s="493">
        <v>62997</v>
      </c>
      <c r="G1983" s="105" t="s">
        <v>52</v>
      </c>
      <c r="H1983" s="105" t="s">
        <v>333</v>
      </c>
      <c r="I1983" s="105" t="s">
        <v>334</v>
      </c>
      <c r="J1983" s="493">
        <v>441</v>
      </c>
      <c r="K1983" s="493">
        <v>5</v>
      </c>
      <c r="L1983" s="105" t="s">
        <v>771</v>
      </c>
      <c r="M1983" s="105" t="s">
        <v>359</v>
      </c>
      <c r="N1983" s="105" t="s">
        <v>228</v>
      </c>
      <c r="O1983" s="105" t="s">
        <v>228</v>
      </c>
      <c r="P1983" s="105" t="s">
        <v>356</v>
      </c>
      <c r="Q1983" s="494">
        <v>248818</v>
      </c>
      <c r="R1983" s="494">
        <v>248818</v>
      </c>
      <c r="S1983" s="494">
        <v>257278</v>
      </c>
      <c r="T1983" s="494">
        <v>257278</v>
      </c>
      <c r="U1983" s="494">
        <v>22389</v>
      </c>
      <c r="V1983" s="493">
        <v>2024</v>
      </c>
      <c r="W1983" s="495"/>
      <c r="X1983" s="496" t="str">
        <f t="shared" si="127"/>
        <v/>
      </c>
      <c r="Y1983" s="497" t="str">
        <f t="shared" si="129"/>
        <v/>
      </c>
      <c r="Z1983" s="497" t="str">
        <f t="shared" si="129"/>
        <v/>
      </c>
    </row>
    <row r="1984" spans="1:26" s="82" customFormat="1" ht="32" x14ac:dyDescent="0.4">
      <c r="A1984" s="493">
        <v>63238</v>
      </c>
      <c r="B1984" s="105" t="s">
        <v>329</v>
      </c>
      <c r="C1984" s="493" t="s">
        <v>330</v>
      </c>
      <c r="D1984" s="105" t="s">
        <v>2332</v>
      </c>
      <c r="E1984" s="105" t="s">
        <v>332</v>
      </c>
      <c r="F1984" s="493">
        <v>15296</v>
      </c>
      <c r="G1984" s="105" t="s">
        <v>52</v>
      </c>
      <c r="H1984" s="105" t="s">
        <v>333</v>
      </c>
      <c r="I1984" s="105" t="s">
        <v>334</v>
      </c>
      <c r="J1984" s="493">
        <v>22</v>
      </c>
      <c r="K1984" s="493">
        <v>1</v>
      </c>
      <c r="L1984" s="105" t="s">
        <v>335</v>
      </c>
      <c r="M1984" s="105" t="s">
        <v>403</v>
      </c>
      <c r="N1984" s="105" t="s">
        <v>404</v>
      </c>
      <c r="O1984" s="105" t="s">
        <v>232</v>
      </c>
      <c r="P1984" s="105" t="s">
        <v>346</v>
      </c>
      <c r="Q1984" s="494">
        <v>1889</v>
      </c>
      <c r="R1984" s="494">
        <v>1889</v>
      </c>
      <c r="S1984" s="494">
        <v>0</v>
      </c>
      <c r="T1984" s="494">
        <v>0</v>
      </c>
      <c r="U1984" s="494">
        <v>-1206</v>
      </c>
      <c r="V1984" s="493">
        <v>2024</v>
      </c>
      <c r="W1984" s="495"/>
      <c r="X1984" s="496" t="str">
        <f t="shared" si="127"/>
        <v/>
      </c>
      <c r="Y1984" s="497" t="str">
        <f t="shared" si="129"/>
        <v/>
      </c>
      <c r="Z1984" s="497" t="str">
        <f t="shared" si="129"/>
        <v/>
      </c>
    </row>
    <row r="1985" spans="1:26" s="82" customFormat="1" x14ac:dyDescent="0.4">
      <c r="A1985" s="493">
        <v>63239</v>
      </c>
      <c r="B1985" s="105" t="s">
        <v>329</v>
      </c>
      <c r="C1985" s="493" t="s">
        <v>330</v>
      </c>
      <c r="D1985" s="105" t="s">
        <v>2333</v>
      </c>
      <c r="E1985" s="105" t="s">
        <v>1650</v>
      </c>
      <c r="F1985" s="493">
        <v>58135</v>
      </c>
      <c r="G1985" s="105" t="s">
        <v>37</v>
      </c>
      <c r="H1985" s="105" t="s">
        <v>342</v>
      </c>
      <c r="I1985" s="105" t="s">
        <v>334</v>
      </c>
      <c r="J1985" s="493">
        <v>22</v>
      </c>
      <c r="K1985" s="493">
        <v>2</v>
      </c>
      <c r="L1985" s="105" t="s">
        <v>343</v>
      </c>
      <c r="M1985" s="105" t="s">
        <v>655</v>
      </c>
      <c r="N1985" s="105" t="s">
        <v>656</v>
      </c>
      <c r="O1985" s="105" t="s">
        <v>656</v>
      </c>
      <c r="P1985" s="105" t="s">
        <v>339</v>
      </c>
      <c r="Q1985" s="494">
        <v>0</v>
      </c>
      <c r="R1985" s="494">
        <v>0</v>
      </c>
      <c r="S1985" s="494">
        <v>4930</v>
      </c>
      <c r="T1985" s="494">
        <v>4930</v>
      </c>
      <c r="U1985" s="494">
        <v>1445</v>
      </c>
      <c r="V1985" s="493">
        <v>2024</v>
      </c>
      <c r="W1985" s="495"/>
      <c r="X1985" s="496">
        <f t="shared" si="127"/>
        <v>3.4117647058823528</v>
      </c>
      <c r="Y1985" s="497" t="str">
        <f t="shared" si="129"/>
        <v/>
      </c>
      <c r="Z1985" s="497" t="str">
        <f t="shared" si="129"/>
        <v/>
      </c>
    </row>
    <row r="1986" spans="1:26" s="82" customFormat="1" x14ac:dyDescent="0.4">
      <c r="A1986" s="493">
        <v>63240</v>
      </c>
      <c r="B1986" s="105" t="s">
        <v>329</v>
      </c>
      <c r="C1986" s="493" t="s">
        <v>330</v>
      </c>
      <c r="D1986" s="105" t="s">
        <v>2334</v>
      </c>
      <c r="E1986" s="105" t="s">
        <v>1650</v>
      </c>
      <c r="F1986" s="493">
        <v>58135</v>
      </c>
      <c r="G1986" s="105" t="s">
        <v>37</v>
      </c>
      <c r="H1986" s="105" t="s">
        <v>342</v>
      </c>
      <c r="I1986" s="105" t="s">
        <v>334</v>
      </c>
      <c r="J1986" s="493">
        <v>22</v>
      </c>
      <c r="K1986" s="493">
        <v>2</v>
      </c>
      <c r="L1986" s="105" t="s">
        <v>343</v>
      </c>
      <c r="M1986" s="105" t="s">
        <v>655</v>
      </c>
      <c r="N1986" s="105" t="s">
        <v>656</v>
      </c>
      <c r="O1986" s="105" t="s">
        <v>656</v>
      </c>
      <c r="P1986" s="105" t="s">
        <v>339</v>
      </c>
      <c r="Q1986" s="494">
        <v>0</v>
      </c>
      <c r="R1986" s="494">
        <v>0</v>
      </c>
      <c r="S1986" s="494">
        <v>4930</v>
      </c>
      <c r="T1986" s="494">
        <v>4930</v>
      </c>
      <c r="U1986" s="494">
        <v>1445</v>
      </c>
      <c r="V1986" s="493">
        <v>2024</v>
      </c>
      <c r="W1986" s="495"/>
      <c r="X1986" s="496">
        <f t="shared" si="127"/>
        <v>3.4117647058823528</v>
      </c>
      <c r="Y1986" s="497" t="str">
        <f t="shared" si="129"/>
        <v/>
      </c>
      <c r="Z1986" s="497" t="str">
        <f t="shared" si="129"/>
        <v/>
      </c>
    </row>
    <row r="1987" spans="1:26" s="82" customFormat="1" x14ac:dyDescent="0.4">
      <c r="A1987" s="493">
        <v>63244</v>
      </c>
      <c r="B1987" s="105" t="s">
        <v>329</v>
      </c>
      <c r="C1987" s="493" t="s">
        <v>330</v>
      </c>
      <c r="D1987" s="105" t="s">
        <v>2335</v>
      </c>
      <c r="E1987" s="105" t="s">
        <v>1650</v>
      </c>
      <c r="F1987" s="493">
        <v>58135</v>
      </c>
      <c r="G1987" s="105" t="s">
        <v>37</v>
      </c>
      <c r="H1987" s="105" t="s">
        <v>342</v>
      </c>
      <c r="I1987" s="105" t="s">
        <v>334</v>
      </c>
      <c r="J1987" s="493">
        <v>22</v>
      </c>
      <c r="K1987" s="493">
        <v>2</v>
      </c>
      <c r="L1987" s="105" t="s">
        <v>343</v>
      </c>
      <c r="M1987" s="105" t="s">
        <v>655</v>
      </c>
      <c r="N1987" s="105" t="s">
        <v>656</v>
      </c>
      <c r="O1987" s="105" t="s">
        <v>656</v>
      </c>
      <c r="P1987" s="105" t="s">
        <v>339</v>
      </c>
      <c r="Q1987" s="494">
        <v>0</v>
      </c>
      <c r="R1987" s="494">
        <v>0</v>
      </c>
      <c r="S1987" s="494">
        <v>10019</v>
      </c>
      <c r="T1987" s="494">
        <v>10019</v>
      </c>
      <c r="U1987" s="494">
        <v>2936</v>
      </c>
      <c r="V1987" s="493">
        <v>2024</v>
      </c>
      <c r="W1987" s="495"/>
      <c r="X1987" s="496">
        <f t="shared" si="127"/>
        <v>3.4124659400544961</v>
      </c>
      <c r="Y1987" s="497" t="str">
        <f t="shared" si="129"/>
        <v/>
      </c>
      <c r="Z1987" s="497" t="str">
        <f t="shared" si="129"/>
        <v/>
      </c>
    </row>
    <row r="1988" spans="1:26" s="82" customFormat="1" x14ac:dyDescent="0.4">
      <c r="A1988" s="493">
        <v>63245</v>
      </c>
      <c r="B1988" s="105" t="s">
        <v>329</v>
      </c>
      <c r="C1988" s="493" t="s">
        <v>330</v>
      </c>
      <c r="D1988" s="105" t="s">
        <v>2336</v>
      </c>
      <c r="E1988" s="105" t="s">
        <v>1650</v>
      </c>
      <c r="F1988" s="493">
        <v>58135</v>
      </c>
      <c r="G1988" s="105" t="s">
        <v>37</v>
      </c>
      <c r="H1988" s="105" t="s">
        <v>342</v>
      </c>
      <c r="I1988" s="105" t="s">
        <v>334</v>
      </c>
      <c r="J1988" s="493">
        <v>22</v>
      </c>
      <c r="K1988" s="493">
        <v>2</v>
      </c>
      <c r="L1988" s="105" t="s">
        <v>343</v>
      </c>
      <c r="M1988" s="105" t="s">
        <v>655</v>
      </c>
      <c r="N1988" s="105" t="s">
        <v>656</v>
      </c>
      <c r="O1988" s="105" t="s">
        <v>656</v>
      </c>
      <c r="P1988" s="105" t="s">
        <v>339</v>
      </c>
      <c r="Q1988" s="494">
        <v>0</v>
      </c>
      <c r="R1988" s="494">
        <v>0</v>
      </c>
      <c r="S1988" s="494">
        <v>9785</v>
      </c>
      <c r="T1988" s="494">
        <v>9785</v>
      </c>
      <c r="U1988" s="494">
        <v>2868</v>
      </c>
      <c r="V1988" s="493">
        <v>2024</v>
      </c>
      <c r="W1988" s="495"/>
      <c r="X1988" s="496">
        <f t="shared" si="127"/>
        <v>3.4117852161785218</v>
      </c>
      <c r="Y1988" s="497" t="str">
        <f t="shared" ref="Y1988:Z2007" si="130">IF(AND($M1988=$Y$2,$N1988=$Y$3,NOT($Q1988=$R1988),NOT($U1988=0)),IF($K1988=5,$S1988/($U1988+(8/5)*$U1988),IF($K1988=7,$S1988/($U1988+(29/25)*$U1988),"")),"")</f>
        <v/>
      </c>
      <c r="Z1988" s="497" t="str">
        <f t="shared" si="130"/>
        <v/>
      </c>
    </row>
    <row r="1989" spans="1:26" s="82" customFormat="1" x14ac:dyDescent="0.4">
      <c r="A1989" s="493">
        <v>63262</v>
      </c>
      <c r="B1989" s="105" t="s">
        <v>329</v>
      </c>
      <c r="C1989" s="493" t="s">
        <v>330</v>
      </c>
      <c r="D1989" s="105" t="s">
        <v>2337</v>
      </c>
      <c r="E1989" s="105" t="s">
        <v>2338</v>
      </c>
      <c r="F1989" s="493">
        <v>63058</v>
      </c>
      <c r="G1989" s="105" t="s">
        <v>37</v>
      </c>
      <c r="H1989" s="105" t="s">
        <v>342</v>
      </c>
      <c r="I1989" s="105" t="s">
        <v>334</v>
      </c>
      <c r="J1989" s="493">
        <v>22</v>
      </c>
      <c r="K1989" s="493">
        <v>2</v>
      </c>
      <c r="L1989" s="105" t="s">
        <v>343</v>
      </c>
      <c r="M1989" s="105" t="s">
        <v>655</v>
      </c>
      <c r="N1989" s="105" t="s">
        <v>656</v>
      </c>
      <c r="O1989" s="105" t="s">
        <v>656</v>
      </c>
      <c r="P1989" s="105" t="s">
        <v>339</v>
      </c>
      <c r="Q1989" s="494">
        <v>0</v>
      </c>
      <c r="R1989" s="494">
        <v>0</v>
      </c>
      <c r="S1989" s="494">
        <v>11235</v>
      </c>
      <c r="T1989" s="494">
        <v>11235</v>
      </c>
      <c r="U1989" s="494">
        <v>3293</v>
      </c>
      <c r="V1989" s="493">
        <v>2024</v>
      </c>
      <c r="W1989" s="495"/>
      <c r="X1989" s="496">
        <f t="shared" si="127"/>
        <v>3.4117825690859398</v>
      </c>
      <c r="Y1989" s="497" t="str">
        <f t="shared" si="130"/>
        <v/>
      </c>
      <c r="Z1989" s="497" t="str">
        <f t="shared" si="130"/>
        <v/>
      </c>
    </row>
    <row r="1990" spans="1:26" s="82" customFormat="1" x14ac:dyDescent="0.4">
      <c r="A1990" s="493">
        <v>63263</v>
      </c>
      <c r="B1990" s="105" t="s">
        <v>329</v>
      </c>
      <c r="C1990" s="493" t="s">
        <v>330</v>
      </c>
      <c r="D1990" s="105" t="s">
        <v>2339</v>
      </c>
      <c r="E1990" s="105" t="s">
        <v>1650</v>
      </c>
      <c r="F1990" s="493">
        <v>58135</v>
      </c>
      <c r="G1990" s="105" t="s">
        <v>37</v>
      </c>
      <c r="H1990" s="105" t="s">
        <v>342</v>
      </c>
      <c r="I1990" s="105" t="s">
        <v>334</v>
      </c>
      <c r="J1990" s="493">
        <v>22</v>
      </c>
      <c r="K1990" s="493">
        <v>2</v>
      </c>
      <c r="L1990" s="105" t="s">
        <v>343</v>
      </c>
      <c r="M1990" s="105" t="s">
        <v>655</v>
      </c>
      <c r="N1990" s="105" t="s">
        <v>656</v>
      </c>
      <c r="O1990" s="105" t="s">
        <v>656</v>
      </c>
      <c r="P1990" s="105" t="s">
        <v>339</v>
      </c>
      <c r="Q1990" s="494">
        <v>0</v>
      </c>
      <c r="R1990" s="494">
        <v>0</v>
      </c>
      <c r="S1990" s="494">
        <v>5071</v>
      </c>
      <c r="T1990" s="494">
        <v>5071</v>
      </c>
      <c r="U1990" s="494">
        <v>1486</v>
      </c>
      <c r="V1990" s="493">
        <v>2024</v>
      </c>
      <c r="W1990" s="495"/>
      <c r="X1990" s="496">
        <f t="shared" si="127"/>
        <v>3.4125168236877523</v>
      </c>
      <c r="Y1990" s="497" t="str">
        <f t="shared" si="130"/>
        <v/>
      </c>
      <c r="Z1990" s="497" t="str">
        <f t="shared" si="130"/>
        <v/>
      </c>
    </row>
    <row r="1991" spans="1:26" s="82" customFormat="1" x14ac:dyDescent="0.4">
      <c r="A1991" s="493">
        <v>63264</v>
      </c>
      <c r="B1991" s="105" t="s">
        <v>329</v>
      </c>
      <c r="C1991" s="493" t="s">
        <v>330</v>
      </c>
      <c r="D1991" s="105" t="s">
        <v>2340</v>
      </c>
      <c r="E1991" s="105" t="s">
        <v>1448</v>
      </c>
      <c r="F1991" s="493">
        <v>61012</v>
      </c>
      <c r="G1991" s="105" t="s">
        <v>33</v>
      </c>
      <c r="H1991" s="105" t="s">
        <v>342</v>
      </c>
      <c r="I1991" s="105" t="s">
        <v>334</v>
      </c>
      <c r="J1991" s="493">
        <v>22</v>
      </c>
      <c r="K1991" s="493">
        <v>2</v>
      </c>
      <c r="L1991" s="105" t="s">
        <v>343</v>
      </c>
      <c r="M1991" s="105" t="s">
        <v>403</v>
      </c>
      <c r="N1991" s="105" t="s">
        <v>404</v>
      </c>
      <c r="O1991" s="105" t="s">
        <v>232</v>
      </c>
      <c r="P1991" s="105" t="s">
        <v>346</v>
      </c>
      <c r="Q1991" s="494">
        <v>361</v>
      </c>
      <c r="R1991" s="494">
        <v>361</v>
      </c>
      <c r="S1991" s="494">
        <v>0</v>
      </c>
      <c r="T1991" s="494">
        <v>0</v>
      </c>
      <c r="U1991" s="494">
        <v>-42</v>
      </c>
      <c r="V1991" s="493">
        <v>2024</v>
      </c>
      <c r="W1991" s="495"/>
      <c r="X1991" s="496" t="str">
        <f t="shared" si="127"/>
        <v/>
      </c>
      <c r="Y1991" s="497" t="str">
        <f t="shared" si="130"/>
        <v/>
      </c>
      <c r="Z1991" s="497" t="str">
        <f t="shared" si="130"/>
        <v/>
      </c>
    </row>
    <row r="1992" spans="1:26" s="82" customFormat="1" x14ac:dyDescent="0.4">
      <c r="A1992" s="493">
        <v>63264</v>
      </c>
      <c r="B1992" s="105" t="s">
        <v>329</v>
      </c>
      <c r="C1992" s="493" t="s">
        <v>330</v>
      </c>
      <c r="D1992" s="105" t="s">
        <v>2340</v>
      </c>
      <c r="E1992" s="105" t="s">
        <v>1448</v>
      </c>
      <c r="F1992" s="493">
        <v>61012</v>
      </c>
      <c r="G1992" s="105" t="s">
        <v>33</v>
      </c>
      <c r="H1992" s="105" t="s">
        <v>342</v>
      </c>
      <c r="I1992" s="105" t="s">
        <v>334</v>
      </c>
      <c r="J1992" s="493">
        <v>22</v>
      </c>
      <c r="K1992" s="493">
        <v>2</v>
      </c>
      <c r="L1992" s="105" t="s">
        <v>343</v>
      </c>
      <c r="M1992" s="105" t="s">
        <v>655</v>
      </c>
      <c r="N1992" s="105" t="s">
        <v>656</v>
      </c>
      <c r="O1992" s="105" t="s">
        <v>656</v>
      </c>
      <c r="P1992" s="105" t="s">
        <v>339</v>
      </c>
      <c r="Q1992" s="494">
        <v>0</v>
      </c>
      <c r="R1992" s="494">
        <v>0</v>
      </c>
      <c r="S1992" s="494">
        <v>11030</v>
      </c>
      <c r="T1992" s="494">
        <v>11030</v>
      </c>
      <c r="U1992" s="494">
        <v>3232.19</v>
      </c>
      <c r="V1992" s="493">
        <v>2024</v>
      </c>
      <c r="W1992" s="495"/>
      <c r="X1992" s="496">
        <f t="shared" si="127"/>
        <v>3.4125469109179845</v>
      </c>
      <c r="Y1992" s="497" t="str">
        <f t="shared" si="130"/>
        <v/>
      </c>
      <c r="Z1992" s="497" t="str">
        <f t="shared" si="130"/>
        <v/>
      </c>
    </row>
    <row r="1993" spans="1:26" s="82" customFormat="1" ht="32" x14ac:dyDescent="0.4">
      <c r="A1993" s="493">
        <v>63279</v>
      </c>
      <c r="B1993" s="105" t="s">
        <v>329</v>
      </c>
      <c r="C1993" s="493" t="s">
        <v>330</v>
      </c>
      <c r="D1993" s="105" t="s">
        <v>2341</v>
      </c>
      <c r="E1993" s="105" t="s">
        <v>1452</v>
      </c>
      <c r="F1993" s="493">
        <v>58871</v>
      </c>
      <c r="G1993" s="105" t="s">
        <v>52</v>
      </c>
      <c r="H1993" s="105" t="s">
        <v>333</v>
      </c>
      <c r="I1993" s="105" t="s">
        <v>334</v>
      </c>
      <c r="J1993" s="493">
        <v>22</v>
      </c>
      <c r="K1993" s="493">
        <v>2</v>
      </c>
      <c r="L1993" s="105" t="s">
        <v>343</v>
      </c>
      <c r="M1993" s="105" t="s">
        <v>655</v>
      </c>
      <c r="N1993" s="105" t="s">
        <v>656</v>
      </c>
      <c r="O1993" s="105" t="s">
        <v>656</v>
      </c>
      <c r="P1993" s="105" t="s">
        <v>339</v>
      </c>
      <c r="Q1993" s="494">
        <v>0</v>
      </c>
      <c r="R1993" s="494">
        <v>0</v>
      </c>
      <c r="S1993" s="494">
        <v>4795</v>
      </c>
      <c r="T1993" s="494">
        <v>4795</v>
      </c>
      <c r="U1993" s="494">
        <v>1405</v>
      </c>
      <c r="V1993" s="493">
        <v>2024</v>
      </c>
      <c r="W1993" s="495"/>
      <c r="X1993" s="496">
        <f t="shared" ref="X1993:X2056" si="131">IF(OR(K1993&gt;3,T1993=0,NOT(U1993&gt;0)),"",T1993/U1993)</f>
        <v>3.4128113879003559</v>
      </c>
      <c r="Y1993" s="497" t="str">
        <f t="shared" si="130"/>
        <v/>
      </c>
      <c r="Z1993" s="497" t="str">
        <f t="shared" si="130"/>
        <v/>
      </c>
    </row>
    <row r="1994" spans="1:26" s="82" customFormat="1" ht="32" x14ac:dyDescent="0.4">
      <c r="A1994" s="493">
        <v>63290</v>
      </c>
      <c r="B1994" s="105" t="s">
        <v>329</v>
      </c>
      <c r="C1994" s="493" t="s">
        <v>330</v>
      </c>
      <c r="D1994" s="105" t="s">
        <v>2342</v>
      </c>
      <c r="E1994" s="105" t="s">
        <v>2342</v>
      </c>
      <c r="F1994" s="493">
        <v>63061</v>
      </c>
      <c r="G1994" s="105" t="s">
        <v>33</v>
      </c>
      <c r="H1994" s="105" t="s">
        <v>342</v>
      </c>
      <c r="I1994" s="105" t="s">
        <v>334</v>
      </c>
      <c r="J1994" s="493">
        <v>441</v>
      </c>
      <c r="K1994" s="493">
        <v>4</v>
      </c>
      <c r="L1994" s="105" t="s">
        <v>766</v>
      </c>
      <c r="M1994" s="105" t="s">
        <v>655</v>
      </c>
      <c r="N1994" s="105" t="s">
        <v>656</v>
      </c>
      <c r="O1994" s="105" t="s">
        <v>656</v>
      </c>
      <c r="P1994" s="105" t="s">
        <v>339</v>
      </c>
      <c r="Q1994" s="494">
        <v>0</v>
      </c>
      <c r="R1994" s="494">
        <v>0</v>
      </c>
      <c r="S1994" s="494">
        <v>12343</v>
      </c>
      <c r="T1994" s="494">
        <v>12343</v>
      </c>
      <c r="U1994" s="494">
        <v>3617</v>
      </c>
      <c r="V1994" s="493">
        <v>2024</v>
      </c>
      <c r="W1994" s="495"/>
      <c r="X1994" s="496" t="str">
        <f t="shared" si="131"/>
        <v/>
      </c>
      <c r="Y1994" s="497" t="str">
        <f t="shared" si="130"/>
        <v/>
      </c>
      <c r="Z1994" s="497" t="str">
        <f t="shared" si="130"/>
        <v/>
      </c>
    </row>
    <row r="1995" spans="1:26" s="82" customFormat="1" ht="32" x14ac:dyDescent="0.4">
      <c r="A1995" s="493">
        <v>63291</v>
      </c>
      <c r="B1995" s="105" t="s">
        <v>329</v>
      </c>
      <c r="C1995" s="493" t="s">
        <v>330</v>
      </c>
      <c r="D1995" s="105" t="s">
        <v>2343</v>
      </c>
      <c r="E1995" s="105" t="s">
        <v>2344</v>
      </c>
      <c r="F1995" s="493">
        <v>63059</v>
      </c>
      <c r="G1995" s="105" t="s">
        <v>52</v>
      </c>
      <c r="H1995" s="105" t="s">
        <v>333</v>
      </c>
      <c r="I1995" s="105" t="s">
        <v>334</v>
      </c>
      <c r="J1995" s="493">
        <v>441</v>
      </c>
      <c r="K1995" s="493">
        <v>4</v>
      </c>
      <c r="L1995" s="105" t="s">
        <v>766</v>
      </c>
      <c r="M1995" s="105" t="s">
        <v>655</v>
      </c>
      <c r="N1995" s="105" t="s">
        <v>656</v>
      </c>
      <c r="O1995" s="105" t="s">
        <v>656</v>
      </c>
      <c r="P1995" s="105" t="s">
        <v>339</v>
      </c>
      <c r="Q1995" s="494">
        <v>0</v>
      </c>
      <c r="R1995" s="494">
        <v>0</v>
      </c>
      <c r="S1995" s="494">
        <v>1734</v>
      </c>
      <c r="T1995" s="494">
        <v>1734</v>
      </c>
      <c r="U1995" s="494">
        <v>508</v>
      </c>
      <c r="V1995" s="493">
        <v>2024</v>
      </c>
      <c r="W1995" s="495"/>
      <c r="X1995" s="496" t="str">
        <f t="shared" si="131"/>
        <v/>
      </c>
      <c r="Y1995" s="497" t="str">
        <f t="shared" si="130"/>
        <v/>
      </c>
      <c r="Z1995" s="497" t="str">
        <f t="shared" si="130"/>
        <v/>
      </c>
    </row>
    <row r="1996" spans="1:26" s="82" customFormat="1" ht="32" x14ac:dyDescent="0.4">
      <c r="A1996" s="493">
        <v>63292</v>
      </c>
      <c r="B1996" s="105" t="s">
        <v>329</v>
      </c>
      <c r="C1996" s="493" t="s">
        <v>330</v>
      </c>
      <c r="D1996" s="105" t="s">
        <v>2345</v>
      </c>
      <c r="E1996" s="105" t="s">
        <v>2344</v>
      </c>
      <c r="F1996" s="493">
        <v>63059</v>
      </c>
      <c r="G1996" s="105" t="s">
        <v>52</v>
      </c>
      <c r="H1996" s="105" t="s">
        <v>333</v>
      </c>
      <c r="I1996" s="105" t="s">
        <v>334</v>
      </c>
      <c r="J1996" s="493">
        <v>441</v>
      </c>
      <c r="K1996" s="493">
        <v>4</v>
      </c>
      <c r="L1996" s="105" t="s">
        <v>766</v>
      </c>
      <c r="M1996" s="105" t="s">
        <v>655</v>
      </c>
      <c r="N1996" s="105" t="s">
        <v>656</v>
      </c>
      <c r="O1996" s="105" t="s">
        <v>656</v>
      </c>
      <c r="P1996" s="105" t="s">
        <v>339</v>
      </c>
      <c r="Q1996" s="494">
        <v>0</v>
      </c>
      <c r="R1996" s="494">
        <v>0</v>
      </c>
      <c r="S1996" s="494">
        <v>4642</v>
      </c>
      <c r="T1996" s="494">
        <v>4642</v>
      </c>
      <c r="U1996" s="494">
        <v>1361</v>
      </c>
      <c r="V1996" s="493">
        <v>2024</v>
      </c>
      <c r="W1996" s="495"/>
      <c r="X1996" s="496" t="str">
        <f t="shared" si="131"/>
        <v/>
      </c>
      <c r="Y1996" s="497" t="str">
        <f t="shared" si="130"/>
        <v/>
      </c>
      <c r="Z1996" s="497" t="str">
        <f t="shared" si="130"/>
        <v/>
      </c>
    </row>
    <row r="1997" spans="1:26" s="82" customFormat="1" ht="32" x14ac:dyDescent="0.4">
      <c r="A1997" s="493">
        <v>63297</v>
      </c>
      <c r="B1997" s="105" t="s">
        <v>329</v>
      </c>
      <c r="C1997" s="493" t="s">
        <v>330</v>
      </c>
      <c r="D1997" s="105" t="s">
        <v>2346</v>
      </c>
      <c r="E1997" s="105" t="s">
        <v>2327</v>
      </c>
      <c r="F1997" s="493">
        <v>66130</v>
      </c>
      <c r="G1997" s="105" t="s">
        <v>52</v>
      </c>
      <c r="H1997" s="105" t="s">
        <v>333</v>
      </c>
      <c r="I1997" s="105" t="s">
        <v>334</v>
      </c>
      <c r="J1997" s="493">
        <v>611</v>
      </c>
      <c r="K1997" s="493">
        <v>4</v>
      </c>
      <c r="L1997" s="105" t="s">
        <v>766</v>
      </c>
      <c r="M1997" s="105" t="s">
        <v>655</v>
      </c>
      <c r="N1997" s="105" t="s">
        <v>656</v>
      </c>
      <c r="O1997" s="105" t="s">
        <v>656</v>
      </c>
      <c r="P1997" s="105" t="s">
        <v>339</v>
      </c>
      <c r="Q1997" s="494">
        <v>0</v>
      </c>
      <c r="R1997" s="494">
        <v>0</v>
      </c>
      <c r="S1997" s="494">
        <v>10096</v>
      </c>
      <c r="T1997" s="494">
        <v>10096</v>
      </c>
      <c r="U1997" s="494">
        <v>2959</v>
      </c>
      <c r="V1997" s="493">
        <v>2024</v>
      </c>
      <c r="W1997" s="495"/>
      <c r="X1997" s="496" t="str">
        <f t="shared" si="131"/>
        <v/>
      </c>
      <c r="Y1997" s="497" t="str">
        <f t="shared" si="130"/>
        <v/>
      </c>
      <c r="Z1997" s="497" t="str">
        <f t="shared" si="130"/>
        <v/>
      </c>
    </row>
    <row r="1998" spans="1:26" s="82" customFormat="1" ht="32" x14ac:dyDescent="0.4">
      <c r="A1998" s="493">
        <v>63302</v>
      </c>
      <c r="B1998" s="105" t="s">
        <v>329</v>
      </c>
      <c r="C1998" s="493" t="s">
        <v>330</v>
      </c>
      <c r="D1998" s="105" t="s">
        <v>2347</v>
      </c>
      <c r="E1998" s="105" t="s">
        <v>2348</v>
      </c>
      <c r="F1998" s="493">
        <v>62971</v>
      </c>
      <c r="G1998" s="105" t="s">
        <v>37</v>
      </c>
      <c r="H1998" s="105" t="s">
        <v>342</v>
      </c>
      <c r="I1998" s="105" t="s">
        <v>2117</v>
      </c>
      <c r="J1998" s="493">
        <v>22</v>
      </c>
      <c r="K1998" s="493">
        <v>2</v>
      </c>
      <c r="L1998" s="105" t="s">
        <v>343</v>
      </c>
      <c r="M1998" s="105" t="s">
        <v>990</v>
      </c>
      <c r="N1998" s="105" t="s">
        <v>228</v>
      </c>
      <c r="O1998" s="105" t="s">
        <v>228</v>
      </c>
      <c r="P1998" s="105" t="s">
        <v>356</v>
      </c>
      <c r="Q1998" s="494">
        <v>368315</v>
      </c>
      <c r="R1998" s="494">
        <v>368315</v>
      </c>
      <c r="S1998" s="494">
        <v>379023</v>
      </c>
      <c r="T1998" s="494">
        <v>379023</v>
      </c>
      <c r="U1998" s="494">
        <v>38919</v>
      </c>
      <c r="V1998" s="493">
        <v>2024</v>
      </c>
      <c r="W1998" s="495"/>
      <c r="X1998" s="496">
        <f t="shared" si="131"/>
        <v>9.7387651275726501</v>
      </c>
      <c r="Y1998" s="497" t="str">
        <f t="shared" si="130"/>
        <v/>
      </c>
      <c r="Z1998" s="497" t="str">
        <f t="shared" si="130"/>
        <v/>
      </c>
    </row>
    <row r="1999" spans="1:26" s="82" customFormat="1" x14ac:dyDescent="0.4">
      <c r="A1999" s="493">
        <v>63336</v>
      </c>
      <c r="B1999" s="105" t="s">
        <v>329</v>
      </c>
      <c r="C1999" s="493" t="s">
        <v>330</v>
      </c>
      <c r="D1999" s="105" t="s">
        <v>2349</v>
      </c>
      <c r="E1999" s="105" t="s">
        <v>2350</v>
      </c>
      <c r="F1999" s="493">
        <v>63106</v>
      </c>
      <c r="G1999" s="105" t="s">
        <v>33</v>
      </c>
      <c r="H1999" s="105" t="s">
        <v>342</v>
      </c>
      <c r="I1999" s="105" t="s">
        <v>334</v>
      </c>
      <c r="J1999" s="493">
        <v>22</v>
      </c>
      <c r="K1999" s="493">
        <v>2</v>
      </c>
      <c r="L1999" s="105" t="s">
        <v>343</v>
      </c>
      <c r="M1999" s="105" t="s">
        <v>655</v>
      </c>
      <c r="N1999" s="105" t="s">
        <v>656</v>
      </c>
      <c r="O1999" s="105" t="s">
        <v>656</v>
      </c>
      <c r="P1999" s="105" t="s">
        <v>339</v>
      </c>
      <c r="Q1999" s="494">
        <v>0</v>
      </c>
      <c r="R1999" s="494">
        <v>0</v>
      </c>
      <c r="S1999" s="494">
        <v>4562</v>
      </c>
      <c r="T1999" s="494">
        <v>4562</v>
      </c>
      <c r="U1999" s="494">
        <v>1337</v>
      </c>
      <c r="V1999" s="493">
        <v>2024</v>
      </c>
      <c r="W1999" s="495"/>
      <c r="X1999" s="496">
        <f t="shared" si="131"/>
        <v>3.412116679132386</v>
      </c>
      <c r="Y1999" s="497" t="str">
        <f t="shared" si="130"/>
        <v/>
      </c>
      <c r="Z1999" s="497" t="str">
        <f t="shared" si="130"/>
        <v/>
      </c>
    </row>
    <row r="2000" spans="1:26" s="82" customFormat="1" ht="32" x14ac:dyDescent="0.4">
      <c r="A2000" s="493">
        <v>63337</v>
      </c>
      <c r="B2000" s="105" t="s">
        <v>329</v>
      </c>
      <c r="C2000" s="493" t="s">
        <v>330</v>
      </c>
      <c r="D2000" s="105" t="s">
        <v>2351</v>
      </c>
      <c r="E2000" s="105" t="s">
        <v>2351</v>
      </c>
      <c r="F2000" s="493">
        <v>63107</v>
      </c>
      <c r="G2000" s="105" t="s">
        <v>52</v>
      </c>
      <c r="H2000" s="105" t="s">
        <v>333</v>
      </c>
      <c r="I2000" s="105" t="s">
        <v>334</v>
      </c>
      <c r="J2000" s="493">
        <v>22</v>
      </c>
      <c r="K2000" s="493">
        <v>2</v>
      </c>
      <c r="L2000" s="105" t="s">
        <v>343</v>
      </c>
      <c r="M2000" s="105" t="s">
        <v>403</v>
      </c>
      <c r="N2000" s="105" t="s">
        <v>404</v>
      </c>
      <c r="O2000" s="105" t="s">
        <v>232</v>
      </c>
      <c r="P2000" s="105" t="s">
        <v>346</v>
      </c>
      <c r="Q2000" s="494">
        <v>904</v>
      </c>
      <c r="R2000" s="494">
        <v>904</v>
      </c>
      <c r="S2000" s="494">
        <v>0</v>
      </c>
      <c r="T2000" s="494">
        <v>0</v>
      </c>
      <c r="U2000" s="494">
        <v>-91</v>
      </c>
      <c r="V2000" s="493">
        <v>2024</v>
      </c>
      <c r="W2000" s="495"/>
      <c r="X2000" s="496" t="str">
        <f t="shared" si="131"/>
        <v/>
      </c>
      <c r="Y2000" s="497" t="str">
        <f t="shared" si="130"/>
        <v/>
      </c>
      <c r="Z2000" s="497" t="str">
        <f t="shared" si="130"/>
        <v/>
      </c>
    </row>
    <row r="2001" spans="1:26" s="82" customFormat="1" ht="32" x14ac:dyDescent="0.4">
      <c r="A2001" s="493">
        <v>63337</v>
      </c>
      <c r="B2001" s="105" t="s">
        <v>329</v>
      </c>
      <c r="C2001" s="493" t="s">
        <v>330</v>
      </c>
      <c r="D2001" s="105" t="s">
        <v>2351</v>
      </c>
      <c r="E2001" s="105" t="s">
        <v>2351</v>
      </c>
      <c r="F2001" s="493">
        <v>63107</v>
      </c>
      <c r="G2001" s="105" t="s">
        <v>52</v>
      </c>
      <c r="H2001" s="105" t="s">
        <v>333</v>
      </c>
      <c r="I2001" s="105" t="s">
        <v>334</v>
      </c>
      <c r="J2001" s="493">
        <v>22</v>
      </c>
      <c r="K2001" s="493">
        <v>2</v>
      </c>
      <c r="L2001" s="105" t="s">
        <v>343</v>
      </c>
      <c r="M2001" s="105" t="s">
        <v>655</v>
      </c>
      <c r="N2001" s="105" t="s">
        <v>656</v>
      </c>
      <c r="O2001" s="105" t="s">
        <v>656</v>
      </c>
      <c r="P2001" s="105" t="s">
        <v>339</v>
      </c>
      <c r="Q2001" s="494">
        <v>0</v>
      </c>
      <c r="R2001" s="494">
        <v>0</v>
      </c>
      <c r="S2001" s="494">
        <v>27638</v>
      </c>
      <c r="T2001" s="494">
        <v>27638</v>
      </c>
      <c r="U2001" s="494">
        <v>8100</v>
      </c>
      <c r="V2001" s="493">
        <v>2024</v>
      </c>
      <c r="W2001" s="495"/>
      <c r="X2001" s="496">
        <f t="shared" si="131"/>
        <v>3.4120987654320989</v>
      </c>
      <c r="Y2001" s="497" t="str">
        <f t="shared" si="130"/>
        <v/>
      </c>
      <c r="Z2001" s="497" t="str">
        <f t="shared" si="130"/>
        <v/>
      </c>
    </row>
    <row r="2002" spans="1:26" s="82" customFormat="1" x14ac:dyDescent="0.4">
      <c r="A2002" s="493">
        <v>63338</v>
      </c>
      <c r="B2002" s="105" t="s">
        <v>329</v>
      </c>
      <c r="C2002" s="493" t="s">
        <v>330</v>
      </c>
      <c r="D2002" s="105" t="s">
        <v>2352</v>
      </c>
      <c r="E2002" s="105" t="s">
        <v>2353</v>
      </c>
      <c r="F2002" s="493">
        <v>63108</v>
      </c>
      <c r="G2002" s="105" t="s">
        <v>33</v>
      </c>
      <c r="H2002" s="105" t="s">
        <v>342</v>
      </c>
      <c r="I2002" s="105" t="s">
        <v>334</v>
      </c>
      <c r="J2002" s="493">
        <v>22</v>
      </c>
      <c r="K2002" s="493">
        <v>2</v>
      </c>
      <c r="L2002" s="105" t="s">
        <v>343</v>
      </c>
      <c r="M2002" s="105" t="s">
        <v>403</v>
      </c>
      <c r="N2002" s="105" t="s">
        <v>404</v>
      </c>
      <c r="O2002" s="105" t="s">
        <v>232</v>
      </c>
      <c r="P2002" s="105" t="s">
        <v>346</v>
      </c>
      <c r="Q2002" s="494">
        <v>824</v>
      </c>
      <c r="R2002" s="494">
        <v>824</v>
      </c>
      <c r="S2002" s="494">
        <v>0</v>
      </c>
      <c r="T2002" s="494">
        <v>0</v>
      </c>
      <c r="U2002" s="494">
        <v>-81</v>
      </c>
      <c r="V2002" s="493">
        <v>2024</v>
      </c>
      <c r="W2002" s="495"/>
      <c r="X2002" s="496" t="str">
        <f t="shared" si="131"/>
        <v/>
      </c>
      <c r="Y2002" s="497" t="str">
        <f t="shared" si="130"/>
        <v/>
      </c>
      <c r="Z2002" s="497" t="str">
        <f t="shared" si="130"/>
        <v/>
      </c>
    </row>
    <row r="2003" spans="1:26" s="82" customFormat="1" x14ac:dyDescent="0.4">
      <c r="A2003" s="493">
        <v>63338</v>
      </c>
      <c r="B2003" s="105" t="s">
        <v>329</v>
      </c>
      <c r="C2003" s="493" t="s">
        <v>330</v>
      </c>
      <c r="D2003" s="105" t="s">
        <v>2352</v>
      </c>
      <c r="E2003" s="105" t="s">
        <v>2353</v>
      </c>
      <c r="F2003" s="493">
        <v>63108</v>
      </c>
      <c r="G2003" s="105" t="s">
        <v>33</v>
      </c>
      <c r="H2003" s="105" t="s">
        <v>342</v>
      </c>
      <c r="I2003" s="105" t="s">
        <v>334</v>
      </c>
      <c r="J2003" s="493">
        <v>22</v>
      </c>
      <c r="K2003" s="493">
        <v>2</v>
      </c>
      <c r="L2003" s="105" t="s">
        <v>343</v>
      </c>
      <c r="M2003" s="105" t="s">
        <v>655</v>
      </c>
      <c r="N2003" s="105" t="s">
        <v>656</v>
      </c>
      <c r="O2003" s="105" t="s">
        <v>656</v>
      </c>
      <c r="P2003" s="105" t="s">
        <v>339</v>
      </c>
      <c r="Q2003" s="494">
        <v>0</v>
      </c>
      <c r="R2003" s="494">
        <v>0</v>
      </c>
      <c r="S2003" s="494">
        <v>21227</v>
      </c>
      <c r="T2003" s="494">
        <v>21227</v>
      </c>
      <c r="U2003" s="494">
        <v>6221</v>
      </c>
      <c r="V2003" s="493">
        <v>2024</v>
      </c>
      <c r="W2003" s="495"/>
      <c r="X2003" s="496">
        <f t="shared" si="131"/>
        <v>3.4121523870760329</v>
      </c>
      <c r="Y2003" s="497" t="str">
        <f t="shared" si="130"/>
        <v/>
      </c>
      <c r="Z2003" s="497" t="str">
        <f t="shared" si="130"/>
        <v/>
      </c>
    </row>
    <row r="2004" spans="1:26" s="82" customFormat="1" x14ac:dyDescent="0.4">
      <c r="A2004" s="493">
        <v>63339</v>
      </c>
      <c r="B2004" s="105" t="s">
        <v>329</v>
      </c>
      <c r="C2004" s="493" t="s">
        <v>330</v>
      </c>
      <c r="D2004" s="105" t="s">
        <v>2354</v>
      </c>
      <c r="E2004" s="105" t="s">
        <v>2354</v>
      </c>
      <c r="F2004" s="493">
        <v>63109</v>
      </c>
      <c r="G2004" s="105" t="s">
        <v>52</v>
      </c>
      <c r="H2004" s="105" t="s">
        <v>333</v>
      </c>
      <c r="I2004" s="105" t="s">
        <v>334</v>
      </c>
      <c r="J2004" s="493">
        <v>22</v>
      </c>
      <c r="K2004" s="493">
        <v>2</v>
      </c>
      <c r="L2004" s="105" t="s">
        <v>343</v>
      </c>
      <c r="M2004" s="105" t="s">
        <v>403</v>
      </c>
      <c r="N2004" s="105" t="s">
        <v>404</v>
      </c>
      <c r="O2004" s="105" t="s">
        <v>232</v>
      </c>
      <c r="P2004" s="105" t="s">
        <v>346</v>
      </c>
      <c r="Q2004" s="494">
        <v>66</v>
      </c>
      <c r="R2004" s="494">
        <v>66</v>
      </c>
      <c r="S2004" s="494">
        <v>0</v>
      </c>
      <c r="T2004" s="494">
        <v>0</v>
      </c>
      <c r="U2004" s="494">
        <v>-7</v>
      </c>
      <c r="V2004" s="493">
        <v>2024</v>
      </c>
      <c r="W2004" s="495"/>
      <c r="X2004" s="496" t="str">
        <f t="shared" si="131"/>
        <v/>
      </c>
      <c r="Y2004" s="497" t="str">
        <f t="shared" si="130"/>
        <v/>
      </c>
      <c r="Z2004" s="497" t="str">
        <f t="shared" si="130"/>
        <v/>
      </c>
    </row>
    <row r="2005" spans="1:26" s="82" customFormat="1" x14ac:dyDescent="0.4">
      <c r="A2005" s="493">
        <v>63339</v>
      </c>
      <c r="B2005" s="105" t="s">
        <v>329</v>
      </c>
      <c r="C2005" s="493" t="s">
        <v>330</v>
      </c>
      <c r="D2005" s="105" t="s">
        <v>2354</v>
      </c>
      <c r="E2005" s="105" t="s">
        <v>2354</v>
      </c>
      <c r="F2005" s="493">
        <v>63109</v>
      </c>
      <c r="G2005" s="105" t="s">
        <v>52</v>
      </c>
      <c r="H2005" s="105" t="s">
        <v>333</v>
      </c>
      <c r="I2005" s="105" t="s">
        <v>334</v>
      </c>
      <c r="J2005" s="493">
        <v>22</v>
      </c>
      <c r="K2005" s="493">
        <v>2</v>
      </c>
      <c r="L2005" s="105" t="s">
        <v>343</v>
      </c>
      <c r="M2005" s="105" t="s">
        <v>655</v>
      </c>
      <c r="N2005" s="105" t="s">
        <v>656</v>
      </c>
      <c r="O2005" s="105" t="s">
        <v>656</v>
      </c>
      <c r="P2005" s="105" t="s">
        <v>339</v>
      </c>
      <c r="Q2005" s="494">
        <v>0</v>
      </c>
      <c r="R2005" s="494">
        <v>0</v>
      </c>
      <c r="S2005" s="494">
        <v>19154</v>
      </c>
      <c r="T2005" s="494">
        <v>19154</v>
      </c>
      <c r="U2005" s="494">
        <v>5613</v>
      </c>
      <c r="V2005" s="493">
        <v>2024</v>
      </c>
      <c r="W2005" s="495"/>
      <c r="X2005" s="496">
        <f t="shared" si="131"/>
        <v>3.412435417780153</v>
      </c>
      <c r="Y2005" s="497" t="str">
        <f t="shared" si="130"/>
        <v/>
      </c>
      <c r="Z2005" s="497" t="str">
        <f t="shared" si="130"/>
        <v/>
      </c>
    </row>
    <row r="2006" spans="1:26" s="82" customFormat="1" ht="32" x14ac:dyDescent="0.4">
      <c r="A2006" s="493">
        <v>63340</v>
      </c>
      <c r="B2006" s="105" t="s">
        <v>329</v>
      </c>
      <c r="C2006" s="493" t="s">
        <v>330</v>
      </c>
      <c r="D2006" s="105" t="s">
        <v>2355</v>
      </c>
      <c r="E2006" s="105" t="s">
        <v>2355</v>
      </c>
      <c r="F2006" s="493">
        <v>63110</v>
      </c>
      <c r="G2006" s="105" t="s">
        <v>52</v>
      </c>
      <c r="H2006" s="105" t="s">
        <v>333</v>
      </c>
      <c r="I2006" s="105" t="s">
        <v>334</v>
      </c>
      <c r="J2006" s="493">
        <v>22</v>
      </c>
      <c r="K2006" s="493">
        <v>2</v>
      </c>
      <c r="L2006" s="105" t="s">
        <v>343</v>
      </c>
      <c r="M2006" s="105" t="s">
        <v>403</v>
      </c>
      <c r="N2006" s="105" t="s">
        <v>404</v>
      </c>
      <c r="O2006" s="105" t="s">
        <v>232</v>
      </c>
      <c r="P2006" s="105" t="s">
        <v>346</v>
      </c>
      <c r="Q2006" s="494">
        <v>668</v>
      </c>
      <c r="R2006" s="494">
        <v>668</v>
      </c>
      <c r="S2006" s="494">
        <v>0</v>
      </c>
      <c r="T2006" s="494">
        <v>0</v>
      </c>
      <c r="U2006" s="494">
        <v>-65</v>
      </c>
      <c r="V2006" s="493">
        <v>2024</v>
      </c>
      <c r="W2006" s="495"/>
      <c r="X2006" s="496" t="str">
        <f t="shared" si="131"/>
        <v/>
      </c>
      <c r="Y2006" s="497" t="str">
        <f t="shared" si="130"/>
        <v/>
      </c>
      <c r="Z2006" s="497" t="str">
        <f t="shared" si="130"/>
        <v/>
      </c>
    </row>
    <row r="2007" spans="1:26" s="82" customFormat="1" ht="32" x14ac:dyDescent="0.4">
      <c r="A2007" s="493">
        <v>63340</v>
      </c>
      <c r="B2007" s="105" t="s">
        <v>329</v>
      </c>
      <c r="C2007" s="493" t="s">
        <v>330</v>
      </c>
      <c r="D2007" s="105" t="s">
        <v>2355</v>
      </c>
      <c r="E2007" s="105" t="s">
        <v>2355</v>
      </c>
      <c r="F2007" s="493">
        <v>63110</v>
      </c>
      <c r="G2007" s="105" t="s">
        <v>52</v>
      </c>
      <c r="H2007" s="105" t="s">
        <v>333</v>
      </c>
      <c r="I2007" s="105" t="s">
        <v>334</v>
      </c>
      <c r="J2007" s="493">
        <v>22</v>
      </c>
      <c r="K2007" s="493">
        <v>2</v>
      </c>
      <c r="L2007" s="105" t="s">
        <v>343</v>
      </c>
      <c r="M2007" s="105" t="s">
        <v>655</v>
      </c>
      <c r="N2007" s="105" t="s">
        <v>656</v>
      </c>
      <c r="O2007" s="105" t="s">
        <v>656</v>
      </c>
      <c r="P2007" s="105" t="s">
        <v>339</v>
      </c>
      <c r="Q2007" s="494">
        <v>0</v>
      </c>
      <c r="R2007" s="494">
        <v>0</v>
      </c>
      <c r="S2007" s="494">
        <v>26907</v>
      </c>
      <c r="T2007" s="494">
        <v>26907</v>
      </c>
      <c r="U2007" s="494">
        <v>7886</v>
      </c>
      <c r="V2007" s="493">
        <v>2024</v>
      </c>
      <c r="W2007" s="495"/>
      <c r="X2007" s="496">
        <f t="shared" si="131"/>
        <v>3.411995942176008</v>
      </c>
      <c r="Y2007" s="497" t="str">
        <f t="shared" si="130"/>
        <v/>
      </c>
      <c r="Z2007" s="497" t="str">
        <f t="shared" si="130"/>
        <v/>
      </c>
    </row>
    <row r="2008" spans="1:26" s="82" customFormat="1" ht="32" x14ac:dyDescent="0.4">
      <c r="A2008" s="493">
        <v>63341</v>
      </c>
      <c r="B2008" s="105" t="s">
        <v>329</v>
      </c>
      <c r="C2008" s="493" t="s">
        <v>330</v>
      </c>
      <c r="D2008" s="105" t="s">
        <v>2356</v>
      </c>
      <c r="E2008" s="105" t="s">
        <v>2356</v>
      </c>
      <c r="F2008" s="493">
        <v>63111</v>
      </c>
      <c r="G2008" s="105" t="s">
        <v>52</v>
      </c>
      <c r="H2008" s="105" t="s">
        <v>333</v>
      </c>
      <c r="I2008" s="105" t="s">
        <v>334</v>
      </c>
      <c r="J2008" s="493">
        <v>22</v>
      </c>
      <c r="K2008" s="493">
        <v>2</v>
      </c>
      <c r="L2008" s="105" t="s">
        <v>343</v>
      </c>
      <c r="M2008" s="105" t="s">
        <v>403</v>
      </c>
      <c r="N2008" s="105" t="s">
        <v>404</v>
      </c>
      <c r="O2008" s="105" t="s">
        <v>232</v>
      </c>
      <c r="P2008" s="105" t="s">
        <v>346</v>
      </c>
      <c r="Q2008" s="494">
        <v>429</v>
      </c>
      <c r="R2008" s="494">
        <v>429</v>
      </c>
      <c r="S2008" s="494">
        <v>0</v>
      </c>
      <c r="T2008" s="494">
        <v>0</v>
      </c>
      <c r="U2008" s="494">
        <v>-44</v>
      </c>
      <c r="V2008" s="493">
        <v>2024</v>
      </c>
      <c r="W2008" s="495"/>
      <c r="X2008" s="496" t="str">
        <f t="shared" si="131"/>
        <v/>
      </c>
      <c r="Y2008" s="497" t="str">
        <f t="shared" ref="Y2008:Z2027" si="132">IF(AND($M2008=$Y$2,$N2008=$Y$3,NOT($Q2008=$R2008),NOT($U2008=0)),IF($K2008=5,$S2008/($U2008+(8/5)*$U2008),IF($K2008=7,$S2008/($U2008+(29/25)*$U2008),"")),"")</f>
        <v/>
      </c>
      <c r="Z2008" s="497" t="str">
        <f t="shared" si="132"/>
        <v/>
      </c>
    </row>
    <row r="2009" spans="1:26" s="82" customFormat="1" ht="32" x14ac:dyDescent="0.4">
      <c r="A2009" s="493">
        <v>63341</v>
      </c>
      <c r="B2009" s="105" t="s">
        <v>329</v>
      </c>
      <c r="C2009" s="493" t="s">
        <v>330</v>
      </c>
      <c r="D2009" s="105" t="s">
        <v>2356</v>
      </c>
      <c r="E2009" s="105" t="s">
        <v>2356</v>
      </c>
      <c r="F2009" s="493">
        <v>63111</v>
      </c>
      <c r="G2009" s="105" t="s">
        <v>52</v>
      </c>
      <c r="H2009" s="105" t="s">
        <v>333</v>
      </c>
      <c r="I2009" s="105" t="s">
        <v>334</v>
      </c>
      <c r="J2009" s="493">
        <v>22</v>
      </c>
      <c r="K2009" s="493">
        <v>2</v>
      </c>
      <c r="L2009" s="105" t="s">
        <v>343</v>
      </c>
      <c r="M2009" s="105" t="s">
        <v>655</v>
      </c>
      <c r="N2009" s="105" t="s">
        <v>656</v>
      </c>
      <c r="O2009" s="105" t="s">
        <v>656</v>
      </c>
      <c r="P2009" s="105" t="s">
        <v>339</v>
      </c>
      <c r="Q2009" s="494">
        <v>0</v>
      </c>
      <c r="R2009" s="494">
        <v>0</v>
      </c>
      <c r="S2009" s="494">
        <v>28743</v>
      </c>
      <c r="T2009" s="494">
        <v>28743</v>
      </c>
      <c r="U2009" s="494">
        <v>8424</v>
      </c>
      <c r="V2009" s="493">
        <v>2024</v>
      </c>
      <c r="W2009" s="495"/>
      <c r="X2009" s="496">
        <f t="shared" si="131"/>
        <v>3.4120370370370372</v>
      </c>
      <c r="Y2009" s="497" t="str">
        <f t="shared" si="132"/>
        <v/>
      </c>
      <c r="Z2009" s="497" t="str">
        <f t="shared" si="132"/>
        <v/>
      </c>
    </row>
    <row r="2010" spans="1:26" s="82" customFormat="1" x14ac:dyDescent="0.4">
      <c r="A2010" s="493">
        <v>63354</v>
      </c>
      <c r="B2010" s="105" t="s">
        <v>329</v>
      </c>
      <c r="C2010" s="493" t="s">
        <v>330</v>
      </c>
      <c r="D2010" s="105" t="s">
        <v>2357</v>
      </c>
      <c r="E2010" s="105" t="s">
        <v>2186</v>
      </c>
      <c r="F2010" s="493">
        <v>62067</v>
      </c>
      <c r="G2010" s="105" t="s">
        <v>37</v>
      </c>
      <c r="H2010" s="105" t="s">
        <v>342</v>
      </c>
      <c r="I2010" s="105" t="s">
        <v>334</v>
      </c>
      <c r="J2010" s="493">
        <v>22</v>
      </c>
      <c r="K2010" s="493">
        <v>2</v>
      </c>
      <c r="L2010" s="105" t="s">
        <v>343</v>
      </c>
      <c r="M2010" s="105" t="s">
        <v>655</v>
      </c>
      <c r="N2010" s="105" t="s">
        <v>656</v>
      </c>
      <c r="O2010" s="105" t="s">
        <v>656</v>
      </c>
      <c r="P2010" s="105" t="s">
        <v>339</v>
      </c>
      <c r="Q2010" s="494">
        <v>0</v>
      </c>
      <c r="R2010" s="494">
        <v>0</v>
      </c>
      <c r="S2010" s="494">
        <v>5301</v>
      </c>
      <c r="T2010" s="494">
        <v>5301</v>
      </c>
      <c r="U2010" s="494">
        <v>1553</v>
      </c>
      <c r="V2010" s="493">
        <v>2024</v>
      </c>
      <c r="W2010" s="495"/>
      <c r="X2010" s="496">
        <f t="shared" si="131"/>
        <v>3.4133934320669672</v>
      </c>
      <c r="Y2010" s="497" t="str">
        <f t="shared" si="132"/>
        <v/>
      </c>
      <c r="Z2010" s="497" t="str">
        <f t="shared" si="132"/>
        <v/>
      </c>
    </row>
    <row r="2011" spans="1:26" s="82" customFormat="1" x14ac:dyDescent="0.4">
      <c r="A2011" s="493">
        <v>63358</v>
      </c>
      <c r="B2011" s="105" t="s">
        <v>329</v>
      </c>
      <c r="C2011" s="493" t="s">
        <v>330</v>
      </c>
      <c r="D2011" s="105" t="s">
        <v>2358</v>
      </c>
      <c r="E2011" s="105" t="s">
        <v>2186</v>
      </c>
      <c r="F2011" s="493">
        <v>62067</v>
      </c>
      <c r="G2011" s="105" t="s">
        <v>37</v>
      </c>
      <c r="H2011" s="105" t="s">
        <v>342</v>
      </c>
      <c r="I2011" s="105" t="s">
        <v>334</v>
      </c>
      <c r="J2011" s="493">
        <v>22</v>
      </c>
      <c r="K2011" s="493">
        <v>2</v>
      </c>
      <c r="L2011" s="105" t="s">
        <v>343</v>
      </c>
      <c r="M2011" s="105" t="s">
        <v>655</v>
      </c>
      <c r="N2011" s="105" t="s">
        <v>656</v>
      </c>
      <c r="O2011" s="105" t="s">
        <v>656</v>
      </c>
      <c r="P2011" s="105" t="s">
        <v>339</v>
      </c>
      <c r="Q2011" s="494">
        <v>0</v>
      </c>
      <c r="R2011" s="494">
        <v>0</v>
      </c>
      <c r="S2011" s="494">
        <v>5838</v>
      </c>
      <c r="T2011" s="494">
        <v>5838</v>
      </c>
      <c r="U2011" s="494">
        <v>1711</v>
      </c>
      <c r="V2011" s="493">
        <v>2024</v>
      </c>
      <c r="W2011" s="495"/>
      <c r="X2011" s="496">
        <f t="shared" si="131"/>
        <v>3.4120397428404443</v>
      </c>
      <c r="Y2011" s="497" t="str">
        <f t="shared" si="132"/>
        <v/>
      </c>
      <c r="Z2011" s="497" t="str">
        <f t="shared" si="132"/>
        <v/>
      </c>
    </row>
    <row r="2012" spans="1:26" s="82" customFormat="1" ht="32" x14ac:dyDescent="0.4">
      <c r="A2012" s="493">
        <v>63368</v>
      </c>
      <c r="B2012" s="105" t="s">
        <v>329</v>
      </c>
      <c r="C2012" s="493" t="s">
        <v>330</v>
      </c>
      <c r="D2012" s="105" t="s">
        <v>2359</v>
      </c>
      <c r="E2012" s="105" t="s">
        <v>2234</v>
      </c>
      <c r="F2012" s="493">
        <v>62719</v>
      </c>
      <c r="G2012" s="105" t="s">
        <v>36</v>
      </c>
      <c r="H2012" s="105" t="s">
        <v>342</v>
      </c>
      <c r="I2012" s="105" t="s">
        <v>334</v>
      </c>
      <c r="J2012" s="493">
        <v>22</v>
      </c>
      <c r="K2012" s="493">
        <v>2</v>
      </c>
      <c r="L2012" s="105" t="s">
        <v>343</v>
      </c>
      <c r="M2012" s="105" t="s">
        <v>655</v>
      </c>
      <c r="N2012" s="105" t="s">
        <v>656</v>
      </c>
      <c r="O2012" s="105" t="s">
        <v>656</v>
      </c>
      <c r="P2012" s="105" t="s">
        <v>339</v>
      </c>
      <c r="Q2012" s="494">
        <v>0</v>
      </c>
      <c r="R2012" s="494">
        <v>0</v>
      </c>
      <c r="S2012" s="494">
        <v>10652</v>
      </c>
      <c r="T2012" s="494">
        <v>10652</v>
      </c>
      <c r="U2012" s="494">
        <v>3122</v>
      </c>
      <c r="V2012" s="493">
        <v>2024</v>
      </c>
      <c r="W2012" s="495"/>
      <c r="X2012" s="496">
        <f t="shared" si="131"/>
        <v>3.4119154388212682</v>
      </c>
      <c r="Y2012" s="497" t="str">
        <f t="shared" si="132"/>
        <v/>
      </c>
      <c r="Z2012" s="497" t="str">
        <f t="shared" si="132"/>
        <v/>
      </c>
    </row>
    <row r="2013" spans="1:26" s="82" customFormat="1" ht="32" x14ac:dyDescent="0.4">
      <c r="A2013" s="493">
        <v>63369</v>
      </c>
      <c r="B2013" s="105" t="s">
        <v>329</v>
      </c>
      <c r="C2013" s="493" t="s">
        <v>330</v>
      </c>
      <c r="D2013" s="105" t="s">
        <v>2360</v>
      </c>
      <c r="E2013" s="105" t="s">
        <v>2234</v>
      </c>
      <c r="F2013" s="493">
        <v>62719</v>
      </c>
      <c r="G2013" s="105" t="s">
        <v>52</v>
      </c>
      <c r="H2013" s="105" t="s">
        <v>333</v>
      </c>
      <c r="I2013" s="105" t="s">
        <v>334</v>
      </c>
      <c r="J2013" s="493">
        <v>22</v>
      </c>
      <c r="K2013" s="493">
        <v>2</v>
      </c>
      <c r="L2013" s="105" t="s">
        <v>343</v>
      </c>
      <c r="M2013" s="105" t="s">
        <v>655</v>
      </c>
      <c r="N2013" s="105" t="s">
        <v>656</v>
      </c>
      <c r="O2013" s="105" t="s">
        <v>656</v>
      </c>
      <c r="P2013" s="105" t="s">
        <v>339</v>
      </c>
      <c r="Q2013" s="494">
        <v>0</v>
      </c>
      <c r="R2013" s="494">
        <v>0</v>
      </c>
      <c r="S2013" s="494">
        <v>23539</v>
      </c>
      <c r="T2013" s="494">
        <v>23539</v>
      </c>
      <c r="U2013" s="494">
        <v>6899</v>
      </c>
      <c r="V2013" s="493">
        <v>2024</v>
      </c>
      <c r="W2013" s="495"/>
      <c r="X2013" s="496">
        <f t="shared" si="131"/>
        <v>3.4119437599652125</v>
      </c>
      <c r="Y2013" s="497" t="str">
        <f t="shared" si="132"/>
        <v/>
      </c>
      <c r="Z2013" s="497" t="str">
        <f t="shared" si="132"/>
        <v/>
      </c>
    </row>
    <row r="2014" spans="1:26" s="82" customFormat="1" ht="32" x14ac:dyDescent="0.4">
      <c r="A2014" s="493">
        <v>63371</v>
      </c>
      <c r="B2014" s="105" t="s">
        <v>329</v>
      </c>
      <c r="C2014" s="493" t="s">
        <v>330</v>
      </c>
      <c r="D2014" s="105" t="s">
        <v>2361</v>
      </c>
      <c r="E2014" s="105" t="s">
        <v>2234</v>
      </c>
      <c r="F2014" s="493">
        <v>62719</v>
      </c>
      <c r="G2014" s="105" t="s">
        <v>52</v>
      </c>
      <c r="H2014" s="105" t="s">
        <v>333</v>
      </c>
      <c r="I2014" s="105" t="s">
        <v>334</v>
      </c>
      <c r="J2014" s="493">
        <v>22</v>
      </c>
      <c r="K2014" s="493">
        <v>2</v>
      </c>
      <c r="L2014" s="105" t="s">
        <v>343</v>
      </c>
      <c r="M2014" s="105" t="s">
        <v>655</v>
      </c>
      <c r="N2014" s="105" t="s">
        <v>656</v>
      </c>
      <c r="O2014" s="105" t="s">
        <v>656</v>
      </c>
      <c r="P2014" s="105" t="s">
        <v>339</v>
      </c>
      <c r="Q2014" s="494">
        <v>0</v>
      </c>
      <c r="R2014" s="494">
        <v>0</v>
      </c>
      <c r="S2014" s="494">
        <v>10595</v>
      </c>
      <c r="T2014" s="494">
        <v>10595</v>
      </c>
      <c r="U2014" s="494">
        <v>3105</v>
      </c>
      <c r="V2014" s="493">
        <v>2024</v>
      </c>
      <c r="W2014" s="495"/>
      <c r="X2014" s="496">
        <f t="shared" si="131"/>
        <v>3.4122383252818036</v>
      </c>
      <c r="Y2014" s="497" t="str">
        <f t="shared" si="132"/>
        <v/>
      </c>
      <c r="Z2014" s="497" t="str">
        <f t="shared" si="132"/>
        <v/>
      </c>
    </row>
    <row r="2015" spans="1:26" s="82" customFormat="1" ht="32" x14ac:dyDescent="0.4">
      <c r="A2015" s="493">
        <v>63372</v>
      </c>
      <c r="B2015" s="105" t="s">
        <v>329</v>
      </c>
      <c r="C2015" s="493" t="s">
        <v>330</v>
      </c>
      <c r="D2015" s="105" t="s">
        <v>2362</v>
      </c>
      <c r="E2015" s="105" t="s">
        <v>2234</v>
      </c>
      <c r="F2015" s="493">
        <v>62719</v>
      </c>
      <c r="G2015" s="105" t="s">
        <v>52</v>
      </c>
      <c r="H2015" s="105" t="s">
        <v>333</v>
      </c>
      <c r="I2015" s="105" t="s">
        <v>334</v>
      </c>
      <c r="J2015" s="493">
        <v>22</v>
      </c>
      <c r="K2015" s="493">
        <v>2</v>
      </c>
      <c r="L2015" s="105" t="s">
        <v>343</v>
      </c>
      <c r="M2015" s="105" t="s">
        <v>655</v>
      </c>
      <c r="N2015" s="105" t="s">
        <v>656</v>
      </c>
      <c r="O2015" s="105" t="s">
        <v>656</v>
      </c>
      <c r="P2015" s="105" t="s">
        <v>339</v>
      </c>
      <c r="Q2015" s="494">
        <v>0</v>
      </c>
      <c r="R2015" s="494">
        <v>0</v>
      </c>
      <c r="S2015" s="494">
        <v>21860</v>
      </c>
      <c r="T2015" s="494">
        <v>21860</v>
      </c>
      <c r="U2015" s="494">
        <v>6407</v>
      </c>
      <c r="V2015" s="493">
        <v>2024</v>
      </c>
      <c r="W2015" s="495"/>
      <c r="X2015" s="496">
        <f t="shared" si="131"/>
        <v>3.4118932417668177</v>
      </c>
      <c r="Y2015" s="497" t="str">
        <f t="shared" si="132"/>
        <v/>
      </c>
      <c r="Z2015" s="497" t="str">
        <f t="shared" si="132"/>
        <v/>
      </c>
    </row>
    <row r="2016" spans="1:26" s="82" customFormat="1" ht="32" x14ac:dyDescent="0.4">
      <c r="A2016" s="493">
        <v>63373</v>
      </c>
      <c r="B2016" s="105" t="s">
        <v>329</v>
      </c>
      <c r="C2016" s="493" t="s">
        <v>330</v>
      </c>
      <c r="D2016" s="105" t="s">
        <v>2363</v>
      </c>
      <c r="E2016" s="105" t="s">
        <v>2234</v>
      </c>
      <c r="F2016" s="493">
        <v>62719</v>
      </c>
      <c r="G2016" s="105" t="s">
        <v>52</v>
      </c>
      <c r="H2016" s="105" t="s">
        <v>333</v>
      </c>
      <c r="I2016" s="105" t="s">
        <v>334</v>
      </c>
      <c r="J2016" s="493">
        <v>22</v>
      </c>
      <c r="K2016" s="493">
        <v>2</v>
      </c>
      <c r="L2016" s="105" t="s">
        <v>343</v>
      </c>
      <c r="M2016" s="105" t="s">
        <v>655</v>
      </c>
      <c r="N2016" s="105" t="s">
        <v>656</v>
      </c>
      <c r="O2016" s="105" t="s">
        <v>656</v>
      </c>
      <c r="P2016" s="105" t="s">
        <v>339</v>
      </c>
      <c r="Q2016" s="494">
        <v>0</v>
      </c>
      <c r="R2016" s="494">
        <v>0</v>
      </c>
      <c r="S2016" s="494">
        <v>27057</v>
      </c>
      <c r="T2016" s="494">
        <v>27057</v>
      </c>
      <c r="U2016" s="494">
        <v>7930</v>
      </c>
      <c r="V2016" s="493">
        <v>2024</v>
      </c>
      <c r="W2016" s="495"/>
      <c r="X2016" s="496">
        <f t="shared" si="131"/>
        <v>3.4119798234552334</v>
      </c>
      <c r="Y2016" s="497" t="str">
        <f t="shared" si="132"/>
        <v/>
      </c>
      <c r="Z2016" s="497" t="str">
        <f t="shared" si="132"/>
        <v/>
      </c>
    </row>
    <row r="2017" spans="1:26" s="82" customFormat="1" ht="32" x14ac:dyDescent="0.4">
      <c r="A2017" s="493">
        <v>63374</v>
      </c>
      <c r="B2017" s="105" t="s">
        <v>329</v>
      </c>
      <c r="C2017" s="493" t="s">
        <v>330</v>
      </c>
      <c r="D2017" s="105" t="s">
        <v>2364</v>
      </c>
      <c r="E2017" s="105" t="s">
        <v>2234</v>
      </c>
      <c r="F2017" s="493">
        <v>62719</v>
      </c>
      <c r="G2017" s="105" t="s">
        <v>37</v>
      </c>
      <c r="H2017" s="105" t="s">
        <v>342</v>
      </c>
      <c r="I2017" s="105" t="s">
        <v>334</v>
      </c>
      <c r="J2017" s="493">
        <v>22</v>
      </c>
      <c r="K2017" s="493">
        <v>2</v>
      </c>
      <c r="L2017" s="105" t="s">
        <v>343</v>
      </c>
      <c r="M2017" s="105" t="s">
        <v>655</v>
      </c>
      <c r="N2017" s="105" t="s">
        <v>656</v>
      </c>
      <c r="O2017" s="105" t="s">
        <v>656</v>
      </c>
      <c r="P2017" s="105" t="s">
        <v>339</v>
      </c>
      <c r="Q2017" s="494">
        <v>0</v>
      </c>
      <c r="R2017" s="494">
        <v>0</v>
      </c>
      <c r="S2017" s="494">
        <v>5741</v>
      </c>
      <c r="T2017" s="494">
        <v>5741</v>
      </c>
      <c r="U2017" s="494">
        <v>1683</v>
      </c>
      <c r="V2017" s="493">
        <v>2024</v>
      </c>
      <c r="W2017" s="495"/>
      <c r="X2017" s="496">
        <f t="shared" si="131"/>
        <v>3.4111705288175878</v>
      </c>
      <c r="Y2017" s="497" t="str">
        <f t="shared" si="132"/>
        <v/>
      </c>
      <c r="Z2017" s="497" t="str">
        <f t="shared" si="132"/>
        <v/>
      </c>
    </row>
    <row r="2018" spans="1:26" s="82" customFormat="1" ht="32" x14ac:dyDescent="0.4">
      <c r="A2018" s="493">
        <v>63375</v>
      </c>
      <c r="B2018" s="105" t="s">
        <v>329</v>
      </c>
      <c r="C2018" s="493" t="s">
        <v>330</v>
      </c>
      <c r="D2018" s="105" t="s">
        <v>2365</v>
      </c>
      <c r="E2018" s="105" t="s">
        <v>2234</v>
      </c>
      <c r="F2018" s="493">
        <v>62719</v>
      </c>
      <c r="G2018" s="105" t="s">
        <v>37</v>
      </c>
      <c r="H2018" s="105" t="s">
        <v>342</v>
      </c>
      <c r="I2018" s="105" t="s">
        <v>334</v>
      </c>
      <c r="J2018" s="493">
        <v>22</v>
      </c>
      <c r="K2018" s="493">
        <v>2</v>
      </c>
      <c r="L2018" s="105" t="s">
        <v>343</v>
      </c>
      <c r="M2018" s="105" t="s">
        <v>655</v>
      </c>
      <c r="N2018" s="105" t="s">
        <v>656</v>
      </c>
      <c r="O2018" s="105" t="s">
        <v>656</v>
      </c>
      <c r="P2018" s="105" t="s">
        <v>339</v>
      </c>
      <c r="Q2018" s="494">
        <v>0</v>
      </c>
      <c r="R2018" s="494">
        <v>0</v>
      </c>
      <c r="S2018" s="494">
        <v>5758</v>
      </c>
      <c r="T2018" s="494">
        <v>5758</v>
      </c>
      <c r="U2018" s="494">
        <v>1688</v>
      </c>
      <c r="V2018" s="493">
        <v>2024</v>
      </c>
      <c r="W2018" s="495"/>
      <c r="X2018" s="496">
        <f t="shared" si="131"/>
        <v>3.4111374407582939</v>
      </c>
      <c r="Y2018" s="497" t="str">
        <f t="shared" si="132"/>
        <v/>
      </c>
      <c r="Z2018" s="497" t="str">
        <f t="shared" si="132"/>
        <v/>
      </c>
    </row>
    <row r="2019" spans="1:26" s="82" customFormat="1" ht="32" x14ac:dyDescent="0.4">
      <c r="A2019" s="493">
        <v>63398</v>
      </c>
      <c r="B2019" s="105" t="s">
        <v>329</v>
      </c>
      <c r="C2019" s="493" t="s">
        <v>330</v>
      </c>
      <c r="D2019" s="105" t="s">
        <v>2366</v>
      </c>
      <c r="E2019" s="105" t="s">
        <v>2367</v>
      </c>
      <c r="F2019" s="493">
        <v>63163</v>
      </c>
      <c r="G2019" s="105" t="s">
        <v>33</v>
      </c>
      <c r="H2019" s="105" t="s">
        <v>342</v>
      </c>
      <c r="I2019" s="105" t="s">
        <v>334</v>
      </c>
      <c r="J2019" s="493">
        <v>22</v>
      </c>
      <c r="K2019" s="493">
        <v>2</v>
      </c>
      <c r="L2019" s="105" t="s">
        <v>343</v>
      </c>
      <c r="M2019" s="105" t="s">
        <v>403</v>
      </c>
      <c r="N2019" s="105" t="s">
        <v>404</v>
      </c>
      <c r="O2019" s="105" t="s">
        <v>232</v>
      </c>
      <c r="P2019" s="105" t="s">
        <v>346</v>
      </c>
      <c r="Q2019" s="494">
        <v>1305</v>
      </c>
      <c r="R2019" s="494">
        <v>1305</v>
      </c>
      <c r="S2019" s="494">
        <v>0</v>
      </c>
      <c r="T2019" s="494">
        <v>0</v>
      </c>
      <c r="U2019" s="494">
        <v>-170</v>
      </c>
      <c r="V2019" s="493">
        <v>2024</v>
      </c>
      <c r="W2019" s="495"/>
      <c r="X2019" s="496" t="str">
        <f t="shared" si="131"/>
        <v/>
      </c>
      <c r="Y2019" s="497" t="str">
        <f t="shared" si="132"/>
        <v/>
      </c>
      <c r="Z2019" s="497" t="str">
        <f t="shared" si="132"/>
        <v/>
      </c>
    </row>
    <row r="2020" spans="1:26" s="82" customFormat="1" ht="32" x14ac:dyDescent="0.4">
      <c r="A2020" s="493">
        <v>63398</v>
      </c>
      <c r="B2020" s="105" t="s">
        <v>329</v>
      </c>
      <c r="C2020" s="493" t="s">
        <v>330</v>
      </c>
      <c r="D2020" s="105" t="s">
        <v>2366</v>
      </c>
      <c r="E2020" s="105" t="s">
        <v>2367</v>
      </c>
      <c r="F2020" s="493">
        <v>63163</v>
      </c>
      <c r="G2020" s="105" t="s">
        <v>33</v>
      </c>
      <c r="H2020" s="105" t="s">
        <v>342</v>
      </c>
      <c r="I2020" s="105" t="s">
        <v>334</v>
      </c>
      <c r="J2020" s="493">
        <v>22</v>
      </c>
      <c r="K2020" s="493">
        <v>2</v>
      </c>
      <c r="L2020" s="105" t="s">
        <v>343</v>
      </c>
      <c r="M2020" s="105" t="s">
        <v>655</v>
      </c>
      <c r="N2020" s="105" t="s">
        <v>656</v>
      </c>
      <c r="O2020" s="105" t="s">
        <v>656</v>
      </c>
      <c r="P2020" s="105" t="s">
        <v>339</v>
      </c>
      <c r="Q2020" s="494">
        <v>0</v>
      </c>
      <c r="R2020" s="494">
        <v>0</v>
      </c>
      <c r="S2020" s="494">
        <v>18954</v>
      </c>
      <c r="T2020" s="494">
        <v>18954</v>
      </c>
      <c r="U2020" s="494">
        <v>5555</v>
      </c>
      <c r="V2020" s="493">
        <v>2024</v>
      </c>
      <c r="W2020" s="495"/>
      <c r="X2020" s="496">
        <f t="shared" si="131"/>
        <v>3.4120612061206121</v>
      </c>
      <c r="Y2020" s="497" t="str">
        <f t="shared" si="132"/>
        <v/>
      </c>
      <c r="Z2020" s="497" t="str">
        <f t="shared" si="132"/>
        <v/>
      </c>
    </row>
    <row r="2021" spans="1:26" s="82" customFormat="1" x14ac:dyDescent="0.4">
      <c r="A2021" s="493">
        <v>63405</v>
      </c>
      <c r="B2021" s="105" t="s">
        <v>329</v>
      </c>
      <c r="C2021" s="493" t="s">
        <v>330</v>
      </c>
      <c r="D2021" s="105" t="s">
        <v>2368</v>
      </c>
      <c r="E2021" s="105" t="s">
        <v>1606</v>
      </c>
      <c r="F2021" s="493">
        <v>61227</v>
      </c>
      <c r="G2021" s="105" t="s">
        <v>52</v>
      </c>
      <c r="H2021" s="105" t="s">
        <v>333</v>
      </c>
      <c r="I2021" s="105" t="s">
        <v>334</v>
      </c>
      <c r="J2021" s="493">
        <v>22</v>
      </c>
      <c r="K2021" s="493">
        <v>2</v>
      </c>
      <c r="L2021" s="105" t="s">
        <v>343</v>
      </c>
      <c r="M2021" s="105" t="s">
        <v>655</v>
      </c>
      <c r="N2021" s="105" t="s">
        <v>656</v>
      </c>
      <c r="O2021" s="105" t="s">
        <v>656</v>
      </c>
      <c r="P2021" s="105" t="s">
        <v>339</v>
      </c>
      <c r="Q2021" s="494">
        <v>0</v>
      </c>
      <c r="R2021" s="494">
        <v>0</v>
      </c>
      <c r="S2021" s="494">
        <v>10464</v>
      </c>
      <c r="T2021" s="494">
        <v>10464</v>
      </c>
      <c r="U2021" s="494">
        <v>3067</v>
      </c>
      <c r="V2021" s="493">
        <v>2024</v>
      </c>
      <c r="W2021" s="495"/>
      <c r="X2021" s="496">
        <f t="shared" si="131"/>
        <v>3.4118030648842517</v>
      </c>
      <c r="Y2021" s="497" t="str">
        <f t="shared" si="132"/>
        <v/>
      </c>
      <c r="Z2021" s="497" t="str">
        <f t="shared" si="132"/>
        <v/>
      </c>
    </row>
    <row r="2022" spans="1:26" s="82" customFormat="1" x14ac:dyDescent="0.4">
      <c r="A2022" s="493">
        <v>63407</v>
      </c>
      <c r="B2022" s="105" t="s">
        <v>329</v>
      </c>
      <c r="C2022" s="493" t="s">
        <v>330</v>
      </c>
      <c r="D2022" s="105" t="s">
        <v>2369</v>
      </c>
      <c r="E2022" s="105" t="s">
        <v>2370</v>
      </c>
      <c r="F2022" s="493">
        <v>62923</v>
      </c>
      <c r="G2022" s="105" t="s">
        <v>52</v>
      </c>
      <c r="H2022" s="105" t="s">
        <v>333</v>
      </c>
      <c r="I2022" s="105" t="s">
        <v>334</v>
      </c>
      <c r="J2022" s="493">
        <v>22</v>
      </c>
      <c r="K2022" s="493">
        <v>2</v>
      </c>
      <c r="L2022" s="105" t="s">
        <v>343</v>
      </c>
      <c r="M2022" s="105" t="s">
        <v>655</v>
      </c>
      <c r="N2022" s="105" t="s">
        <v>656</v>
      </c>
      <c r="O2022" s="105" t="s">
        <v>656</v>
      </c>
      <c r="P2022" s="105" t="s">
        <v>339</v>
      </c>
      <c r="Q2022" s="494">
        <v>0</v>
      </c>
      <c r="R2022" s="494">
        <v>0</v>
      </c>
      <c r="S2022" s="494">
        <v>8453</v>
      </c>
      <c r="T2022" s="494">
        <v>8453</v>
      </c>
      <c r="U2022" s="494">
        <v>2477</v>
      </c>
      <c r="V2022" s="493">
        <v>2024</v>
      </c>
      <c r="W2022" s="495"/>
      <c r="X2022" s="496">
        <f t="shared" si="131"/>
        <v>3.4125958821154621</v>
      </c>
      <c r="Y2022" s="497" t="str">
        <f t="shared" si="132"/>
        <v/>
      </c>
      <c r="Z2022" s="497" t="str">
        <f t="shared" si="132"/>
        <v/>
      </c>
    </row>
    <row r="2023" spans="1:26" s="82" customFormat="1" x14ac:dyDescent="0.4">
      <c r="A2023" s="493">
        <v>63408</v>
      </c>
      <c r="B2023" s="105" t="s">
        <v>329</v>
      </c>
      <c r="C2023" s="493" t="s">
        <v>330</v>
      </c>
      <c r="D2023" s="105" t="s">
        <v>2371</v>
      </c>
      <c r="E2023" s="105" t="s">
        <v>2370</v>
      </c>
      <c r="F2023" s="493">
        <v>62923</v>
      </c>
      <c r="G2023" s="105" t="s">
        <v>52</v>
      </c>
      <c r="H2023" s="105" t="s">
        <v>333</v>
      </c>
      <c r="I2023" s="105" t="s">
        <v>334</v>
      </c>
      <c r="J2023" s="493">
        <v>22</v>
      </c>
      <c r="K2023" s="493">
        <v>2</v>
      </c>
      <c r="L2023" s="105" t="s">
        <v>343</v>
      </c>
      <c r="M2023" s="105" t="s">
        <v>655</v>
      </c>
      <c r="N2023" s="105" t="s">
        <v>656</v>
      </c>
      <c r="O2023" s="105" t="s">
        <v>656</v>
      </c>
      <c r="P2023" s="105" t="s">
        <v>339</v>
      </c>
      <c r="Q2023" s="494">
        <v>0</v>
      </c>
      <c r="R2023" s="494">
        <v>0</v>
      </c>
      <c r="S2023" s="494">
        <v>8179</v>
      </c>
      <c r="T2023" s="494">
        <v>8179</v>
      </c>
      <c r="U2023" s="494">
        <v>2397</v>
      </c>
      <c r="V2023" s="493">
        <v>2024</v>
      </c>
      <c r="W2023" s="495"/>
      <c r="X2023" s="496">
        <f t="shared" si="131"/>
        <v>3.4121818940342092</v>
      </c>
      <c r="Y2023" s="497" t="str">
        <f t="shared" si="132"/>
        <v/>
      </c>
      <c r="Z2023" s="497" t="str">
        <f t="shared" si="132"/>
        <v/>
      </c>
    </row>
    <row r="2024" spans="1:26" s="82" customFormat="1" x14ac:dyDescent="0.4">
      <c r="A2024" s="493">
        <v>63409</v>
      </c>
      <c r="B2024" s="105" t="s">
        <v>329</v>
      </c>
      <c r="C2024" s="493" t="s">
        <v>330</v>
      </c>
      <c r="D2024" s="105" t="s">
        <v>2372</v>
      </c>
      <c r="E2024" s="105" t="s">
        <v>2370</v>
      </c>
      <c r="F2024" s="493">
        <v>62923</v>
      </c>
      <c r="G2024" s="105" t="s">
        <v>52</v>
      </c>
      <c r="H2024" s="105" t="s">
        <v>333</v>
      </c>
      <c r="I2024" s="105" t="s">
        <v>334</v>
      </c>
      <c r="J2024" s="493">
        <v>22</v>
      </c>
      <c r="K2024" s="493">
        <v>2</v>
      </c>
      <c r="L2024" s="105" t="s">
        <v>343</v>
      </c>
      <c r="M2024" s="105" t="s">
        <v>655</v>
      </c>
      <c r="N2024" s="105" t="s">
        <v>656</v>
      </c>
      <c r="O2024" s="105" t="s">
        <v>656</v>
      </c>
      <c r="P2024" s="105" t="s">
        <v>339</v>
      </c>
      <c r="Q2024" s="494">
        <v>0</v>
      </c>
      <c r="R2024" s="494">
        <v>0</v>
      </c>
      <c r="S2024" s="494">
        <v>6006</v>
      </c>
      <c r="T2024" s="494">
        <v>6006</v>
      </c>
      <c r="U2024" s="494">
        <v>1760</v>
      </c>
      <c r="V2024" s="493">
        <v>2024</v>
      </c>
      <c r="W2024" s="495"/>
      <c r="X2024" s="496">
        <f t="shared" si="131"/>
        <v>3.4125000000000001</v>
      </c>
      <c r="Y2024" s="497" t="str">
        <f t="shared" si="132"/>
        <v/>
      </c>
      <c r="Z2024" s="497" t="str">
        <f t="shared" si="132"/>
        <v/>
      </c>
    </row>
    <row r="2025" spans="1:26" s="82" customFormat="1" x14ac:dyDescent="0.4">
      <c r="A2025" s="493">
        <v>63410</v>
      </c>
      <c r="B2025" s="105" t="s">
        <v>329</v>
      </c>
      <c r="C2025" s="493" t="s">
        <v>330</v>
      </c>
      <c r="D2025" s="105" t="s">
        <v>2373</v>
      </c>
      <c r="E2025" s="105" t="s">
        <v>2370</v>
      </c>
      <c r="F2025" s="493">
        <v>62923</v>
      </c>
      <c r="G2025" s="105" t="s">
        <v>52</v>
      </c>
      <c r="H2025" s="105" t="s">
        <v>333</v>
      </c>
      <c r="I2025" s="105" t="s">
        <v>334</v>
      </c>
      <c r="J2025" s="493">
        <v>22</v>
      </c>
      <c r="K2025" s="493">
        <v>2</v>
      </c>
      <c r="L2025" s="105" t="s">
        <v>343</v>
      </c>
      <c r="M2025" s="105" t="s">
        <v>655</v>
      </c>
      <c r="N2025" s="105" t="s">
        <v>656</v>
      </c>
      <c r="O2025" s="105" t="s">
        <v>656</v>
      </c>
      <c r="P2025" s="105" t="s">
        <v>339</v>
      </c>
      <c r="Q2025" s="494">
        <v>0</v>
      </c>
      <c r="R2025" s="494">
        <v>0</v>
      </c>
      <c r="S2025" s="494">
        <v>5811</v>
      </c>
      <c r="T2025" s="494">
        <v>5811</v>
      </c>
      <c r="U2025" s="494">
        <v>1703</v>
      </c>
      <c r="V2025" s="493">
        <v>2024</v>
      </c>
      <c r="W2025" s="495"/>
      <c r="X2025" s="496">
        <f t="shared" si="131"/>
        <v>3.4122137404580153</v>
      </c>
      <c r="Y2025" s="497" t="str">
        <f t="shared" si="132"/>
        <v/>
      </c>
      <c r="Z2025" s="497" t="str">
        <f t="shared" si="132"/>
        <v/>
      </c>
    </row>
    <row r="2026" spans="1:26" s="82" customFormat="1" x14ac:dyDescent="0.4">
      <c r="A2026" s="493">
        <v>63411</v>
      </c>
      <c r="B2026" s="105" t="s">
        <v>329</v>
      </c>
      <c r="C2026" s="493" t="s">
        <v>330</v>
      </c>
      <c r="D2026" s="105" t="s">
        <v>2374</v>
      </c>
      <c r="E2026" s="105" t="s">
        <v>1448</v>
      </c>
      <c r="F2026" s="493">
        <v>61012</v>
      </c>
      <c r="G2026" s="105" t="s">
        <v>52</v>
      </c>
      <c r="H2026" s="105" t="s">
        <v>333</v>
      </c>
      <c r="I2026" s="105" t="s">
        <v>334</v>
      </c>
      <c r="J2026" s="493">
        <v>22</v>
      </c>
      <c r="K2026" s="493">
        <v>2</v>
      </c>
      <c r="L2026" s="105" t="s">
        <v>343</v>
      </c>
      <c r="M2026" s="105" t="s">
        <v>655</v>
      </c>
      <c r="N2026" s="105" t="s">
        <v>656</v>
      </c>
      <c r="O2026" s="105" t="s">
        <v>656</v>
      </c>
      <c r="P2026" s="105" t="s">
        <v>339</v>
      </c>
      <c r="Q2026" s="494">
        <v>0</v>
      </c>
      <c r="R2026" s="494">
        <v>0</v>
      </c>
      <c r="S2026" s="494">
        <v>15659</v>
      </c>
      <c r="T2026" s="494">
        <v>15659</v>
      </c>
      <c r="U2026" s="494">
        <v>4590</v>
      </c>
      <c r="V2026" s="493">
        <v>2024</v>
      </c>
      <c r="W2026" s="495"/>
      <c r="X2026" s="496">
        <f t="shared" si="131"/>
        <v>3.4115468409586058</v>
      </c>
      <c r="Y2026" s="497" t="str">
        <f t="shared" si="132"/>
        <v/>
      </c>
      <c r="Z2026" s="497" t="str">
        <f t="shared" si="132"/>
        <v/>
      </c>
    </row>
    <row r="2027" spans="1:26" s="82" customFormat="1" x14ac:dyDescent="0.4">
      <c r="A2027" s="493">
        <v>63415</v>
      </c>
      <c r="B2027" s="105" t="s">
        <v>329</v>
      </c>
      <c r="C2027" s="493" t="s">
        <v>330</v>
      </c>
      <c r="D2027" s="105" t="s">
        <v>2375</v>
      </c>
      <c r="E2027" s="105" t="s">
        <v>1448</v>
      </c>
      <c r="F2027" s="493">
        <v>61012</v>
      </c>
      <c r="G2027" s="105" t="s">
        <v>52</v>
      </c>
      <c r="H2027" s="105" t="s">
        <v>333</v>
      </c>
      <c r="I2027" s="105" t="s">
        <v>334</v>
      </c>
      <c r="J2027" s="493">
        <v>22</v>
      </c>
      <c r="K2027" s="493">
        <v>2</v>
      </c>
      <c r="L2027" s="105" t="s">
        <v>343</v>
      </c>
      <c r="M2027" s="105" t="s">
        <v>403</v>
      </c>
      <c r="N2027" s="105" t="s">
        <v>404</v>
      </c>
      <c r="O2027" s="105" t="s">
        <v>232</v>
      </c>
      <c r="P2027" s="105" t="s">
        <v>346</v>
      </c>
      <c r="Q2027" s="494">
        <v>0</v>
      </c>
      <c r="R2027" s="494">
        <v>0</v>
      </c>
      <c r="S2027" s="494">
        <v>0</v>
      </c>
      <c r="T2027" s="494">
        <v>0</v>
      </c>
      <c r="U2027" s="494">
        <v>0</v>
      </c>
      <c r="V2027" s="493">
        <v>2024</v>
      </c>
      <c r="W2027" s="495"/>
      <c r="X2027" s="496" t="str">
        <f t="shared" si="131"/>
        <v/>
      </c>
      <c r="Y2027" s="497" t="str">
        <f t="shared" si="132"/>
        <v/>
      </c>
      <c r="Z2027" s="497" t="str">
        <f t="shared" si="132"/>
        <v/>
      </c>
    </row>
    <row r="2028" spans="1:26" s="82" customFormat="1" x14ac:dyDescent="0.4">
      <c r="A2028" s="493">
        <v>63415</v>
      </c>
      <c r="B2028" s="105" t="s">
        <v>329</v>
      </c>
      <c r="C2028" s="493" t="s">
        <v>330</v>
      </c>
      <c r="D2028" s="105" t="s">
        <v>2375</v>
      </c>
      <c r="E2028" s="105" t="s">
        <v>1448</v>
      </c>
      <c r="F2028" s="493">
        <v>61012</v>
      </c>
      <c r="G2028" s="105" t="s">
        <v>52</v>
      </c>
      <c r="H2028" s="105" t="s">
        <v>333</v>
      </c>
      <c r="I2028" s="105" t="s">
        <v>334</v>
      </c>
      <c r="J2028" s="493">
        <v>22</v>
      </c>
      <c r="K2028" s="493">
        <v>2</v>
      </c>
      <c r="L2028" s="105" t="s">
        <v>343</v>
      </c>
      <c r="M2028" s="105" t="s">
        <v>655</v>
      </c>
      <c r="N2028" s="105" t="s">
        <v>656</v>
      </c>
      <c r="O2028" s="105" t="s">
        <v>656</v>
      </c>
      <c r="P2028" s="105" t="s">
        <v>339</v>
      </c>
      <c r="Q2028" s="494">
        <v>0</v>
      </c>
      <c r="R2028" s="494">
        <v>0</v>
      </c>
      <c r="S2028" s="494">
        <v>8212</v>
      </c>
      <c r="T2028" s="494">
        <v>8212</v>
      </c>
      <c r="U2028" s="494">
        <v>2407</v>
      </c>
      <c r="V2028" s="493">
        <v>2024</v>
      </c>
      <c r="W2028" s="495"/>
      <c r="X2028" s="496">
        <f t="shared" si="131"/>
        <v>3.4117158288325715</v>
      </c>
      <c r="Y2028" s="497" t="str">
        <f t="shared" ref="Y2028:Z2047" si="133">IF(AND($M2028=$Y$2,$N2028=$Y$3,NOT($Q2028=$R2028),NOT($U2028=0)),IF($K2028=5,$S2028/($U2028+(8/5)*$U2028),IF($K2028=7,$S2028/($U2028+(29/25)*$U2028),"")),"")</f>
        <v/>
      </c>
      <c r="Z2028" s="497" t="str">
        <f t="shared" si="133"/>
        <v/>
      </c>
    </row>
    <row r="2029" spans="1:26" s="82" customFormat="1" ht="32" x14ac:dyDescent="0.4">
      <c r="A2029" s="493">
        <v>63450</v>
      </c>
      <c r="B2029" s="105" t="s">
        <v>329</v>
      </c>
      <c r="C2029" s="493" t="s">
        <v>330</v>
      </c>
      <c r="D2029" s="105" t="s">
        <v>2376</v>
      </c>
      <c r="E2029" s="105" t="s">
        <v>1452</v>
      </c>
      <c r="F2029" s="493">
        <v>58871</v>
      </c>
      <c r="G2029" s="105" t="s">
        <v>52</v>
      </c>
      <c r="H2029" s="105" t="s">
        <v>333</v>
      </c>
      <c r="I2029" s="105" t="s">
        <v>334</v>
      </c>
      <c r="J2029" s="493">
        <v>22</v>
      </c>
      <c r="K2029" s="493">
        <v>2</v>
      </c>
      <c r="L2029" s="105" t="s">
        <v>343</v>
      </c>
      <c r="M2029" s="105" t="s">
        <v>655</v>
      </c>
      <c r="N2029" s="105" t="s">
        <v>656</v>
      </c>
      <c r="O2029" s="105" t="s">
        <v>656</v>
      </c>
      <c r="P2029" s="105" t="s">
        <v>339</v>
      </c>
      <c r="Q2029" s="494">
        <v>0</v>
      </c>
      <c r="R2029" s="494">
        <v>0</v>
      </c>
      <c r="S2029" s="494">
        <v>22175</v>
      </c>
      <c r="T2029" s="494">
        <v>22175</v>
      </c>
      <c r="U2029" s="494">
        <v>6499</v>
      </c>
      <c r="V2029" s="493">
        <v>2024</v>
      </c>
      <c r="W2029" s="495"/>
      <c r="X2029" s="496">
        <f t="shared" si="131"/>
        <v>3.4120633943683645</v>
      </c>
      <c r="Y2029" s="497" t="str">
        <f t="shared" si="133"/>
        <v/>
      </c>
      <c r="Z2029" s="497" t="str">
        <f t="shared" si="133"/>
        <v/>
      </c>
    </row>
    <row r="2030" spans="1:26" s="82" customFormat="1" x14ac:dyDescent="0.4">
      <c r="A2030" s="493">
        <v>63468</v>
      </c>
      <c r="B2030" s="105" t="s">
        <v>329</v>
      </c>
      <c r="C2030" s="493" t="s">
        <v>330</v>
      </c>
      <c r="D2030" s="105" t="s">
        <v>2377</v>
      </c>
      <c r="E2030" s="105" t="s">
        <v>1448</v>
      </c>
      <c r="F2030" s="493">
        <v>61012</v>
      </c>
      <c r="G2030" s="105" t="s">
        <v>33</v>
      </c>
      <c r="H2030" s="105" t="s">
        <v>342</v>
      </c>
      <c r="I2030" s="105" t="s">
        <v>334</v>
      </c>
      <c r="J2030" s="493">
        <v>22</v>
      </c>
      <c r="K2030" s="493">
        <v>2</v>
      </c>
      <c r="L2030" s="105" t="s">
        <v>343</v>
      </c>
      <c r="M2030" s="105" t="s">
        <v>403</v>
      </c>
      <c r="N2030" s="105" t="s">
        <v>404</v>
      </c>
      <c r="O2030" s="105" t="s">
        <v>232</v>
      </c>
      <c r="P2030" s="105" t="s">
        <v>346</v>
      </c>
      <c r="Q2030" s="494">
        <v>393</v>
      </c>
      <c r="R2030" s="494">
        <v>393</v>
      </c>
      <c r="S2030" s="494">
        <v>0</v>
      </c>
      <c r="T2030" s="494">
        <v>0</v>
      </c>
      <c r="U2030" s="494">
        <v>-202</v>
      </c>
      <c r="V2030" s="493">
        <v>2024</v>
      </c>
      <c r="W2030" s="495"/>
      <c r="X2030" s="496" t="str">
        <f t="shared" si="131"/>
        <v/>
      </c>
      <c r="Y2030" s="497" t="str">
        <f t="shared" si="133"/>
        <v/>
      </c>
      <c r="Z2030" s="497" t="str">
        <f t="shared" si="133"/>
        <v/>
      </c>
    </row>
    <row r="2031" spans="1:26" s="82" customFormat="1" x14ac:dyDescent="0.4">
      <c r="A2031" s="493">
        <v>63468</v>
      </c>
      <c r="B2031" s="105" t="s">
        <v>329</v>
      </c>
      <c r="C2031" s="493" t="s">
        <v>330</v>
      </c>
      <c r="D2031" s="105" t="s">
        <v>2377</v>
      </c>
      <c r="E2031" s="105" t="s">
        <v>1448</v>
      </c>
      <c r="F2031" s="493">
        <v>61012</v>
      </c>
      <c r="G2031" s="105" t="s">
        <v>33</v>
      </c>
      <c r="H2031" s="105" t="s">
        <v>342</v>
      </c>
      <c r="I2031" s="105" t="s">
        <v>334</v>
      </c>
      <c r="J2031" s="493">
        <v>22</v>
      </c>
      <c r="K2031" s="493">
        <v>2</v>
      </c>
      <c r="L2031" s="105" t="s">
        <v>343</v>
      </c>
      <c r="M2031" s="105" t="s">
        <v>655</v>
      </c>
      <c r="N2031" s="105" t="s">
        <v>656</v>
      </c>
      <c r="O2031" s="105" t="s">
        <v>656</v>
      </c>
      <c r="P2031" s="105" t="s">
        <v>339</v>
      </c>
      <c r="Q2031" s="494">
        <v>0</v>
      </c>
      <c r="R2031" s="494">
        <v>0</v>
      </c>
      <c r="S2031" s="494">
        <v>11013</v>
      </c>
      <c r="T2031" s="494">
        <v>11013</v>
      </c>
      <c r="U2031" s="494">
        <v>3228</v>
      </c>
      <c r="V2031" s="493">
        <v>2024</v>
      </c>
      <c r="W2031" s="495"/>
      <c r="X2031" s="496">
        <f t="shared" si="131"/>
        <v>3.4117100371747213</v>
      </c>
      <c r="Y2031" s="497" t="str">
        <f t="shared" si="133"/>
        <v/>
      </c>
      <c r="Z2031" s="497" t="str">
        <f t="shared" si="133"/>
        <v/>
      </c>
    </row>
    <row r="2032" spans="1:26" s="82" customFormat="1" x14ac:dyDescent="0.4">
      <c r="A2032" s="493">
        <v>63469</v>
      </c>
      <c r="B2032" s="105" t="s">
        <v>329</v>
      </c>
      <c r="C2032" s="493" t="s">
        <v>330</v>
      </c>
      <c r="D2032" s="105" t="s">
        <v>2378</v>
      </c>
      <c r="E2032" s="105" t="s">
        <v>1448</v>
      </c>
      <c r="F2032" s="493">
        <v>61012</v>
      </c>
      <c r="G2032" s="105" t="s">
        <v>33</v>
      </c>
      <c r="H2032" s="105" t="s">
        <v>342</v>
      </c>
      <c r="I2032" s="105" t="s">
        <v>334</v>
      </c>
      <c r="J2032" s="493">
        <v>22</v>
      </c>
      <c r="K2032" s="493">
        <v>2</v>
      </c>
      <c r="L2032" s="105" t="s">
        <v>343</v>
      </c>
      <c r="M2032" s="105" t="s">
        <v>403</v>
      </c>
      <c r="N2032" s="105" t="s">
        <v>404</v>
      </c>
      <c r="O2032" s="105" t="s">
        <v>232</v>
      </c>
      <c r="P2032" s="105" t="s">
        <v>346</v>
      </c>
      <c r="Q2032" s="494">
        <v>342</v>
      </c>
      <c r="R2032" s="494">
        <v>342</v>
      </c>
      <c r="S2032" s="494">
        <v>0</v>
      </c>
      <c r="T2032" s="494">
        <v>0</v>
      </c>
      <c r="U2032" s="494">
        <v>-26</v>
      </c>
      <c r="V2032" s="493">
        <v>2024</v>
      </c>
      <c r="W2032" s="495"/>
      <c r="X2032" s="496" t="str">
        <f t="shared" si="131"/>
        <v/>
      </c>
      <c r="Y2032" s="497" t="str">
        <f t="shared" si="133"/>
        <v/>
      </c>
      <c r="Z2032" s="497" t="str">
        <f t="shared" si="133"/>
        <v/>
      </c>
    </row>
    <row r="2033" spans="1:26" s="82" customFormat="1" x14ac:dyDescent="0.4">
      <c r="A2033" s="493">
        <v>63469</v>
      </c>
      <c r="B2033" s="105" t="s">
        <v>329</v>
      </c>
      <c r="C2033" s="493" t="s">
        <v>330</v>
      </c>
      <c r="D2033" s="105" t="s">
        <v>2378</v>
      </c>
      <c r="E2033" s="105" t="s">
        <v>1448</v>
      </c>
      <c r="F2033" s="493">
        <v>61012</v>
      </c>
      <c r="G2033" s="105" t="s">
        <v>33</v>
      </c>
      <c r="H2033" s="105" t="s">
        <v>342</v>
      </c>
      <c r="I2033" s="105" t="s">
        <v>334</v>
      </c>
      <c r="J2033" s="493">
        <v>22</v>
      </c>
      <c r="K2033" s="493">
        <v>2</v>
      </c>
      <c r="L2033" s="105" t="s">
        <v>343</v>
      </c>
      <c r="M2033" s="105" t="s">
        <v>655</v>
      </c>
      <c r="N2033" s="105" t="s">
        <v>656</v>
      </c>
      <c r="O2033" s="105" t="s">
        <v>656</v>
      </c>
      <c r="P2033" s="105" t="s">
        <v>339</v>
      </c>
      <c r="Q2033" s="494">
        <v>0</v>
      </c>
      <c r="R2033" s="494">
        <v>0</v>
      </c>
      <c r="S2033" s="494">
        <v>12522</v>
      </c>
      <c r="T2033" s="494">
        <v>12522</v>
      </c>
      <c r="U2033" s="494">
        <v>3670</v>
      </c>
      <c r="V2033" s="493">
        <v>2024</v>
      </c>
      <c r="W2033" s="495"/>
      <c r="X2033" s="496">
        <f t="shared" si="131"/>
        <v>3.4119891008174386</v>
      </c>
      <c r="Y2033" s="497" t="str">
        <f t="shared" si="133"/>
        <v/>
      </c>
      <c r="Z2033" s="497" t="str">
        <f t="shared" si="133"/>
        <v/>
      </c>
    </row>
    <row r="2034" spans="1:26" s="82" customFormat="1" x14ac:dyDescent="0.4">
      <c r="A2034" s="493">
        <v>63470</v>
      </c>
      <c r="B2034" s="105" t="s">
        <v>329</v>
      </c>
      <c r="C2034" s="493" t="s">
        <v>330</v>
      </c>
      <c r="D2034" s="105" t="s">
        <v>2379</v>
      </c>
      <c r="E2034" s="105" t="s">
        <v>1448</v>
      </c>
      <c r="F2034" s="493">
        <v>61012</v>
      </c>
      <c r="G2034" s="105" t="s">
        <v>33</v>
      </c>
      <c r="H2034" s="105" t="s">
        <v>342</v>
      </c>
      <c r="I2034" s="105" t="s">
        <v>334</v>
      </c>
      <c r="J2034" s="493">
        <v>22</v>
      </c>
      <c r="K2034" s="493">
        <v>2</v>
      </c>
      <c r="L2034" s="105" t="s">
        <v>343</v>
      </c>
      <c r="M2034" s="105" t="s">
        <v>403</v>
      </c>
      <c r="N2034" s="105" t="s">
        <v>404</v>
      </c>
      <c r="O2034" s="105" t="s">
        <v>232</v>
      </c>
      <c r="P2034" s="105" t="s">
        <v>346</v>
      </c>
      <c r="Q2034" s="494">
        <v>464</v>
      </c>
      <c r="R2034" s="494">
        <v>464</v>
      </c>
      <c r="S2034" s="494">
        <v>0</v>
      </c>
      <c r="T2034" s="494">
        <v>0</v>
      </c>
      <c r="U2034" s="494">
        <v>-23</v>
      </c>
      <c r="V2034" s="493">
        <v>2024</v>
      </c>
      <c r="W2034" s="495"/>
      <c r="X2034" s="496" t="str">
        <f t="shared" si="131"/>
        <v/>
      </c>
      <c r="Y2034" s="497" t="str">
        <f t="shared" si="133"/>
        <v/>
      </c>
      <c r="Z2034" s="497" t="str">
        <f t="shared" si="133"/>
        <v/>
      </c>
    </row>
    <row r="2035" spans="1:26" s="82" customFormat="1" x14ac:dyDescent="0.4">
      <c r="A2035" s="493">
        <v>63470</v>
      </c>
      <c r="B2035" s="105" t="s">
        <v>329</v>
      </c>
      <c r="C2035" s="493" t="s">
        <v>330</v>
      </c>
      <c r="D2035" s="105" t="s">
        <v>2379</v>
      </c>
      <c r="E2035" s="105" t="s">
        <v>1448</v>
      </c>
      <c r="F2035" s="493">
        <v>61012</v>
      </c>
      <c r="G2035" s="105" t="s">
        <v>33</v>
      </c>
      <c r="H2035" s="105" t="s">
        <v>342</v>
      </c>
      <c r="I2035" s="105" t="s">
        <v>334</v>
      </c>
      <c r="J2035" s="493">
        <v>22</v>
      </c>
      <c r="K2035" s="493">
        <v>2</v>
      </c>
      <c r="L2035" s="105" t="s">
        <v>343</v>
      </c>
      <c r="M2035" s="105" t="s">
        <v>655</v>
      </c>
      <c r="N2035" s="105" t="s">
        <v>656</v>
      </c>
      <c r="O2035" s="105" t="s">
        <v>656</v>
      </c>
      <c r="P2035" s="105" t="s">
        <v>339</v>
      </c>
      <c r="Q2035" s="494">
        <v>0</v>
      </c>
      <c r="R2035" s="494">
        <v>0</v>
      </c>
      <c r="S2035" s="494">
        <v>25585</v>
      </c>
      <c r="T2035" s="494">
        <v>25585</v>
      </c>
      <c r="U2035" s="494">
        <v>7499</v>
      </c>
      <c r="V2035" s="493">
        <v>2024</v>
      </c>
      <c r="W2035" s="495"/>
      <c r="X2035" s="496">
        <f t="shared" si="131"/>
        <v>3.4117882384317908</v>
      </c>
      <c r="Y2035" s="497" t="str">
        <f t="shared" si="133"/>
        <v/>
      </c>
      <c r="Z2035" s="497" t="str">
        <f t="shared" si="133"/>
        <v/>
      </c>
    </row>
    <row r="2036" spans="1:26" s="82" customFormat="1" x14ac:dyDescent="0.4">
      <c r="A2036" s="493">
        <v>63472</v>
      </c>
      <c r="B2036" s="105" t="s">
        <v>329</v>
      </c>
      <c r="C2036" s="493" t="s">
        <v>330</v>
      </c>
      <c r="D2036" s="105" t="s">
        <v>2380</v>
      </c>
      <c r="E2036" s="105" t="s">
        <v>1448</v>
      </c>
      <c r="F2036" s="493">
        <v>61012</v>
      </c>
      <c r="G2036" s="105" t="s">
        <v>33</v>
      </c>
      <c r="H2036" s="105" t="s">
        <v>342</v>
      </c>
      <c r="I2036" s="105" t="s">
        <v>334</v>
      </c>
      <c r="J2036" s="493">
        <v>22</v>
      </c>
      <c r="K2036" s="493">
        <v>2</v>
      </c>
      <c r="L2036" s="105" t="s">
        <v>343</v>
      </c>
      <c r="M2036" s="105" t="s">
        <v>403</v>
      </c>
      <c r="N2036" s="105" t="s">
        <v>404</v>
      </c>
      <c r="O2036" s="105" t="s">
        <v>232</v>
      </c>
      <c r="P2036" s="105" t="s">
        <v>346</v>
      </c>
      <c r="Q2036" s="494">
        <v>364</v>
      </c>
      <c r="R2036" s="494">
        <v>364</v>
      </c>
      <c r="S2036" s="494">
        <v>0</v>
      </c>
      <c r="T2036" s="494">
        <v>0</v>
      </c>
      <c r="U2036" s="494">
        <v>-116</v>
      </c>
      <c r="V2036" s="493">
        <v>2024</v>
      </c>
      <c r="W2036" s="495"/>
      <c r="X2036" s="496" t="str">
        <f t="shared" si="131"/>
        <v/>
      </c>
      <c r="Y2036" s="497" t="str">
        <f t="shared" si="133"/>
        <v/>
      </c>
      <c r="Z2036" s="497" t="str">
        <f t="shared" si="133"/>
        <v/>
      </c>
    </row>
    <row r="2037" spans="1:26" s="82" customFormat="1" x14ac:dyDescent="0.4">
      <c r="A2037" s="493">
        <v>63472</v>
      </c>
      <c r="B2037" s="105" t="s">
        <v>329</v>
      </c>
      <c r="C2037" s="493" t="s">
        <v>330</v>
      </c>
      <c r="D2037" s="105" t="s">
        <v>2380</v>
      </c>
      <c r="E2037" s="105" t="s">
        <v>1448</v>
      </c>
      <c r="F2037" s="493">
        <v>61012</v>
      </c>
      <c r="G2037" s="105" t="s">
        <v>33</v>
      </c>
      <c r="H2037" s="105" t="s">
        <v>342</v>
      </c>
      <c r="I2037" s="105" t="s">
        <v>334</v>
      </c>
      <c r="J2037" s="493">
        <v>22</v>
      </c>
      <c r="K2037" s="493">
        <v>2</v>
      </c>
      <c r="L2037" s="105" t="s">
        <v>343</v>
      </c>
      <c r="M2037" s="105" t="s">
        <v>655</v>
      </c>
      <c r="N2037" s="105" t="s">
        <v>656</v>
      </c>
      <c r="O2037" s="105" t="s">
        <v>656</v>
      </c>
      <c r="P2037" s="105" t="s">
        <v>339</v>
      </c>
      <c r="Q2037" s="494">
        <v>0</v>
      </c>
      <c r="R2037" s="494">
        <v>0</v>
      </c>
      <c r="S2037" s="494">
        <v>10352</v>
      </c>
      <c r="T2037" s="494">
        <v>10352</v>
      </c>
      <c r="U2037" s="494">
        <v>3034</v>
      </c>
      <c r="V2037" s="493">
        <v>2024</v>
      </c>
      <c r="W2037" s="495"/>
      <c r="X2037" s="496">
        <f t="shared" si="131"/>
        <v>3.4119973632168756</v>
      </c>
      <c r="Y2037" s="497" t="str">
        <f t="shared" si="133"/>
        <v/>
      </c>
      <c r="Z2037" s="497" t="str">
        <f t="shared" si="133"/>
        <v/>
      </c>
    </row>
    <row r="2038" spans="1:26" s="82" customFormat="1" x14ac:dyDescent="0.4">
      <c r="A2038" s="493">
        <v>63473</v>
      </c>
      <c r="B2038" s="105" t="s">
        <v>329</v>
      </c>
      <c r="C2038" s="493" t="s">
        <v>330</v>
      </c>
      <c r="D2038" s="105" t="s">
        <v>2381</v>
      </c>
      <c r="E2038" s="105" t="s">
        <v>1448</v>
      </c>
      <c r="F2038" s="493">
        <v>61012</v>
      </c>
      <c r="G2038" s="105" t="s">
        <v>33</v>
      </c>
      <c r="H2038" s="105" t="s">
        <v>342</v>
      </c>
      <c r="I2038" s="105" t="s">
        <v>334</v>
      </c>
      <c r="J2038" s="493">
        <v>22</v>
      </c>
      <c r="K2038" s="493">
        <v>2</v>
      </c>
      <c r="L2038" s="105" t="s">
        <v>343</v>
      </c>
      <c r="M2038" s="105" t="s">
        <v>403</v>
      </c>
      <c r="N2038" s="105" t="s">
        <v>404</v>
      </c>
      <c r="O2038" s="105" t="s">
        <v>232</v>
      </c>
      <c r="P2038" s="105" t="s">
        <v>346</v>
      </c>
      <c r="Q2038" s="494">
        <v>491</v>
      </c>
      <c r="R2038" s="494">
        <v>491</v>
      </c>
      <c r="S2038" s="494">
        <v>0</v>
      </c>
      <c r="T2038" s="494">
        <v>0</v>
      </c>
      <c r="U2038" s="494">
        <v>-54</v>
      </c>
      <c r="V2038" s="493">
        <v>2024</v>
      </c>
      <c r="W2038" s="495"/>
      <c r="X2038" s="496" t="str">
        <f t="shared" si="131"/>
        <v/>
      </c>
      <c r="Y2038" s="497" t="str">
        <f t="shared" si="133"/>
        <v/>
      </c>
      <c r="Z2038" s="497" t="str">
        <f t="shared" si="133"/>
        <v/>
      </c>
    </row>
    <row r="2039" spans="1:26" s="82" customFormat="1" x14ac:dyDescent="0.4">
      <c r="A2039" s="493">
        <v>63473</v>
      </c>
      <c r="B2039" s="105" t="s">
        <v>329</v>
      </c>
      <c r="C2039" s="493" t="s">
        <v>330</v>
      </c>
      <c r="D2039" s="105" t="s">
        <v>2381</v>
      </c>
      <c r="E2039" s="105" t="s">
        <v>1448</v>
      </c>
      <c r="F2039" s="493">
        <v>61012</v>
      </c>
      <c r="G2039" s="105" t="s">
        <v>33</v>
      </c>
      <c r="H2039" s="105" t="s">
        <v>342</v>
      </c>
      <c r="I2039" s="105" t="s">
        <v>334</v>
      </c>
      <c r="J2039" s="493">
        <v>22</v>
      </c>
      <c r="K2039" s="493">
        <v>2</v>
      </c>
      <c r="L2039" s="105" t="s">
        <v>343</v>
      </c>
      <c r="M2039" s="105" t="s">
        <v>655</v>
      </c>
      <c r="N2039" s="105" t="s">
        <v>656</v>
      </c>
      <c r="O2039" s="105" t="s">
        <v>656</v>
      </c>
      <c r="P2039" s="105" t="s">
        <v>339</v>
      </c>
      <c r="Q2039" s="494">
        <v>0</v>
      </c>
      <c r="R2039" s="494">
        <v>0</v>
      </c>
      <c r="S2039" s="494">
        <v>16314</v>
      </c>
      <c r="T2039" s="494">
        <v>16314</v>
      </c>
      <c r="U2039" s="494">
        <v>4781</v>
      </c>
      <c r="V2039" s="493">
        <v>2024</v>
      </c>
      <c r="W2039" s="495"/>
      <c r="X2039" s="496">
        <f t="shared" si="131"/>
        <v>3.4122568500313744</v>
      </c>
      <c r="Y2039" s="497" t="str">
        <f t="shared" si="133"/>
        <v/>
      </c>
      <c r="Z2039" s="497" t="str">
        <f t="shared" si="133"/>
        <v/>
      </c>
    </row>
    <row r="2040" spans="1:26" s="82" customFormat="1" x14ac:dyDescent="0.4">
      <c r="A2040" s="493">
        <v>63474</v>
      </c>
      <c r="B2040" s="105" t="s">
        <v>329</v>
      </c>
      <c r="C2040" s="493" t="s">
        <v>330</v>
      </c>
      <c r="D2040" s="105" t="s">
        <v>2382</v>
      </c>
      <c r="E2040" s="105" t="s">
        <v>1448</v>
      </c>
      <c r="F2040" s="493">
        <v>61012</v>
      </c>
      <c r="G2040" s="105" t="s">
        <v>33</v>
      </c>
      <c r="H2040" s="105" t="s">
        <v>342</v>
      </c>
      <c r="I2040" s="105" t="s">
        <v>334</v>
      </c>
      <c r="J2040" s="493">
        <v>22</v>
      </c>
      <c r="K2040" s="493">
        <v>2</v>
      </c>
      <c r="L2040" s="105" t="s">
        <v>343</v>
      </c>
      <c r="M2040" s="105" t="s">
        <v>403</v>
      </c>
      <c r="N2040" s="105" t="s">
        <v>404</v>
      </c>
      <c r="O2040" s="105" t="s">
        <v>232</v>
      </c>
      <c r="P2040" s="105" t="s">
        <v>346</v>
      </c>
      <c r="Q2040" s="494">
        <v>756</v>
      </c>
      <c r="R2040" s="494">
        <v>756</v>
      </c>
      <c r="S2040" s="494">
        <v>0</v>
      </c>
      <c r="T2040" s="494">
        <v>0</v>
      </c>
      <c r="U2040" s="494">
        <v>-76</v>
      </c>
      <c r="V2040" s="493">
        <v>2024</v>
      </c>
      <c r="W2040" s="495"/>
      <c r="X2040" s="496" t="str">
        <f t="shared" si="131"/>
        <v/>
      </c>
      <c r="Y2040" s="497" t="str">
        <f t="shared" si="133"/>
        <v/>
      </c>
      <c r="Z2040" s="497" t="str">
        <f t="shared" si="133"/>
        <v/>
      </c>
    </row>
    <row r="2041" spans="1:26" s="82" customFormat="1" x14ac:dyDescent="0.4">
      <c r="A2041" s="493">
        <v>63474</v>
      </c>
      <c r="B2041" s="105" t="s">
        <v>329</v>
      </c>
      <c r="C2041" s="493" t="s">
        <v>330</v>
      </c>
      <c r="D2041" s="105" t="s">
        <v>2382</v>
      </c>
      <c r="E2041" s="105" t="s">
        <v>1448</v>
      </c>
      <c r="F2041" s="493">
        <v>61012</v>
      </c>
      <c r="G2041" s="105" t="s">
        <v>33</v>
      </c>
      <c r="H2041" s="105" t="s">
        <v>342</v>
      </c>
      <c r="I2041" s="105" t="s">
        <v>334</v>
      </c>
      <c r="J2041" s="493">
        <v>22</v>
      </c>
      <c r="K2041" s="493">
        <v>2</v>
      </c>
      <c r="L2041" s="105" t="s">
        <v>343</v>
      </c>
      <c r="M2041" s="105" t="s">
        <v>655</v>
      </c>
      <c r="N2041" s="105" t="s">
        <v>656</v>
      </c>
      <c r="O2041" s="105" t="s">
        <v>656</v>
      </c>
      <c r="P2041" s="105" t="s">
        <v>339</v>
      </c>
      <c r="Q2041" s="494">
        <v>0</v>
      </c>
      <c r="R2041" s="494">
        <v>0</v>
      </c>
      <c r="S2041" s="494">
        <v>26276</v>
      </c>
      <c r="T2041" s="494">
        <v>26276</v>
      </c>
      <c r="U2041" s="494">
        <v>7701</v>
      </c>
      <c r="V2041" s="493">
        <v>2024</v>
      </c>
      <c r="W2041" s="495"/>
      <c r="X2041" s="496">
        <f t="shared" si="131"/>
        <v>3.412024412413972</v>
      </c>
      <c r="Y2041" s="497" t="str">
        <f t="shared" si="133"/>
        <v/>
      </c>
      <c r="Z2041" s="497" t="str">
        <f t="shared" si="133"/>
        <v/>
      </c>
    </row>
    <row r="2042" spans="1:26" s="82" customFormat="1" x14ac:dyDescent="0.4">
      <c r="A2042" s="493">
        <v>63475</v>
      </c>
      <c r="B2042" s="105" t="s">
        <v>329</v>
      </c>
      <c r="C2042" s="493" t="s">
        <v>330</v>
      </c>
      <c r="D2042" s="105" t="s">
        <v>2383</v>
      </c>
      <c r="E2042" s="105" t="s">
        <v>1448</v>
      </c>
      <c r="F2042" s="493">
        <v>61012</v>
      </c>
      <c r="G2042" s="105" t="s">
        <v>33</v>
      </c>
      <c r="H2042" s="105" t="s">
        <v>342</v>
      </c>
      <c r="I2042" s="105" t="s">
        <v>334</v>
      </c>
      <c r="J2042" s="493">
        <v>22</v>
      </c>
      <c r="K2042" s="493">
        <v>2</v>
      </c>
      <c r="L2042" s="105" t="s">
        <v>343</v>
      </c>
      <c r="M2042" s="105" t="s">
        <v>403</v>
      </c>
      <c r="N2042" s="105" t="s">
        <v>404</v>
      </c>
      <c r="O2042" s="105" t="s">
        <v>232</v>
      </c>
      <c r="P2042" s="105" t="s">
        <v>346</v>
      </c>
      <c r="Q2042" s="494">
        <v>602</v>
      </c>
      <c r="R2042" s="494">
        <v>602</v>
      </c>
      <c r="S2042" s="494">
        <v>0</v>
      </c>
      <c r="T2042" s="494">
        <v>0</v>
      </c>
      <c r="U2042" s="494">
        <v>-53</v>
      </c>
      <c r="V2042" s="493">
        <v>2024</v>
      </c>
      <c r="W2042" s="495"/>
      <c r="X2042" s="496" t="str">
        <f t="shared" si="131"/>
        <v/>
      </c>
      <c r="Y2042" s="497" t="str">
        <f t="shared" si="133"/>
        <v/>
      </c>
      <c r="Z2042" s="497" t="str">
        <f t="shared" si="133"/>
        <v/>
      </c>
    </row>
    <row r="2043" spans="1:26" s="82" customFormat="1" x14ac:dyDescent="0.4">
      <c r="A2043" s="493">
        <v>63475</v>
      </c>
      <c r="B2043" s="105" t="s">
        <v>329</v>
      </c>
      <c r="C2043" s="493" t="s">
        <v>330</v>
      </c>
      <c r="D2043" s="105" t="s">
        <v>2383</v>
      </c>
      <c r="E2043" s="105" t="s">
        <v>1448</v>
      </c>
      <c r="F2043" s="493">
        <v>61012</v>
      </c>
      <c r="G2043" s="105" t="s">
        <v>33</v>
      </c>
      <c r="H2043" s="105" t="s">
        <v>342</v>
      </c>
      <c r="I2043" s="105" t="s">
        <v>334</v>
      </c>
      <c r="J2043" s="493">
        <v>22</v>
      </c>
      <c r="K2043" s="493">
        <v>2</v>
      </c>
      <c r="L2043" s="105" t="s">
        <v>343</v>
      </c>
      <c r="M2043" s="105" t="s">
        <v>655</v>
      </c>
      <c r="N2043" s="105" t="s">
        <v>656</v>
      </c>
      <c r="O2043" s="105" t="s">
        <v>656</v>
      </c>
      <c r="P2043" s="105" t="s">
        <v>339</v>
      </c>
      <c r="Q2043" s="494">
        <v>0</v>
      </c>
      <c r="R2043" s="494">
        <v>0</v>
      </c>
      <c r="S2043" s="494">
        <v>27231</v>
      </c>
      <c r="T2043" s="494">
        <v>27231</v>
      </c>
      <c r="U2043" s="494">
        <v>7981</v>
      </c>
      <c r="V2043" s="493">
        <v>2024</v>
      </c>
      <c r="W2043" s="495"/>
      <c r="X2043" s="496">
        <f t="shared" si="131"/>
        <v>3.4119784488159377</v>
      </c>
      <c r="Y2043" s="497" t="str">
        <f t="shared" si="133"/>
        <v/>
      </c>
      <c r="Z2043" s="497" t="str">
        <f t="shared" si="133"/>
        <v/>
      </c>
    </row>
    <row r="2044" spans="1:26" s="82" customFormat="1" ht="32" x14ac:dyDescent="0.4">
      <c r="A2044" s="493">
        <v>63497</v>
      </c>
      <c r="B2044" s="105" t="s">
        <v>329</v>
      </c>
      <c r="C2044" s="493" t="s">
        <v>330</v>
      </c>
      <c r="D2044" s="105" t="s">
        <v>2384</v>
      </c>
      <c r="E2044" s="105" t="s">
        <v>1991</v>
      </c>
      <c r="F2044" s="493">
        <v>63970</v>
      </c>
      <c r="G2044" s="105" t="s">
        <v>52</v>
      </c>
      <c r="H2044" s="105" t="s">
        <v>333</v>
      </c>
      <c r="I2044" s="105" t="s">
        <v>334</v>
      </c>
      <c r="J2044" s="493">
        <v>22</v>
      </c>
      <c r="K2044" s="493">
        <v>2</v>
      </c>
      <c r="L2044" s="105" t="s">
        <v>343</v>
      </c>
      <c r="M2044" s="105" t="s">
        <v>655</v>
      </c>
      <c r="N2044" s="105" t="s">
        <v>656</v>
      </c>
      <c r="O2044" s="105" t="s">
        <v>656</v>
      </c>
      <c r="P2044" s="105" t="s">
        <v>339</v>
      </c>
      <c r="Q2044" s="494">
        <v>0</v>
      </c>
      <c r="R2044" s="494">
        <v>0</v>
      </c>
      <c r="S2044" s="494">
        <v>8018</v>
      </c>
      <c r="T2044" s="494">
        <v>8018</v>
      </c>
      <c r="U2044" s="494">
        <v>2350</v>
      </c>
      <c r="V2044" s="493">
        <v>2024</v>
      </c>
      <c r="W2044" s="495"/>
      <c r="X2044" s="496">
        <f t="shared" si="131"/>
        <v>3.4119148936170212</v>
      </c>
      <c r="Y2044" s="497" t="str">
        <f t="shared" si="133"/>
        <v/>
      </c>
      <c r="Z2044" s="497" t="str">
        <f t="shared" si="133"/>
        <v/>
      </c>
    </row>
    <row r="2045" spans="1:26" s="82" customFormat="1" ht="32" x14ac:dyDescent="0.4">
      <c r="A2045" s="493">
        <v>63498</v>
      </c>
      <c r="B2045" s="105" t="s">
        <v>329</v>
      </c>
      <c r="C2045" s="493" t="s">
        <v>330</v>
      </c>
      <c r="D2045" s="105" t="s">
        <v>2385</v>
      </c>
      <c r="E2045" s="105" t="s">
        <v>1991</v>
      </c>
      <c r="F2045" s="493">
        <v>63970</v>
      </c>
      <c r="G2045" s="105" t="s">
        <v>52</v>
      </c>
      <c r="H2045" s="105" t="s">
        <v>333</v>
      </c>
      <c r="I2045" s="105" t="s">
        <v>334</v>
      </c>
      <c r="J2045" s="493">
        <v>22</v>
      </c>
      <c r="K2045" s="493">
        <v>2</v>
      </c>
      <c r="L2045" s="105" t="s">
        <v>343</v>
      </c>
      <c r="M2045" s="105" t="s">
        <v>655</v>
      </c>
      <c r="N2045" s="105" t="s">
        <v>656</v>
      </c>
      <c r="O2045" s="105" t="s">
        <v>656</v>
      </c>
      <c r="P2045" s="105" t="s">
        <v>339</v>
      </c>
      <c r="Q2045" s="494">
        <v>0</v>
      </c>
      <c r="R2045" s="494">
        <v>0</v>
      </c>
      <c r="S2045" s="494">
        <v>7398</v>
      </c>
      <c r="T2045" s="494">
        <v>7398</v>
      </c>
      <c r="U2045" s="494">
        <v>2168</v>
      </c>
      <c r="V2045" s="493">
        <v>2024</v>
      </c>
      <c r="W2045" s="495"/>
      <c r="X2045" s="496">
        <f t="shared" si="131"/>
        <v>3.4123616236162362</v>
      </c>
      <c r="Y2045" s="497" t="str">
        <f t="shared" si="133"/>
        <v/>
      </c>
      <c r="Z2045" s="497" t="str">
        <f t="shared" si="133"/>
        <v/>
      </c>
    </row>
    <row r="2046" spans="1:26" s="82" customFormat="1" x14ac:dyDescent="0.4">
      <c r="A2046" s="493">
        <v>63511</v>
      </c>
      <c r="B2046" s="105" t="s">
        <v>329</v>
      </c>
      <c r="C2046" s="493" t="s">
        <v>330</v>
      </c>
      <c r="D2046" s="105" t="s">
        <v>2386</v>
      </c>
      <c r="E2046" s="105" t="s">
        <v>1393</v>
      </c>
      <c r="F2046" s="493">
        <v>57313</v>
      </c>
      <c r="G2046" s="105" t="s">
        <v>52</v>
      </c>
      <c r="H2046" s="105" t="s">
        <v>333</v>
      </c>
      <c r="I2046" s="105" t="s">
        <v>334</v>
      </c>
      <c r="J2046" s="493">
        <v>22</v>
      </c>
      <c r="K2046" s="493">
        <v>2</v>
      </c>
      <c r="L2046" s="105" t="s">
        <v>343</v>
      </c>
      <c r="M2046" s="105" t="s">
        <v>655</v>
      </c>
      <c r="N2046" s="105" t="s">
        <v>656</v>
      </c>
      <c r="O2046" s="105" t="s">
        <v>656</v>
      </c>
      <c r="P2046" s="105" t="s">
        <v>339</v>
      </c>
      <c r="Q2046" s="494">
        <v>0</v>
      </c>
      <c r="R2046" s="494">
        <v>0</v>
      </c>
      <c r="S2046" s="494">
        <v>5577</v>
      </c>
      <c r="T2046" s="494">
        <v>5577</v>
      </c>
      <c r="U2046" s="494">
        <v>1634</v>
      </c>
      <c r="V2046" s="493">
        <v>2024</v>
      </c>
      <c r="W2046" s="495"/>
      <c r="X2046" s="496">
        <f t="shared" si="131"/>
        <v>3.4130966952264381</v>
      </c>
      <c r="Y2046" s="497" t="str">
        <f t="shared" si="133"/>
        <v/>
      </c>
      <c r="Z2046" s="497" t="str">
        <f t="shared" si="133"/>
        <v/>
      </c>
    </row>
    <row r="2047" spans="1:26" s="82" customFormat="1" x14ac:dyDescent="0.4">
      <c r="A2047" s="493">
        <v>63537</v>
      </c>
      <c r="B2047" s="105" t="s">
        <v>329</v>
      </c>
      <c r="C2047" s="493" t="s">
        <v>330</v>
      </c>
      <c r="D2047" s="105" t="s">
        <v>2387</v>
      </c>
      <c r="E2047" s="105" t="s">
        <v>2388</v>
      </c>
      <c r="F2047" s="493">
        <v>63259</v>
      </c>
      <c r="G2047" s="105" t="s">
        <v>37</v>
      </c>
      <c r="H2047" s="105" t="s">
        <v>342</v>
      </c>
      <c r="I2047" s="105" t="s">
        <v>334</v>
      </c>
      <c r="J2047" s="493">
        <v>22</v>
      </c>
      <c r="K2047" s="493">
        <v>2</v>
      </c>
      <c r="L2047" s="105" t="s">
        <v>343</v>
      </c>
      <c r="M2047" s="105" t="s">
        <v>655</v>
      </c>
      <c r="N2047" s="105" t="s">
        <v>656</v>
      </c>
      <c r="O2047" s="105" t="s">
        <v>656</v>
      </c>
      <c r="P2047" s="105" t="s">
        <v>339</v>
      </c>
      <c r="Q2047" s="494">
        <v>0</v>
      </c>
      <c r="R2047" s="494">
        <v>0</v>
      </c>
      <c r="S2047" s="494">
        <v>5536</v>
      </c>
      <c r="T2047" s="494">
        <v>5536</v>
      </c>
      <c r="U2047" s="494">
        <v>1623</v>
      </c>
      <c r="V2047" s="493">
        <v>2024</v>
      </c>
      <c r="W2047" s="495"/>
      <c r="X2047" s="496">
        <f t="shared" si="131"/>
        <v>3.4109673444239061</v>
      </c>
      <c r="Y2047" s="497" t="str">
        <f t="shared" si="133"/>
        <v/>
      </c>
      <c r="Z2047" s="497" t="str">
        <f t="shared" si="133"/>
        <v/>
      </c>
    </row>
    <row r="2048" spans="1:26" s="82" customFormat="1" ht="32" x14ac:dyDescent="0.4">
      <c r="A2048" s="493">
        <v>63544</v>
      </c>
      <c r="B2048" s="105" t="s">
        <v>329</v>
      </c>
      <c r="C2048" s="493" t="s">
        <v>330</v>
      </c>
      <c r="D2048" s="105" t="s">
        <v>2389</v>
      </c>
      <c r="E2048" s="105" t="s">
        <v>2389</v>
      </c>
      <c r="F2048" s="493">
        <v>63266</v>
      </c>
      <c r="G2048" s="105" t="s">
        <v>52</v>
      </c>
      <c r="H2048" s="105" t="s">
        <v>333</v>
      </c>
      <c r="I2048" s="105" t="s">
        <v>334</v>
      </c>
      <c r="J2048" s="493">
        <v>611</v>
      </c>
      <c r="K2048" s="493">
        <v>4</v>
      </c>
      <c r="L2048" s="105" t="s">
        <v>766</v>
      </c>
      <c r="M2048" s="105" t="s">
        <v>359</v>
      </c>
      <c r="N2048" s="105" t="s">
        <v>226</v>
      </c>
      <c r="O2048" s="105" t="s">
        <v>226</v>
      </c>
      <c r="P2048" s="105" t="s">
        <v>350</v>
      </c>
      <c r="Q2048" s="494">
        <v>9</v>
      </c>
      <c r="R2048" s="494">
        <v>9</v>
      </c>
      <c r="S2048" s="494">
        <v>56</v>
      </c>
      <c r="T2048" s="494">
        <v>56</v>
      </c>
      <c r="U2048" s="494">
        <v>6</v>
      </c>
      <c r="V2048" s="493">
        <v>2024</v>
      </c>
      <c r="W2048" s="495"/>
      <c r="X2048" s="496" t="str">
        <f t="shared" si="131"/>
        <v/>
      </c>
      <c r="Y2048" s="497" t="str">
        <f t="shared" ref="Y2048:Z2067" si="134">IF(AND($M2048=$Y$2,$N2048=$Y$3,NOT($Q2048=$R2048),NOT($U2048=0)),IF($K2048=5,$S2048/($U2048+(8/5)*$U2048),IF($K2048=7,$S2048/($U2048+(29/25)*$U2048),"")),"")</f>
        <v/>
      </c>
      <c r="Z2048" s="497" t="str">
        <f t="shared" si="134"/>
        <v/>
      </c>
    </row>
    <row r="2049" spans="1:26" s="82" customFormat="1" x14ac:dyDescent="0.4">
      <c r="A2049" s="493">
        <v>63551</v>
      </c>
      <c r="B2049" s="105" t="s">
        <v>329</v>
      </c>
      <c r="C2049" s="493" t="s">
        <v>330</v>
      </c>
      <c r="D2049" s="105" t="s">
        <v>2390</v>
      </c>
      <c r="E2049" s="105" t="s">
        <v>2391</v>
      </c>
      <c r="F2049" s="493">
        <v>63275</v>
      </c>
      <c r="G2049" s="105" t="s">
        <v>34</v>
      </c>
      <c r="H2049" s="105" t="s">
        <v>342</v>
      </c>
      <c r="I2049" s="105" t="s">
        <v>334</v>
      </c>
      <c r="J2049" s="493">
        <v>22</v>
      </c>
      <c r="K2049" s="493">
        <v>2</v>
      </c>
      <c r="L2049" s="105" t="s">
        <v>343</v>
      </c>
      <c r="M2049" s="105" t="s">
        <v>655</v>
      </c>
      <c r="N2049" s="105" t="s">
        <v>656</v>
      </c>
      <c r="O2049" s="105" t="s">
        <v>656</v>
      </c>
      <c r="P2049" s="105" t="s">
        <v>339</v>
      </c>
      <c r="Q2049" s="494">
        <v>0</v>
      </c>
      <c r="R2049" s="494">
        <v>0</v>
      </c>
      <c r="S2049" s="494">
        <v>12829</v>
      </c>
      <c r="T2049" s="494">
        <v>12829</v>
      </c>
      <c r="U2049" s="494">
        <v>3760</v>
      </c>
      <c r="V2049" s="493">
        <v>2024</v>
      </c>
      <c r="W2049" s="495"/>
      <c r="X2049" s="496">
        <f t="shared" si="131"/>
        <v>3.4119680851063832</v>
      </c>
      <c r="Y2049" s="497" t="str">
        <f t="shared" si="134"/>
        <v/>
      </c>
      <c r="Z2049" s="497" t="str">
        <f t="shared" si="134"/>
        <v/>
      </c>
    </row>
    <row r="2050" spans="1:26" s="82" customFormat="1" x14ac:dyDescent="0.4">
      <c r="A2050" s="493">
        <v>63555</v>
      </c>
      <c r="B2050" s="105" t="s">
        <v>329</v>
      </c>
      <c r="C2050" s="493" t="s">
        <v>330</v>
      </c>
      <c r="D2050" s="105" t="s">
        <v>2392</v>
      </c>
      <c r="E2050" s="105" t="s">
        <v>2393</v>
      </c>
      <c r="F2050" s="493">
        <v>63281</v>
      </c>
      <c r="G2050" s="105" t="s">
        <v>33</v>
      </c>
      <c r="H2050" s="105" t="s">
        <v>342</v>
      </c>
      <c r="I2050" s="105" t="s">
        <v>334</v>
      </c>
      <c r="J2050" s="493">
        <v>22</v>
      </c>
      <c r="K2050" s="493">
        <v>2</v>
      </c>
      <c r="L2050" s="105" t="s">
        <v>343</v>
      </c>
      <c r="M2050" s="105" t="s">
        <v>655</v>
      </c>
      <c r="N2050" s="105" t="s">
        <v>656</v>
      </c>
      <c r="O2050" s="105" t="s">
        <v>656</v>
      </c>
      <c r="P2050" s="105" t="s">
        <v>339</v>
      </c>
      <c r="Q2050" s="494">
        <v>0</v>
      </c>
      <c r="R2050" s="494">
        <v>0</v>
      </c>
      <c r="S2050" s="494">
        <v>5441</v>
      </c>
      <c r="T2050" s="494">
        <v>5441</v>
      </c>
      <c r="U2050" s="494">
        <v>1595</v>
      </c>
      <c r="V2050" s="493">
        <v>2024</v>
      </c>
      <c r="W2050" s="495"/>
      <c r="X2050" s="496">
        <f t="shared" si="131"/>
        <v>3.4112852664576803</v>
      </c>
      <c r="Y2050" s="497" t="str">
        <f t="shared" si="134"/>
        <v/>
      </c>
      <c r="Z2050" s="497" t="str">
        <f t="shared" si="134"/>
        <v/>
      </c>
    </row>
    <row r="2051" spans="1:26" s="82" customFormat="1" x14ac:dyDescent="0.4">
      <c r="A2051" s="493">
        <v>63556</v>
      </c>
      <c r="B2051" s="105" t="s">
        <v>329</v>
      </c>
      <c r="C2051" s="493" t="s">
        <v>330</v>
      </c>
      <c r="D2051" s="105" t="s">
        <v>2394</v>
      </c>
      <c r="E2051" s="105" t="s">
        <v>2393</v>
      </c>
      <c r="F2051" s="493">
        <v>63281</v>
      </c>
      <c r="G2051" s="105" t="s">
        <v>33</v>
      </c>
      <c r="H2051" s="105" t="s">
        <v>342</v>
      </c>
      <c r="I2051" s="105" t="s">
        <v>334</v>
      </c>
      <c r="J2051" s="493">
        <v>22</v>
      </c>
      <c r="K2051" s="493">
        <v>2</v>
      </c>
      <c r="L2051" s="105" t="s">
        <v>343</v>
      </c>
      <c r="M2051" s="105" t="s">
        <v>655</v>
      </c>
      <c r="N2051" s="105" t="s">
        <v>656</v>
      </c>
      <c r="O2051" s="105" t="s">
        <v>656</v>
      </c>
      <c r="P2051" s="105" t="s">
        <v>339</v>
      </c>
      <c r="Q2051" s="494">
        <v>0</v>
      </c>
      <c r="R2051" s="494">
        <v>0</v>
      </c>
      <c r="S2051" s="494">
        <v>15935</v>
      </c>
      <c r="T2051" s="494">
        <v>15935</v>
      </c>
      <c r="U2051" s="494">
        <v>4670</v>
      </c>
      <c r="V2051" s="493">
        <v>2024</v>
      </c>
      <c r="W2051" s="495"/>
      <c r="X2051" s="496">
        <f t="shared" si="131"/>
        <v>3.4122055674518199</v>
      </c>
      <c r="Y2051" s="497" t="str">
        <f t="shared" si="134"/>
        <v/>
      </c>
      <c r="Z2051" s="497" t="str">
        <f t="shared" si="134"/>
        <v/>
      </c>
    </row>
    <row r="2052" spans="1:26" s="82" customFormat="1" x14ac:dyDescent="0.4">
      <c r="A2052" s="493">
        <v>63557</v>
      </c>
      <c r="B2052" s="105" t="s">
        <v>329</v>
      </c>
      <c r="C2052" s="493" t="s">
        <v>330</v>
      </c>
      <c r="D2052" s="105" t="s">
        <v>2395</v>
      </c>
      <c r="E2052" s="105" t="s">
        <v>2393</v>
      </c>
      <c r="F2052" s="493">
        <v>63281</v>
      </c>
      <c r="G2052" s="105" t="s">
        <v>33</v>
      </c>
      <c r="H2052" s="105" t="s">
        <v>342</v>
      </c>
      <c r="I2052" s="105" t="s">
        <v>334</v>
      </c>
      <c r="J2052" s="493">
        <v>22</v>
      </c>
      <c r="K2052" s="493">
        <v>2</v>
      </c>
      <c r="L2052" s="105" t="s">
        <v>343</v>
      </c>
      <c r="M2052" s="105" t="s">
        <v>655</v>
      </c>
      <c r="N2052" s="105" t="s">
        <v>656</v>
      </c>
      <c r="O2052" s="105" t="s">
        <v>656</v>
      </c>
      <c r="P2052" s="105" t="s">
        <v>339</v>
      </c>
      <c r="Q2052" s="494">
        <v>0</v>
      </c>
      <c r="R2052" s="494">
        <v>0</v>
      </c>
      <c r="S2052" s="494">
        <v>5660</v>
      </c>
      <c r="T2052" s="494">
        <v>5660</v>
      </c>
      <c r="U2052" s="494">
        <v>1659</v>
      </c>
      <c r="V2052" s="493">
        <v>2024</v>
      </c>
      <c r="W2052" s="495"/>
      <c r="X2052" s="496">
        <f t="shared" si="131"/>
        <v>3.4116937914406269</v>
      </c>
      <c r="Y2052" s="497" t="str">
        <f t="shared" si="134"/>
        <v/>
      </c>
      <c r="Z2052" s="497" t="str">
        <f t="shared" si="134"/>
        <v/>
      </c>
    </row>
    <row r="2053" spans="1:26" s="82" customFormat="1" x14ac:dyDescent="0.4">
      <c r="A2053" s="493">
        <v>63558</v>
      </c>
      <c r="B2053" s="105" t="s">
        <v>329</v>
      </c>
      <c r="C2053" s="493" t="s">
        <v>330</v>
      </c>
      <c r="D2053" s="105" t="s">
        <v>2396</v>
      </c>
      <c r="E2053" s="105" t="s">
        <v>2393</v>
      </c>
      <c r="F2053" s="493">
        <v>63281</v>
      </c>
      <c r="G2053" s="105" t="s">
        <v>33</v>
      </c>
      <c r="H2053" s="105" t="s">
        <v>342</v>
      </c>
      <c r="I2053" s="105" t="s">
        <v>334</v>
      </c>
      <c r="J2053" s="493">
        <v>22</v>
      </c>
      <c r="K2053" s="493">
        <v>2</v>
      </c>
      <c r="L2053" s="105" t="s">
        <v>343</v>
      </c>
      <c r="M2053" s="105" t="s">
        <v>655</v>
      </c>
      <c r="N2053" s="105" t="s">
        <v>656</v>
      </c>
      <c r="O2053" s="105" t="s">
        <v>656</v>
      </c>
      <c r="P2053" s="105" t="s">
        <v>339</v>
      </c>
      <c r="Q2053" s="494">
        <v>0</v>
      </c>
      <c r="R2053" s="494">
        <v>0</v>
      </c>
      <c r="S2053" s="494">
        <v>5772</v>
      </c>
      <c r="T2053" s="494">
        <v>5772</v>
      </c>
      <c r="U2053" s="494">
        <v>1692</v>
      </c>
      <c r="V2053" s="493">
        <v>2024</v>
      </c>
      <c r="W2053" s="495"/>
      <c r="X2053" s="496">
        <f t="shared" si="131"/>
        <v>3.4113475177304964</v>
      </c>
      <c r="Y2053" s="497" t="str">
        <f t="shared" si="134"/>
        <v/>
      </c>
      <c r="Z2053" s="497" t="str">
        <f t="shared" si="134"/>
        <v/>
      </c>
    </row>
    <row r="2054" spans="1:26" s="82" customFormat="1" ht="32" x14ac:dyDescent="0.4">
      <c r="A2054" s="493">
        <v>63559</v>
      </c>
      <c r="B2054" s="105" t="s">
        <v>329</v>
      </c>
      <c r="C2054" s="493" t="s">
        <v>330</v>
      </c>
      <c r="D2054" s="105" t="s">
        <v>2397</v>
      </c>
      <c r="E2054" s="105" t="s">
        <v>654</v>
      </c>
      <c r="F2054" s="493">
        <v>11806</v>
      </c>
      <c r="G2054" s="105" t="s">
        <v>33</v>
      </c>
      <c r="H2054" s="105" t="s">
        <v>342</v>
      </c>
      <c r="I2054" s="105" t="s">
        <v>334</v>
      </c>
      <c r="J2054" s="493">
        <v>22</v>
      </c>
      <c r="K2054" s="493">
        <v>1</v>
      </c>
      <c r="L2054" s="105" t="s">
        <v>335</v>
      </c>
      <c r="M2054" s="105" t="s">
        <v>295</v>
      </c>
      <c r="N2054" s="105" t="s">
        <v>228</v>
      </c>
      <c r="O2054" s="105" t="s">
        <v>228</v>
      </c>
      <c r="P2054" s="105" t="s">
        <v>356</v>
      </c>
      <c r="Q2054" s="494">
        <v>0</v>
      </c>
      <c r="R2054" s="494">
        <v>0</v>
      </c>
      <c r="S2054" s="494">
        <v>0</v>
      </c>
      <c r="T2054" s="494">
        <v>0</v>
      </c>
      <c r="U2054" s="494">
        <v>0</v>
      </c>
      <c r="V2054" s="493">
        <v>2024</v>
      </c>
      <c r="W2054" s="495" t="s">
        <v>355</v>
      </c>
      <c r="X2054" s="496" t="str">
        <f t="shared" si="131"/>
        <v/>
      </c>
      <c r="Y2054" s="497" t="str">
        <f t="shared" si="134"/>
        <v/>
      </c>
      <c r="Z2054" s="497" t="str">
        <f t="shared" si="134"/>
        <v/>
      </c>
    </row>
    <row r="2055" spans="1:26" s="82" customFormat="1" x14ac:dyDescent="0.4">
      <c r="A2055" s="493">
        <v>63561</v>
      </c>
      <c r="B2055" s="105" t="s">
        <v>329</v>
      </c>
      <c r="C2055" s="493" t="s">
        <v>330</v>
      </c>
      <c r="D2055" s="105" t="s">
        <v>2398</v>
      </c>
      <c r="E2055" s="105" t="s">
        <v>2393</v>
      </c>
      <c r="F2055" s="493">
        <v>63281</v>
      </c>
      <c r="G2055" s="105" t="s">
        <v>33</v>
      </c>
      <c r="H2055" s="105" t="s">
        <v>342</v>
      </c>
      <c r="I2055" s="105" t="s">
        <v>334</v>
      </c>
      <c r="J2055" s="493">
        <v>22</v>
      </c>
      <c r="K2055" s="493">
        <v>2</v>
      </c>
      <c r="L2055" s="105" t="s">
        <v>343</v>
      </c>
      <c r="M2055" s="105" t="s">
        <v>655</v>
      </c>
      <c r="N2055" s="105" t="s">
        <v>656</v>
      </c>
      <c r="O2055" s="105" t="s">
        <v>656</v>
      </c>
      <c r="P2055" s="105" t="s">
        <v>339</v>
      </c>
      <c r="Q2055" s="494">
        <v>0</v>
      </c>
      <c r="R2055" s="494">
        <v>0</v>
      </c>
      <c r="S2055" s="494">
        <v>5453</v>
      </c>
      <c r="T2055" s="494">
        <v>5453</v>
      </c>
      <c r="U2055" s="494">
        <v>1598</v>
      </c>
      <c r="V2055" s="493">
        <v>2024</v>
      </c>
      <c r="W2055" s="495"/>
      <c r="X2055" s="496">
        <f t="shared" si="131"/>
        <v>3.4123904881101375</v>
      </c>
      <c r="Y2055" s="497" t="str">
        <f t="shared" si="134"/>
        <v/>
      </c>
      <c r="Z2055" s="497" t="str">
        <f t="shared" si="134"/>
        <v/>
      </c>
    </row>
    <row r="2056" spans="1:26" s="82" customFormat="1" x14ac:dyDescent="0.4">
      <c r="A2056" s="493">
        <v>63562</v>
      </c>
      <c r="B2056" s="105" t="s">
        <v>329</v>
      </c>
      <c r="C2056" s="493" t="s">
        <v>330</v>
      </c>
      <c r="D2056" s="105" t="s">
        <v>2399</v>
      </c>
      <c r="E2056" s="105" t="s">
        <v>2393</v>
      </c>
      <c r="F2056" s="493">
        <v>63281</v>
      </c>
      <c r="G2056" s="105" t="s">
        <v>33</v>
      </c>
      <c r="H2056" s="105" t="s">
        <v>342</v>
      </c>
      <c r="I2056" s="105" t="s">
        <v>334</v>
      </c>
      <c r="J2056" s="493">
        <v>22</v>
      </c>
      <c r="K2056" s="493">
        <v>2</v>
      </c>
      <c r="L2056" s="105" t="s">
        <v>343</v>
      </c>
      <c r="M2056" s="105" t="s">
        <v>655</v>
      </c>
      <c r="N2056" s="105" t="s">
        <v>656</v>
      </c>
      <c r="O2056" s="105" t="s">
        <v>656</v>
      </c>
      <c r="P2056" s="105" t="s">
        <v>339</v>
      </c>
      <c r="Q2056" s="494">
        <v>0</v>
      </c>
      <c r="R2056" s="494">
        <v>0</v>
      </c>
      <c r="S2056" s="494">
        <v>12462</v>
      </c>
      <c r="T2056" s="494">
        <v>12462</v>
      </c>
      <c r="U2056" s="494">
        <v>3653</v>
      </c>
      <c r="V2056" s="493">
        <v>2024</v>
      </c>
      <c r="W2056" s="495"/>
      <c r="X2056" s="496">
        <f t="shared" si="131"/>
        <v>3.4114426498768138</v>
      </c>
      <c r="Y2056" s="497" t="str">
        <f t="shared" si="134"/>
        <v/>
      </c>
      <c r="Z2056" s="497" t="str">
        <f t="shared" si="134"/>
        <v/>
      </c>
    </row>
    <row r="2057" spans="1:26" s="82" customFormat="1" x14ac:dyDescent="0.4">
      <c r="A2057" s="493">
        <v>63563</v>
      </c>
      <c r="B2057" s="105" t="s">
        <v>329</v>
      </c>
      <c r="C2057" s="493" t="s">
        <v>330</v>
      </c>
      <c r="D2057" s="105" t="s">
        <v>2400</v>
      </c>
      <c r="E2057" s="105" t="s">
        <v>2393</v>
      </c>
      <c r="F2057" s="493">
        <v>63281</v>
      </c>
      <c r="G2057" s="105" t="s">
        <v>33</v>
      </c>
      <c r="H2057" s="105" t="s">
        <v>342</v>
      </c>
      <c r="I2057" s="105" t="s">
        <v>334</v>
      </c>
      <c r="J2057" s="493">
        <v>22</v>
      </c>
      <c r="K2057" s="493">
        <v>2</v>
      </c>
      <c r="L2057" s="105" t="s">
        <v>343</v>
      </c>
      <c r="M2057" s="105" t="s">
        <v>655</v>
      </c>
      <c r="N2057" s="105" t="s">
        <v>656</v>
      </c>
      <c r="O2057" s="105" t="s">
        <v>656</v>
      </c>
      <c r="P2057" s="105" t="s">
        <v>339</v>
      </c>
      <c r="Q2057" s="494">
        <v>0</v>
      </c>
      <c r="R2057" s="494">
        <v>0</v>
      </c>
      <c r="S2057" s="494">
        <v>12156</v>
      </c>
      <c r="T2057" s="494">
        <v>12156</v>
      </c>
      <c r="U2057" s="494">
        <v>3563</v>
      </c>
      <c r="V2057" s="493">
        <v>2024</v>
      </c>
      <c r="W2057" s="495"/>
      <c r="X2057" s="496">
        <f t="shared" ref="X2057:X2120" si="135">IF(OR(K2057&gt;3,T2057=0,NOT(U2057&gt;0)),"",T2057/U2057)</f>
        <v>3.4117316867808025</v>
      </c>
      <c r="Y2057" s="497" t="str">
        <f t="shared" si="134"/>
        <v/>
      </c>
      <c r="Z2057" s="497" t="str">
        <f t="shared" si="134"/>
        <v/>
      </c>
    </row>
    <row r="2058" spans="1:26" s="82" customFormat="1" x14ac:dyDescent="0.4">
      <c r="A2058" s="493">
        <v>63564</v>
      </c>
      <c r="B2058" s="105" t="s">
        <v>329</v>
      </c>
      <c r="C2058" s="493" t="s">
        <v>330</v>
      </c>
      <c r="D2058" s="105" t="s">
        <v>2401</v>
      </c>
      <c r="E2058" s="105" t="s">
        <v>2393</v>
      </c>
      <c r="F2058" s="493">
        <v>63281</v>
      </c>
      <c r="G2058" s="105" t="s">
        <v>33</v>
      </c>
      <c r="H2058" s="105" t="s">
        <v>342</v>
      </c>
      <c r="I2058" s="105" t="s">
        <v>334</v>
      </c>
      <c r="J2058" s="493">
        <v>22</v>
      </c>
      <c r="K2058" s="493">
        <v>2</v>
      </c>
      <c r="L2058" s="105" t="s">
        <v>343</v>
      </c>
      <c r="M2058" s="105" t="s">
        <v>655</v>
      </c>
      <c r="N2058" s="105" t="s">
        <v>656</v>
      </c>
      <c r="O2058" s="105" t="s">
        <v>656</v>
      </c>
      <c r="P2058" s="105" t="s">
        <v>339</v>
      </c>
      <c r="Q2058" s="494">
        <v>0</v>
      </c>
      <c r="R2058" s="494">
        <v>0</v>
      </c>
      <c r="S2058" s="494">
        <v>5496</v>
      </c>
      <c r="T2058" s="494">
        <v>5496</v>
      </c>
      <c r="U2058" s="494">
        <v>1611</v>
      </c>
      <c r="V2058" s="493">
        <v>2024</v>
      </c>
      <c r="W2058" s="495"/>
      <c r="X2058" s="496">
        <f t="shared" si="135"/>
        <v>3.4115456238361266</v>
      </c>
      <c r="Y2058" s="497" t="str">
        <f t="shared" si="134"/>
        <v/>
      </c>
      <c r="Z2058" s="497" t="str">
        <f t="shared" si="134"/>
        <v/>
      </c>
    </row>
    <row r="2059" spans="1:26" s="82" customFormat="1" x14ac:dyDescent="0.4">
      <c r="A2059" s="493">
        <v>63565</v>
      </c>
      <c r="B2059" s="105" t="s">
        <v>329</v>
      </c>
      <c r="C2059" s="493" t="s">
        <v>330</v>
      </c>
      <c r="D2059" s="105" t="s">
        <v>2402</v>
      </c>
      <c r="E2059" s="105" t="s">
        <v>2393</v>
      </c>
      <c r="F2059" s="493">
        <v>63281</v>
      </c>
      <c r="G2059" s="105" t="s">
        <v>33</v>
      </c>
      <c r="H2059" s="105" t="s">
        <v>342</v>
      </c>
      <c r="I2059" s="105" t="s">
        <v>334</v>
      </c>
      <c r="J2059" s="493">
        <v>22</v>
      </c>
      <c r="K2059" s="493">
        <v>2</v>
      </c>
      <c r="L2059" s="105" t="s">
        <v>343</v>
      </c>
      <c r="M2059" s="105" t="s">
        <v>655</v>
      </c>
      <c r="N2059" s="105" t="s">
        <v>656</v>
      </c>
      <c r="O2059" s="105" t="s">
        <v>656</v>
      </c>
      <c r="P2059" s="105" t="s">
        <v>339</v>
      </c>
      <c r="Q2059" s="494">
        <v>0</v>
      </c>
      <c r="R2059" s="494">
        <v>0</v>
      </c>
      <c r="S2059" s="494">
        <v>5565</v>
      </c>
      <c r="T2059" s="494">
        <v>5565</v>
      </c>
      <c r="U2059" s="494">
        <v>1631</v>
      </c>
      <c r="V2059" s="493">
        <v>2024</v>
      </c>
      <c r="W2059" s="495"/>
      <c r="X2059" s="496">
        <f t="shared" si="135"/>
        <v>3.4120171673819741</v>
      </c>
      <c r="Y2059" s="497" t="str">
        <f t="shared" si="134"/>
        <v/>
      </c>
      <c r="Z2059" s="497" t="str">
        <f t="shared" si="134"/>
        <v/>
      </c>
    </row>
    <row r="2060" spans="1:26" s="82" customFormat="1" x14ac:dyDescent="0.4">
      <c r="A2060" s="493">
        <v>63569</v>
      </c>
      <c r="B2060" s="105" t="s">
        <v>329</v>
      </c>
      <c r="C2060" s="493" t="s">
        <v>330</v>
      </c>
      <c r="D2060" s="105" t="s">
        <v>2403</v>
      </c>
      <c r="E2060" s="105" t="s">
        <v>2393</v>
      </c>
      <c r="F2060" s="493">
        <v>63281</v>
      </c>
      <c r="G2060" s="105" t="s">
        <v>33</v>
      </c>
      <c r="H2060" s="105" t="s">
        <v>342</v>
      </c>
      <c r="I2060" s="105" t="s">
        <v>334</v>
      </c>
      <c r="J2060" s="493">
        <v>22</v>
      </c>
      <c r="K2060" s="493">
        <v>2</v>
      </c>
      <c r="L2060" s="105" t="s">
        <v>343</v>
      </c>
      <c r="M2060" s="105" t="s">
        <v>655</v>
      </c>
      <c r="N2060" s="105" t="s">
        <v>656</v>
      </c>
      <c r="O2060" s="105" t="s">
        <v>656</v>
      </c>
      <c r="P2060" s="105" t="s">
        <v>339</v>
      </c>
      <c r="Q2060" s="494">
        <v>0</v>
      </c>
      <c r="R2060" s="494">
        <v>0</v>
      </c>
      <c r="S2060" s="494">
        <v>5804</v>
      </c>
      <c r="T2060" s="494">
        <v>5804</v>
      </c>
      <c r="U2060" s="494">
        <v>1701</v>
      </c>
      <c r="V2060" s="493">
        <v>2024</v>
      </c>
      <c r="W2060" s="495"/>
      <c r="X2060" s="496">
        <f t="shared" si="135"/>
        <v>3.4121105232216342</v>
      </c>
      <c r="Y2060" s="497" t="str">
        <f t="shared" si="134"/>
        <v/>
      </c>
      <c r="Z2060" s="497" t="str">
        <f t="shared" si="134"/>
        <v/>
      </c>
    </row>
    <row r="2061" spans="1:26" s="82" customFormat="1" x14ac:dyDescent="0.4">
      <c r="A2061" s="493">
        <v>63570</v>
      </c>
      <c r="B2061" s="105" t="s">
        <v>329</v>
      </c>
      <c r="C2061" s="493" t="s">
        <v>330</v>
      </c>
      <c r="D2061" s="105" t="s">
        <v>2404</v>
      </c>
      <c r="E2061" s="105" t="s">
        <v>2393</v>
      </c>
      <c r="F2061" s="493">
        <v>63281</v>
      </c>
      <c r="G2061" s="105" t="s">
        <v>33</v>
      </c>
      <c r="H2061" s="105" t="s">
        <v>342</v>
      </c>
      <c r="I2061" s="105" t="s">
        <v>334</v>
      </c>
      <c r="J2061" s="493">
        <v>22</v>
      </c>
      <c r="K2061" s="493">
        <v>2</v>
      </c>
      <c r="L2061" s="105" t="s">
        <v>343</v>
      </c>
      <c r="M2061" s="105" t="s">
        <v>655</v>
      </c>
      <c r="N2061" s="105" t="s">
        <v>656</v>
      </c>
      <c r="O2061" s="105" t="s">
        <v>656</v>
      </c>
      <c r="P2061" s="105" t="s">
        <v>339</v>
      </c>
      <c r="Q2061" s="494">
        <v>0</v>
      </c>
      <c r="R2061" s="494">
        <v>0</v>
      </c>
      <c r="S2061" s="494">
        <v>5609</v>
      </c>
      <c r="T2061" s="494">
        <v>5609</v>
      </c>
      <c r="U2061" s="494">
        <v>1644</v>
      </c>
      <c r="V2061" s="493">
        <v>2024</v>
      </c>
      <c r="W2061" s="495"/>
      <c r="X2061" s="496">
        <f t="shared" si="135"/>
        <v>3.4118004866180049</v>
      </c>
      <c r="Y2061" s="497" t="str">
        <f t="shared" si="134"/>
        <v/>
      </c>
      <c r="Z2061" s="497" t="str">
        <f t="shared" si="134"/>
        <v/>
      </c>
    </row>
    <row r="2062" spans="1:26" s="82" customFormat="1" x14ac:dyDescent="0.4">
      <c r="A2062" s="493">
        <v>63571</v>
      </c>
      <c r="B2062" s="105" t="s">
        <v>329</v>
      </c>
      <c r="C2062" s="493" t="s">
        <v>330</v>
      </c>
      <c r="D2062" s="105" t="s">
        <v>2405</v>
      </c>
      <c r="E2062" s="105" t="s">
        <v>2393</v>
      </c>
      <c r="F2062" s="493">
        <v>63281</v>
      </c>
      <c r="G2062" s="105" t="s">
        <v>33</v>
      </c>
      <c r="H2062" s="105" t="s">
        <v>342</v>
      </c>
      <c r="I2062" s="105" t="s">
        <v>334</v>
      </c>
      <c r="J2062" s="493">
        <v>22</v>
      </c>
      <c r="K2062" s="493">
        <v>2</v>
      </c>
      <c r="L2062" s="105" t="s">
        <v>343</v>
      </c>
      <c r="M2062" s="105" t="s">
        <v>655</v>
      </c>
      <c r="N2062" s="105" t="s">
        <v>656</v>
      </c>
      <c r="O2062" s="105" t="s">
        <v>656</v>
      </c>
      <c r="P2062" s="105" t="s">
        <v>339</v>
      </c>
      <c r="Q2062" s="494">
        <v>0</v>
      </c>
      <c r="R2062" s="494">
        <v>0</v>
      </c>
      <c r="S2062" s="494">
        <v>5796</v>
      </c>
      <c r="T2062" s="494">
        <v>5796</v>
      </c>
      <c r="U2062" s="494">
        <v>1699</v>
      </c>
      <c r="V2062" s="493">
        <v>2024</v>
      </c>
      <c r="W2062" s="495"/>
      <c r="X2062" s="496">
        <f t="shared" si="135"/>
        <v>3.4114184814596822</v>
      </c>
      <c r="Y2062" s="497" t="str">
        <f t="shared" si="134"/>
        <v/>
      </c>
      <c r="Z2062" s="497" t="str">
        <f t="shared" si="134"/>
        <v/>
      </c>
    </row>
    <row r="2063" spans="1:26" s="82" customFormat="1" x14ac:dyDescent="0.4">
      <c r="A2063" s="493">
        <v>63572</v>
      </c>
      <c r="B2063" s="105" t="s">
        <v>329</v>
      </c>
      <c r="C2063" s="493" t="s">
        <v>330</v>
      </c>
      <c r="D2063" s="105" t="s">
        <v>2406</v>
      </c>
      <c r="E2063" s="105" t="s">
        <v>2393</v>
      </c>
      <c r="F2063" s="493">
        <v>63281</v>
      </c>
      <c r="G2063" s="105" t="s">
        <v>33</v>
      </c>
      <c r="H2063" s="105" t="s">
        <v>342</v>
      </c>
      <c r="I2063" s="105" t="s">
        <v>334</v>
      </c>
      <c r="J2063" s="493">
        <v>22</v>
      </c>
      <c r="K2063" s="493">
        <v>2</v>
      </c>
      <c r="L2063" s="105" t="s">
        <v>343</v>
      </c>
      <c r="M2063" s="105" t="s">
        <v>655</v>
      </c>
      <c r="N2063" s="105" t="s">
        <v>656</v>
      </c>
      <c r="O2063" s="105" t="s">
        <v>656</v>
      </c>
      <c r="P2063" s="105" t="s">
        <v>339</v>
      </c>
      <c r="Q2063" s="494">
        <v>0</v>
      </c>
      <c r="R2063" s="494">
        <v>0</v>
      </c>
      <c r="S2063" s="494">
        <v>4943</v>
      </c>
      <c r="T2063" s="494">
        <v>4943</v>
      </c>
      <c r="U2063" s="494">
        <v>1449</v>
      </c>
      <c r="V2063" s="493">
        <v>2024</v>
      </c>
      <c r="W2063" s="495"/>
      <c r="X2063" s="496">
        <f t="shared" si="135"/>
        <v>3.4113181504485852</v>
      </c>
      <c r="Y2063" s="497" t="str">
        <f t="shared" si="134"/>
        <v/>
      </c>
      <c r="Z2063" s="497" t="str">
        <f t="shared" si="134"/>
        <v/>
      </c>
    </row>
    <row r="2064" spans="1:26" s="82" customFormat="1" x14ac:dyDescent="0.4">
      <c r="A2064" s="493">
        <v>63573</v>
      </c>
      <c r="B2064" s="105" t="s">
        <v>329</v>
      </c>
      <c r="C2064" s="493" t="s">
        <v>330</v>
      </c>
      <c r="D2064" s="105" t="s">
        <v>2407</v>
      </c>
      <c r="E2064" s="105" t="s">
        <v>2393</v>
      </c>
      <c r="F2064" s="493">
        <v>63281</v>
      </c>
      <c r="G2064" s="105" t="s">
        <v>33</v>
      </c>
      <c r="H2064" s="105" t="s">
        <v>342</v>
      </c>
      <c r="I2064" s="105" t="s">
        <v>334</v>
      </c>
      <c r="J2064" s="493">
        <v>22</v>
      </c>
      <c r="K2064" s="493">
        <v>2</v>
      </c>
      <c r="L2064" s="105" t="s">
        <v>343</v>
      </c>
      <c r="M2064" s="105" t="s">
        <v>655</v>
      </c>
      <c r="N2064" s="105" t="s">
        <v>656</v>
      </c>
      <c r="O2064" s="105" t="s">
        <v>656</v>
      </c>
      <c r="P2064" s="105" t="s">
        <v>339</v>
      </c>
      <c r="Q2064" s="494">
        <v>0</v>
      </c>
      <c r="R2064" s="494">
        <v>0</v>
      </c>
      <c r="S2064" s="494">
        <v>5256</v>
      </c>
      <c r="T2064" s="494">
        <v>5256</v>
      </c>
      <c r="U2064" s="494">
        <v>1541</v>
      </c>
      <c r="V2064" s="493">
        <v>2024</v>
      </c>
      <c r="W2064" s="495"/>
      <c r="X2064" s="496">
        <f t="shared" si="135"/>
        <v>3.4107722258273849</v>
      </c>
      <c r="Y2064" s="497" t="str">
        <f t="shared" si="134"/>
        <v/>
      </c>
      <c r="Z2064" s="497" t="str">
        <f t="shared" si="134"/>
        <v/>
      </c>
    </row>
    <row r="2065" spans="1:26" s="82" customFormat="1" ht="32" x14ac:dyDescent="0.4">
      <c r="A2065" s="493">
        <v>63585</v>
      </c>
      <c r="B2065" s="105" t="s">
        <v>329</v>
      </c>
      <c r="C2065" s="493" t="s">
        <v>330</v>
      </c>
      <c r="D2065" s="105" t="s">
        <v>2408</v>
      </c>
      <c r="E2065" s="105" t="s">
        <v>2409</v>
      </c>
      <c r="F2065" s="493">
        <v>14154</v>
      </c>
      <c r="G2065" s="105" t="s">
        <v>52</v>
      </c>
      <c r="H2065" s="105" t="s">
        <v>333</v>
      </c>
      <c r="I2065" s="105" t="s">
        <v>334</v>
      </c>
      <c r="J2065" s="493">
        <v>22</v>
      </c>
      <c r="K2065" s="493">
        <v>1</v>
      </c>
      <c r="L2065" s="105" t="s">
        <v>335</v>
      </c>
      <c r="M2065" s="105" t="s">
        <v>403</v>
      </c>
      <c r="N2065" s="105" t="s">
        <v>404</v>
      </c>
      <c r="O2065" s="105" t="s">
        <v>232</v>
      </c>
      <c r="P2065" s="105" t="s">
        <v>346</v>
      </c>
      <c r="Q2065" s="494">
        <v>1387</v>
      </c>
      <c r="R2065" s="494">
        <v>1387</v>
      </c>
      <c r="S2065" s="494">
        <v>0</v>
      </c>
      <c r="T2065" s="494">
        <v>0</v>
      </c>
      <c r="U2065" s="494">
        <v>-185</v>
      </c>
      <c r="V2065" s="493">
        <v>2024</v>
      </c>
      <c r="W2065" s="495"/>
      <c r="X2065" s="496" t="str">
        <f t="shared" si="135"/>
        <v/>
      </c>
      <c r="Y2065" s="497" t="str">
        <f t="shared" si="134"/>
        <v/>
      </c>
      <c r="Z2065" s="497" t="str">
        <f t="shared" si="134"/>
        <v/>
      </c>
    </row>
    <row r="2066" spans="1:26" s="82" customFormat="1" x14ac:dyDescent="0.4">
      <c r="A2066" s="493">
        <v>63588</v>
      </c>
      <c r="B2066" s="105" t="s">
        <v>329</v>
      </c>
      <c r="C2066" s="493" t="s">
        <v>330</v>
      </c>
      <c r="D2066" s="105" t="s">
        <v>2410</v>
      </c>
      <c r="E2066" s="105" t="s">
        <v>2393</v>
      </c>
      <c r="F2066" s="493">
        <v>63281</v>
      </c>
      <c r="G2066" s="105" t="s">
        <v>33</v>
      </c>
      <c r="H2066" s="105" t="s">
        <v>342</v>
      </c>
      <c r="I2066" s="105" t="s">
        <v>334</v>
      </c>
      <c r="J2066" s="493">
        <v>22</v>
      </c>
      <c r="K2066" s="493">
        <v>2</v>
      </c>
      <c r="L2066" s="105" t="s">
        <v>343</v>
      </c>
      <c r="M2066" s="105" t="s">
        <v>655</v>
      </c>
      <c r="N2066" s="105" t="s">
        <v>656</v>
      </c>
      <c r="O2066" s="105" t="s">
        <v>656</v>
      </c>
      <c r="P2066" s="105" t="s">
        <v>339</v>
      </c>
      <c r="Q2066" s="494">
        <v>0</v>
      </c>
      <c r="R2066" s="494">
        <v>0</v>
      </c>
      <c r="S2066" s="494">
        <v>11482</v>
      </c>
      <c r="T2066" s="494">
        <v>11482</v>
      </c>
      <c r="U2066" s="494">
        <v>3365</v>
      </c>
      <c r="V2066" s="493">
        <v>2024</v>
      </c>
      <c r="W2066" s="495"/>
      <c r="X2066" s="496">
        <f t="shared" si="135"/>
        <v>3.4121842496285288</v>
      </c>
      <c r="Y2066" s="497" t="str">
        <f t="shared" si="134"/>
        <v/>
      </c>
      <c r="Z2066" s="497" t="str">
        <f t="shared" si="134"/>
        <v/>
      </c>
    </row>
    <row r="2067" spans="1:26" s="82" customFormat="1" x14ac:dyDescent="0.4">
      <c r="A2067" s="493">
        <v>63589</v>
      </c>
      <c r="B2067" s="105" t="s">
        <v>329</v>
      </c>
      <c r="C2067" s="493" t="s">
        <v>330</v>
      </c>
      <c r="D2067" s="105" t="s">
        <v>2411</v>
      </c>
      <c r="E2067" s="105" t="s">
        <v>2393</v>
      </c>
      <c r="F2067" s="493">
        <v>63281</v>
      </c>
      <c r="G2067" s="105" t="s">
        <v>33</v>
      </c>
      <c r="H2067" s="105" t="s">
        <v>342</v>
      </c>
      <c r="I2067" s="105" t="s">
        <v>334</v>
      </c>
      <c r="J2067" s="493">
        <v>22</v>
      </c>
      <c r="K2067" s="493">
        <v>2</v>
      </c>
      <c r="L2067" s="105" t="s">
        <v>343</v>
      </c>
      <c r="M2067" s="105" t="s">
        <v>655</v>
      </c>
      <c r="N2067" s="105" t="s">
        <v>656</v>
      </c>
      <c r="O2067" s="105" t="s">
        <v>656</v>
      </c>
      <c r="P2067" s="105" t="s">
        <v>339</v>
      </c>
      <c r="Q2067" s="494">
        <v>0</v>
      </c>
      <c r="R2067" s="494">
        <v>0</v>
      </c>
      <c r="S2067" s="494">
        <v>5569</v>
      </c>
      <c r="T2067" s="494">
        <v>5569</v>
      </c>
      <c r="U2067" s="494">
        <v>1632</v>
      </c>
      <c r="V2067" s="493">
        <v>2024</v>
      </c>
      <c r="W2067" s="495"/>
      <c r="X2067" s="496">
        <f t="shared" si="135"/>
        <v>3.4123774509803924</v>
      </c>
      <c r="Y2067" s="497" t="str">
        <f t="shared" si="134"/>
        <v/>
      </c>
      <c r="Z2067" s="497" t="str">
        <f t="shared" si="134"/>
        <v/>
      </c>
    </row>
    <row r="2068" spans="1:26" s="82" customFormat="1" x14ac:dyDescent="0.4">
      <c r="A2068" s="493">
        <v>63592</v>
      </c>
      <c r="B2068" s="105" t="s">
        <v>329</v>
      </c>
      <c r="C2068" s="493" t="s">
        <v>330</v>
      </c>
      <c r="D2068" s="105" t="s">
        <v>2412</v>
      </c>
      <c r="E2068" s="105" t="s">
        <v>2413</v>
      </c>
      <c r="F2068" s="493">
        <v>63294</v>
      </c>
      <c r="G2068" s="105" t="s">
        <v>37</v>
      </c>
      <c r="H2068" s="105" t="s">
        <v>342</v>
      </c>
      <c r="I2068" s="105" t="s">
        <v>334</v>
      </c>
      <c r="J2068" s="493">
        <v>22</v>
      </c>
      <c r="K2068" s="493">
        <v>2</v>
      </c>
      <c r="L2068" s="105" t="s">
        <v>343</v>
      </c>
      <c r="M2068" s="105" t="s">
        <v>655</v>
      </c>
      <c r="N2068" s="105" t="s">
        <v>656</v>
      </c>
      <c r="O2068" s="105" t="s">
        <v>656</v>
      </c>
      <c r="P2068" s="105" t="s">
        <v>339</v>
      </c>
      <c r="Q2068" s="494">
        <v>0</v>
      </c>
      <c r="R2068" s="494">
        <v>0</v>
      </c>
      <c r="S2068" s="494">
        <v>117332</v>
      </c>
      <c r="T2068" s="494">
        <v>117332</v>
      </c>
      <c r="U2068" s="494">
        <v>34388</v>
      </c>
      <c r="V2068" s="493">
        <v>2024</v>
      </c>
      <c r="W2068" s="495"/>
      <c r="X2068" s="496">
        <f t="shared" si="135"/>
        <v>3.4120041875072702</v>
      </c>
      <c r="Y2068" s="497" t="str">
        <f t="shared" ref="Y2068:Z2087" si="136">IF(AND($M2068=$Y$2,$N2068=$Y$3,NOT($Q2068=$R2068),NOT($U2068=0)),IF($K2068=5,$S2068/($U2068+(8/5)*$U2068),IF($K2068=7,$S2068/($U2068+(29/25)*$U2068),"")),"")</f>
        <v/>
      </c>
      <c r="Z2068" s="497" t="str">
        <f t="shared" si="136"/>
        <v/>
      </c>
    </row>
    <row r="2069" spans="1:26" s="82" customFormat="1" ht="32" x14ac:dyDescent="0.4">
      <c r="A2069" s="493">
        <v>63637</v>
      </c>
      <c r="B2069" s="105" t="s">
        <v>329</v>
      </c>
      <c r="C2069" s="493" t="s">
        <v>330</v>
      </c>
      <c r="D2069" s="105" t="s">
        <v>2414</v>
      </c>
      <c r="E2069" s="105" t="s">
        <v>2116</v>
      </c>
      <c r="F2069" s="493">
        <v>57128</v>
      </c>
      <c r="G2069" s="105" t="s">
        <v>33</v>
      </c>
      <c r="H2069" s="105" t="s">
        <v>342</v>
      </c>
      <c r="I2069" s="105" t="s">
        <v>334</v>
      </c>
      <c r="J2069" s="493">
        <v>711</v>
      </c>
      <c r="K2069" s="493">
        <v>4</v>
      </c>
      <c r="L2069" s="105" t="s">
        <v>766</v>
      </c>
      <c r="M2069" s="105" t="s">
        <v>990</v>
      </c>
      <c r="N2069" s="105" t="s">
        <v>228</v>
      </c>
      <c r="O2069" s="105" t="s">
        <v>228</v>
      </c>
      <c r="P2069" s="105" t="s">
        <v>356</v>
      </c>
      <c r="Q2069" s="494">
        <v>107905</v>
      </c>
      <c r="R2069" s="494">
        <v>107905</v>
      </c>
      <c r="S2069" s="494">
        <v>110149</v>
      </c>
      <c r="T2069" s="494">
        <v>110149</v>
      </c>
      <c r="U2069" s="494">
        <v>16344</v>
      </c>
      <c r="V2069" s="493">
        <v>2024</v>
      </c>
      <c r="W2069" s="495"/>
      <c r="X2069" s="496" t="str">
        <f t="shared" si="135"/>
        <v/>
      </c>
      <c r="Y2069" s="497" t="str">
        <f t="shared" si="136"/>
        <v/>
      </c>
      <c r="Z2069" s="497" t="str">
        <f t="shared" si="136"/>
        <v/>
      </c>
    </row>
    <row r="2070" spans="1:26" s="82" customFormat="1" ht="32" x14ac:dyDescent="0.4">
      <c r="A2070" s="493">
        <v>63647</v>
      </c>
      <c r="B2070" s="105" t="s">
        <v>329</v>
      </c>
      <c r="C2070" s="493" t="s">
        <v>330</v>
      </c>
      <c r="D2070" s="105" t="s">
        <v>2415</v>
      </c>
      <c r="E2070" s="105" t="s">
        <v>2416</v>
      </c>
      <c r="F2070" s="493">
        <v>62150</v>
      </c>
      <c r="G2070" s="105" t="s">
        <v>52</v>
      </c>
      <c r="H2070" s="105" t="s">
        <v>333</v>
      </c>
      <c r="I2070" s="105" t="s">
        <v>334</v>
      </c>
      <c r="J2070" s="493">
        <v>22</v>
      </c>
      <c r="K2070" s="493">
        <v>2</v>
      </c>
      <c r="L2070" s="105" t="s">
        <v>343</v>
      </c>
      <c r="M2070" s="105" t="s">
        <v>990</v>
      </c>
      <c r="N2070" s="105" t="s">
        <v>228</v>
      </c>
      <c r="O2070" s="105" t="s">
        <v>228</v>
      </c>
      <c r="P2070" s="105" t="s">
        <v>356</v>
      </c>
      <c r="Q2070" s="494">
        <v>98863</v>
      </c>
      <c r="R2070" s="494">
        <v>98863</v>
      </c>
      <c r="S2070" s="494">
        <v>101827</v>
      </c>
      <c r="T2070" s="494">
        <v>101827</v>
      </c>
      <c r="U2070" s="494">
        <v>13612</v>
      </c>
      <c r="V2070" s="493">
        <v>2024</v>
      </c>
      <c r="W2070" s="495"/>
      <c r="X2070" s="496">
        <f t="shared" si="135"/>
        <v>7.4806788128122248</v>
      </c>
      <c r="Y2070" s="497" t="str">
        <f t="shared" si="136"/>
        <v/>
      </c>
      <c r="Z2070" s="497" t="str">
        <f t="shared" si="136"/>
        <v/>
      </c>
    </row>
    <row r="2071" spans="1:26" s="82" customFormat="1" ht="32" x14ac:dyDescent="0.4">
      <c r="A2071" s="493">
        <v>63648</v>
      </c>
      <c r="B2071" s="105" t="s">
        <v>329</v>
      </c>
      <c r="C2071" s="493" t="s">
        <v>330</v>
      </c>
      <c r="D2071" s="105" t="s">
        <v>2417</v>
      </c>
      <c r="E2071" s="105" t="s">
        <v>2416</v>
      </c>
      <c r="F2071" s="493">
        <v>62150</v>
      </c>
      <c r="G2071" s="105" t="s">
        <v>52</v>
      </c>
      <c r="H2071" s="105" t="s">
        <v>333</v>
      </c>
      <c r="I2071" s="105" t="s">
        <v>334</v>
      </c>
      <c r="J2071" s="493">
        <v>22</v>
      </c>
      <c r="K2071" s="493">
        <v>2</v>
      </c>
      <c r="L2071" s="105" t="s">
        <v>343</v>
      </c>
      <c r="M2071" s="105" t="s">
        <v>990</v>
      </c>
      <c r="N2071" s="105" t="s">
        <v>228</v>
      </c>
      <c r="O2071" s="105" t="s">
        <v>228</v>
      </c>
      <c r="P2071" s="105" t="s">
        <v>356</v>
      </c>
      <c r="Q2071" s="494">
        <v>60559</v>
      </c>
      <c r="R2071" s="494">
        <v>60559</v>
      </c>
      <c r="S2071" s="494">
        <v>62374</v>
      </c>
      <c r="T2071" s="494">
        <v>62374</v>
      </c>
      <c r="U2071" s="494">
        <v>8756</v>
      </c>
      <c r="V2071" s="493">
        <v>2024</v>
      </c>
      <c r="W2071" s="495"/>
      <c r="X2071" s="496">
        <f t="shared" si="135"/>
        <v>7.1235724074920057</v>
      </c>
      <c r="Y2071" s="497" t="str">
        <f t="shared" si="136"/>
        <v/>
      </c>
      <c r="Z2071" s="497" t="str">
        <f t="shared" si="136"/>
        <v/>
      </c>
    </row>
    <row r="2072" spans="1:26" s="82" customFormat="1" ht="32" x14ac:dyDescent="0.4">
      <c r="A2072" s="493">
        <v>63649</v>
      </c>
      <c r="B2072" s="105" t="s">
        <v>329</v>
      </c>
      <c r="C2072" s="493" t="s">
        <v>330</v>
      </c>
      <c r="D2072" s="105" t="s">
        <v>2418</v>
      </c>
      <c r="E2072" s="105" t="s">
        <v>2416</v>
      </c>
      <c r="F2072" s="493">
        <v>62150</v>
      </c>
      <c r="G2072" s="105" t="s">
        <v>52</v>
      </c>
      <c r="H2072" s="105" t="s">
        <v>333</v>
      </c>
      <c r="I2072" s="105" t="s">
        <v>334</v>
      </c>
      <c r="J2072" s="493">
        <v>22</v>
      </c>
      <c r="K2072" s="493">
        <v>2</v>
      </c>
      <c r="L2072" s="105" t="s">
        <v>343</v>
      </c>
      <c r="M2072" s="105" t="s">
        <v>990</v>
      </c>
      <c r="N2072" s="105" t="s">
        <v>228</v>
      </c>
      <c r="O2072" s="105" t="s">
        <v>228</v>
      </c>
      <c r="P2072" s="105" t="s">
        <v>356</v>
      </c>
      <c r="Q2072" s="494">
        <v>55891</v>
      </c>
      <c r="R2072" s="494">
        <v>55891</v>
      </c>
      <c r="S2072" s="494">
        <v>57567</v>
      </c>
      <c r="T2072" s="494">
        <v>57567</v>
      </c>
      <c r="U2072" s="494">
        <v>8024</v>
      </c>
      <c r="V2072" s="493">
        <v>2024</v>
      </c>
      <c r="W2072" s="495"/>
      <c r="X2072" s="496">
        <f t="shared" si="135"/>
        <v>7.1743519441674977</v>
      </c>
      <c r="Y2072" s="497" t="str">
        <f t="shared" si="136"/>
        <v/>
      </c>
      <c r="Z2072" s="497" t="str">
        <f t="shared" si="136"/>
        <v/>
      </c>
    </row>
    <row r="2073" spans="1:26" s="82" customFormat="1" x14ac:dyDescent="0.4">
      <c r="A2073" s="493">
        <v>63659</v>
      </c>
      <c r="B2073" s="105" t="s">
        <v>329</v>
      </c>
      <c r="C2073" s="493" t="s">
        <v>330</v>
      </c>
      <c r="D2073" s="105" t="s">
        <v>2419</v>
      </c>
      <c r="E2073" s="105" t="s">
        <v>2420</v>
      </c>
      <c r="F2073" s="493">
        <v>63368</v>
      </c>
      <c r="G2073" s="105" t="s">
        <v>33</v>
      </c>
      <c r="H2073" s="105" t="s">
        <v>342</v>
      </c>
      <c r="I2073" s="105" t="s">
        <v>334</v>
      </c>
      <c r="J2073" s="493">
        <v>22</v>
      </c>
      <c r="K2073" s="493">
        <v>2</v>
      </c>
      <c r="L2073" s="105" t="s">
        <v>343</v>
      </c>
      <c r="M2073" s="105" t="s">
        <v>655</v>
      </c>
      <c r="N2073" s="105" t="s">
        <v>656</v>
      </c>
      <c r="O2073" s="105" t="s">
        <v>656</v>
      </c>
      <c r="P2073" s="105" t="s">
        <v>339</v>
      </c>
      <c r="Q2073" s="494">
        <v>0</v>
      </c>
      <c r="R2073" s="494">
        <v>0</v>
      </c>
      <c r="S2073" s="494">
        <v>11748</v>
      </c>
      <c r="T2073" s="494">
        <v>11748</v>
      </c>
      <c r="U2073" s="494">
        <v>3443.3</v>
      </c>
      <c r="V2073" s="493">
        <v>2024</v>
      </c>
      <c r="W2073" s="495"/>
      <c r="X2073" s="496">
        <f t="shared" si="135"/>
        <v>3.4118432898672784</v>
      </c>
      <c r="Y2073" s="497" t="str">
        <f t="shared" si="136"/>
        <v/>
      </c>
      <c r="Z2073" s="497" t="str">
        <f t="shared" si="136"/>
        <v/>
      </c>
    </row>
    <row r="2074" spans="1:26" s="82" customFormat="1" ht="32" x14ac:dyDescent="0.4">
      <c r="A2074" s="493">
        <v>63661</v>
      </c>
      <c r="B2074" s="105" t="s">
        <v>329</v>
      </c>
      <c r="C2074" s="493" t="s">
        <v>330</v>
      </c>
      <c r="D2074" s="105" t="s">
        <v>2421</v>
      </c>
      <c r="E2074" s="105" t="s">
        <v>2422</v>
      </c>
      <c r="F2074" s="493">
        <v>63369</v>
      </c>
      <c r="G2074" s="105" t="s">
        <v>52</v>
      </c>
      <c r="H2074" s="105" t="s">
        <v>333</v>
      </c>
      <c r="I2074" s="105" t="s">
        <v>334</v>
      </c>
      <c r="J2074" s="493">
        <v>22</v>
      </c>
      <c r="K2074" s="493">
        <v>2</v>
      </c>
      <c r="L2074" s="105" t="s">
        <v>343</v>
      </c>
      <c r="M2074" s="105" t="s">
        <v>990</v>
      </c>
      <c r="N2074" s="105" t="s">
        <v>228</v>
      </c>
      <c r="O2074" s="105" t="s">
        <v>228</v>
      </c>
      <c r="P2074" s="105" t="s">
        <v>356</v>
      </c>
      <c r="Q2074" s="494">
        <v>508830</v>
      </c>
      <c r="R2074" s="494">
        <v>508830</v>
      </c>
      <c r="S2074" s="494">
        <v>478300</v>
      </c>
      <c r="T2074" s="494">
        <v>478300</v>
      </c>
      <c r="U2074" s="494">
        <v>55619</v>
      </c>
      <c r="V2074" s="493">
        <v>2024</v>
      </c>
      <c r="W2074" s="495"/>
      <c r="X2074" s="496">
        <f t="shared" si="135"/>
        <v>8.5995792804617128</v>
      </c>
      <c r="Y2074" s="497" t="str">
        <f t="shared" si="136"/>
        <v/>
      </c>
      <c r="Z2074" s="497" t="str">
        <f t="shared" si="136"/>
        <v/>
      </c>
    </row>
    <row r="2075" spans="1:26" s="82" customFormat="1" ht="32" x14ac:dyDescent="0.4">
      <c r="A2075" s="493">
        <v>63667</v>
      </c>
      <c r="B2075" s="105" t="s">
        <v>329</v>
      </c>
      <c r="C2075" s="493" t="s">
        <v>330</v>
      </c>
      <c r="D2075" s="105" t="s">
        <v>2423</v>
      </c>
      <c r="E2075" s="105" t="s">
        <v>2424</v>
      </c>
      <c r="F2075" s="493">
        <v>63374</v>
      </c>
      <c r="G2075" s="105" t="s">
        <v>34</v>
      </c>
      <c r="H2075" s="105" t="s">
        <v>342</v>
      </c>
      <c r="I2075" s="105" t="s">
        <v>334</v>
      </c>
      <c r="J2075" s="493">
        <v>22</v>
      </c>
      <c r="K2075" s="493">
        <v>2</v>
      </c>
      <c r="L2075" s="105" t="s">
        <v>343</v>
      </c>
      <c r="M2075" s="105" t="s">
        <v>655</v>
      </c>
      <c r="N2075" s="105" t="s">
        <v>656</v>
      </c>
      <c r="O2075" s="105" t="s">
        <v>656</v>
      </c>
      <c r="P2075" s="105" t="s">
        <v>339</v>
      </c>
      <c r="Q2075" s="494">
        <v>0</v>
      </c>
      <c r="R2075" s="494">
        <v>0</v>
      </c>
      <c r="S2075" s="494">
        <v>309907</v>
      </c>
      <c r="T2075" s="494">
        <v>309907</v>
      </c>
      <c r="U2075" s="494">
        <v>90829</v>
      </c>
      <c r="V2075" s="493">
        <v>2024</v>
      </c>
      <c r="W2075" s="495"/>
      <c r="X2075" s="496">
        <f t="shared" si="135"/>
        <v>3.4119829569851037</v>
      </c>
      <c r="Y2075" s="497" t="str">
        <f t="shared" si="136"/>
        <v/>
      </c>
      <c r="Z2075" s="497" t="str">
        <f t="shared" si="136"/>
        <v/>
      </c>
    </row>
    <row r="2076" spans="1:26" s="82" customFormat="1" x14ac:dyDescent="0.4">
      <c r="A2076" s="493">
        <v>63668</v>
      </c>
      <c r="B2076" s="105" t="s">
        <v>329</v>
      </c>
      <c r="C2076" s="493" t="s">
        <v>330</v>
      </c>
      <c r="D2076" s="105" t="s">
        <v>2425</v>
      </c>
      <c r="E2076" s="105" t="s">
        <v>1448</v>
      </c>
      <c r="F2076" s="493">
        <v>61012</v>
      </c>
      <c r="G2076" s="105" t="s">
        <v>38</v>
      </c>
      <c r="H2076" s="105" t="s">
        <v>342</v>
      </c>
      <c r="I2076" s="105" t="s">
        <v>334</v>
      </c>
      <c r="J2076" s="493">
        <v>22</v>
      </c>
      <c r="K2076" s="493">
        <v>2</v>
      </c>
      <c r="L2076" s="105" t="s">
        <v>343</v>
      </c>
      <c r="M2076" s="105" t="s">
        <v>655</v>
      </c>
      <c r="N2076" s="105" t="s">
        <v>656</v>
      </c>
      <c r="O2076" s="105" t="s">
        <v>656</v>
      </c>
      <c r="P2076" s="105" t="s">
        <v>339</v>
      </c>
      <c r="Q2076" s="494">
        <v>0</v>
      </c>
      <c r="R2076" s="494">
        <v>0</v>
      </c>
      <c r="S2076" s="494">
        <v>87316</v>
      </c>
      <c r="T2076" s="494">
        <v>87316</v>
      </c>
      <c r="U2076" s="494">
        <v>25591</v>
      </c>
      <c r="V2076" s="493">
        <v>2024</v>
      </c>
      <c r="W2076" s="495"/>
      <c r="X2076" s="496">
        <f t="shared" si="135"/>
        <v>3.411980774491032</v>
      </c>
      <c r="Y2076" s="497" t="str">
        <f t="shared" si="136"/>
        <v/>
      </c>
      <c r="Z2076" s="497" t="str">
        <f t="shared" si="136"/>
        <v/>
      </c>
    </row>
    <row r="2077" spans="1:26" s="82" customFormat="1" ht="32" x14ac:dyDescent="0.4">
      <c r="A2077" s="493">
        <v>63669</v>
      </c>
      <c r="B2077" s="105" t="s">
        <v>329</v>
      </c>
      <c r="C2077" s="493" t="s">
        <v>330</v>
      </c>
      <c r="D2077" s="105" t="s">
        <v>2426</v>
      </c>
      <c r="E2077" s="105" t="s">
        <v>2426</v>
      </c>
      <c r="F2077" s="493">
        <v>63378</v>
      </c>
      <c r="G2077" s="105" t="s">
        <v>52</v>
      </c>
      <c r="H2077" s="105" t="s">
        <v>333</v>
      </c>
      <c r="I2077" s="105" t="s">
        <v>334</v>
      </c>
      <c r="J2077" s="493">
        <v>622</v>
      </c>
      <c r="K2077" s="493">
        <v>4</v>
      </c>
      <c r="L2077" s="105" t="s">
        <v>766</v>
      </c>
      <c r="M2077" s="105" t="s">
        <v>359</v>
      </c>
      <c r="N2077" s="105" t="s">
        <v>226</v>
      </c>
      <c r="O2077" s="105" t="s">
        <v>226</v>
      </c>
      <c r="P2077" s="105" t="s">
        <v>350</v>
      </c>
      <c r="Q2077" s="494">
        <v>181</v>
      </c>
      <c r="R2077" s="494">
        <v>181</v>
      </c>
      <c r="S2077" s="494">
        <v>1065</v>
      </c>
      <c r="T2077" s="494">
        <v>1065</v>
      </c>
      <c r="U2077" s="494">
        <v>54</v>
      </c>
      <c r="V2077" s="493">
        <v>2024</v>
      </c>
      <c r="W2077" s="495"/>
      <c r="X2077" s="496" t="str">
        <f t="shared" si="135"/>
        <v/>
      </c>
      <c r="Y2077" s="497" t="str">
        <f t="shared" si="136"/>
        <v/>
      </c>
      <c r="Z2077" s="497" t="str">
        <f t="shared" si="136"/>
        <v/>
      </c>
    </row>
    <row r="2078" spans="1:26" s="82" customFormat="1" ht="32" x14ac:dyDescent="0.4">
      <c r="A2078" s="493">
        <v>63669</v>
      </c>
      <c r="B2078" s="105" t="s">
        <v>329</v>
      </c>
      <c r="C2078" s="493" t="s">
        <v>330</v>
      </c>
      <c r="D2078" s="105" t="s">
        <v>2426</v>
      </c>
      <c r="E2078" s="105" t="s">
        <v>2426</v>
      </c>
      <c r="F2078" s="493">
        <v>63378</v>
      </c>
      <c r="G2078" s="105" t="s">
        <v>52</v>
      </c>
      <c r="H2078" s="105" t="s">
        <v>333</v>
      </c>
      <c r="I2078" s="105" t="s">
        <v>334</v>
      </c>
      <c r="J2078" s="493">
        <v>622</v>
      </c>
      <c r="K2078" s="493">
        <v>4</v>
      </c>
      <c r="L2078" s="105" t="s">
        <v>766</v>
      </c>
      <c r="M2078" s="105" t="s">
        <v>359</v>
      </c>
      <c r="N2078" s="105" t="s">
        <v>228</v>
      </c>
      <c r="O2078" s="105" t="s">
        <v>228</v>
      </c>
      <c r="P2078" s="105" t="s">
        <v>356</v>
      </c>
      <c r="Q2078" s="494">
        <v>0</v>
      </c>
      <c r="R2078" s="494">
        <v>0</v>
      </c>
      <c r="S2078" s="494">
        <v>0</v>
      </c>
      <c r="T2078" s="494">
        <v>0</v>
      </c>
      <c r="U2078" s="494">
        <v>0</v>
      </c>
      <c r="V2078" s="493">
        <v>2024</v>
      </c>
      <c r="W2078" s="495"/>
      <c r="X2078" s="496" t="str">
        <f t="shared" si="135"/>
        <v/>
      </c>
      <c r="Y2078" s="497" t="str">
        <f t="shared" si="136"/>
        <v/>
      </c>
      <c r="Z2078" s="497" t="str">
        <f t="shared" si="136"/>
        <v/>
      </c>
    </row>
    <row r="2079" spans="1:26" s="82" customFormat="1" x14ac:dyDescent="0.4">
      <c r="A2079" s="493">
        <v>63672</v>
      </c>
      <c r="B2079" s="105" t="s">
        <v>329</v>
      </c>
      <c r="C2079" s="493" t="s">
        <v>330</v>
      </c>
      <c r="D2079" s="105" t="s">
        <v>2427</v>
      </c>
      <c r="E2079" s="105" t="s">
        <v>2428</v>
      </c>
      <c r="F2079" s="493">
        <v>63391</v>
      </c>
      <c r="G2079" s="105" t="s">
        <v>33</v>
      </c>
      <c r="H2079" s="105" t="s">
        <v>342</v>
      </c>
      <c r="I2079" s="105" t="s">
        <v>334</v>
      </c>
      <c r="J2079" s="493">
        <v>22</v>
      </c>
      <c r="K2079" s="493">
        <v>2</v>
      </c>
      <c r="L2079" s="105" t="s">
        <v>343</v>
      </c>
      <c r="M2079" s="105" t="s">
        <v>655</v>
      </c>
      <c r="N2079" s="105" t="s">
        <v>656</v>
      </c>
      <c r="O2079" s="105" t="s">
        <v>656</v>
      </c>
      <c r="P2079" s="105" t="s">
        <v>339</v>
      </c>
      <c r="Q2079" s="494">
        <v>0</v>
      </c>
      <c r="R2079" s="494">
        <v>0</v>
      </c>
      <c r="S2079" s="494">
        <v>12637</v>
      </c>
      <c r="T2079" s="494">
        <v>12637</v>
      </c>
      <c r="U2079" s="494">
        <v>3704</v>
      </c>
      <c r="V2079" s="493">
        <v>2024</v>
      </c>
      <c r="W2079" s="495"/>
      <c r="X2079" s="496">
        <f t="shared" si="135"/>
        <v>3.4117170626349891</v>
      </c>
      <c r="Y2079" s="497" t="str">
        <f t="shared" si="136"/>
        <v/>
      </c>
      <c r="Z2079" s="497" t="str">
        <f t="shared" si="136"/>
        <v/>
      </c>
    </row>
    <row r="2080" spans="1:26" s="82" customFormat="1" ht="32" x14ac:dyDescent="0.4">
      <c r="A2080" s="493">
        <v>63673</v>
      </c>
      <c r="B2080" s="105" t="s">
        <v>433</v>
      </c>
      <c r="C2080" s="493" t="s">
        <v>330</v>
      </c>
      <c r="D2080" s="105" t="s">
        <v>2429</v>
      </c>
      <c r="E2080" s="105" t="s">
        <v>2430</v>
      </c>
      <c r="F2080" s="493">
        <v>63392</v>
      </c>
      <c r="G2080" s="105" t="s">
        <v>37</v>
      </c>
      <c r="H2080" s="105" t="s">
        <v>342</v>
      </c>
      <c r="I2080" s="105" t="s">
        <v>334</v>
      </c>
      <c r="J2080" s="493">
        <v>622</v>
      </c>
      <c r="K2080" s="493">
        <v>5</v>
      </c>
      <c r="L2080" s="105" t="s">
        <v>771</v>
      </c>
      <c r="M2080" s="105" t="s">
        <v>295</v>
      </c>
      <c r="N2080" s="105" t="s">
        <v>228</v>
      </c>
      <c r="O2080" s="105" t="s">
        <v>228</v>
      </c>
      <c r="P2080" s="105" t="s">
        <v>356</v>
      </c>
      <c r="Q2080" s="494">
        <v>0</v>
      </c>
      <c r="R2080" s="494">
        <v>0</v>
      </c>
      <c r="S2080" s="494">
        <v>0</v>
      </c>
      <c r="T2080" s="494">
        <v>0</v>
      </c>
      <c r="U2080" s="494">
        <v>0</v>
      </c>
      <c r="V2080" s="493">
        <v>2024</v>
      </c>
      <c r="W2080" s="495"/>
      <c r="X2080" s="496" t="str">
        <f t="shared" si="135"/>
        <v/>
      </c>
      <c r="Y2080" s="497" t="str">
        <f t="shared" si="136"/>
        <v/>
      </c>
      <c r="Z2080" s="497" t="str">
        <f t="shared" si="136"/>
        <v/>
      </c>
    </row>
    <row r="2081" spans="1:26" s="82" customFormat="1" ht="32" x14ac:dyDescent="0.4">
      <c r="A2081" s="493">
        <v>63673</v>
      </c>
      <c r="B2081" s="105" t="s">
        <v>433</v>
      </c>
      <c r="C2081" s="493" t="s">
        <v>330</v>
      </c>
      <c r="D2081" s="105" t="s">
        <v>2429</v>
      </c>
      <c r="E2081" s="105" t="s">
        <v>2430</v>
      </c>
      <c r="F2081" s="493">
        <v>63392</v>
      </c>
      <c r="G2081" s="105" t="s">
        <v>37</v>
      </c>
      <c r="H2081" s="105" t="s">
        <v>342</v>
      </c>
      <c r="I2081" s="105" t="s">
        <v>334</v>
      </c>
      <c r="J2081" s="493">
        <v>622</v>
      </c>
      <c r="K2081" s="493">
        <v>5</v>
      </c>
      <c r="L2081" s="105" t="s">
        <v>771</v>
      </c>
      <c r="M2081" s="105" t="s">
        <v>359</v>
      </c>
      <c r="N2081" s="105" t="s">
        <v>228</v>
      </c>
      <c r="O2081" s="105" t="s">
        <v>228</v>
      </c>
      <c r="P2081" s="105" t="s">
        <v>356</v>
      </c>
      <c r="Q2081" s="494">
        <v>0</v>
      </c>
      <c r="R2081" s="494">
        <v>0</v>
      </c>
      <c r="S2081" s="494">
        <v>0</v>
      </c>
      <c r="T2081" s="494">
        <v>0</v>
      </c>
      <c r="U2081" s="494">
        <v>0</v>
      </c>
      <c r="V2081" s="493">
        <v>2024</v>
      </c>
      <c r="W2081" s="495"/>
      <c r="X2081" s="496" t="str">
        <f t="shared" si="135"/>
        <v/>
      </c>
      <c r="Y2081" s="497" t="str">
        <f t="shared" si="136"/>
        <v/>
      </c>
      <c r="Z2081" s="497" t="str">
        <f t="shared" si="136"/>
        <v/>
      </c>
    </row>
    <row r="2082" spans="1:26" s="82" customFormat="1" x14ac:dyDescent="0.4">
      <c r="A2082" s="493">
        <v>63675</v>
      </c>
      <c r="B2082" s="105" t="s">
        <v>329</v>
      </c>
      <c r="C2082" s="493" t="s">
        <v>330</v>
      </c>
      <c r="D2082" s="105" t="s">
        <v>2431</v>
      </c>
      <c r="E2082" s="105" t="s">
        <v>2432</v>
      </c>
      <c r="F2082" s="493">
        <v>63394</v>
      </c>
      <c r="G2082" s="105" t="s">
        <v>52</v>
      </c>
      <c r="H2082" s="105" t="s">
        <v>333</v>
      </c>
      <c r="I2082" s="105" t="s">
        <v>334</v>
      </c>
      <c r="J2082" s="493">
        <v>22</v>
      </c>
      <c r="K2082" s="493">
        <v>2</v>
      </c>
      <c r="L2082" s="105" t="s">
        <v>343</v>
      </c>
      <c r="M2082" s="105" t="s">
        <v>655</v>
      </c>
      <c r="N2082" s="105" t="s">
        <v>656</v>
      </c>
      <c r="O2082" s="105" t="s">
        <v>656</v>
      </c>
      <c r="P2082" s="105" t="s">
        <v>339</v>
      </c>
      <c r="Q2082" s="494">
        <v>0</v>
      </c>
      <c r="R2082" s="494">
        <v>0</v>
      </c>
      <c r="S2082" s="494">
        <v>10765</v>
      </c>
      <c r="T2082" s="494">
        <v>10765</v>
      </c>
      <c r="U2082" s="494">
        <v>3155</v>
      </c>
      <c r="V2082" s="493">
        <v>2024</v>
      </c>
      <c r="W2082" s="495"/>
      <c r="X2082" s="496">
        <f t="shared" si="135"/>
        <v>3.4120443740095086</v>
      </c>
      <c r="Y2082" s="497" t="str">
        <f t="shared" si="136"/>
        <v/>
      </c>
      <c r="Z2082" s="497" t="str">
        <f t="shared" si="136"/>
        <v/>
      </c>
    </row>
    <row r="2083" spans="1:26" s="82" customFormat="1" ht="32" x14ac:dyDescent="0.4">
      <c r="A2083" s="493">
        <v>63690</v>
      </c>
      <c r="B2083" s="105" t="s">
        <v>329</v>
      </c>
      <c r="C2083" s="493" t="s">
        <v>330</v>
      </c>
      <c r="D2083" s="105" t="s">
        <v>2433</v>
      </c>
      <c r="E2083" s="105" t="s">
        <v>1452</v>
      </c>
      <c r="F2083" s="493">
        <v>58871</v>
      </c>
      <c r="G2083" s="105" t="s">
        <v>33</v>
      </c>
      <c r="H2083" s="105" t="s">
        <v>342</v>
      </c>
      <c r="I2083" s="105" t="s">
        <v>334</v>
      </c>
      <c r="J2083" s="493">
        <v>22</v>
      </c>
      <c r="K2083" s="493">
        <v>2</v>
      </c>
      <c r="L2083" s="105" t="s">
        <v>343</v>
      </c>
      <c r="M2083" s="105" t="s">
        <v>655</v>
      </c>
      <c r="N2083" s="105" t="s">
        <v>656</v>
      </c>
      <c r="O2083" s="105" t="s">
        <v>656</v>
      </c>
      <c r="P2083" s="105" t="s">
        <v>339</v>
      </c>
      <c r="Q2083" s="494">
        <v>0</v>
      </c>
      <c r="R2083" s="494">
        <v>0</v>
      </c>
      <c r="S2083" s="494">
        <v>19097</v>
      </c>
      <c r="T2083" s="494">
        <v>19097</v>
      </c>
      <c r="U2083" s="494">
        <v>5597</v>
      </c>
      <c r="V2083" s="493">
        <v>2024</v>
      </c>
      <c r="W2083" s="495"/>
      <c r="X2083" s="496">
        <f t="shared" si="135"/>
        <v>3.4120064320171521</v>
      </c>
      <c r="Y2083" s="497" t="str">
        <f t="shared" si="136"/>
        <v/>
      </c>
      <c r="Z2083" s="497" t="str">
        <f t="shared" si="136"/>
        <v/>
      </c>
    </row>
    <row r="2084" spans="1:26" s="82" customFormat="1" ht="32" x14ac:dyDescent="0.4">
      <c r="A2084" s="493">
        <v>63697</v>
      </c>
      <c r="B2084" s="105" t="s">
        <v>329</v>
      </c>
      <c r="C2084" s="493" t="s">
        <v>330</v>
      </c>
      <c r="D2084" s="105" t="s">
        <v>2434</v>
      </c>
      <c r="E2084" s="105" t="s">
        <v>2435</v>
      </c>
      <c r="F2084" s="493">
        <v>63409</v>
      </c>
      <c r="G2084" s="105" t="s">
        <v>33</v>
      </c>
      <c r="H2084" s="105" t="s">
        <v>342</v>
      </c>
      <c r="I2084" s="105" t="s">
        <v>334</v>
      </c>
      <c r="J2084" s="493">
        <v>22</v>
      </c>
      <c r="K2084" s="493">
        <v>2</v>
      </c>
      <c r="L2084" s="105" t="s">
        <v>343</v>
      </c>
      <c r="M2084" s="105" t="s">
        <v>655</v>
      </c>
      <c r="N2084" s="105" t="s">
        <v>656</v>
      </c>
      <c r="O2084" s="105" t="s">
        <v>656</v>
      </c>
      <c r="P2084" s="105" t="s">
        <v>339</v>
      </c>
      <c r="Q2084" s="494">
        <v>0</v>
      </c>
      <c r="R2084" s="494">
        <v>0</v>
      </c>
      <c r="S2084" s="494">
        <v>5009</v>
      </c>
      <c r="T2084" s="494">
        <v>5009</v>
      </c>
      <c r="U2084" s="494">
        <v>1468</v>
      </c>
      <c r="V2084" s="493">
        <v>2024</v>
      </c>
      <c r="W2084" s="495"/>
      <c r="X2084" s="496">
        <f t="shared" si="135"/>
        <v>3.4121253405994549</v>
      </c>
      <c r="Y2084" s="497" t="str">
        <f t="shared" si="136"/>
        <v/>
      </c>
      <c r="Z2084" s="497" t="str">
        <f t="shared" si="136"/>
        <v/>
      </c>
    </row>
    <row r="2085" spans="1:26" s="82" customFormat="1" x14ac:dyDescent="0.4">
      <c r="A2085" s="493">
        <v>63718</v>
      </c>
      <c r="B2085" s="105" t="s">
        <v>329</v>
      </c>
      <c r="C2085" s="493" t="s">
        <v>330</v>
      </c>
      <c r="D2085" s="105" t="s">
        <v>2436</v>
      </c>
      <c r="E2085" s="105" t="s">
        <v>1606</v>
      </c>
      <c r="F2085" s="493">
        <v>61227</v>
      </c>
      <c r="G2085" s="105" t="s">
        <v>38</v>
      </c>
      <c r="H2085" s="105" t="s">
        <v>342</v>
      </c>
      <c r="I2085" s="105" t="s">
        <v>334</v>
      </c>
      <c r="J2085" s="493">
        <v>22</v>
      </c>
      <c r="K2085" s="493">
        <v>2</v>
      </c>
      <c r="L2085" s="105" t="s">
        <v>343</v>
      </c>
      <c r="M2085" s="105" t="s">
        <v>655</v>
      </c>
      <c r="N2085" s="105" t="s">
        <v>656</v>
      </c>
      <c r="O2085" s="105" t="s">
        <v>656</v>
      </c>
      <c r="P2085" s="105" t="s">
        <v>339</v>
      </c>
      <c r="Q2085" s="494">
        <v>0</v>
      </c>
      <c r="R2085" s="494">
        <v>0</v>
      </c>
      <c r="S2085" s="494">
        <v>14130</v>
      </c>
      <c r="T2085" s="494">
        <v>14130</v>
      </c>
      <c r="U2085" s="494">
        <v>4141</v>
      </c>
      <c r="V2085" s="493">
        <v>2024</v>
      </c>
      <c r="W2085" s="495"/>
      <c r="X2085" s="496">
        <f t="shared" si="135"/>
        <v>3.4122192707075585</v>
      </c>
      <c r="Y2085" s="497" t="str">
        <f t="shared" si="136"/>
        <v/>
      </c>
      <c r="Z2085" s="497" t="str">
        <f t="shared" si="136"/>
        <v/>
      </c>
    </row>
    <row r="2086" spans="1:26" s="82" customFormat="1" ht="32" x14ac:dyDescent="0.4">
      <c r="A2086" s="493">
        <v>63729</v>
      </c>
      <c r="B2086" s="105" t="s">
        <v>329</v>
      </c>
      <c r="C2086" s="493" t="s">
        <v>330</v>
      </c>
      <c r="D2086" s="105" t="s">
        <v>2437</v>
      </c>
      <c r="E2086" s="105" t="s">
        <v>1295</v>
      </c>
      <c r="F2086" s="493">
        <v>57365</v>
      </c>
      <c r="G2086" s="105" t="s">
        <v>52</v>
      </c>
      <c r="H2086" s="105" t="s">
        <v>333</v>
      </c>
      <c r="I2086" s="105" t="s">
        <v>334</v>
      </c>
      <c r="J2086" s="493">
        <v>22</v>
      </c>
      <c r="K2086" s="493">
        <v>2</v>
      </c>
      <c r="L2086" s="105" t="s">
        <v>343</v>
      </c>
      <c r="M2086" s="105" t="s">
        <v>655</v>
      </c>
      <c r="N2086" s="105" t="s">
        <v>656</v>
      </c>
      <c r="O2086" s="105" t="s">
        <v>656</v>
      </c>
      <c r="P2086" s="105" t="s">
        <v>339</v>
      </c>
      <c r="Q2086" s="494">
        <v>0</v>
      </c>
      <c r="R2086" s="494">
        <v>0</v>
      </c>
      <c r="S2086" s="494">
        <v>17123</v>
      </c>
      <c r="T2086" s="494">
        <v>17123</v>
      </c>
      <c r="U2086" s="494">
        <v>5019</v>
      </c>
      <c r="V2086" s="493">
        <v>2024</v>
      </c>
      <c r="W2086" s="495"/>
      <c r="X2086" s="496">
        <f t="shared" si="135"/>
        <v>3.4116357840207212</v>
      </c>
      <c r="Y2086" s="497" t="str">
        <f t="shared" si="136"/>
        <v/>
      </c>
      <c r="Z2086" s="497" t="str">
        <f t="shared" si="136"/>
        <v/>
      </c>
    </row>
    <row r="2087" spans="1:26" s="82" customFormat="1" x14ac:dyDescent="0.4">
      <c r="A2087" s="493">
        <v>63747</v>
      </c>
      <c r="B2087" s="105" t="s">
        <v>329</v>
      </c>
      <c r="C2087" s="493" t="s">
        <v>330</v>
      </c>
      <c r="D2087" s="105" t="s">
        <v>2438</v>
      </c>
      <c r="E2087" s="105" t="s">
        <v>2439</v>
      </c>
      <c r="F2087" s="493">
        <v>63441</v>
      </c>
      <c r="G2087" s="105" t="s">
        <v>52</v>
      </c>
      <c r="H2087" s="105" t="s">
        <v>333</v>
      </c>
      <c r="I2087" s="105" t="s">
        <v>334</v>
      </c>
      <c r="J2087" s="493">
        <v>22</v>
      </c>
      <c r="K2087" s="493">
        <v>2</v>
      </c>
      <c r="L2087" s="105" t="s">
        <v>343</v>
      </c>
      <c r="M2087" s="105" t="s">
        <v>655</v>
      </c>
      <c r="N2087" s="105" t="s">
        <v>656</v>
      </c>
      <c r="O2087" s="105" t="s">
        <v>656</v>
      </c>
      <c r="P2087" s="105" t="s">
        <v>339</v>
      </c>
      <c r="Q2087" s="494">
        <v>0</v>
      </c>
      <c r="R2087" s="494">
        <v>0</v>
      </c>
      <c r="S2087" s="494">
        <v>12376</v>
      </c>
      <c r="T2087" s="494">
        <v>12376</v>
      </c>
      <c r="U2087" s="494">
        <v>3627</v>
      </c>
      <c r="V2087" s="493">
        <v>2024</v>
      </c>
      <c r="W2087" s="495"/>
      <c r="X2087" s="496">
        <f t="shared" si="135"/>
        <v>3.4121863799283152</v>
      </c>
      <c r="Y2087" s="497" t="str">
        <f t="shared" si="136"/>
        <v/>
      </c>
      <c r="Z2087" s="497" t="str">
        <f t="shared" si="136"/>
        <v/>
      </c>
    </row>
    <row r="2088" spans="1:26" s="82" customFormat="1" x14ac:dyDescent="0.4">
      <c r="A2088" s="493">
        <v>63748</v>
      </c>
      <c r="B2088" s="105" t="s">
        <v>329</v>
      </c>
      <c r="C2088" s="493" t="s">
        <v>330</v>
      </c>
      <c r="D2088" s="105" t="s">
        <v>2440</v>
      </c>
      <c r="E2088" s="105" t="s">
        <v>2441</v>
      </c>
      <c r="F2088" s="493">
        <v>63442</v>
      </c>
      <c r="G2088" s="105" t="s">
        <v>52</v>
      </c>
      <c r="H2088" s="105" t="s">
        <v>333</v>
      </c>
      <c r="I2088" s="105" t="s">
        <v>334</v>
      </c>
      <c r="J2088" s="493">
        <v>22</v>
      </c>
      <c r="K2088" s="493">
        <v>2</v>
      </c>
      <c r="L2088" s="105" t="s">
        <v>343</v>
      </c>
      <c r="M2088" s="105" t="s">
        <v>655</v>
      </c>
      <c r="N2088" s="105" t="s">
        <v>656</v>
      </c>
      <c r="O2088" s="105" t="s">
        <v>656</v>
      </c>
      <c r="P2088" s="105" t="s">
        <v>339</v>
      </c>
      <c r="Q2088" s="494">
        <v>0</v>
      </c>
      <c r="R2088" s="494">
        <v>0</v>
      </c>
      <c r="S2088" s="494">
        <v>12241</v>
      </c>
      <c r="T2088" s="494">
        <v>12241</v>
      </c>
      <c r="U2088" s="494">
        <v>3588</v>
      </c>
      <c r="V2088" s="493">
        <v>2024</v>
      </c>
      <c r="W2088" s="495"/>
      <c r="X2088" s="496">
        <f t="shared" si="135"/>
        <v>3.4116499442586399</v>
      </c>
      <c r="Y2088" s="497" t="str">
        <f t="shared" ref="Y2088:Z2107" si="137">IF(AND($M2088=$Y$2,$N2088=$Y$3,NOT($Q2088=$R2088),NOT($U2088=0)),IF($K2088=5,$S2088/($U2088+(8/5)*$U2088),IF($K2088=7,$S2088/($U2088+(29/25)*$U2088),"")),"")</f>
        <v/>
      </c>
      <c r="Z2088" s="497" t="str">
        <f t="shared" si="137"/>
        <v/>
      </c>
    </row>
    <row r="2089" spans="1:26" s="82" customFormat="1" x14ac:dyDescent="0.4">
      <c r="A2089" s="493">
        <v>63749</v>
      </c>
      <c r="B2089" s="105" t="s">
        <v>329</v>
      </c>
      <c r="C2089" s="493" t="s">
        <v>330</v>
      </c>
      <c r="D2089" s="105" t="s">
        <v>2442</v>
      </c>
      <c r="E2089" s="105" t="s">
        <v>2443</v>
      </c>
      <c r="F2089" s="493">
        <v>63443</v>
      </c>
      <c r="G2089" s="105" t="s">
        <v>52</v>
      </c>
      <c r="H2089" s="105" t="s">
        <v>333</v>
      </c>
      <c r="I2089" s="105" t="s">
        <v>334</v>
      </c>
      <c r="J2089" s="493">
        <v>22</v>
      </c>
      <c r="K2089" s="493">
        <v>2</v>
      </c>
      <c r="L2089" s="105" t="s">
        <v>343</v>
      </c>
      <c r="M2089" s="105" t="s">
        <v>655</v>
      </c>
      <c r="N2089" s="105" t="s">
        <v>656</v>
      </c>
      <c r="O2089" s="105" t="s">
        <v>656</v>
      </c>
      <c r="P2089" s="105" t="s">
        <v>339</v>
      </c>
      <c r="Q2089" s="494">
        <v>0</v>
      </c>
      <c r="R2089" s="494">
        <v>0</v>
      </c>
      <c r="S2089" s="494">
        <v>12042</v>
      </c>
      <c r="T2089" s="494">
        <v>12042</v>
      </c>
      <c r="U2089" s="494">
        <v>3529</v>
      </c>
      <c r="V2089" s="493">
        <v>2024</v>
      </c>
      <c r="W2089" s="495"/>
      <c r="X2089" s="496">
        <f t="shared" si="135"/>
        <v>3.4122981014451685</v>
      </c>
      <c r="Y2089" s="497" t="str">
        <f t="shared" si="137"/>
        <v/>
      </c>
      <c r="Z2089" s="497" t="str">
        <f t="shared" si="137"/>
        <v/>
      </c>
    </row>
    <row r="2090" spans="1:26" s="82" customFormat="1" x14ac:dyDescent="0.4">
      <c r="A2090" s="493">
        <v>63750</v>
      </c>
      <c r="B2090" s="105" t="s">
        <v>329</v>
      </c>
      <c r="C2090" s="493" t="s">
        <v>330</v>
      </c>
      <c r="D2090" s="105" t="s">
        <v>2444</v>
      </c>
      <c r="E2090" s="105" t="s">
        <v>2445</v>
      </c>
      <c r="F2090" s="493">
        <v>63444</v>
      </c>
      <c r="G2090" s="105" t="s">
        <v>52</v>
      </c>
      <c r="H2090" s="105" t="s">
        <v>333</v>
      </c>
      <c r="I2090" s="105" t="s">
        <v>334</v>
      </c>
      <c r="J2090" s="493">
        <v>22</v>
      </c>
      <c r="K2090" s="493">
        <v>2</v>
      </c>
      <c r="L2090" s="105" t="s">
        <v>343</v>
      </c>
      <c r="M2090" s="105" t="s">
        <v>655</v>
      </c>
      <c r="N2090" s="105" t="s">
        <v>656</v>
      </c>
      <c r="O2090" s="105" t="s">
        <v>656</v>
      </c>
      <c r="P2090" s="105" t="s">
        <v>339</v>
      </c>
      <c r="Q2090" s="494">
        <v>0</v>
      </c>
      <c r="R2090" s="494">
        <v>0</v>
      </c>
      <c r="S2090" s="494">
        <v>11945</v>
      </c>
      <c r="T2090" s="494">
        <v>11945</v>
      </c>
      <c r="U2090" s="494">
        <v>3501</v>
      </c>
      <c r="V2090" s="493">
        <v>2024</v>
      </c>
      <c r="W2090" s="495"/>
      <c r="X2090" s="496">
        <f t="shared" si="135"/>
        <v>3.411882319337332</v>
      </c>
      <c r="Y2090" s="497" t="str">
        <f t="shared" si="137"/>
        <v/>
      </c>
      <c r="Z2090" s="497" t="str">
        <f t="shared" si="137"/>
        <v/>
      </c>
    </row>
    <row r="2091" spans="1:26" s="82" customFormat="1" x14ac:dyDescent="0.4">
      <c r="A2091" s="493">
        <v>63751</v>
      </c>
      <c r="B2091" s="105" t="s">
        <v>329</v>
      </c>
      <c r="C2091" s="493" t="s">
        <v>330</v>
      </c>
      <c r="D2091" s="105" t="s">
        <v>2446</v>
      </c>
      <c r="E2091" s="105" t="s">
        <v>2447</v>
      </c>
      <c r="F2091" s="493">
        <v>63445</v>
      </c>
      <c r="G2091" s="105" t="s">
        <v>52</v>
      </c>
      <c r="H2091" s="105" t="s">
        <v>333</v>
      </c>
      <c r="I2091" s="105" t="s">
        <v>334</v>
      </c>
      <c r="J2091" s="493">
        <v>22</v>
      </c>
      <c r="K2091" s="493">
        <v>2</v>
      </c>
      <c r="L2091" s="105" t="s">
        <v>343</v>
      </c>
      <c r="M2091" s="105" t="s">
        <v>655</v>
      </c>
      <c r="N2091" s="105" t="s">
        <v>656</v>
      </c>
      <c r="O2091" s="105" t="s">
        <v>656</v>
      </c>
      <c r="P2091" s="105" t="s">
        <v>339</v>
      </c>
      <c r="Q2091" s="494">
        <v>0</v>
      </c>
      <c r="R2091" s="494">
        <v>0</v>
      </c>
      <c r="S2091" s="494">
        <v>11937</v>
      </c>
      <c r="T2091" s="494">
        <v>11937</v>
      </c>
      <c r="U2091" s="494">
        <v>3499</v>
      </c>
      <c r="V2091" s="493">
        <v>2024</v>
      </c>
      <c r="W2091" s="495"/>
      <c r="X2091" s="496">
        <f t="shared" si="135"/>
        <v>3.4115461560445843</v>
      </c>
      <c r="Y2091" s="497" t="str">
        <f t="shared" si="137"/>
        <v/>
      </c>
      <c r="Z2091" s="497" t="str">
        <f t="shared" si="137"/>
        <v/>
      </c>
    </row>
    <row r="2092" spans="1:26" s="82" customFormat="1" x14ac:dyDescent="0.4">
      <c r="A2092" s="493">
        <v>63752</v>
      </c>
      <c r="B2092" s="105" t="s">
        <v>329</v>
      </c>
      <c r="C2092" s="493" t="s">
        <v>330</v>
      </c>
      <c r="D2092" s="105" t="s">
        <v>2448</v>
      </c>
      <c r="E2092" s="105" t="s">
        <v>2449</v>
      </c>
      <c r="F2092" s="493">
        <v>63446</v>
      </c>
      <c r="G2092" s="105" t="s">
        <v>52</v>
      </c>
      <c r="H2092" s="105" t="s">
        <v>333</v>
      </c>
      <c r="I2092" s="105" t="s">
        <v>334</v>
      </c>
      <c r="J2092" s="493">
        <v>22</v>
      </c>
      <c r="K2092" s="493">
        <v>2</v>
      </c>
      <c r="L2092" s="105" t="s">
        <v>343</v>
      </c>
      <c r="M2092" s="105" t="s">
        <v>655</v>
      </c>
      <c r="N2092" s="105" t="s">
        <v>656</v>
      </c>
      <c r="O2092" s="105" t="s">
        <v>656</v>
      </c>
      <c r="P2092" s="105" t="s">
        <v>339</v>
      </c>
      <c r="Q2092" s="494">
        <v>0</v>
      </c>
      <c r="R2092" s="494">
        <v>0</v>
      </c>
      <c r="S2092" s="494">
        <v>8389</v>
      </c>
      <c r="T2092" s="494">
        <v>8389</v>
      </c>
      <c r="U2092" s="494">
        <v>2459</v>
      </c>
      <c r="V2092" s="493">
        <v>2024</v>
      </c>
      <c r="W2092" s="495"/>
      <c r="X2092" s="496">
        <f t="shared" si="135"/>
        <v>3.4115494103294024</v>
      </c>
      <c r="Y2092" s="497" t="str">
        <f t="shared" si="137"/>
        <v/>
      </c>
      <c r="Z2092" s="497" t="str">
        <f t="shared" si="137"/>
        <v/>
      </c>
    </row>
    <row r="2093" spans="1:26" s="82" customFormat="1" ht="32" x14ac:dyDescent="0.4">
      <c r="A2093" s="493">
        <v>63763</v>
      </c>
      <c r="B2093" s="105" t="s">
        <v>329</v>
      </c>
      <c r="C2093" s="493" t="s">
        <v>330</v>
      </c>
      <c r="D2093" s="105" t="s">
        <v>2450</v>
      </c>
      <c r="E2093" s="105" t="s">
        <v>2451</v>
      </c>
      <c r="F2093" s="493">
        <v>64541</v>
      </c>
      <c r="G2093" s="105" t="s">
        <v>33</v>
      </c>
      <c r="H2093" s="105" t="s">
        <v>342</v>
      </c>
      <c r="I2093" s="105" t="s">
        <v>334</v>
      </c>
      <c r="J2093" s="493">
        <v>22</v>
      </c>
      <c r="K2093" s="493">
        <v>2</v>
      </c>
      <c r="L2093" s="105" t="s">
        <v>343</v>
      </c>
      <c r="M2093" s="105" t="s">
        <v>403</v>
      </c>
      <c r="N2093" s="105" t="s">
        <v>404</v>
      </c>
      <c r="O2093" s="105" t="s">
        <v>232</v>
      </c>
      <c r="P2093" s="105" t="s">
        <v>346</v>
      </c>
      <c r="Q2093" s="494">
        <v>414</v>
      </c>
      <c r="R2093" s="494">
        <v>414</v>
      </c>
      <c r="S2093" s="494">
        <v>0</v>
      </c>
      <c r="T2093" s="494">
        <v>0</v>
      </c>
      <c r="U2093" s="494">
        <v>0</v>
      </c>
      <c r="V2093" s="493">
        <v>2024</v>
      </c>
      <c r="W2093" s="495"/>
      <c r="X2093" s="496" t="str">
        <f t="shared" si="135"/>
        <v/>
      </c>
      <c r="Y2093" s="497" t="str">
        <f t="shared" si="137"/>
        <v/>
      </c>
      <c r="Z2093" s="497" t="str">
        <f t="shared" si="137"/>
        <v/>
      </c>
    </row>
    <row r="2094" spans="1:26" s="82" customFormat="1" ht="32" x14ac:dyDescent="0.4">
      <c r="A2094" s="493">
        <v>63763</v>
      </c>
      <c r="B2094" s="105" t="s">
        <v>329</v>
      </c>
      <c r="C2094" s="493" t="s">
        <v>330</v>
      </c>
      <c r="D2094" s="105" t="s">
        <v>2450</v>
      </c>
      <c r="E2094" s="105" t="s">
        <v>2451</v>
      </c>
      <c r="F2094" s="493">
        <v>64541</v>
      </c>
      <c r="G2094" s="105" t="s">
        <v>33</v>
      </c>
      <c r="H2094" s="105" t="s">
        <v>342</v>
      </c>
      <c r="I2094" s="105" t="s">
        <v>334</v>
      </c>
      <c r="J2094" s="493">
        <v>22</v>
      </c>
      <c r="K2094" s="493">
        <v>2</v>
      </c>
      <c r="L2094" s="105" t="s">
        <v>343</v>
      </c>
      <c r="M2094" s="105" t="s">
        <v>655</v>
      </c>
      <c r="N2094" s="105" t="s">
        <v>656</v>
      </c>
      <c r="O2094" s="105" t="s">
        <v>656</v>
      </c>
      <c r="P2094" s="105" t="s">
        <v>339</v>
      </c>
      <c r="Q2094" s="494">
        <v>0</v>
      </c>
      <c r="R2094" s="494">
        <v>0</v>
      </c>
      <c r="S2094" s="494">
        <v>23113</v>
      </c>
      <c r="T2094" s="494">
        <v>23113</v>
      </c>
      <c r="U2094" s="494">
        <v>6774</v>
      </c>
      <c r="V2094" s="493">
        <v>2024</v>
      </c>
      <c r="W2094" s="495"/>
      <c r="X2094" s="496">
        <f t="shared" si="135"/>
        <v>3.412016533805728</v>
      </c>
      <c r="Y2094" s="497" t="str">
        <f t="shared" si="137"/>
        <v/>
      </c>
      <c r="Z2094" s="497" t="str">
        <f t="shared" si="137"/>
        <v/>
      </c>
    </row>
    <row r="2095" spans="1:26" s="82" customFormat="1" ht="32" x14ac:dyDescent="0.4">
      <c r="A2095" s="493">
        <v>63772</v>
      </c>
      <c r="B2095" s="105" t="s">
        <v>329</v>
      </c>
      <c r="C2095" s="493" t="s">
        <v>330</v>
      </c>
      <c r="D2095" s="105" t="s">
        <v>2452</v>
      </c>
      <c r="E2095" s="105" t="s">
        <v>1739</v>
      </c>
      <c r="F2095" s="493">
        <v>61060</v>
      </c>
      <c r="G2095" s="105" t="s">
        <v>52</v>
      </c>
      <c r="H2095" s="105" t="s">
        <v>333</v>
      </c>
      <c r="I2095" s="105" t="s">
        <v>334</v>
      </c>
      <c r="J2095" s="493">
        <v>22</v>
      </c>
      <c r="K2095" s="493">
        <v>2</v>
      </c>
      <c r="L2095" s="105" t="s">
        <v>343</v>
      </c>
      <c r="M2095" s="105" t="s">
        <v>655</v>
      </c>
      <c r="N2095" s="105" t="s">
        <v>656</v>
      </c>
      <c r="O2095" s="105" t="s">
        <v>656</v>
      </c>
      <c r="P2095" s="105" t="s">
        <v>339</v>
      </c>
      <c r="Q2095" s="494">
        <v>0</v>
      </c>
      <c r="R2095" s="494">
        <v>0</v>
      </c>
      <c r="S2095" s="494">
        <v>5811</v>
      </c>
      <c r="T2095" s="494">
        <v>5811</v>
      </c>
      <c r="U2095" s="494">
        <v>1703</v>
      </c>
      <c r="V2095" s="493">
        <v>2024</v>
      </c>
      <c r="W2095" s="495"/>
      <c r="X2095" s="496">
        <f t="shared" si="135"/>
        <v>3.4122137404580153</v>
      </c>
      <c r="Y2095" s="497" t="str">
        <f t="shared" si="137"/>
        <v/>
      </c>
      <c r="Z2095" s="497" t="str">
        <f t="shared" si="137"/>
        <v/>
      </c>
    </row>
    <row r="2096" spans="1:26" s="82" customFormat="1" x14ac:dyDescent="0.4">
      <c r="A2096" s="493">
        <v>63774</v>
      </c>
      <c r="B2096" s="105" t="s">
        <v>329</v>
      </c>
      <c r="C2096" s="493" t="s">
        <v>330</v>
      </c>
      <c r="D2096" s="105" t="s">
        <v>2453</v>
      </c>
      <c r="E2096" s="105" t="s">
        <v>2000</v>
      </c>
      <c r="F2096" s="493">
        <v>59474</v>
      </c>
      <c r="G2096" s="105" t="s">
        <v>52</v>
      </c>
      <c r="H2096" s="105" t="s">
        <v>333</v>
      </c>
      <c r="I2096" s="105" t="s">
        <v>334</v>
      </c>
      <c r="J2096" s="493">
        <v>22</v>
      </c>
      <c r="K2096" s="493">
        <v>2</v>
      </c>
      <c r="L2096" s="105" t="s">
        <v>343</v>
      </c>
      <c r="M2096" s="105" t="s">
        <v>403</v>
      </c>
      <c r="N2096" s="105" t="s">
        <v>404</v>
      </c>
      <c r="O2096" s="105" t="s">
        <v>232</v>
      </c>
      <c r="P2096" s="105" t="s">
        <v>346</v>
      </c>
      <c r="Q2096" s="494">
        <v>0</v>
      </c>
      <c r="R2096" s="494">
        <v>0</v>
      </c>
      <c r="S2096" s="494">
        <v>0</v>
      </c>
      <c r="T2096" s="494">
        <v>0</v>
      </c>
      <c r="U2096" s="494">
        <v>0</v>
      </c>
      <c r="V2096" s="493">
        <v>2024</v>
      </c>
      <c r="W2096" s="495"/>
      <c r="X2096" s="496" t="str">
        <f t="shared" si="135"/>
        <v/>
      </c>
      <c r="Y2096" s="497" t="str">
        <f t="shared" si="137"/>
        <v/>
      </c>
      <c r="Z2096" s="497" t="str">
        <f t="shared" si="137"/>
        <v/>
      </c>
    </row>
    <row r="2097" spans="1:26" s="82" customFormat="1" x14ac:dyDescent="0.4">
      <c r="A2097" s="493">
        <v>63774</v>
      </c>
      <c r="B2097" s="105" t="s">
        <v>329</v>
      </c>
      <c r="C2097" s="493" t="s">
        <v>330</v>
      </c>
      <c r="D2097" s="105" t="s">
        <v>2453</v>
      </c>
      <c r="E2097" s="105" t="s">
        <v>2000</v>
      </c>
      <c r="F2097" s="493">
        <v>59474</v>
      </c>
      <c r="G2097" s="105" t="s">
        <v>52</v>
      </c>
      <c r="H2097" s="105" t="s">
        <v>333</v>
      </c>
      <c r="I2097" s="105" t="s">
        <v>334</v>
      </c>
      <c r="J2097" s="493">
        <v>22</v>
      </c>
      <c r="K2097" s="493">
        <v>2</v>
      </c>
      <c r="L2097" s="105" t="s">
        <v>343</v>
      </c>
      <c r="M2097" s="105" t="s">
        <v>655</v>
      </c>
      <c r="N2097" s="105" t="s">
        <v>656</v>
      </c>
      <c r="O2097" s="105" t="s">
        <v>656</v>
      </c>
      <c r="P2097" s="105" t="s">
        <v>339</v>
      </c>
      <c r="Q2097" s="494">
        <v>0</v>
      </c>
      <c r="R2097" s="494">
        <v>0</v>
      </c>
      <c r="S2097" s="494">
        <v>2580</v>
      </c>
      <c r="T2097" s="494">
        <v>2580</v>
      </c>
      <c r="U2097" s="494">
        <v>756</v>
      </c>
      <c r="V2097" s="493">
        <v>2024</v>
      </c>
      <c r="W2097" s="495"/>
      <c r="X2097" s="496">
        <f t="shared" si="135"/>
        <v>3.4126984126984126</v>
      </c>
      <c r="Y2097" s="497" t="str">
        <f t="shared" si="137"/>
        <v/>
      </c>
      <c r="Z2097" s="497" t="str">
        <f t="shared" si="137"/>
        <v/>
      </c>
    </row>
    <row r="2098" spans="1:26" s="82" customFormat="1" x14ac:dyDescent="0.4">
      <c r="A2098" s="493">
        <v>63780</v>
      </c>
      <c r="B2098" s="105" t="s">
        <v>329</v>
      </c>
      <c r="C2098" s="493" t="s">
        <v>330</v>
      </c>
      <c r="D2098" s="105" t="s">
        <v>2454</v>
      </c>
      <c r="E2098" s="105" t="s">
        <v>2454</v>
      </c>
      <c r="F2098" s="493">
        <v>63461</v>
      </c>
      <c r="G2098" s="105" t="s">
        <v>52</v>
      </c>
      <c r="H2098" s="105" t="s">
        <v>333</v>
      </c>
      <c r="I2098" s="105" t="s">
        <v>334</v>
      </c>
      <c r="J2098" s="493">
        <v>22</v>
      </c>
      <c r="K2098" s="493">
        <v>2</v>
      </c>
      <c r="L2098" s="105" t="s">
        <v>343</v>
      </c>
      <c r="M2098" s="105" t="s">
        <v>655</v>
      </c>
      <c r="N2098" s="105" t="s">
        <v>656</v>
      </c>
      <c r="O2098" s="105" t="s">
        <v>656</v>
      </c>
      <c r="P2098" s="105" t="s">
        <v>339</v>
      </c>
      <c r="Q2098" s="494">
        <v>0</v>
      </c>
      <c r="R2098" s="494">
        <v>0</v>
      </c>
      <c r="S2098" s="494">
        <v>8142</v>
      </c>
      <c r="T2098" s="494">
        <v>8142</v>
      </c>
      <c r="U2098" s="494">
        <v>2386</v>
      </c>
      <c r="V2098" s="493">
        <v>2024</v>
      </c>
      <c r="W2098" s="495"/>
      <c r="X2098" s="496">
        <f t="shared" si="135"/>
        <v>3.4124056999161776</v>
      </c>
      <c r="Y2098" s="497" t="str">
        <f t="shared" si="137"/>
        <v/>
      </c>
      <c r="Z2098" s="497" t="str">
        <f t="shared" si="137"/>
        <v/>
      </c>
    </row>
    <row r="2099" spans="1:26" s="82" customFormat="1" x14ac:dyDescent="0.4">
      <c r="A2099" s="493">
        <v>63781</v>
      </c>
      <c r="B2099" s="105" t="s">
        <v>329</v>
      </c>
      <c r="C2099" s="493" t="s">
        <v>330</v>
      </c>
      <c r="D2099" s="105" t="s">
        <v>2455</v>
      </c>
      <c r="E2099" s="105" t="s">
        <v>2455</v>
      </c>
      <c r="F2099" s="493">
        <v>63462</v>
      </c>
      <c r="G2099" s="105" t="s">
        <v>52</v>
      </c>
      <c r="H2099" s="105" t="s">
        <v>333</v>
      </c>
      <c r="I2099" s="105" t="s">
        <v>334</v>
      </c>
      <c r="J2099" s="493">
        <v>22</v>
      </c>
      <c r="K2099" s="493">
        <v>2</v>
      </c>
      <c r="L2099" s="105" t="s">
        <v>343</v>
      </c>
      <c r="M2099" s="105" t="s">
        <v>655</v>
      </c>
      <c r="N2099" s="105" t="s">
        <v>656</v>
      </c>
      <c r="O2099" s="105" t="s">
        <v>656</v>
      </c>
      <c r="P2099" s="105" t="s">
        <v>339</v>
      </c>
      <c r="Q2099" s="494">
        <v>0</v>
      </c>
      <c r="R2099" s="494">
        <v>0</v>
      </c>
      <c r="S2099" s="494">
        <v>9751</v>
      </c>
      <c r="T2099" s="494">
        <v>9751</v>
      </c>
      <c r="U2099" s="494">
        <v>2858</v>
      </c>
      <c r="V2099" s="493">
        <v>2024</v>
      </c>
      <c r="W2099" s="495"/>
      <c r="X2099" s="496">
        <f t="shared" si="135"/>
        <v>3.4118264520643806</v>
      </c>
      <c r="Y2099" s="497" t="str">
        <f t="shared" si="137"/>
        <v/>
      </c>
      <c r="Z2099" s="497" t="str">
        <f t="shared" si="137"/>
        <v/>
      </c>
    </row>
    <row r="2100" spans="1:26" s="82" customFormat="1" x14ac:dyDescent="0.4">
      <c r="A2100" s="493">
        <v>63800</v>
      </c>
      <c r="B2100" s="105" t="s">
        <v>329</v>
      </c>
      <c r="C2100" s="493" t="s">
        <v>330</v>
      </c>
      <c r="D2100" s="105" t="s">
        <v>2456</v>
      </c>
      <c r="E2100" s="105" t="s">
        <v>1606</v>
      </c>
      <c r="F2100" s="493">
        <v>61227</v>
      </c>
      <c r="G2100" s="105" t="s">
        <v>52</v>
      </c>
      <c r="H2100" s="105" t="s">
        <v>333</v>
      </c>
      <c r="I2100" s="105" t="s">
        <v>334</v>
      </c>
      <c r="J2100" s="493">
        <v>22</v>
      </c>
      <c r="K2100" s="493">
        <v>2</v>
      </c>
      <c r="L2100" s="105" t="s">
        <v>343</v>
      </c>
      <c r="M2100" s="105" t="s">
        <v>655</v>
      </c>
      <c r="N2100" s="105" t="s">
        <v>656</v>
      </c>
      <c r="O2100" s="105" t="s">
        <v>656</v>
      </c>
      <c r="P2100" s="105" t="s">
        <v>339</v>
      </c>
      <c r="Q2100" s="494">
        <v>0</v>
      </c>
      <c r="R2100" s="494">
        <v>0</v>
      </c>
      <c r="S2100" s="494">
        <v>12385</v>
      </c>
      <c r="T2100" s="494">
        <v>12385</v>
      </c>
      <c r="U2100" s="494">
        <v>3630</v>
      </c>
      <c r="V2100" s="493">
        <v>2024</v>
      </c>
      <c r="W2100" s="495"/>
      <c r="X2100" s="496">
        <f t="shared" si="135"/>
        <v>3.4118457300275482</v>
      </c>
      <c r="Y2100" s="497" t="str">
        <f t="shared" si="137"/>
        <v/>
      </c>
      <c r="Z2100" s="497" t="str">
        <f t="shared" si="137"/>
        <v/>
      </c>
    </row>
    <row r="2101" spans="1:26" s="82" customFormat="1" ht="32" x14ac:dyDescent="0.4">
      <c r="A2101" s="493">
        <v>63804</v>
      </c>
      <c r="B2101" s="105" t="s">
        <v>329</v>
      </c>
      <c r="C2101" s="493" t="s">
        <v>330</v>
      </c>
      <c r="D2101" s="105" t="s">
        <v>2457</v>
      </c>
      <c r="E2101" s="105" t="s">
        <v>2458</v>
      </c>
      <c r="F2101" s="493">
        <v>63491</v>
      </c>
      <c r="G2101" s="105" t="s">
        <v>33</v>
      </c>
      <c r="H2101" s="105" t="s">
        <v>342</v>
      </c>
      <c r="I2101" s="105" t="s">
        <v>334</v>
      </c>
      <c r="J2101" s="493">
        <v>22</v>
      </c>
      <c r="K2101" s="493">
        <v>2</v>
      </c>
      <c r="L2101" s="105" t="s">
        <v>343</v>
      </c>
      <c r="M2101" s="105" t="s">
        <v>403</v>
      </c>
      <c r="N2101" s="105" t="s">
        <v>404</v>
      </c>
      <c r="O2101" s="105" t="s">
        <v>232</v>
      </c>
      <c r="P2101" s="105" t="s">
        <v>346</v>
      </c>
      <c r="Q2101" s="494">
        <v>263</v>
      </c>
      <c r="R2101" s="494">
        <v>263</v>
      </c>
      <c r="S2101" s="494">
        <v>0</v>
      </c>
      <c r="T2101" s="494">
        <v>0</v>
      </c>
      <c r="U2101" s="494">
        <v>-35</v>
      </c>
      <c r="V2101" s="493">
        <v>2024</v>
      </c>
      <c r="W2101" s="495"/>
      <c r="X2101" s="496" t="str">
        <f t="shared" si="135"/>
        <v/>
      </c>
      <c r="Y2101" s="497" t="str">
        <f t="shared" si="137"/>
        <v/>
      </c>
      <c r="Z2101" s="497" t="str">
        <f t="shared" si="137"/>
        <v/>
      </c>
    </row>
    <row r="2102" spans="1:26" s="82" customFormat="1" ht="32" x14ac:dyDescent="0.4">
      <c r="A2102" s="493">
        <v>63804</v>
      </c>
      <c r="B2102" s="105" t="s">
        <v>329</v>
      </c>
      <c r="C2102" s="493" t="s">
        <v>330</v>
      </c>
      <c r="D2102" s="105" t="s">
        <v>2457</v>
      </c>
      <c r="E2102" s="105" t="s">
        <v>2458</v>
      </c>
      <c r="F2102" s="493">
        <v>63491</v>
      </c>
      <c r="G2102" s="105" t="s">
        <v>33</v>
      </c>
      <c r="H2102" s="105" t="s">
        <v>342</v>
      </c>
      <c r="I2102" s="105" t="s">
        <v>334</v>
      </c>
      <c r="J2102" s="493">
        <v>22</v>
      </c>
      <c r="K2102" s="493">
        <v>2</v>
      </c>
      <c r="L2102" s="105" t="s">
        <v>343</v>
      </c>
      <c r="M2102" s="105" t="s">
        <v>655</v>
      </c>
      <c r="N2102" s="105" t="s">
        <v>656</v>
      </c>
      <c r="O2102" s="105" t="s">
        <v>656</v>
      </c>
      <c r="P2102" s="105" t="s">
        <v>339</v>
      </c>
      <c r="Q2102" s="494">
        <v>0</v>
      </c>
      <c r="R2102" s="494">
        <v>0</v>
      </c>
      <c r="S2102" s="494">
        <v>19612</v>
      </c>
      <c r="T2102" s="494">
        <v>19612</v>
      </c>
      <c r="U2102" s="494">
        <v>5748</v>
      </c>
      <c r="V2102" s="493">
        <v>2024</v>
      </c>
      <c r="W2102" s="495"/>
      <c r="X2102" s="496">
        <f t="shared" si="135"/>
        <v>3.4119693806541407</v>
      </c>
      <c r="Y2102" s="497" t="str">
        <f t="shared" si="137"/>
        <v/>
      </c>
      <c r="Z2102" s="497" t="str">
        <f t="shared" si="137"/>
        <v/>
      </c>
    </row>
    <row r="2103" spans="1:26" s="82" customFormat="1" ht="32" x14ac:dyDescent="0.4">
      <c r="A2103" s="493">
        <v>63805</v>
      </c>
      <c r="B2103" s="105" t="s">
        <v>329</v>
      </c>
      <c r="C2103" s="493" t="s">
        <v>330</v>
      </c>
      <c r="D2103" s="105" t="s">
        <v>2459</v>
      </c>
      <c r="E2103" s="105" t="s">
        <v>2460</v>
      </c>
      <c r="F2103" s="493">
        <v>63490</v>
      </c>
      <c r="G2103" s="105" t="s">
        <v>33</v>
      </c>
      <c r="H2103" s="105" t="s">
        <v>342</v>
      </c>
      <c r="I2103" s="105" t="s">
        <v>334</v>
      </c>
      <c r="J2103" s="493">
        <v>22</v>
      </c>
      <c r="K2103" s="493">
        <v>2</v>
      </c>
      <c r="L2103" s="105" t="s">
        <v>343</v>
      </c>
      <c r="M2103" s="105" t="s">
        <v>403</v>
      </c>
      <c r="N2103" s="105" t="s">
        <v>404</v>
      </c>
      <c r="O2103" s="105" t="s">
        <v>232</v>
      </c>
      <c r="P2103" s="105" t="s">
        <v>346</v>
      </c>
      <c r="Q2103" s="494">
        <v>547</v>
      </c>
      <c r="R2103" s="494">
        <v>547</v>
      </c>
      <c r="S2103" s="494">
        <v>0</v>
      </c>
      <c r="T2103" s="494">
        <v>0</v>
      </c>
      <c r="U2103" s="494">
        <v>-50</v>
      </c>
      <c r="V2103" s="493">
        <v>2024</v>
      </c>
      <c r="W2103" s="495"/>
      <c r="X2103" s="496" t="str">
        <f t="shared" si="135"/>
        <v/>
      </c>
      <c r="Y2103" s="497" t="str">
        <f t="shared" si="137"/>
        <v/>
      </c>
      <c r="Z2103" s="497" t="str">
        <f t="shared" si="137"/>
        <v/>
      </c>
    </row>
    <row r="2104" spans="1:26" s="82" customFormat="1" ht="32" x14ac:dyDescent="0.4">
      <c r="A2104" s="493">
        <v>63805</v>
      </c>
      <c r="B2104" s="105" t="s">
        <v>329</v>
      </c>
      <c r="C2104" s="493" t="s">
        <v>330</v>
      </c>
      <c r="D2104" s="105" t="s">
        <v>2459</v>
      </c>
      <c r="E2104" s="105" t="s">
        <v>2460</v>
      </c>
      <c r="F2104" s="493">
        <v>63490</v>
      </c>
      <c r="G2104" s="105" t="s">
        <v>33</v>
      </c>
      <c r="H2104" s="105" t="s">
        <v>342</v>
      </c>
      <c r="I2104" s="105" t="s">
        <v>334</v>
      </c>
      <c r="J2104" s="493">
        <v>22</v>
      </c>
      <c r="K2104" s="493">
        <v>2</v>
      </c>
      <c r="L2104" s="105" t="s">
        <v>343</v>
      </c>
      <c r="M2104" s="105" t="s">
        <v>655</v>
      </c>
      <c r="N2104" s="105" t="s">
        <v>656</v>
      </c>
      <c r="O2104" s="105" t="s">
        <v>656</v>
      </c>
      <c r="P2104" s="105" t="s">
        <v>339</v>
      </c>
      <c r="Q2104" s="494">
        <v>0</v>
      </c>
      <c r="R2104" s="494">
        <v>0</v>
      </c>
      <c r="S2104" s="494">
        <v>30666</v>
      </c>
      <c r="T2104" s="494">
        <v>30666</v>
      </c>
      <c r="U2104" s="494">
        <v>8988</v>
      </c>
      <c r="V2104" s="493">
        <v>2024</v>
      </c>
      <c r="W2104" s="495"/>
      <c r="X2104" s="496">
        <f t="shared" si="135"/>
        <v>3.411882510013351</v>
      </c>
      <c r="Y2104" s="497" t="str">
        <f t="shared" si="137"/>
        <v/>
      </c>
      <c r="Z2104" s="497" t="str">
        <f t="shared" si="137"/>
        <v/>
      </c>
    </row>
    <row r="2105" spans="1:26" s="82" customFormat="1" x14ac:dyDescent="0.4">
      <c r="A2105" s="493">
        <v>63854</v>
      </c>
      <c r="B2105" s="105" t="s">
        <v>329</v>
      </c>
      <c r="C2105" s="493" t="s">
        <v>330</v>
      </c>
      <c r="D2105" s="105" t="s">
        <v>2461</v>
      </c>
      <c r="E2105" s="105" t="s">
        <v>2462</v>
      </c>
      <c r="F2105" s="493">
        <v>63529</v>
      </c>
      <c r="G2105" s="105" t="s">
        <v>52</v>
      </c>
      <c r="H2105" s="105" t="s">
        <v>333</v>
      </c>
      <c r="I2105" s="105" t="s">
        <v>334</v>
      </c>
      <c r="J2105" s="493">
        <v>22</v>
      </c>
      <c r="K2105" s="493">
        <v>2</v>
      </c>
      <c r="L2105" s="105" t="s">
        <v>343</v>
      </c>
      <c r="M2105" s="105" t="s">
        <v>655</v>
      </c>
      <c r="N2105" s="105" t="s">
        <v>656</v>
      </c>
      <c r="O2105" s="105" t="s">
        <v>656</v>
      </c>
      <c r="P2105" s="105" t="s">
        <v>339</v>
      </c>
      <c r="Q2105" s="494">
        <v>0</v>
      </c>
      <c r="R2105" s="494">
        <v>0</v>
      </c>
      <c r="S2105" s="494">
        <v>11117</v>
      </c>
      <c r="T2105" s="494">
        <v>11117</v>
      </c>
      <c r="U2105" s="494">
        <v>3258</v>
      </c>
      <c r="V2105" s="493">
        <v>2024</v>
      </c>
      <c r="W2105" s="495"/>
      <c r="X2105" s="496">
        <f t="shared" si="135"/>
        <v>3.4122160834868018</v>
      </c>
      <c r="Y2105" s="497" t="str">
        <f t="shared" si="137"/>
        <v/>
      </c>
      <c r="Z2105" s="497" t="str">
        <f t="shared" si="137"/>
        <v/>
      </c>
    </row>
    <row r="2106" spans="1:26" s="82" customFormat="1" x14ac:dyDescent="0.4">
      <c r="A2106" s="493">
        <v>63855</v>
      </c>
      <c r="B2106" s="105" t="s">
        <v>329</v>
      </c>
      <c r="C2106" s="493" t="s">
        <v>330</v>
      </c>
      <c r="D2106" s="105" t="s">
        <v>2463</v>
      </c>
      <c r="E2106" s="105" t="s">
        <v>2464</v>
      </c>
      <c r="F2106" s="493">
        <v>63532</v>
      </c>
      <c r="G2106" s="105" t="s">
        <v>52</v>
      </c>
      <c r="H2106" s="105" t="s">
        <v>333</v>
      </c>
      <c r="I2106" s="105" t="s">
        <v>334</v>
      </c>
      <c r="J2106" s="493">
        <v>22</v>
      </c>
      <c r="K2106" s="493">
        <v>2</v>
      </c>
      <c r="L2106" s="105" t="s">
        <v>343</v>
      </c>
      <c r="M2106" s="105" t="s">
        <v>655</v>
      </c>
      <c r="N2106" s="105" t="s">
        <v>656</v>
      </c>
      <c r="O2106" s="105" t="s">
        <v>656</v>
      </c>
      <c r="P2106" s="105" t="s">
        <v>339</v>
      </c>
      <c r="Q2106" s="494">
        <v>0</v>
      </c>
      <c r="R2106" s="494">
        <v>0</v>
      </c>
      <c r="S2106" s="494">
        <v>9726</v>
      </c>
      <c r="T2106" s="494">
        <v>9726</v>
      </c>
      <c r="U2106" s="494">
        <v>2851</v>
      </c>
      <c r="V2106" s="493">
        <v>2024</v>
      </c>
      <c r="W2106" s="495"/>
      <c r="X2106" s="496">
        <f t="shared" si="135"/>
        <v>3.4114345843563663</v>
      </c>
      <c r="Y2106" s="497" t="str">
        <f t="shared" si="137"/>
        <v/>
      </c>
      <c r="Z2106" s="497" t="str">
        <f t="shared" si="137"/>
        <v/>
      </c>
    </row>
    <row r="2107" spans="1:26" s="82" customFormat="1" x14ac:dyDescent="0.4">
      <c r="A2107" s="493">
        <v>63856</v>
      </c>
      <c r="B2107" s="105" t="s">
        <v>329</v>
      </c>
      <c r="C2107" s="493" t="s">
        <v>330</v>
      </c>
      <c r="D2107" s="105" t="s">
        <v>2465</v>
      </c>
      <c r="E2107" s="105" t="s">
        <v>2466</v>
      </c>
      <c r="F2107" s="493">
        <v>63533</v>
      </c>
      <c r="G2107" s="105" t="s">
        <v>52</v>
      </c>
      <c r="H2107" s="105" t="s">
        <v>333</v>
      </c>
      <c r="I2107" s="105" t="s">
        <v>334</v>
      </c>
      <c r="J2107" s="493">
        <v>22</v>
      </c>
      <c r="K2107" s="493">
        <v>2</v>
      </c>
      <c r="L2107" s="105" t="s">
        <v>343</v>
      </c>
      <c r="M2107" s="105" t="s">
        <v>655</v>
      </c>
      <c r="N2107" s="105" t="s">
        <v>656</v>
      </c>
      <c r="O2107" s="105" t="s">
        <v>656</v>
      </c>
      <c r="P2107" s="105" t="s">
        <v>339</v>
      </c>
      <c r="Q2107" s="494">
        <v>0</v>
      </c>
      <c r="R2107" s="494">
        <v>0</v>
      </c>
      <c r="S2107" s="494">
        <v>10982</v>
      </c>
      <c r="T2107" s="494">
        <v>10982</v>
      </c>
      <c r="U2107" s="494">
        <v>3219</v>
      </c>
      <c r="V2107" s="493">
        <v>2024</v>
      </c>
      <c r="W2107" s="495"/>
      <c r="X2107" s="496">
        <f t="shared" si="135"/>
        <v>3.4116185150667908</v>
      </c>
      <c r="Y2107" s="497" t="str">
        <f t="shared" si="137"/>
        <v/>
      </c>
      <c r="Z2107" s="497" t="str">
        <f t="shared" si="137"/>
        <v/>
      </c>
    </row>
    <row r="2108" spans="1:26" s="82" customFormat="1" x14ac:dyDescent="0.4">
      <c r="A2108" s="493">
        <v>63857</v>
      </c>
      <c r="B2108" s="105" t="s">
        <v>329</v>
      </c>
      <c r="C2108" s="493" t="s">
        <v>330</v>
      </c>
      <c r="D2108" s="105" t="s">
        <v>2467</v>
      </c>
      <c r="E2108" s="105" t="s">
        <v>2468</v>
      </c>
      <c r="F2108" s="493">
        <v>63534</v>
      </c>
      <c r="G2108" s="105" t="s">
        <v>52</v>
      </c>
      <c r="H2108" s="105" t="s">
        <v>333</v>
      </c>
      <c r="I2108" s="105" t="s">
        <v>334</v>
      </c>
      <c r="J2108" s="493">
        <v>22</v>
      </c>
      <c r="K2108" s="493">
        <v>2</v>
      </c>
      <c r="L2108" s="105" t="s">
        <v>343</v>
      </c>
      <c r="M2108" s="105" t="s">
        <v>655</v>
      </c>
      <c r="N2108" s="105" t="s">
        <v>656</v>
      </c>
      <c r="O2108" s="105" t="s">
        <v>656</v>
      </c>
      <c r="P2108" s="105" t="s">
        <v>339</v>
      </c>
      <c r="Q2108" s="494">
        <v>0</v>
      </c>
      <c r="R2108" s="494">
        <v>0</v>
      </c>
      <c r="S2108" s="494">
        <v>12242</v>
      </c>
      <c r="T2108" s="494">
        <v>12242</v>
      </c>
      <c r="U2108" s="494">
        <v>3588</v>
      </c>
      <c r="V2108" s="493">
        <v>2024</v>
      </c>
      <c r="W2108" s="495"/>
      <c r="X2108" s="496">
        <f t="shared" si="135"/>
        <v>3.4119286510590858</v>
      </c>
      <c r="Y2108" s="497" t="str">
        <f t="shared" ref="Y2108:Z2127" si="138">IF(AND($M2108=$Y$2,$N2108=$Y$3,NOT($Q2108=$R2108),NOT($U2108=0)),IF($K2108=5,$S2108/($U2108+(8/5)*$U2108),IF($K2108=7,$S2108/($U2108+(29/25)*$U2108),"")),"")</f>
        <v/>
      </c>
      <c r="Z2108" s="497" t="str">
        <f t="shared" si="138"/>
        <v/>
      </c>
    </row>
    <row r="2109" spans="1:26" s="82" customFormat="1" x14ac:dyDescent="0.4">
      <c r="A2109" s="493">
        <v>63858</v>
      </c>
      <c r="B2109" s="105" t="s">
        <v>329</v>
      </c>
      <c r="C2109" s="493" t="s">
        <v>330</v>
      </c>
      <c r="D2109" s="105" t="s">
        <v>2469</v>
      </c>
      <c r="E2109" s="105" t="s">
        <v>2470</v>
      </c>
      <c r="F2109" s="493">
        <v>63535</v>
      </c>
      <c r="G2109" s="105" t="s">
        <v>52</v>
      </c>
      <c r="H2109" s="105" t="s">
        <v>333</v>
      </c>
      <c r="I2109" s="105" t="s">
        <v>334</v>
      </c>
      <c r="J2109" s="493">
        <v>22</v>
      </c>
      <c r="K2109" s="493">
        <v>2</v>
      </c>
      <c r="L2109" s="105" t="s">
        <v>343</v>
      </c>
      <c r="M2109" s="105" t="s">
        <v>655</v>
      </c>
      <c r="N2109" s="105" t="s">
        <v>656</v>
      </c>
      <c r="O2109" s="105" t="s">
        <v>656</v>
      </c>
      <c r="P2109" s="105" t="s">
        <v>339</v>
      </c>
      <c r="Q2109" s="494">
        <v>0</v>
      </c>
      <c r="R2109" s="494">
        <v>0</v>
      </c>
      <c r="S2109" s="494">
        <v>11878</v>
      </c>
      <c r="T2109" s="494">
        <v>11878</v>
      </c>
      <c r="U2109" s="494">
        <v>3481</v>
      </c>
      <c r="V2109" s="493">
        <v>2024</v>
      </c>
      <c r="W2109" s="495"/>
      <c r="X2109" s="496">
        <f t="shared" si="135"/>
        <v>3.4122378626831371</v>
      </c>
      <c r="Y2109" s="497" t="str">
        <f t="shared" si="138"/>
        <v/>
      </c>
      <c r="Z2109" s="497" t="str">
        <f t="shared" si="138"/>
        <v/>
      </c>
    </row>
    <row r="2110" spans="1:26" s="82" customFormat="1" x14ac:dyDescent="0.4">
      <c r="A2110" s="493">
        <v>63887</v>
      </c>
      <c r="B2110" s="105" t="s">
        <v>329</v>
      </c>
      <c r="C2110" s="493" t="s">
        <v>330</v>
      </c>
      <c r="D2110" s="105" t="s">
        <v>2471</v>
      </c>
      <c r="E2110" s="105" t="s">
        <v>1448</v>
      </c>
      <c r="F2110" s="493">
        <v>61012</v>
      </c>
      <c r="G2110" s="105" t="s">
        <v>33</v>
      </c>
      <c r="H2110" s="105" t="s">
        <v>342</v>
      </c>
      <c r="I2110" s="105" t="s">
        <v>334</v>
      </c>
      <c r="J2110" s="493">
        <v>22</v>
      </c>
      <c r="K2110" s="493">
        <v>2</v>
      </c>
      <c r="L2110" s="105" t="s">
        <v>343</v>
      </c>
      <c r="M2110" s="105" t="s">
        <v>655</v>
      </c>
      <c r="N2110" s="105" t="s">
        <v>656</v>
      </c>
      <c r="O2110" s="105" t="s">
        <v>656</v>
      </c>
      <c r="P2110" s="105" t="s">
        <v>339</v>
      </c>
      <c r="Q2110" s="494">
        <v>0</v>
      </c>
      <c r="R2110" s="494">
        <v>0</v>
      </c>
      <c r="S2110" s="494">
        <v>5342</v>
      </c>
      <c r="T2110" s="494">
        <v>5342</v>
      </c>
      <c r="U2110" s="494">
        <v>1566</v>
      </c>
      <c r="V2110" s="493">
        <v>2024</v>
      </c>
      <c r="W2110" s="495"/>
      <c r="X2110" s="496">
        <f t="shared" si="135"/>
        <v>3.4112388250319285</v>
      </c>
      <c r="Y2110" s="497" t="str">
        <f t="shared" si="138"/>
        <v/>
      </c>
      <c r="Z2110" s="497" t="str">
        <f t="shared" si="138"/>
        <v/>
      </c>
    </row>
    <row r="2111" spans="1:26" s="82" customFormat="1" ht="32" x14ac:dyDescent="0.4">
      <c r="A2111" s="493">
        <v>63893</v>
      </c>
      <c r="B2111" s="105" t="s">
        <v>329</v>
      </c>
      <c r="C2111" s="493" t="s">
        <v>330</v>
      </c>
      <c r="D2111" s="105" t="s">
        <v>2472</v>
      </c>
      <c r="E2111" s="105" t="s">
        <v>2472</v>
      </c>
      <c r="F2111" s="493">
        <v>63548</v>
      </c>
      <c r="G2111" s="105" t="s">
        <v>38</v>
      </c>
      <c r="H2111" s="105" t="s">
        <v>342</v>
      </c>
      <c r="I2111" s="105" t="s">
        <v>334</v>
      </c>
      <c r="J2111" s="493">
        <v>22</v>
      </c>
      <c r="K2111" s="493">
        <v>2</v>
      </c>
      <c r="L2111" s="105" t="s">
        <v>343</v>
      </c>
      <c r="M2111" s="105" t="s">
        <v>655</v>
      </c>
      <c r="N2111" s="105" t="s">
        <v>656</v>
      </c>
      <c r="O2111" s="105" t="s">
        <v>656</v>
      </c>
      <c r="P2111" s="105" t="s">
        <v>339</v>
      </c>
      <c r="Q2111" s="494">
        <v>0</v>
      </c>
      <c r="R2111" s="494">
        <v>0</v>
      </c>
      <c r="S2111" s="494">
        <v>53831</v>
      </c>
      <c r="T2111" s="494">
        <v>53831</v>
      </c>
      <c r="U2111" s="494">
        <v>15777</v>
      </c>
      <c r="V2111" s="493">
        <v>2024</v>
      </c>
      <c r="W2111" s="495"/>
      <c r="X2111" s="496">
        <f t="shared" si="135"/>
        <v>3.4119921404576283</v>
      </c>
      <c r="Y2111" s="497" t="str">
        <f t="shared" si="138"/>
        <v/>
      </c>
      <c r="Z2111" s="497" t="str">
        <f t="shared" si="138"/>
        <v/>
      </c>
    </row>
    <row r="2112" spans="1:26" s="82" customFormat="1" x14ac:dyDescent="0.4">
      <c r="A2112" s="493">
        <v>63894</v>
      </c>
      <c r="B2112" s="105" t="s">
        <v>329</v>
      </c>
      <c r="C2112" s="493" t="s">
        <v>330</v>
      </c>
      <c r="D2112" s="105" t="s">
        <v>2473</v>
      </c>
      <c r="E2112" s="105" t="s">
        <v>2474</v>
      </c>
      <c r="F2112" s="493">
        <v>63568</v>
      </c>
      <c r="G2112" s="105" t="s">
        <v>34</v>
      </c>
      <c r="H2112" s="105" t="s">
        <v>342</v>
      </c>
      <c r="I2112" s="105" t="s">
        <v>334</v>
      </c>
      <c r="J2112" s="493">
        <v>22</v>
      </c>
      <c r="K2112" s="493">
        <v>2</v>
      </c>
      <c r="L2112" s="105" t="s">
        <v>343</v>
      </c>
      <c r="M2112" s="105" t="s">
        <v>655</v>
      </c>
      <c r="N2112" s="105" t="s">
        <v>656</v>
      </c>
      <c r="O2112" s="105" t="s">
        <v>656</v>
      </c>
      <c r="P2112" s="105" t="s">
        <v>339</v>
      </c>
      <c r="Q2112" s="494">
        <v>0</v>
      </c>
      <c r="R2112" s="494">
        <v>0</v>
      </c>
      <c r="S2112" s="494">
        <v>105203</v>
      </c>
      <c r="T2112" s="494">
        <v>105203</v>
      </c>
      <c r="U2112" s="494">
        <v>30833</v>
      </c>
      <c r="V2112" s="493">
        <v>2024</v>
      </c>
      <c r="W2112" s="495"/>
      <c r="X2112" s="496">
        <f t="shared" si="135"/>
        <v>3.412026075957578</v>
      </c>
      <c r="Y2112" s="497" t="str">
        <f t="shared" si="138"/>
        <v/>
      </c>
      <c r="Z2112" s="497" t="str">
        <f t="shared" si="138"/>
        <v/>
      </c>
    </row>
    <row r="2113" spans="1:26" s="82" customFormat="1" x14ac:dyDescent="0.4">
      <c r="A2113" s="493">
        <v>63895</v>
      </c>
      <c r="B2113" s="105" t="s">
        <v>329</v>
      </c>
      <c r="C2113" s="493" t="s">
        <v>330</v>
      </c>
      <c r="D2113" s="105" t="s">
        <v>2475</v>
      </c>
      <c r="E2113" s="105" t="s">
        <v>2476</v>
      </c>
      <c r="F2113" s="493">
        <v>63567</v>
      </c>
      <c r="G2113" s="105" t="s">
        <v>34</v>
      </c>
      <c r="H2113" s="105" t="s">
        <v>342</v>
      </c>
      <c r="I2113" s="105" t="s">
        <v>334</v>
      </c>
      <c r="J2113" s="493">
        <v>22</v>
      </c>
      <c r="K2113" s="493">
        <v>2</v>
      </c>
      <c r="L2113" s="105" t="s">
        <v>343</v>
      </c>
      <c r="M2113" s="105" t="s">
        <v>655</v>
      </c>
      <c r="N2113" s="105" t="s">
        <v>656</v>
      </c>
      <c r="O2113" s="105" t="s">
        <v>656</v>
      </c>
      <c r="P2113" s="105" t="s">
        <v>339</v>
      </c>
      <c r="Q2113" s="494">
        <v>0</v>
      </c>
      <c r="R2113" s="494">
        <v>0</v>
      </c>
      <c r="S2113" s="494">
        <v>34297</v>
      </c>
      <c r="T2113" s="494">
        <v>34297</v>
      </c>
      <c r="U2113" s="494">
        <v>10052</v>
      </c>
      <c r="V2113" s="493">
        <v>2024</v>
      </c>
      <c r="W2113" s="495"/>
      <c r="X2113" s="496">
        <f t="shared" si="135"/>
        <v>3.4119578193394351</v>
      </c>
      <c r="Y2113" s="497" t="str">
        <f t="shared" si="138"/>
        <v/>
      </c>
      <c r="Z2113" s="497" t="str">
        <f t="shared" si="138"/>
        <v/>
      </c>
    </row>
    <row r="2114" spans="1:26" s="82" customFormat="1" x14ac:dyDescent="0.4">
      <c r="A2114" s="493">
        <v>63896</v>
      </c>
      <c r="B2114" s="105" t="s">
        <v>329</v>
      </c>
      <c r="C2114" s="493" t="s">
        <v>330</v>
      </c>
      <c r="D2114" s="105" t="s">
        <v>2477</v>
      </c>
      <c r="E2114" s="105" t="s">
        <v>2478</v>
      </c>
      <c r="F2114" s="493">
        <v>63566</v>
      </c>
      <c r="G2114" s="105" t="s">
        <v>34</v>
      </c>
      <c r="H2114" s="105" t="s">
        <v>342</v>
      </c>
      <c r="I2114" s="105" t="s">
        <v>334</v>
      </c>
      <c r="J2114" s="493">
        <v>22</v>
      </c>
      <c r="K2114" s="493">
        <v>2</v>
      </c>
      <c r="L2114" s="105" t="s">
        <v>343</v>
      </c>
      <c r="M2114" s="105" t="s">
        <v>655</v>
      </c>
      <c r="N2114" s="105" t="s">
        <v>656</v>
      </c>
      <c r="O2114" s="105" t="s">
        <v>656</v>
      </c>
      <c r="P2114" s="105" t="s">
        <v>339</v>
      </c>
      <c r="Q2114" s="494">
        <v>0</v>
      </c>
      <c r="R2114" s="494">
        <v>0</v>
      </c>
      <c r="S2114" s="494">
        <v>28020</v>
      </c>
      <c r="T2114" s="494">
        <v>28020</v>
      </c>
      <c r="U2114" s="494">
        <v>8212</v>
      </c>
      <c r="V2114" s="493">
        <v>2024</v>
      </c>
      <c r="W2114" s="495"/>
      <c r="X2114" s="496">
        <f t="shared" si="135"/>
        <v>3.4120798830979053</v>
      </c>
      <c r="Y2114" s="497" t="str">
        <f t="shared" si="138"/>
        <v/>
      </c>
      <c r="Z2114" s="497" t="str">
        <f t="shared" si="138"/>
        <v/>
      </c>
    </row>
    <row r="2115" spans="1:26" s="82" customFormat="1" x14ac:dyDescent="0.4">
      <c r="A2115" s="493">
        <v>63897</v>
      </c>
      <c r="B2115" s="105" t="s">
        <v>329</v>
      </c>
      <c r="C2115" s="493" t="s">
        <v>330</v>
      </c>
      <c r="D2115" s="105" t="s">
        <v>2479</v>
      </c>
      <c r="E2115" s="105" t="s">
        <v>2480</v>
      </c>
      <c r="F2115" s="493">
        <v>63565</v>
      </c>
      <c r="G2115" s="105" t="s">
        <v>34</v>
      </c>
      <c r="H2115" s="105" t="s">
        <v>342</v>
      </c>
      <c r="I2115" s="105" t="s">
        <v>334</v>
      </c>
      <c r="J2115" s="493">
        <v>22</v>
      </c>
      <c r="K2115" s="493">
        <v>2</v>
      </c>
      <c r="L2115" s="105" t="s">
        <v>343</v>
      </c>
      <c r="M2115" s="105" t="s">
        <v>655</v>
      </c>
      <c r="N2115" s="105" t="s">
        <v>656</v>
      </c>
      <c r="O2115" s="105" t="s">
        <v>656</v>
      </c>
      <c r="P2115" s="105" t="s">
        <v>339</v>
      </c>
      <c r="Q2115" s="494">
        <v>0</v>
      </c>
      <c r="R2115" s="494">
        <v>0</v>
      </c>
      <c r="S2115" s="494">
        <v>50152</v>
      </c>
      <c r="T2115" s="494">
        <v>50152</v>
      </c>
      <c r="U2115" s="494">
        <v>14699</v>
      </c>
      <c r="V2115" s="493">
        <v>2024</v>
      </c>
      <c r="W2115" s="495"/>
      <c r="X2115" s="496">
        <f t="shared" si="135"/>
        <v>3.4119327845431662</v>
      </c>
      <c r="Y2115" s="497" t="str">
        <f t="shared" si="138"/>
        <v/>
      </c>
      <c r="Z2115" s="497" t="str">
        <f t="shared" si="138"/>
        <v/>
      </c>
    </row>
    <row r="2116" spans="1:26" s="82" customFormat="1" x14ac:dyDescent="0.4">
      <c r="A2116" s="493">
        <v>63942</v>
      </c>
      <c r="B2116" s="105" t="s">
        <v>329</v>
      </c>
      <c r="C2116" s="493" t="s">
        <v>330</v>
      </c>
      <c r="D2116" s="105" t="s">
        <v>2481</v>
      </c>
      <c r="E2116" s="105" t="s">
        <v>2482</v>
      </c>
      <c r="F2116" s="493">
        <v>63595</v>
      </c>
      <c r="G2116" s="105" t="s">
        <v>33</v>
      </c>
      <c r="H2116" s="105" t="s">
        <v>342</v>
      </c>
      <c r="I2116" s="105" t="s">
        <v>334</v>
      </c>
      <c r="J2116" s="493">
        <v>22</v>
      </c>
      <c r="K2116" s="493">
        <v>2</v>
      </c>
      <c r="L2116" s="105" t="s">
        <v>343</v>
      </c>
      <c r="M2116" s="105" t="s">
        <v>655</v>
      </c>
      <c r="N2116" s="105" t="s">
        <v>656</v>
      </c>
      <c r="O2116" s="105" t="s">
        <v>656</v>
      </c>
      <c r="P2116" s="105" t="s">
        <v>339</v>
      </c>
      <c r="Q2116" s="494">
        <v>0</v>
      </c>
      <c r="R2116" s="494">
        <v>0</v>
      </c>
      <c r="S2116" s="494">
        <v>22129</v>
      </c>
      <c r="T2116" s="494">
        <v>22129</v>
      </c>
      <c r="U2116" s="494">
        <v>6486</v>
      </c>
      <c r="V2116" s="493">
        <v>2024</v>
      </c>
      <c r="W2116" s="495"/>
      <c r="X2116" s="496">
        <f t="shared" si="135"/>
        <v>3.4118100524205981</v>
      </c>
      <c r="Y2116" s="497" t="str">
        <f t="shared" si="138"/>
        <v/>
      </c>
      <c r="Z2116" s="497" t="str">
        <f t="shared" si="138"/>
        <v/>
      </c>
    </row>
    <row r="2117" spans="1:26" s="82" customFormat="1" x14ac:dyDescent="0.4">
      <c r="A2117" s="493">
        <v>63944</v>
      </c>
      <c r="B2117" s="105" t="s">
        <v>329</v>
      </c>
      <c r="C2117" s="493" t="s">
        <v>330</v>
      </c>
      <c r="D2117" s="105" t="s">
        <v>2483</v>
      </c>
      <c r="E2117" s="105" t="s">
        <v>1448</v>
      </c>
      <c r="F2117" s="493">
        <v>61012</v>
      </c>
      <c r="G2117" s="105" t="s">
        <v>38</v>
      </c>
      <c r="H2117" s="105" t="s">
        <v>342</v>
      </c>
      <c r="I2117" s="105" t="s">
        <v>334</v>
      </c>
      <c r="J2117" s="493">
        <v>22</v>
      </c>
      <c r="K2117" s="493">
        <v>2</v>
      </c>
      <c r="L2117" s="105" t="s">
        <v>343</v>
      </c>
      <c r="M2117" s="105" t="s">
        <v>655</v>
      </c>
      <c r="N2117" s="105" t="s">
        <v>656</v>
      </c>
      <c r="O2117" s="105" t="s">
        <v>656</v>
      </c>
      <c r="P2117" s="105" t="s">
        <v>339</v>
      </c>
      <c r="Q2117" s="494">
        <v>0</v>
      </c>
      <c r="R2117" s="494">
        <v>0</v>
      </c>
      <c r="S2117" s="494">
        <v>19223</v>
      </c>
      <c r="T2117" s="494">
        <v>19223</v>
      </c>
      <c r="U2117" s="494">
        <v>5634</v>
      </c>
      <c r="V2117" s="493">
        <v>2024</v>
      </c>
      <c r="W2117" s="495"/>
      <c r="X2117" s="496">
        <f t="shared" si="135"/>
        <v>3.4119630812921549</v>
      </c>
      <c r="Y2117" s="497" t="str">
        <f t="shared" si="138"/>
        <v/>
      </c>
      <c r="Z2117" s="497" t="str">
        <f t="shared" si="138"/>
        <v/>
      </c>
    </row>
    <row r="2118" spans="1:26" s="82" customFormat="1" ht="32" x14ac:dyDescent="0.4">
      <c r="A2118" s="493">
        <v>63950</v>
      </c>
      <c r="B2118" s="105" t="s">
        <v>329</v>
      </c>
      <c r="C2118" s="493" t="s">
        <v>330</v>
      </c>
      <c r="D2118" s="105" t="s">
        <v>2484</v>
      </c>
      <c r="E2118" s="105" t="s">
        <v>2485</v>
      </c>
      <c r="F2118" s="493">
        <v>63615</v>
      </c>
      <c r="G2118" s="105" t="s">
        <v>33</v>
      </c>
      <c r="H2118" s="105" t="s">
        <v>342</v>
      </c>
      <c r="I2118" s="105" t="s">
        <v>334</v>
      </c>
      <c r="J2118" s="493">
        <v>22</v>
      </c>
      <c r="K2118" s="493">
        <v>2</v>
      </c>
      <c r="L2118" s="105" t="s">
        <v>343</v>
      </c>
      <c r="M2118" s="105" t="s">
        <v>655</v>
      </c>
      <c r="N2118" s="105" t="s">
        <v>656</v>
      </c>
      <c r="O2118" s="105" t="s">
        <v>656</v>
      </c>
      <c r="P2118" s="105" t="s">
        <v>339</v>
      </c>
      <c r="Q2118" s="494">
        <v>0</v>
      </c>
      <c r="R2118" s="494">
        <v>0</v>
      </c>
      <c r="S2118" s="494">
        <v>5012</v>
      </c>
      <c r="T2118" s="494">
        <v>5012</v>
      </c>
      <c r="U2118" s="494">
        <v>1469</v>
      </c>
      <c r="V2118" s="493">
        <v>2024</v>
      </c>
      <c r="W2118" s="495"/>
      <c r="X2118" s="496">
        <f t="shared" si="135"/>
        <v>3.4118447923757658</v>
      </c>
      <c r="Y2118" s="497" t="str">
        <f t="shared" si="138"/>
        <v/>
      </c>
      <c r="Z2118" s="497" t="str">
        <f t="shared" si="138"/>
        <v/>
      </c>
    </row>
    <row r="2119" spans="1:26" s="82" customFormat="1" ht="32" x14ac:dyDescent="0.4">
      <c r="A2119" s="493">
        <v>63953</v>
      </c>
      <c r="B2119" s="105" t="s">
        <v>329</v>
      </c>
      <c r="C2119" s="493" t="s">
        <v>330</v>
      </c>
      <c r="D2119" s="105" t="s">
        <v>2486</v>
      </c>
      <c r="E2119" s="105" t="s">
        <v>2487</v>
      </c>
      <c r="F2119" s="493">
        <v>63614</v>
      </c>
      <c r="G2119" s="105" t="s">
        <v>33</v>
      </c>
      <c r="H2119" s="105" t="s">
        <v>342</v>
      </c>
      <c r="I2119" s="105" t="s">
        <v>334</v>
      </c>
      <c r="J2119" s="493">
        <v>22</v>
      </c>
      <c r="K2119" s="493">
        <v>2</v>
      </c>
      <c r="L2119" s="105" t="s">
        <v>343</v>
      </c>
      <c r="M2119" s="105" t="s">
        <v>655</v>
      </c>
      <c r="N2119" s="105" t="s">
        <v>656</v>
      </c>
      <c r="O2119" s="105" t="s">
        <v>656</v>
      </c>
      <c r="P2119" s="105" t="s">
        <v>339</v>
      </c>
      <c r="Q2119" s="494">
        <v>0</v>
      </c>
      <c r="R2119" s="494">
        <v>0</v>
      </c>
      <c r="S2119" s="494">
        <v>12436</v>
      </c>
      <c r="T2119" s="494">
        <v>12436</v>
      </c>
      <c r="U2119" s="494">
        <v>3645</v>
      </c>
      <c r="V2119" s="493">
        <v>2024</v>
      </c>
      <c r="W2119" s="495"/>
      <c r="X2119" s="496">
        <f t="shared" si="135"/>
        <v>3.4117969821673526</v>
      </c>
      <c r="Y2119" s="497" t="str">
        <f t="shared" si="138"/>
        <v/>
      </c>
      <c r="Z2119" s="497" t="str">
        <f t="shared" si="138"/>
        <v/>
      </c>
    </row>
    <row r="2120" spans="1:26" s="82" customFormat="1" ht="32" x14ac:dyDescent="0.4">
      <c r="A2120" s="493">
        <v>63997</v>
      </c>
      <c r="B2120" s="105" t="s">
        <v>329</v>
      </c>
      <c r="C2120" s="493" t="s">
        <v>330</v>
      </c>
      <c r="D2120" s="105" t="s">
        <v>2488</v>
      </c>
      <c r="E2120" s="105" t="s">
        <v>1773</v>
      </c>
      <c r="F2120" s="493">
        <v>60571</v>
      </c>
      <c r="G2120" s="105" t="s">
        <v>38</v>
      </c>
      <c r="H2120" s="105" t="s">
        <v>342</v>
      </c>
      <c r="I2120" s="105" t="s">
        <v>334</v>
      </c>
      <c r="J2120" s="493">
        <v>22</v>
      </c>
      <c r="K2120" s="493">
        <v>2</v>
      </c>
      <c r="L2120" s="105" t="s">
        <v>343</v>
      </c>
      <c r="M2120" s="105" t="s">
        <v>655</v>
      </c>
      <c r="N2120" s="105" t="s">
        <v>656</v>
      </c>
      <c r="O2120" s="105" t="s">
        <v>656</v>
      </c>
      <c r="P2120" s="105" t="s">
        <v>339</v>
      </c>
      <c r="Q2120" s="494">
        <v>0</v>
      </c>
      <c r="R2120" s="494">
        <v>0</v>
      </c>
      <c r="S2120" s="494">
        <v>26898</v>
      </c>
      <c r="T2120" s="494">
        <v>26898</v>
      </c>
      <c r="U2120" s="494">
        <v>7884</v>
      </c>
      <c r="V2120" s="493">
        <v>2024</v>
      </c>
      <c r="W2120" s="495"/>
      <c r="X2120" s="496">
        <f t="shared" si="135"/>
        <v>3.4117199391171993</v>
      </c>
      <c r="Y2120" s="497" t="str">
        <f t="shared" si="138"/>
        <v/>
      </c>
      <c r="Z2120" s="497" t="str">
        <f t="shared" si="138"/>
        <v/>
      </c>
    </row>
    <row r="2121" spans="1:26" s="82" customFormat="1" x14ac:dyDescent="0.4">
      <c r="A2121" s="493">
        <v>64000</v>
      </c>
      <c r="B2121" s="105" t="s">
        <v>329</v>
      </c>
      <c r="C2121" s="493" t="s">
        <v>330</v>
      </c>
      <c r="D2121" s="105" t="s">
        <v>2489</v>
      </c>
      <c r="E2121" s="105" t="s">
        <v>1448</v>
      </c>
      <c r="F2121" s="493">
        <v>61012</v>
      </c>
      <c r="G2121" s="105" t="s">
        <v>33</v>
      </c>
      <c r="H2121" s="105" t="s">
        <v>342</v>
      </c>
      <c r="I2121" s="105" t="s">
        <v>334</v>
      </c>
      <c r="J2121" s="493">
        <v>22</v>
      </c>
      <c r="K2121" s="493">
        <v>2</v>
      </c>
      <c r="L2121" s="105" t="s">
        <v>343</v>
      </c>
      <c r="M2121" s="105" t="s">
        <v>403</v>
      </c>
      <c r="N2121" s="105" t="s">
        <v>404</v>
      </c>
      <c r="O2121" s="105" t="s">
        <v>232</v>
      </c>
      <c r="P2121" s="105" t="s">
        <v>346</v>
      </c>
      <c r="Q2121" s="494">
        <v>588</v>
      </c>
      <c r="R2121" s="494">
        <v>588</v>
      </c>
      <c r="S2121" s="494">
        <v>0</v>
      </c>
      <c r="T2121" s="494">
        <v>0</v>
      </c>
      <c r="U2121" s="494">
        <v>-50</v>
      </c>
      <c r="V2121" s="493">
        <v>2024</v>
      </c>
      <c r="W2121" s="495"/>
      <c r="X2121" s="496" t="str">
        <f t="shared" ref="X2121:X2184" si="139">IF(OR(K2121&gt;3,T2121=0,NOT(U2121&gt;0)),"",T2121/U2121)</f>
        <v/>
      </c>
      <c r="Y2121" s="497" t="str">
        <f t="shared" si="138"/>
        <v/>
      </c>
      <c r="Z2121" s="497" t="str">
        <f t="shared" si="138"/>
        <v/>
      </c>
    </row>
    <row r="2122" spans="1:26" s="82" customFormat="1" x14ac:dyDescent="0.4">
      <c r="A2122" s="493">
        <v>64000</v>
      </c>
      <c r="B2122" s="105" t="s">
        <v>329</v>
      </c>
      <c r="C2122" s="493" t="s">
        <v>330</v>
      </c>
      <c r="D2122" s="105" t="s">
        <v>2489</v>
      </c>
      <c r="E2122" s="105" t="s">
        <v>1448</v>
      </c>
      <c r="F2122" s="493">
        <v>61012</v>
      </c>
      <c r="G2122" s="105" t="s">
        <v>33</v>
      </c>
      <c r="H2122" s="105" t="s">
        <v>342</v>
      </c>
      <c r="I2122" s="105" t="s">
        <v>334</v>
      </c>
      <c r="J2122" s="493">
        <v>22</v>
      </c>
      <c r="K2122" s="493">
        <v>2</v>
      </c>
      <c r="L2122" s="105" t="s">
        <v>343</v>
      </c>
      <c r="M2122" s="105" t="s">
        <v>655</v>
      </c>
      <c r="N2122" s="105" t="s">
        <v>656</v>
      </c>
      <c r="O2122" s="105" t="s">
        <v>656</v>
      </c>
      <c r="P2122" s="105" t="s">
        <v>339</v>
      </c>
      <c r="Q2122" s="494">
        <v>0</v>
      </c>
      <c r="R2122" s="494">
        <v>0</v>
      </c>
      <c r="S2122" s="494">
        <v>23444</v>
      </c>
      <c r="T2122" s="494">
        <v>23444</v>
      </c>
      <c r="U2122" s="494">
        <v>6871</v>
      </c>
      <c r="V2122" s="493">
        <v>2024</v>
      </c>
      <c r="W2122" s="495"/>
      <c r="X2122" s="496">
        <f t="shared" si="139"/>
        <v>3.4120215398049774</v>
      </c>
      <c r="Y2122" s="497" t="str">
        <f t="shared" si="138"/>
        <v/>
      </c>
      <c r="Z2122" s="497" t="str">
        <f t="shared" si="138"/>
        <v/>
      </c>
    </row>
    <row r="2123" spans="1:26" s="82" customFormat="1" ht="32" x14ac:dyDescent="0.4">
      <c r="A2123" s="493">
        <v>64014</v>
      </c>
      <c r="B2123" s="105" t="s">
        <v>329</v>
      </c>
      <c r="C2123" s="493" t="s">
        <v>330</v>
      </c>
      <c r="D2123" s="105" t="s">
        <v>2490</v>
      </c>
      <c r="E2123" s="105" t="s">
        <v>2491</v>
      </c>
      <c r="F2123" s="493">
        <v>63663</v>
      </c>
      <c r="G2123" s="105" t="s">
        <v>33</v>
      </c>
      <c r="H2123" s="105" t="s">
        <v>342</v>
      </c>
      <c r="I2123" s="105" t="s">
        <v>334</v>
      </c>
      <c r="J2123" s="493">
        <v>22</v>
      </c>
      <c r="K2123" s="493">
        <v>2</v>
      </c>
      <c r="L2123" s="105" t="s">
        <v>343</v>
      </c>
      <c r="M2123" s="105" t="s">
        <v>655</v>
      </c>
      <c r="N2123" s="105" t="s">
        <v>656</v>
      </c>
      <c r="O2123" s="105" t="s">
        <v>656</v>
      </c>
      <c r="P2123" s="105" t="s">
        <v>339</v>
      </c>
      <c r="Q2123" s="494">
        <v>0</v>
      </c>
      <c r="R2123" s="494">
        <v>0</v>
      </c>
      <c r="S2123" s="494">
        <v>26954</v>
      </c>
      <c r="T2123" s="494">
        <v>26954</v>
      </c>
      <c r="U2123" s="494">
        <v>7900</v>
      </c>
      <c r="V2123" s="493">
        <v>2024</v>
      </c>
      <c r="W2123" s="495"/>
      <c r="X2123" s="496">
        <f t="shared" si="139"/>
        <v>3.4118987341772153</v>
      </c>
      <c r="Y2123" s="497" t="str">
        <f t="shared" si="138"/>
        <v/>
      </c>
      <c r="Z2123" s="497" t="str">
        <f t="shared" si="138"/>
        <v/>
      </c>
    </row>
    <row r="2124" spans="1:26" s="82" customFormat="1" ht="32" x14ac:dyDescent="0.4">
      <c r="A2124" s="493">
        <v>64017</v>
      </c>
      <c r="B2124" s="105" t="s">
        <v>329</v>
      </c>
      <c r="C2124" s="493" t="s">
        <v>330</v>
      </c>
      <c r="D2124" s="105" t="s">
        <v>2492</v>
      </c>
      <c r="E2124" s="105" t="s">
        <v>2493</v>
      </c>
      <c r="F2124" s="493">
        <v>63661</v>
      </c>
      <c r="G2124" s="105" t="s">
        <v>52</v>
      </c>
      <c r="H2124" s="105" t="s">
        <v>333</v>
      </c>
      <c r="I2124" s="105" t="s">
        <v>334</v>
      </c>
      <c r="J2124" s="493">
        <v>22</v>
      </c>
      <c r="K2124" s="493">
        <v>2</v>
      </c>
      <c r="L2124" s="105" t="s">
        <v>343</v>
      </c>
      <c r="M2124" s="105" t="s">
        <v>655</v>
      </c>
      <c r="N2124" s="105" t="s">
        <v>656</v>
      </c>
      <c r="O2124" s="105" t="s">
        <v>656</v>
      </c>
      <c r="P2124" s="105" t="s">
        <v>339</v>
      </c>
      <c r="Q2124" s="494">
        <v>0</v>
      </c>
      <c r="R2124" s="494">
        <v>0</v>
      </c>
      <c r="S2124" s="494">
        <v>22031</v>
      </c>
      <c r="T2124" s="494">
        <v>22031</v>
      </c>
      <c r="U2124" s="494">
        <v>6457</v>
      </c>
      <c r="V2124" s="493">
        <v>2024</v>
      </c>
      <c r="W2124" s="495"/>
      <c r="X2124" s="496">
        <f t="shared" si="139"/>
        <v>3.4119560167260339</v>
      </c>
      <c r="Y2124" s="497" t="str">
        <f t="shared" si="138"/>
        <v/>
      </c>
      <c r="Z2124" s="497" t="str">
        <f t="shared" si="138"/>
        <v/>
      </c>
    </row>
    <row r="2125" spans="1:26" s="82" customFormat="1" x14ac:dyDescent="0.4">
      <c r="A2125" s="493">
        <v>64030</v>
      </c>
      <c r="B2125" s="105" t="s">
        <v>329</v>
      </c>
      <c r="C2125" s="493" t="s">
        <v>330</v>
      </c>
      <c r="D2125" s="105" t="s">
        <v>2494</v>
      </c>
      <c r="E2125" s="105" t="s">
        <v>1383</v>
      </c>
      <c r="F2125" s="493">
        <v>61944</v>
      </c>
      <c r="G2125" s="105" t="s">
        <v>52</v>
      </c>
      <c r="H2125" s="105" t="s">
        <v>333</v>
      </c>
      <c r="I2125" s="105" t="s">
        <v>334</v>
      </c>
      <c r="J2125" s="493">
        <v>22</v>
      </c>
      <c r="K2125" s="493">
        <v>2</v>
      </c>
      <c r="L2125" s="105" t="s">
        <v>343</v>
      </c>
      <c r="M2125" s="105" t="s">
        <v>655</v>
      </c>
      <c r="N2125" s="105" t="s">
        <v>656</v>
      </c>
      <c r="O2125" s="105" t="s">
        <v>656</v>
      </c>
      <c r="P2125" s="105" t="s">
        <v>339</v>
      </c>
      <c r="Q2125" s="494">
        <v>0</v>
      </c>
      <c r="R2125" s="494">
        <v>0</v>
      </c>
      <c r="S2125" s="494">
        <v>8849</v>
      </c>
      <c r="T2125" s="494">
        <v>8849</v>
      </c>
      <c r="U2125" s="494">
        <v>2593</v>
      </c>
      <c r="V2125" s="493">
        <v>2024</v>
      </c>
      <c r="W2125" s="495"/>
      <c r="X2125" s="496">
        <f t="shared" si="139"/>
        <v>3.4126494408021597</v>
      </c>
      <c r="Y2125" s="497" t="str">
        <f t="shared" si="138"/>
        <v/>
      </c>
      <c r="Z2125" s="497" t="str">
        <f t="shared" si="138"/>
        <v/>
      </c>
    </row>
    <row r="2126" spans="1:26" s="82" customFormat="1" ht="32" x14ac:dyDescent="0.4">
      <c r="A2126" s="493">
        <v>64041</v>
      </c>
      <c r="B2126" s="105" t="s">
        <v>329</v>
      </c>
      <c r="C2126" s="493" t="s">
        <v>330</v>
      </c>
      <c r="D2126" s="105" t="s">
        <v>2495</v>
      </c>
      <c r="E2126" s="105" t="s">
        <v>2496</v>
      </c>
      <c r="F2126" s="493">
        <v>63681</v>
      </c>
      <c r="G2126" s="105" t="s">
        <v>52</v>
      </c>
      <c r="H2126" s="105" t="s">
        <v>333</v>
      </c>
      <c r="I2126" s="105" t="s">
        <v>334</v>
      </c>
      <c r="J2126" s="493">
        <v>22</v>
      </c>
      <c r="K2126" s="493">
        <v>2</v>
      </c>
      <c r="L2126" s="105" t="s">
        <v>343</v>
      </c>
      <c r="M2126" s="105" t="s">
        <v>655</v>
      </c>
      <c r="N2126" s="105" t="s">
        <v>656</v>
      </c>
      <c r="O2126" s="105" t="s">
        <v>656</v>
      </c>
      <c r="P2126" s="105" t="s">
        <v>339</v>
      </c>
      <c r="Q2126" s="494">
        <v>0</v>
      </c>
      <c r="R2126" s="494">
        <v>0</v>
      </c>
      <c r="S2126" s="494">
        <v>11409</v>
      </c>
      <c r="T2126" s="494">
        <v>11409</v>
      </c>
      <c r="U2126" s="494">
        <v>3344</v>
      </c>
      <c r="V2126" s="493">
        <v>2024</v>
      </c>
      <c r="W2126" s="495"/>
      <c r="X2126" s="496">
        <f t="shared" si="139"/>
        <v>3.4117822966507179</v>
      </c>
      <c r="Y2126" s="497" t="str">
        <f t="shared" si="138"/>
        <v/>
      </c>
      <c r="Z2126" s="497" t="str">
        <f t="shared" si="138"/>
        <v/>
      </c>
    </row>
    <row r="2127" spans="1:26" s="82" customFormat="1" ht="32" x14ac:dyDescent="0.4">
      <c r="A2127" s="493">
        <v>64042</v>
      </c>
      <c r="B2127" s="105" t="s">
        <v>329</v>
      </c>
      <c r="C2127" s="493" t="s">
        <v>330</v>
      </c>
      <c r="D2127" s="105" t="s">
        <v>2497</v>
      </c>
      <c r="E2127" s="105" t="s">
        <v>2498</v>
      </c>
      <c r="F2127" s="493">
        <v>63682</v>
      </c>
      <c r="G2127" s="105" t="s">
        <v>33</v>
      </c>
      <c r="H2127" s="105" t="s">
        <v>342</v>
      </c>
      <c r="I2127" s="105" t="s">
        <v>334</v>
      </c>
      <c r="J2127" s="493">
        <v>22</v>
      </c>
      <c r="K2127" s="493">
        <v>2</v>
      </c>
      <c r="L2127" s="105" t="s">
        <v>343</v>
      </c>
      <c r="M2127" s="105" t="s">
        <v>655</v>
      </c>
      <c r="N2127" s="105" t="s">
        <v>656</v>
      </c>
      <c r="O2127" s="105" t="s">
        <v>656</v>
      </c>
      <c r="P2127" s="105" t="s">
        <v>339</v>
      </c>
      <c r="Q2127" s="494">
        <v>0</v>
      </c>
      <c r="R2127" s="494">
        <v>0</v>
      </c>
      <c r="S2127" s="494">
        <v>16216</v>
      </c>
      <c r="T2127" s="494">
        <v>16216</v>
      </c>
      <c r="U2127" s="494">
        <v>4753</v>
      </c>
      <c r="V2127" s="493">
        <v>2024</v>
      </c>
      <c r="W2127" s="495"/>
      <c r="X2127" s="496">
        <f t="shared" si="139"/>
        <v>3.4117399537134441</v>
      </c>
      <c r="Y2127" s="497" t="str">
        <f t="shared" si="138"/>
        <v/>
      </c>
      <c r="Z2127" s="497" t="str">
        <f t="shared" si="138"/>
        <v/>
      </c>
    </row>
    <row r="2128" spans="1:26" s="82" customFormat="1" ht="32" x14ac:dyDescent="0.4">
      <c r="A2128" s="493">
        <v>64044</v>
      </c>
      <c r="B2128" s="105" t="s">
        <v>329</v>
      </c>
      <c r="C2128" s="493" t="s">
        <v>330</v>
      </c>
      <c r="D2128" s="105" t="s">
        <v>2499</v>
      </c>
      <c r="E2128" s="105" t="s">
        <v>2500</v>
      </c>
      <c r="F2128" s="493">
        <v>63684</v>
      </c>
      <c r="G2128" s="105" t="s">
        <v>52</v>
      </c>
      <c r="H2128" s="105" t="s">
        <v>333</v>
      </c>
      <c r="I2128" s="105" t="s">
        <v>334</v>
      </c>
      <c r="J2128" s="493">
        <v>22</v>
      </c>
      <c r="K2128" s="493">
        <v>2</v>
      </c>
      <c r="L2128" s="105" t="s">
        <v>343</v>
      </c>
      <c r="M2128" s="105" t="s">
        <v>655</v>
      </c>
      <c r="N2128" s="105" t="s">
        <v>656</v>
      </c>
      <c r="O2128" s="105" t="s">
        <v>656</v>
      </c>
      <c r="P2128" s="105" t="s">
        <v>339</v>
      </c>
      <c r="Q2128" s="494">
        <v>0</v>
      </c>
      <c r="R2128" s="494">
        <v>0</v>
      </c>
      <c r="S2128" s="494">
        <v>22855</v>
      </c>
      <c r="T2128" s="494">
        <v>22855</v>
      </c>
      <c r="U2128" s="494">
        <v>6698</v>
      </c>
      <c r="V2128" s="493">
        <v>2024</v>
      </c>
      <c r="W2128" s="495"/>
      <c r="X2128" s="496">
        <f t="shared" si="139"/>
        <v>3.4122126007763511</v>
      </c>
      <c r="Y2128" s="497" t="str">
        <f t="shared" ref="Y2128:Z2147" si="140">IF(AND($M2128=$Y$2,$N2128=$Y$3,NOT($Q2128=$R2128),NOT($U2128=0)),IF($K2128=5,$S2128/($U2128+(8/5)*$U2128),IF($K2128=7,$S2128/($U2128+(29/25)*$U2128),"")),"")</f>
        <v/>
      </c>
      <c r="Z2128" s="497" t="str">
        <f t="shared" si="140"/>
        <v/>
      </c>
    </row>
    <row r="2129" spans="1:26" s="82" customFormat="1" ht="32" x14ac:dyDescent="0.4">
      <c r="A2129" s="493">
        <v>64045</v>
      </c>
      <c r="B2129" s="105" t="s">
        <v>329</v>
      </c>
      <c r="C2129" s="493" t="s">
        <v>330</v>
      </c>
      <c r="D2129" s="105" t="s">
        <v>2501</v>
      </c>
      <c r="E2129" s="105" t="s">
        <v>2502</v>
      </c>
      <c r="F2129" s="493">
        <v>63685</v>
      </c>
      <c r="G2129" s="105" t="s">
        <v>33</v>
      </c>
      <c r="H2129" s="105" t="s">
        <v>342</v>
      </c>
      <c r="I2129" s="105" t="s">
        <v>334</v>
      </c>
      <c r="J2129" s="493">
        <v>22</v>
      </c>
      <c r="K2129" s="493">
        <v>2</v>
      </c>
      <c r="L2129" s="105" t="s">
        <v>343</v>
      </c>
      <c r="M2129" s="105" t="s">
        <v>655</v>
      </c>
      <c r="N2129" s="105" t="s">
        <v>656</v>
      </c>
      <c r="O2129" s="105" t="s">
        <v>656</v>
      </c>
      <c r="P2129" s="105" t="s">
        <v>339</v>
      </c>
      <c r="Q2129" s="494">
        <v>0</v>
      </c>
      <c r="R2129" s="494">
        <v>0</v>
      </c>
      <c r="S2129" s="494">
        <v>21840</v>
      </c>
      <c r="T2129" s="494">
        <v>21840</v>
      </c>
      <c r="U2129" s="494">
        <v>6401</v>
      </c>
      <c r="V2129" s="493">
        <v>2024</v>
      </c>
      <c r="W2129" s="495"/>
      <c r="X2129" s="496">
        <f t="shared" si="139"/>
        <v>3.4119668801749725</v>
      </c>
      <c r="Y2129" s="497" t="str">
        <f t="shared" si="140"/>
        <v/>
      </c>
      <c r="Z2129" s="497" t="str">
        <f t="shared" si="140"/>
        <v/>
      </c>
    </row>
    <row r="2130" spans="1:26" s="82" customFormat="1" ht="32" x14ac:dyDescent="0.4">
      <c r="A2130" s="493">
        <v>64046</v>
      </c>
      <c r="B2130" s="105" t="s">
        <v>329</v>
      </c>
      <c r="C2130" s="493" t="s">
        <v>330</v>
      </c>
      <c r="D2130" s="105" t="s">
        <v>2503</v>
      </c>
      <c r="E2130" s="105" t="s">
        <v>2504</v>
      </c>
      <c r="F2130" s="493">
        <v>63686</v>
      </c>
      <c r="G2130" s="105" t="s">
        <v>52</v>
      </c>
      <c r="H2130" s="105" t="s">
        <v>333</v>
      </c>
      <c r="I2130" s="105" t="s">
        <v>334</v>
      </c>
      <c r="J2130" s="493">
        <v>22</v>
      </c>
      <c r="K2130" s="493">
        <v>2</v>
      </c>
      <c r="L2130" s="105" t="s">
        <v>343</v>
      </c>
      <c r="M2130" s="105" t="s">
        <v>655</v>
      </c>
      <c r="N2130" s="105" t="s">
        <v>656</v>
      </c>
      <c r="O2130" s="105" t="s">
        <v>656</v>
      </c>
      <c r="P2130" s="105" t="s">
        <v>339</v>
      </c>
      <c r="Q2130" s="494">
        <v>0</v>
      </c>
      <c r="R2130" s="494">
        <v>0</v>
      </c>
      <c r="S2130" s="494">
        <v>23145</v>
      </c>
      <c r="T2130" s="494">
        <v>23145</v>
      </c>
      <c r="U2130" s="494">
        <v>6783</v>
      </c>
      <c r="V2130" s="493">
        <v>2024</v>
      </c>
      <c r="W2130" s="495"/>
      <c r="X2130" s="496">
        <f t="shared" si="139"/>
        <v>3.4122069880583812</v>
      </c>
      <c r="Y2130" s="497" t="str">
        <f t="shared" si="140"/>
        <v/>
      </c>
      <c r="Z2130" s="497" t="str">
        <f t="shared" si="140"/>
        <v/>
      </c>
    </row>
    <row r="2131" spans="1:26" s="82" customFormat="1" ht="32" x14ac:dyDescent="0.4">
      <c r="A2131" s="493">
        <v>64060</v>
      </c>
      <c r="B2131" s="105" t="s">
        <v>329</v>
      </c>
      <c r="C2131" s="493" t="s">
        <v>330</v>
      </c>
      <c r="D2131" s="105" t="s">
        <v>2505</v>
      </c>
      <c r="E2131" s="105" t="s">
        <v>654</v>
      </c>
      <c r="F2131" s="493">
        <v>11806</v>
      </c>
      <c r="G2131" s="105" t="s">
        <v>33</v>
      </c>
      <c r="H2131" s="105" t="s">
        <v>342</v>
      </c>
      <c r="I2131" s="105" t="s">
        <v>334</v>
      </c>
      <c r="J2131" s="493">
        <v>22</v>
      </c>
      <c r="K2131" s="493">
        <v>1</v>
      </c>
      <c r="L2131" s="105" t="s">
        <v>335</v>
      </c>
      <c r="M2131" s="105" t="s">
        <v>655</v>
      </c>
      <c r="N2131" s="105" t="s">
        <v>656</v>
      </c>
      <c r="O2131" s="105" t="s">
        <v>656</v>
      </c>
      <c r="P2131" s="105" t="s">
        <v>339</v>
      </c>
      <c r="Q2131" s="494">
        <v>0</v>
      </c>
      <c r="R2131" s="494">
        <v>0</v>
      </c>
      <c r="S2131" s="494">
        <v>16701</v>
      </c>
      <c r="T2131" s="494">
        <v>16701</v>
      </c>
      <c r="U2131" s="494">
        <v>4895</v>
      </c>
      <c r="V2131" s="493">
        <v>2024</v>
      </c>
      <c r="W2131" s="495"/>
      <c r="X2131" s="496">
        <f t="shared" si="139"/>
        <v>3.4118488253319712</v>
      </c>
      <c r="Y2131" s="497" t="str">
        <f t="shared" si="140"/>
        <v/>
      </c>
      <c r="Z2131" s="497" t="str">
        <f t="shared" si="140"/>
        <v/>
      </c>
    </row>
    <row r="2132" spans="1:26" s="82" customFormat="1" x14ac:dyDescent="0.4">
      <c r="A2132" s="493">
        <v>64062</v>
      </c>
      <c r="B2132" s="105" t="s">
        <v>329</v>
      </c>
      <c r="C2132" s="493" t="s">
        <v>330</v>
      </c>
      <c r="D2132" s="105" t="s">
        <v>2506</v>
      </c>
      <c r="E2132" s="105" t="s">
        <v>2507</v>
      </c>
      <c r="F2132" s="493">
        <v>63696</v>
      </c>
      <c r="G2132" s="105" t="s">
        <v>34</v>
      </c>
      <c r="H2132" s="105" t="s">
        <v>342</v>
      </c>
      <c r="I2132" s="105" t="s">
        <v>334</v>
      </c>
      <c r="J2132" s="493">
        <v>22</v>
      </c>
      <c r="K2132" s="493">
        <v>2</v>
      </c>
      <c r="L2132" s="105" t="s">
        <v>343</v>
      </c>
      <c r="M2132" s="105" t="s">
        <v>655</v>
      </c>
      <c r="N2132" s="105" t="s">
        <v>656</v>
      </c>
      <c r="O2132" s="105" t="s">
        <v>656</v>
      </c>
      <c r="P2132" s="105" t="s">
        <v>339</v>
      </c>
      <c r="Q2132" s="494">
        <v>0</v>
      </c>
      <c r="R2132" s="494">
        <v>0</v>
      </c>
      <c r="S2132" s="494">
        <v>28975</v>
      </c>
      <c r="T2132" s="494">
        <v>28975</v>
      </c>
      <c r="U2132" s="494">
        <v>8492</v>
      </c>
      <c r="V2132" s="493">
        <v>2024</v>
      </c>
      <c r="W2132" s="495"/>
      <c r="X2132" s="496">
        <f t="shared" si="139"/>
        <v>3.4120348563353744</v>
      </c>
      <c r="Y2132" s="497" t="str">
        <f t="shared" si="140"/>
        <v/>
      </c>
      <c r="Z2132" s="497" t="str">
        <f t="shared" si="140"/>
        <v/>
      </c>
    </row>
    <row r="2133" spans="1:26" s="82" customFormat="1" x14ac:dyDescent="0.4">
      <c r="A2133" s="493">
        <v>64068</v>
      </c>
      <c r="B2133" s="105" t="s">
        <v>329</v>
      </c>
      <c r="C2133" s="493" t="s">
        <v>330</v>
      </c>
      <c r="D2133" s="105" t="s">
        <v>2508</v>
      </c>
      <c r="E2133" s="105" t="s">
        <v>2508</v>
      </c>
      <c r="F2133" s="493">
        <v>63698</v>
      </c>
      <c r="G2133" s="105" t="s">
        <v>34</v>
      </c>
      <c r="H2133" s="105" t="s">
        <v>342</v>
      </c>
      <c r="I2133" s="105" t="s">
        <v>334</v>
      </c>
      <c r="J2133" s="493">
        <v>22</v>
      </c>
      <c r="K2133" s="493">
        <v>2</v>
      </c>
      <c r="L2133" s="105" t="s">
        <v>343</v>
      </c>
      <c r="M2133" s="105" t="s">
        <v>655</v>
      </c>
      <c r="N2133" s="105" t="s">
        <v>656</v>
      </c>
      <c r="O2133" s="105" t="s">
        <v>656</v>
      </c>
      <c r="P2133" s="105" t="s">
        <v>339</v>
      </c>
      <c r="Q2133" s="494">
        <v>0</v>
      </c>
      <c r="R2133" s="494">
        <v>0</v>
      </c>
      <c r="S2133" s="494">
        <v>25491</v>
      </c>
      <c r="T2133" s="494">
        <v>25491</v>
      </c>
      <c r="U2133" s="494">
        <v>7471</v>
      </c>
      <c r="V2133" s="493">
        <v>2024</v>
      </c>
      <c r="W2133" s="495"/>
      <c r="X2133" s="496">
        <f t="shared" si="139"/>
        <v>3.4119930397537144</v>
      </c>
      <c r="Y2133" s="497" t="str">
        <f t="shared" si="140"/>
        <v/>
      </c>
      <c r="Z2133" s="497" t="str">
        <f t="shared" si="140"/>
        <v/>
      </c>
    </row>
    <row r="2134" spans="1:26" s="82" customFormat="1" x14ac:dyDescent="0.4">
      <c r="A2134" s="493">
        <v>64069</v>
      </c>
      <c r="B2134" s="105" t="s">
        <v>329</v>
      </c>
      <c r="C2134" s="493" t="s">
        <v>330</v>
      </c>
      <c r="D2134" s="105" t="s">
        <v>2509</v>
      </c>
      <c r="E2134" s="105" t="s">
        <v>2510</v>
      </c>
      <c r="F2134" s="493">
        <v>63699</v>
      </c>
      <c r="G2134" s="105" t="s">
        <v>34</v>
      </c>
      <c r="H2134" s="105" t="s">
        <v>342</v>
      </c>
      <c r="I2134" s="105" t="s">
        <v>334</v>
      </c>
      <c r="J2134" s="493">
        <v>22</v>
      </c>
      <c r="K2134" s="493">
        <v>2</v>
      </c>
      <c r="L2134" s="105" t="s">
        <v>343</v>
      </c>
      <c r="M2134" s="105" t="s">
        <v>655</v>
      </c>
      <c r="N2134" s="105" t="s">
        <v>656</v>
      </c>
      <c r="O2134" s="105" t="s">
        <v>656</v>
      </c>
      <c r="P2134" s="105" t="s">
        <v>339</v>
      </c>
      <c r="Q2134" s="494">
        <v>0</v>
      </c>
      <c r="R2134" s="494">
        <v>0</v>
      </c>
      <c r="S2134" s="494">
        <v>42972</v>
      </c>
      <c r="T2134" s="494">
        <v>42972</v>
      </c>
      <c r="U2134" s="494">
        <v>12595</v>
      </c>
      <c r="V2134" s="493">
        <v>2024</v>
      </c>
      <c r="W2134" s="495"/>
      <c r="X2134" s="496">
        <f t="shared" si="139"/>
        <v>3.411830091306074</v>
      </c>
      <c r="Y2134" s="497" t="str">
        <f t="shared" si="140"/>
        <v/>
      </c>
      <c r="Z2134" s="497" t="str">
        <f t="shared" si="140"/>
        <v/>
      </c>
    </row>
    <row r="2135" spans="1:26" s="82" customFormat="1" ht="32" x14ac:dyDescent="0.4">
      <c r="A2135" s="493">
        <v>64070</v>
      </c>
      <c r="B2135" s="105" t="s">
        <v>329</v>
      </c>
      <c r="C2135" s="493" t="s">
        <v>330</v>
      </c>
      <c r="D2135" s="105" t="s">
        <v>2511</v>
      </c>
      <c r="E2135" s="105" t="s">
        <v>2512</v>
      </c>
      <c r="F2135" s="493">
        <v>63700</v>
      </c>
      <c r="G2135" s="105" t="s">
        <v>34</v>
      </c>
      <c r="H2135" s="105" t="s">
        <v>342</v>
      </c>
      <c r="I2135" s="105" t="s">
        <v>334</v>
      </c>
      <c r="J2135" s="493">
        <v>22</v>
      </c>
      <c r="K2135" s="493">
        <v>2</v>
      </c>
      <c r="L2135" s="105" t="s">
        <v>343</v>
      </c>
      <c r="M2135" s="105" t="s">
        <v>655</v>
      </c>
      <c r="N2135" s="105" t="s">
        <v>656</v>
      </c>
      <c r="O2135" s="105" t="s">
        <v>656</v>
      </c>
      <c r="P2135" s="105" t="s">
        <v>339</v>
      </c>
      <c r="Q2135" s="494">
        <v>0</v>
      </c>
      <c r="R2135" s="494">
        <v>0</v>
      </c>
      <c r="S2135" s="494">
        <v>19229</v>
      </c>
      <c r="T2135" s="494">
        <v>19229</v>
      </c>
      <c r="U2135" s="494">
        <v>5636</v>
      </c>
      <c r="V2135" s="493">
        <v>2024</v>
      </c>
      <c r="W2135" s="495"/>
      <c r="X2135" s="496">
        <f t="shared" si="139"/>
        <v>3.4118168914123492</v>
      </c>
      <c r="Y2135" s="497" t="str">
        <f t="shared" si="140"/>
        <v/>
      </c>
      <c r="Z2135" s="497" t="str">
        <f t="shared" si="140"/>
        <v/>
      </c>
    </row>
    <row r="2136" spans="1:26" s="82" customFormat="1" ht="48" x14ac:dyDescent="0.4">
      <c r="A2136" s="493">
        <v>64077</v>
      </c>
      <c r="B2136" s="105" t="s">
        <v>329</v>
      </c>
      <c r="C2136" s="493" t="s">
        <v>330</v>
      </c>
      <c r="D2136" s="105" t="s">
        <v>2513</v>
      </c>
      <c r="E2136" s="105" t="s">
        <v>1354</v>
      </c>
      <c r="F2136" s="493">
        <v>60025</v>
      </c>
      <c r="G2136" s="105" t="s">
        <v>52</v>
      </c>
      <c r="H2136" s="105" t="s">
        <v>333</v>
      </c>
      <c r="I2136" s="105" t="s">
        <v>334</v>
      </c>
      <c r="J2136" s="493">
        <v>22</v>
      </c>
      <c r="K2136" s="493">
        <v>2</v>
      </c>
      <c r="L2136" s="105" t="s">
        <v>343</v>
      </c>
      <c r="M2136" s="105" t="s">
        <v>655</v>
      </c>
      <c r="N2136" s="105" t="s">
        <v>656</v>
      </c>
      <c r="O2136" s="105" t="s">
        <v>656</v>
      </c>
      <c r="P2136" s="105" t="s">
        <v>339</v>
      </c>
      <c r="Q2136" s="494">
        <v>0</v>
      </c>
      <c r="R2136" s="494">
        <v>0</v>
      </c>
      <c r="S2136" s="494">
        <v>90554</v>
      </c>
      <c r="T2136" s="494">
        <v>90554</v>
      </c>
      <c r="U2136" s="494">
        <v>26540</v>
      </c>
      <c r="V2136" s="493">
        <v>2024</v>
      </c>
      <c r="W2136" s="495"/>
      <c r="X2136" s="496">
        <f t="shared" si="139"/>
        <v>3.4119819140919367</v>
      </c>
      <c r="Y2136" s="497" t="str">
        <f t="shared" si="140"/>
        <v/>
      </c>
      <c r="Z2136" s="497" t="str">
        <f t="shared" si="140"/>
        <v/>
      </c>
    </row>
    <row r="2137" spans="1:26" s="82" customFormat="1" x14ac:dyDescent="0.4">
      <c r="A2137" s="493">
        <v>64078</v>
      </c>
      <c r="B2137" s="105" t="s">
        <v>329</v>
      </c>
      <c r="C2137" s="493" t="s">
        <v>330</v>
      </c>
      <c r="D2137" s="105" t="s">
        <v>2514</v>
      </c>
      <c r="E2137" s="105" t="s">
        <v>2515</v>
      </c>
      <c r="F2137" s="493">
        <v>63712</v>
      </c>
      <c r="G2137" s="105" t="s">
        <v>34</v>
      </c>
      <c r="H2137" s="105" t="s">
        <v>342</v>
      </c>
      <c r="I2137" s="105" t="s">
        <v>334</v>
      </c>
      <c r="J2137" s="493">
        <v>22</v>
      </c>
      <c r="K2137" s="493">
        <v>2</v>
      </c>
      <c r="L2137" s="105" t="s">
        <v>343</v>
      </c>
      <c r="M2137" s="105" t="s">
        <v>655</v>
      </c>
      <c r="N2137" s="105" t="s">
        <v>656</v>
      </c>
      <c r="O2137" s="105" t="s">
        <v>656</v>
      </c>
      <c r="P2137" s="105" t="s">
        <v>339</v>
      </c>
      <c r="Q2137" s="494">
        <v>0</v>
      </c>
      <c r="R2137" s="494">
        <v>0</v>
      </c>
      <c r="S2137" s="494">
        <v>56409</v>
      </c>
      <c r="T2137" s="494">
        <v>56409</v>
      </c>
      <c r="U2137" s="494">
        <v>16532</v>
      </c>
      <c r="V2137" s="493">
        <v>2024</v>
      </c>
      <c r="W2137" s="495"/>
      <c r="X2137" s="496">
        <f t="shared" si="139"/>
        <v>3.4121098475683524</v>
      </c>
      <c r="Y2137" s="497" t="str">
        <f t="shared" si="140"/>
        <v/>
      </c>
      <c r="Z2137" s="497" t="str">
        <f t="shared" si="140"/>
        <v/>
      </c>
    </row>
    <row r="2138" spans="1:26" s="82" customFormat="1" ht="32" x14ac:dyDescent="0.4">
      <c r="A2138" s="493">
        <v>64084</v>
      </c>
      <c r="B2138" s="105" t="s">
        <v>329</v>
      </c>
      <c r="C2138" s="493" t="s">
        <v>330</v>
      </c>
      <c r="D2138" s="105" t="s">
        <v>2516</v>
      </c>
      <c r="E2138" s="105" t="s">
        <v>2517</v>
      </c>
      <c r="F2138" s="493">
        <v>63707</v>
      </c>
      <c r="G2138" s="105" t="s">
        <v>52</v>
      </c>
      <c r="H2138" s="105" t="s">
        <v>333</v>
      </c>
      <c r="I2138" s="105" t="s">
        <v>334</v>
      </c>
      <c r="J2138" s="493">
        <v>22</v>
      </c>
      <c r="K2138" s="493">
        <v>2</v>
      </c>
      <c r="L2138" s="105" t="s">
        <v>343</v>
      </c>
      <c r="M2138" s="105" t="s">
        <v>403</v>
      </c>
      <c r="N2138" s="105" t="s">
        <v>404</v>
      </c>
      <c r="O2138" s="105" t="s">
        <v>232</v>
      </c>
      <c r="P2138" s="105" t="s">
        <v>346</v>
      </c>
      <c r="Q2138" s="494">
        <v>416</v>
      </c>
      <c r="R2138" s="494">
        <v>416</v>
      </c>
      <c r="S2138" s="494">
        <v>0</v>
      </c>
      <c r="T2138" s="494">
        <v>0</v>
      </c>
      <c r="U2138" s="494">
        <v>0</v>
      </c>
      <c r="V2138" s="493">
        <v>2024</v>
      </c>
      <c r="W2138" s="495"/>
      <c r="X2138" s="496" t="str">
        <f t="shared" si="139"/>
        <v/>
      </c>
      <c r="Y2138" s="497" t="str">
        <f t="shared" si="140"/>
        <v/>
      </c>
      <c r="Z2138" s="497" t="str">
        <f t="shared" si="140"/>
        <v/>
      </c>
    </row>
    <row r="2139" spans="1:26" s="82" customFormat="1" ht="32" x14ac:dyDescent="0.4">
      <c r="A2139" s="493">
        <v>64084</v>
      </c>
      <c r="B2139" s="105" t="s">
        <v>329</v>
      </c>
      <c r="C2139" s="493" t="s">
        <v>330</v>
      </c>
      <c r="D2139" s="105" t="s">
        <v>2516</v>
      </c>
      <c r="E2139" s="105" t="s">
        <v>2517</v>
      </c>
      <c r="F2139" s="493">
        <v>63707</v>
      </c>
      <c r="G2139" s="105" t="s">
        <v>52</v>
      </c>
      <c r="H2139" s="105" t="s">
        <v>333</v>
      </c>
      <c r="I2139" s="105" t="s">
        <v>334</v>
      </c>
      <c r="J2139" s="493">
        <v>22</v>
      </c>
      <c r="K2139" s="493">
        <v>2</v>
      </c>
      <c r="L2139" s="105" t="s">
        <v>343</v>
      </c>
      <c r="M2139" s="105" t="s">
        <v>655</v>
      </c>
      <c r="N2139" s="105" t="s">
        <v>656</v>
      </c>
      <c r="O2139" s="105" t="s">
        <v>656</v>
      </c>
      <c r="P2139" s="105" t="s">
        <v>339</v>
      </c>
      <c r="Q2139" s="494">
        <v>0</v>
      </c>
      <c r="R2139" s="494">
        <v>0</v>
      </c>
      <c r="S2139" s="494">
        <v>24179</v>
      </c>
      <c r="T2139" s="494">
        <v>24179</v>
      </c>
      <c r="U2139" s="494">
        <v>7087</v>
      </c>
      <c r="V2139" s="493">
        <v>2024</v>
      </c>
      <c r="W2139" s="495"/>
      <c r="X2139" s="496">
        <f t="shared" si="139"/>
        <v>3.4117398052772683</v>
      </c>
      <c r="Y2139" s="497" t="str">
        <f t="shared" si="140"/>
        <v/>
      </c>
      <c r="Z2139" s="497" t="str">
        <f t="shared" si="140"/>
        <v/>
      </c>
    </row>
    <row r="2140" spans="1:26" s="82" customFormat="1" x14ac:dyDescent="0.4">
      <c r="A2140" s="493">
        <v>64085</v>
      </c>
      <c r="B2140" s="105" t="s">
        <v>329</v>
      </c>
      <c r="C2140" s="493" t="s">
        <v>330</v>
      </c>
      <c r="D2140" s="105" t="s">
        <v>2518</v>
      </c>
      <c r="E2140" s="105" t="s">
        <v>2519</v>
      </c>
      <c r="F2140" s="493">
        <v>63693</v>
      </c>
      <c r="G2140" s="105" t="s">
        <v>38</v>
      </c>
      <c r="H2140" s="105" t="s">
        <v>342</v>
      </c>
      <c r="I2140" s="105" t="s">
        <v>334</v>
      </c>
      <c r="J2140" s="493">
        <v>22</v>
      </c>
      <c r="K2140" s="493">
        <v>2</v>
      </c>
      <c r="L2140" s="105" t="s">
        <v>343</v>
      </c>
      <c r="M2140" s="105" t="s">
        <v>655</v>
      </c>
      <c r="N2140" s="105" t="s">
        <v>656</v>
      </c>
      <c r="O2140" s="105" t="s">
        <v>656</v>
      </c>
      <c r="P2140" s="105" t="s">
        <v>339</v>
      </c>
      <c r="Q2140" s="494">
        <v>0</v>
      </c>
      <c r="R2140" s="494">
        <v>0</v>
      </c>
      <c r="S2140" s="494">
        <v>11848</v>
      </c>
      <c r="T2140" s="494">
        <v>11848</v>
      </c>
      <c r="U2140" s="494">
        <v>3472</v>
      </c>
      <c r="V2140" s="493">
        <v>2024</v>
      </c>
      <c r="W2140" s="495"/>
      <c r="X2140" s="496">
        <f t="shared" si="139"/>
        <v>3.4124423963133639</v>
      </c>
      <c r="Y2140" s="497" t="str">
        <f t="shared" si="140"/>
        <v/>
      </c>
      <c r="Z2140" s="497" t="str">
        <f t="shared" si="140"/>
        <v/>
      </c>
    </row>
    <row r="2141" spans="1:26" s="82" customFormat="1" ht="32" x14ac:dyDescent="0.4">
      <c r="A2141" s="493">
        <v>64087</v>
      </c>
      <c r="B2141" s="105" t="s">
        <v>329</v>
      </c>
      <c r="C2141" s="493" t="s">
        <v>330</v>
      </c>
      <c r="D2141" s="105" t="s">
        <v>2520</v>
      </c>
      <c r="E2141" s="105" t="s">
        <v>2521</v>
      </c>
      <c r="F2141" s="493">
        <v>63708</v>
      </c>
      <c r="G2141" s="105" t="s">
        <v>52</v>
      </c>
      <c r="H2141" s="105" t="s">
        <v>333</v>
      </c>
      <c r="I2141" s="105" t="s">
        <v>334</v>
      </c>
      <c r="J2141" s="493">
        <v>22</v>
      </c>
      <c r="K2141" s="493">
        <v>2</v>
      </c>
      <c r="L2141" s="105" t="s">
        <v>343</v>
      </c>
      <c r="M2141" s="105" t="s">
        <v>403</v>
      </c>
      <c r="N2141" s="105" t="s">
        <v>404</v>
      </c>
      <c r="O2141" s="105" t="s">
        <v>232</v>
      </c>
      <c r="P2141" s="105" t="s">
        <v>346</v>
      </c>
      <c r="Q2141" s="494">
        <v>320</v>
      </c>
      <c r="R2141" s="494">
        <v>320</v>
      </c>
      <c r="S2141" s="494">
        <v>0</v>
      </c>
      <c r="T2141" s="494">
        <v>0</v>
      </c>
      <c r="U2141" s="494">
        <v>0</v>
      </c>
      <c r="V2141" s="493">
        <v>2024</v>
      </c>
      <c r="W2141" s="495"/>
      <c r="X2141" s="496" t="str">
        <f t="shared" si="139"/>
        <v/>
      </c>
      <c r="Y2141" s="497" t="str">
        <f t="shared" si="140"/>
        <v/>
      </c>
      <c r="Z2141" s="497" t="str">
        <f t="shared" si="140"/>
        <v/>
      </c>
    </row>
    <row r="2142" spans="1:26" s="82" customFormat="1" ht="32" x14ac:dyDescent="0.4">
      <c r="A2142" s="493">
        <v>64087</v>
      </c>
      <c r="B2142" s="105" t="s">
        <v>329</v>
      </c>
      <c r="C2142" s="493" t="s">
        <v>330</v>
      </c>
      <c r="D2142" s="105" t="s">
        <v>2520</v>
      </c>
      <c r="E2142" s="105" t="s">
        <v>2521</v>
      </c>
      <c r="F2142" s="493">
        <v>63708</v>
      </c>
      <c r="G2142" s="105" t="s">
        <v>52</v>
      </c>
      <c r="H2142" s="105" t="s">
        <v>333</v>
      </c>
      <c r="I2142" s="105" t="s">
        <v>334</v>
      </c>
      <c r="J2142" s="493">
        <v>22</v>
      </c>
      <c r="K2142" s="493">
        <v>2</v>
      </c>
      <c r="L2142" s="105" t="s">
        <v>343</v>
      </c>
      <c r="M2142" s="105" t="s">
        <v>655</v>
      </c>
      <c r="N2142" s="105" t="s">
        <v>656</v>
      </c>
      <c r="O2142" s="105" t="s">
        <v>656</v>
      </c>
      <c r="P2142" s="105" t="s">
        <v>339</v>
      </c>
      <c r="Q2142" s="494">
        <v>0</v>
      </c>
      <c r="R2142" s="494">
        <v>0</v>
      </c>
      <c r="S2142" s="494">
        <v>28291</v>
      </c>
      <c r="T2142" s="494">
        <v>28291</v>
      </c>
      <c r="U2142" s="494">
        <v>8292</v>
      </c>
      <c r="V2142" s="493">
        <v>2024</v>
      </c>
      <c r="W2142" s="495"/>
      <c r="X2142" s="496">
        <f t="shared" si="139"/>
        <v>3.4118427399903521</v>
      </c>
      <c r="Y2142" s="497" t="str">
        <f t="shared" si="140"/>
        <v/>
      </c>
      <c r="Z2142" s="497" t="str">
        <f t="shared" si="140"/>
        <v/>
      </c>
    </row>
    <row r="2143" spans="1:26" s="82" customFormat="1" x14ac:dyDescent="0.4">
      <c r="A2143" s="493">
        <v>64090</v>
      </c>
      <c r="B2143" s="105" t="s">
        <v>329</v>
      </c>
      <c r="C2143" s="493" t="s">
        <v>330</v>
      </c>
      <c r="D2143" s="105" t="s">
        <v>2522</v>
      </c>
      <c r="E2143" s="105" t="s">
        <v>2523</v>
      </c>
      <c r="F2143" s="493">
        <v>63709</v>
      </c>
      <c r="G2143" s="105" t="s">
        <v>52</v>
      </c>
      <c r="H2143" s="105" t="s">
        <v>333</v>
      </c>
      <c r="I2143" s="105" t="s">
        <v>334</v>
      </c>
      <c r="J2143" s="493">
        <v>22</v>
      </c>
      <c r="K2143" s="493">
        <v>2</v>
      </c>
      <c r="L2143" s="105" t="s">
        <v>343</v>
      </c>
      <c r="M2143" s="105" t="s">
        <v>403</v>
      </c>
      <c r="N2143" s="105" t="s">
        <v>404</v>
      </c>
      <c r="O2143" s="105" t="s">
        <v>232</v>
      </c>
      <c r="P2143" s="105" t="s">
        <v>346</v>
      </c>
      <c r="Q2143" s="494">
        <v>202</v>
      </c>
      <c r="R2143" s="494">
        <v>202</v>
      </c>
      <c r="S2143" s="494">
        <v>0</v>
      </c>
      <c r="T2143" s="494">
        <v>0</v>
      </c>
      <c r="U2143" s="494">
        <v>0</v>
      </c>
      <c r="V2143" s="493">
        <v>2024</v>
      </c>
      <c r="W2143" s="495"/>
      <c r="X2143" s="496" t="str">
        <f t="shared" si="139"/>
        <v/>
      </c>
      <c r="Y2143" s="497" t="str">
        <f t="shared" si="140"/>
        <v/>
      </c>
      <c r="Z2143" s="497" t="str">
        <f t="shared" si="140"/>
        <v/>
      </c>
    </row>
    <row r="2144" spans="1:26" s="82" customFormat="1" x14ac:dyDescent="0.4">
      <c r="A2144" s="493">
        <v>64090</v>
      </c>
      <c r="B2144" s="105" t="s">
        <v>329</v>
      </c>
      <c r="C2144" s="493" t="s">
        <v>330</v>
      </c>
      <c r="D2144" s="105" t="s">
        <v>2522</v>
      </c>
      <c r="E2144" s="105" t="s">
        <v>2523</v>
      </c>
      <c r="F2144" s="493">
        <v>63709</v>
      </c>
      <c r="G2144" s="105" t="s">
        <v>52</v>
      </c>
      <c r="H2144" s="105" t="s">
        <v>333</v>
      </c>
      <c r="I2144" s="105" t="s">
        <v>334</v>
      </c>
      <c r="J2144" s="493">
        <v>22</v>
      </c>
      <c r="K2144" s="493">
        <v>2</v>
      </c>
      <c r="L2144" s="105" t="s">
        <v>343</v>
      </c>
      <c r="M2144" s="105" t="s">
        <v>655</v>
      </c>
      <c r="N2144" s="105" t="s">
        <v>656</v>
      </c>
      <c r="O2144" s="105" t="s">
        <v>656</v>
      </c>
      <c r="P2144" s="105" t="s">
        <v>339</v>
      </c>
      <c r="Q2144" s="494">
        <v>0</v>
      </c>
      <c r="R2144" s="494">
        <v>0</v>
      </c>
      <c r="S2144" s="494">
        <v>23365</v>
      </c>
      <c r="T2144" s="494">
        <v>23365</v>
      </c>
      <c r="U2144" s="494">
        <v>6848</v>
      </c>
      <c r="V2144" s="493">
        <v>2024</v>
      </c>
      <c r="W2144" s="495"/>
      <c r="X2144" s="496">
        <f t="shared" si="139"/>
        <v>3.4119450934579438</v>
      </c>
      <c r="Y2144" s="497" t="str">
        <f t="shared" si="140"/>
        <v/>
      </c>
      <c r="Z2144" s="497" t="str">
        <f t="shared" si="140"/>
        <v/>
      </c>
    </row>
    <row r="2145" spans="1:26" s="82" customFormat="1" ht="32" x14ac:dyDescent="0.4">
      <c r="A2145" s="493">
        <v>64091</v>
      </c>
      <c r="B2145" s="105" t="s">
        <v>329</v>
      </c>
      <c r="C2145" s="493" t="s">
        <v>330</v>
      </c>
      <c r="D2145" s="105" t="s">
        <v>2524</v>
      </c>
      <c r="E2145" s="105" t="s">
        <v>2525</v>
      </c>
      <c r="F2145" s="493">
        <v>63710</v>
      </c>
      <c r="G2145" s="105" t="s">
        <v>52</v>
      </c>
      <c r="H2145" s="105" t="s">
        <v>333</v>
      </c>
      <c r="I2145" s="105" t="s">
        <v>334</v>
      </c>
      <c r="J2145" s="493">
        <v>22</v>
      </c>
      <c r="K2145" s="493">
        <v>2</v>
      </c>
      <c r="L2145" s="105" t="s">
        <v>343</v>
      </c>
      <c r="M2145" s="105" t="s">
        <v>655</v>
      </c>
      <c r="N2145" s="105" t="s">
        <v>656</v>
      </c>
      <c r="O2145" s="105" t="s">
        <v>656</v>
      </c>
      <c r="P2145" s="105" t="s">
        <v>339</v>
      </c>
      <c r="Q2145" s="494">
        <v>0</v>
      </c>
      <c r="R2145" s="494">
        <v>0</v>
      </c>
      <c r="S2145" s="494">
        <v>21405</v>
      </c>
      <c r="T2145" s="494">
        <v>21405</v>
      </c>
      <c r="U2145" s="494">
        <v>6274</v>
      </c>
      <c r="V2145" s="493">
        <v>2024</v>
      </c>
      <c r="W2145" s="495"/>
      <c r="X2145" s="496">
        <f t="shared" si="139"/>
        <v>3.4116990755498886</v>
      </c>
      <c r="Y2145" s="497" t="str">
        <f t="shared" si="140"/>
        <v/>
      </c>
      <c r="Z2145" s="497" t="str">
        <f t="shared" si="140"/>
        <v/>
      </c>
    </row>
    <row r="2146" spans="1:26" s="82" customFormat="1" ht="32" x14ac:dyDescent="0.4">
      <c r="A2146" s="493">
        <v>64092</v>
      </c>
      <c r="B2146" s="105" t="s">
        <v>329</v>
      </c>
      <c r="C2146" s="493" t="s">
        <v>330</v>
      </c>
      <c r="D2146" s="105" t="s">
        <v>2526</v>
      </c>
      <c r="E2146" s="105" t="s">
        <v>2527</v>
      </c>
      <c r="F2146" s="493">
        <v>63711</v>
      </c>
      <c r="G2146" s="105" t="s">
        <v>52</v>
      </c>
      <c r="H2146" s="105" t="s">
        <v>333</v>
      </c>
      <c r="I2146" s="105" t="s">
        <v>334</v>
      </c>
      <c r="J2146" s="493">
        <v>22</v>
      </c>
      <c r="K2146" s="493">
        <v>2</v>
      </c>
      <c r="L2146" s="105" t="s">
        <v>343</v>
      </c>
      <c r="M2146" s="105" t="s">
        <v>403</v>
      </c>
      <c r="N2146" s="105" t="s">
        <v>404</v>
      </c>
      <c r="O2146" s="105" t="s">
        <v>232</v>
      </c>
      <c r="P2146" s="105" t="s">
        <v>346</v>
      </c>
      <c r="Q2146" s="494">
        <v>451</v>
      </c>
      <c r="R2146" s="494">
        <v>451</v>
      </c>
      <c r="S2146" s="494">
        <v>0</v>
      </c>
      <c r="T2146" s="494">
        <v>0</v>
      </c>
      <c r="U2146" s="494">
        <v>0</v>
      </c>
      <c r="V2146" s="493">
        <v>2024</v>
      </c>
      <c r="W2146" s="495"/>
      <c r="X2146" s="496" t="str">
        <f t="shared" si="139"/>
        <v/>
      </c>
      <c r="Y2146" s="497" t="str">
        <f t="shared" si="140"/>
        <v/>
      </c>
      <c r="Z2146" s="497" t="str">
        <f t="shared" si="140"/>
        <v/>
      </c>
    </row>
    <row r="2147" spans="1:26" s="82" customFormat="1" ht="32" x14ac:dyDescent="0.4">
      <c r="A2147" s="493">
        <v>64092</v>
      </c>
      <c r="B2147" s="105" t="s">
        <v>329</v>
      </c>
      <c r="C2147" s="493" t="s">
        <v>330</v>
      </c>
      <c r="D2147" s="105" t="s">
        <v>2526</v>
      </c>
      <c r="E2147" s="105" t="s">
        <v>2527</v>
      </c>
      <c r="F2147" s="493">
        <v>63711</v>
      </c>
      <c r="G2147" s="105" t="s">
        <v>52</v>
      </c>
      <c r="H2147" s="105" t="s">
        <v>333</v>
      </c>
      <c r="I2147" s="105" t="s">
        <v>334</v>
      </c>
      <c r="J2147" s="493">
        <v>22</v>
      </c>
      <c r="K2147" s="493">
        <v>2</v>
      </c>
      <c r="L2147" s="105" t="s">
        <v>343</v>
      </c>
      <c r="M2147" s="105" t="s">
        <v>655</v>
      </c>
      <c r="N2147" s="105" t="s">
        <v>656</v>
      </c>
      <c r="O2147" s="105" t="s">
        <v>656</v>
      </c>
      <c r="P2147" s="105" t="s">
        <v>339</v>
      </c>
      <c r="Q2147" s="494">
        <v>0</v>
      </c>
      <c r="R2147" s="494">
        <v>0</v>
      </c>
      <c r="S2147" s="494">
        <v>26801</v>
      </c>
      <c r="T2147" s="494">
        <v>26801</v>
      </c>
      <c r="U2147" s="494">
        <v>7855</v>
      </c>
      <c r="V2147" s="493">
        <v>2024</v>
      </c>
      <c r="W2147" s="495"/>
      <c r="X2147" s="496">
        <f t="shared" si="139"/>
        <v>3.4119669000636539</v>
      </c>
      <c r="Y2147" s="497" t="str">
        <f t="shared" si="140"/>
        <v/>
      </c>
      <c r="Z2147" s="497" t="str">
        <f t="shared" si="140"/>
        <v/>
      </c>
    </row>
    <row r="2148" spans="1:26" s="82" customFormat="1" x14ac:dyDescent="0.4">
      <c r="A2148" s="493">
        <v>64102</v>
      </c>
      <c r="B2148" s="105" t="s">
        <v>329</v>
      </c>
      <c r="C2148" s="493" t="s">
        <v>330</v>
      </c>
      <c r="D2148" s="105" t="s">
        <v>2528</v>
      </c>
      <c r="E2148" s="105" t="s">
        <v>2529</v>
      </c>
      <c r="F2148" s="493">
        <v>63730</v>
      </c>
      <c r="G2148" s="105" t="s">
        <v>52</v>
      </c>
      <c r="H2148" s="105" t="s">
        <v>333</v>
      </c>
      <c r="I2148" s="105" t="s">
        <v>334</v>
      </c>
      <c r="J2148" s="493">
        <v>22</v>
      </c>
      <c r="K2148" s="493">
        <v>2</v>
      </c>
      <c r="L2148" s="105" t="s">
        <v>343</v>
      </c>
      <c r="M2148" s="105" t="s">
        <v>655</v>
      </c>
      <c r="N2148" s="105" t="s">
        <v>656</v>
      </c>
      <c r="O2148" s="105" t="s">
        <v>656</v>
      </c>
      <c r="P2148" s="105" t="s">
        <v>339</v>
      </c>
      <c r="Q2148" s="494">
        <v>0</v>
      </c>
      <c r="R2148" s="494">
        <v>0</v>
      </c>
      <c r="S2148" s="494">
        <v>33557</v>
      </c>
      <c r="T2148" s="494">
        <v>33557</v>
      </c>
      <c r="U2148" s="494">
        <v>9835</v>
      </c>
      <c r="V2148" s="493">
        <v>2024</v>
      </c>
      <c r="W2148" s="495"/>
      <c r="X2148" s="496">
        <f t="shared" si="139"/>
        <v>3.4119979664463651</v>
      </c>
      <c r="Y2148" s="497" t="str">
        <f t="shared" ref="Y2148:Z2167" si="141">IF(AND($M2148=$Y$2,$N2148=$Y$3,NOT($Q2148=$R2148),NOT($U2148=0)),IF($K2148=5,$S2148/($U2148+(8/5)*$U2148),IF($K2148=7,$S2148/($U2148+(29/25)*$U2148),"")),"")</f>
        <v/>
      </c>
      <c r="Z2148" s="497" t="str">
        <f t="shared" si="141"/>
        <v/>
      </c>
    </row>
    <row r="2149" spans="1:26" s="82" customFormat="1" x14ac:dyDescent="0.4">
      <c r="A2149" s="493">
        <v>64107</v>
      </c>
      <c r="B2149" s="105" t="s">
        <v>329</v>
      </c>
      <c r="C2149" s="493" t="s">
        <v>330</v>
      </c>
      <c r="D2149" s="105" t="s">
        <v>2530</v>
      </c>
      <c r="E2149" s="105" t="s">
        <v>2531</v>
      </c>
      <c r="F2149" s="493">
        <v>63735</v>
      </c>
      <c r="G2149" s="105" t="s">
        <v>33</v>
      </c>
      <c r="H2149" s="105" t="s">
        <v>342</v>
      </c>
      <c r="I2149" s="105" t="s">
        <v>334</v>
      </c>
      <c r="J2149" s="493">
        <v>22</v>
      </c>
      <c r="K2149" s="493">
        <v>2</v>
      </c>
      <c r="L2149" s="105" t="s">
        <v>343</v>
      </c>
      <c r="M2149" s="105" t="s">
        <v>655</v>
      </c>
      <c r="N2149" s="105" t="s">
        <v>656</v>
      </c>
      <c r="O2149" s="105" t="s">
        <v>656</v>
      </c>
      <c r="P2149" s="105" t="s">
        <v>339</v>
      </c>
      <c r="Q2149" s="494">
        <v>0</v>
      </c>
      <c r="R2149" s="494">
        <v>0</v>
      </c>
      <c r="S2149" s="494">
        <v>21698</v>
      </c>
      <c r="T2149" s="494">
        <v>21698</v>
      </c>
      <c r="U2149" s="494">
        <v>6359</v>
      </c>
      <c r="V2149" s="493">
        <v>2024</v>
      </c>
      <c r="W2149" s="495"/>
      <c r="X2149" s="496">
        <f t="shared" si="139"/>
        <v>3.4121717251140118</v>
      </c>
      <c r="Y2149" s="497" t="str">
        <f t="shared" si="141"/>
        <v/>
      </c>
      <c r="Z2149" s="497" t="str">
        <f t="shared" si="141"/>
        <v/>
      </c>
    </row>
    <row r="2150" spans="1:26" s="82" customFormat="1" ht="32" x14ac:dyDescent="0.4">
      <c r="A2150" s="493">
        <v>64108</v>
      </c>
      <c r="B2150" s="105" t="s">
        <v>329</v>
      </c>
      <c r="C2150" s="493" t="s">
        <v>330</v>
      </c>
      <c r="D2150" s="105" t="s">
        <v>2532</v>
      </c>
      <c r="E2150" s="105" t="s">
        <v>2533</v>
      </c>
      <c r="F2150" s="493">
        <v>63737</v>
      </c>
      <c r="G2150" s="105" t="s">
        <v>38</v>
      </c>
      <c r="H2150" s="105" t="s">
        <v>342</v>
      </c>
      <c r="I2150" s="105" t="s">
        <v>334</v>
      </c>
      <c r="J2150" s="493">
        <v>22</v>
      </c>
      <c r="K2150" s="493">
        <v>2</v>
      </c>
      <c r="L2150" s="105" t="s">
        <v>343</v>
      </c>
      <c r="M2150" s="105" t="s">
        <v>655</v>
      </c>
      <c r="N2150" s="105" t="s">
        <v>656</v>
      </c>
      <c r="O2150" s="105" t="s">
        <v>656</v>
      </c>
      <c r="P2150" s="105" t="s">
        <v>339</v>
      </c>
      <c r="Q2150" s="494">
        <v>0</v>
      </c>
      <c r="R2150" s="494">
        <v>0</v>
      </c>
      <c r="S2150" s="494">
        <v>95446</v>
      </c>
      <c r="T2150" s="494">
        <v>95446</v>
      </c>
      <c r="U2150" s="494">
        <v>27974</v>
      </c>
      <c r="V2150" s="493">
        <v>2024</v>
      </c>
      <c r="W2150" s="495"/>
      <c r="X2150" s="496">
        <f t="shared" si="139"/>
        <v>3.411953957246014</v>
      </c>
      <c r="Y2150" s="497" t="str">
        <f t="shared" si="141"/>
        <v/>
      </c>
      <c r="Z2150" s="497" t="str">
        <f t="shared" si="141"/>
        <v/>
      </c>
    </row>
    <row r="2151" spans="1:26" s="82" customFormat="1" ht="32" x14ac:dyDescent="0.4">
      <c r="A2151" s="493">
        <v>64109</v>
      </c>
      <c r="B2151" s="105" t="s">
        <v>329</v>
      </c>
      <c r="C2151" s="493" t="s">
        <v>330</v>
      </c>
      <c r="D2151" s="105" t="s">
        <v>2534</v>
      </c>
      <c r="E2151" s="105" t="s">
        <v>2535</v>
      </c>
      <c r="F2151" s="493">
        <v>63738</v>
      </c>
      <c r="G2151" s="105" t="s">
        <v>33</v>
      </c>
      <c r="H2151" s="105" t="s">
        <v>342</v>
      </c>
      <c r="I2151" s="105" t="s">
        <v>334</v>
      </c>
      <c r="J2151" s="493">
        <v>22</v>
      </c>
      <c r="K2151" s="493">
        <v>2</v>
      </c>
      <c r="L2151" s="105" t="s">
        <v>343</v>
      </c>
      <c r="M2151" s="105" t="s">
        <v>655</v>
      </c>
      <c r="N2151" s="105" t="s">
        <v>656</v>
      </c>
      <c r="O2151" s="105" t="s">
        <v>656</v>
      </c>
      <c r="P2151" s="105" t="s">
        <v>339</v>
      </c>
      <c r="Q2151" s="494">
        <v>0</v>
      </c>
      <c r="R2151" s="494">
        <v>0</v>
      </c>
      <c r="S2151" s="494">
        <v>23545</v>
      </c>
      <c r="T2151" s="494">
        <v>23545</v>
      </c>
      <c r="U2151" s="494">
        <v>6901</v>
      </c>
      <c r="V2151" s="493">
        <v>2024</v>
      </c>
      <c r="W2151" s="495"/>
      <c r="X2151" s="496">
        <f t="shared" si="139"/>
        <v>3.4118243732792348</v>
      </c>
      <c r="Y2151" s="497" t="str">
        <f t="shared" si="141"/>
        <v/>
      </c>
      <c r="Z2151" s="497" t="str">
        <f t="shared" si="141"/>
        <v/>
      </c>
    </row>
    <row r="2152" spans="1:26" s="82" customFormat="1" x14ac:dyDescent="0.4">
      <c r="A2152" s="493">
        <v>64110</v>
      </c>
      <c r="B2152" s="105" t="s">
        <v>329</v>
      </c>
      <c r="C2152" s="493" t="s">
        <v>330</v>
      </c>
      <c r="D2152" s="105" t="s">
        <v>2536</v>
      </c>
      <c r="E2152" s="105" t="s">
        <v>2537</v>
      </c>
      <c r="F2152" s="493">
        <v>63739</v>
      </c>
      <c r="G2152" s="105" t="s">
        <v>33</v>
      </c>
      <c r="H2152" s="105" t="s">
        <v>342</v>
      </c>
      <c r="I2152" s="105" t="s">
        <v>334</v>
      </c>
      <c r="J2152" s="493">
        <v>22</v>
      </c>
      <c r="K2152" s="493">
        <v>2</v>
      </c>
      <c r="L2152" s="105" t="s">
        <v>343</v>
      </c>
      <c r="M2152" s="105" t="s">
        <v>655</v>
      </c>
      <c r="N2152" s="105" t="s">
        <v>656</v>
      </c>
      <c r="O2152" s="105" t="s">
        <v>656</v>
      </c>
      <c r="P2152" s="105" t="s">
        <v>339</v>
      </c>
      <c r="Q2152" s="494">
        <v>0</v>
      </c>
      <c r="R2152" s="494">
        <v>0</v>
      </c>
      <c r="S2152" s="494">
        <v>18767</v>
      </c>
      <c r="T2152" s="494">
        <v>18767</v>
      </c>
      <c r="U2152" s="494">
        <v>5500</v>
      </c>
      <c r="V2152" s="493">
        <v>2024</v>
      </c>
      <c r="W2152" s="495"/>
      <c r="X2152" s="496">
        <f t="shared" si="139"/>
        <v>3.4121818181818182</v>
      </c>
      <c r="Y2152" s="497" t="str">
        <f t="shared" si="141"/>
        <v/>
      </c>
      <c r="Z2152" s="497" t="str">
        <f t="shared" si="141"/>
        <v/>
      </c>
    </row>
    <row r="2153" spans="1:26" s="82" customFormat="1" ht="32" x14ac:dyDescent="0.4">
      <c r="A2153" s="493">
        <v>64111</v>
      </c>
      <c r="B2153" s="105" t="s">
        <v>329</v>
      </c>
      <c r="C2153" s="493" t="s">
        <v>330</v>
      </c>
      <c r="D2153" s="105" t="s">
        <v>2538</v>
      </c>
      <c r="E2153" s="105" t="s">
        <v>2539</v>
      </c>
      <c r="F2153" s="493">
        <v>63740</v>
      </c>
      <c r="G2153" s="105" t="s">
        <v>38</v>
      </c>
      <c r="H2153" s="105" t="s">
        <v>342</v>
      </c>
      <c r="I2153" s="105" t="s">
        <v>334</v>
      </c>
      <c r="J2153" s="493">
        <v>22</v>
      </c>
      <c r="K2153" s="493">
        <v>2</v>
      </c>
      <c r="L2153" s="105" t="s">
        <v>343</v>
      </c>
      <c r="M2153" s="105" t="s">
        <v>655</v>
      </c>
      <c r="N2153" s="105" t="s">
        <v>656</v>
      </c>
      <c r="O2153" s="105" t="s">
        <v>656</v>
      </c>
      <c r="P2153" s="105" t="s">
        <v>339</v>
      </c>
      <c r="Q2153" s="494">
        <v>0</v>
      </c>
      <c r="R2153" s="494">
        <v>0</v>
      </c>
      <c r="S2153" s="494">
        <v>9461</v>
      </c>
      <c r="T2153" s="494">
        <v>9461</v>
      </c>
      <c r="U2153" s="494">
        <v>2773</v>
      </c>
      <c r="V2153" s="493">
        <v>2024</v>
      </c>
      <c r="W2153" s="495"/>
      <c r="X2153" s="496">
        <f t="shared" si="139"/>
        <v>3.4118283447529749</v>
      </c>
      <c r="Y2153" s="497" t="str">
        <f t="shared" si="141"/>
        <v/>
      </c>
      <c r="Z2153" s="497" t="str">
        <f t="shared" si="141"/>
        <v/>
      </c>
    </row>
    <row r="2154" spans="1:26" s="82" customFormat="1" x14ac:dyDescent="0.4">
      <c r="A2154" s="493">
        <v>64112</v>
      </c>
      <c r="B2154" s="105" t="s">
        <v>329</v>
      </c>
      <c r="C2154" s="493" t="s">
        <v>330</v>
      </c>
      <c r="D2154" s="105" t="s">
        <v>2540</v>
      </c>
      <c r="E2154" s="105" t="s">
        <v>2541</v>
      </c>
      <c r="F2154" s="493">
        <v>63741</v>
      </c>
      <c r="G2154" s="105" t="s">
        <v>33</v>
      </c>
      <c r="H2154" s="105" t="s">
        <v>342</v>
      </c>
      <c r="I2154" s="105" t="s">
        <v>334</v>
      </c>
      <c r="J2154" s="493">
        <v>22</v>
      </c>
      <c r="K2154" s="493">
        <v>2</v>
      </c>
      <c r="L2154" s="105" t="s">
        <v>343</v>
      </c>
      <c r="M2154" s="105" t="s">
        <v>655</v>
      </c>
      <c r="N2154" s="105" t="s">
        <v>656</v>
      </c>
      <c r="O2154" s="105" t="s">
        <v>656</v>
      </c>
      <c r="P2154" s="105" t="s">
        <v>339</v>
      </c>
      <c r="Q2154" s="494">
        <v>0</v>
      </c>
      <c r="R2154" s="494">
        <v>0</v>
      </c>
      <c r="S2154" s="494">
        <v>13638</v>
      </c>
      <c r="T2154" s="494">
        <v>13638</v>
      </c>
      <c r="U2154" s="494">
        <v>3997</v>
      </c>
      <c r="V2154" s="493">
        <v>2024</v>
      </c>
      <c r="W2154" s="495"/>
      <c r="X2154" s="496">
        <f t="shared" si="139"/>
        <v>3.4120590442832124</v>
      </c>
      <c r="Y2154" s="497" t="str">
        <f t="shared" si="141"/>
        <v/>
      </c>
      <c r="Z2154" s="497" t="str">
        <f t="shared" si="141"/>
        <v/>
      </c>
    </row>
    <row r="2155" spans="1:26" s="82" customFormat="1" ht="32" x14ac:dyDescent="0.4">
      <c r="A2155" s="493">
        <v>64113</v>
      </c>
      <c r="B2155" s="105" t="s">
        <v>329</v>
      </c>
      <c r="C2155" s="493" t="s">
        <v>330</v>
      </c>
      <c r="D2155" s="105" t="s">
        <v>2542</v>
      </c>
      <c r="E2155" s="105" t="s">
        <v>2543</v>
      </c>
      <c r="F2155" s="493">
        <v>63742</v>
      </c>
      <c r="G2155" s="105" t="s">
        <v>38</v>
      </c>
      <c r="H2155" s="105" t="s">
        <v>342</v>
      </c>
      <c r="I2155" s="105" t="s">
        <v>334</v>
      </c>
      <c r="J2155" s="493">
        <v>22</v>
      </c>
      <c r="K2155" s="493">
        <v>2</v>
      </c>
      <c r="L2155" s="105" t="s">
        <v>343</v>
      </c>
      <c r="M2155" s="105" t="s">
        <v>655</v>
      </c>
      <c r="N2155" s="105" t="s">
        <v>656</v>
      </c>
      <c r="O2155" s="105" t="s">
        <v>656</v>
      </c>
      <c r="P2155" s="105" t="s">
        <v>339</v>
      </c>
      <c r="Q2155" s="494">
        <v>0</v>
      </c>
      <c r="R2155" s="494">
        <v>0</v>
      </c>
      <c r="S2155" s="494">
        <v>28677</v>
      </c>
      <c r="T2155" s="494">
        <v>28677</v>
      </c>
      <c r="U2155" s="494">
        <v>8405</v>
      </c>
      <c r="V2155" s="493">
        <v>2024</v>
      </c>
      <c r="W2155" s="495"/>
      <c r="X2155" s="496">
        <f t="shared" si="139"/>
        <v>3.4118976799524092</v>
      </c>
      <c r="Y2155" s="497" t="str">
        <f t="shared" si="141"/>
        <v/>
      </c>
      <c r="Z2155" s="497" t="str">
        <f t="shared" si="141"/>
        <v/>
      </c>
    </row>
    <row r="2156" spans="1:26" s="82" customFormat="1" ht="32" x14ac:dyDescent="0.4">
      <c r="A2156" s="493">
        <v>64114</v>
      </c>
      <c r="B2156" s="105" t="s">
        <v>329</v>
      </c>
      <c r="C2156" s="493" t="s">
        <v>330</v>
      </c>
      <c r="D2156" s="105" t="s">
        <v>2544</v>
      </c>
      <c r="E2156" s="105" t="s">
        <v>2545</v>
      </c>
      <c r="F2156" s="493">
        <v>63743</v>
      </c>
      <c r="G2156" s="105" t="s">
        <v>38</v>
      </c>
      <c r="H2156" s="105" t="s">
        <v>342</v>
      </c>
      <c r="I2156" s="105" t="s">
        <v>334</v>
      </c>
      <c r="J2156" s="493">
        <v>22</v>
      </c>
      <c r="K2156" s="493">
        <v>2</v>
      </c>
      <c r="L2156" s="105" t="s">
        <v>343</v>
      </c>
      <c r="M2156" s="105" t="s">
        <v>655</v>
      </c>
      <c r="N2156" s="105" t="s">
        <v>656</v>
      </c>
      <c r="O2156" s="105" t="s">
        <v>656</v>
      </c>
      <c r="P2156" s="105" t="s">
        <v>339</v>
      </c>
      <c r="Q2156" s="494">
        <v>0</v>
      </c>
      <c r="R2156" s="494">
        <v>0</v>
      </c>
      <c r="S2156" s="494">
        <v>6565</v>
      </c>
      <c r="T2156" s="494">
        <v>6565</v>
      </c>
      <c r="U2156" s="494">
        <v>1924</v>
      </c>
      <c r="V2156" s="493">
        <v>2024</v>
      </c>
      <c r="W2156" s="495"/>
      <c r="X2156" s="496">
        <f t="shared" si="139"/>
        <v>3.4121621621621623</v>
      </c>
      <c r="Y2156" s="497" t="str">
        <f t="shared" si="141"/>
        <v/>
      </c>
      <c r="Z2156" s="497" t="str">
        <f t="shared" si="141"/>
        <v/>
      </c>
    </row>
    <row r="2157" spans="1:26" s="82" customFormat="1" x14ac:dyDescent="0.4">
      <c r="A2157" s="493">
        <v>64115</v>
      </c>
      <c r="B2157" s="105" t="s">
        <v>329</v>
      </c>
      <c r="C2157" s="493" t="s">
        <v>330</v>
      </c>
      <c r="D2157" s="105" t="s">
        <v>2546</v>
      </c>
      <c r="E2157" s="105" t="s">
        <v>2547</v>
      </c>
      <c r="F2157" s="493">
        <v>63744</v>
      </c>
      <c r="G2157" s="105" t="s">
        <v>33</v>
      </c>
      <c r="H2157" s="105" t="s">
        <v>342</v>
      </c>
      <c r="I2157" s="105" t="s">
        <v>334</v>
      </c>
      <c r="J2157" s="493">
        <v>22</v>
      </c>
      <c r="K2157" s="493">
        <v>2</v>
      </c>
      <c r="L2157" s="105" t="s">
        <v>343</v>
      </c>
      <c r="M2157" s="105" t="s">
        <v>655</v>
      </c>
      <c r="N2157" s="105" t="s">
        <v>656</v>
      </c>
      <c r="O2157" s="105" t="s">
        <v>656</v>
      </c>
      <c r="P2157" s="105" t="s">
        <v>339</v>
      </c>
      <c r="Q2157" s="494">
        <v>0</v>
      </c>
      <c r="R2157" s="494">
        <v>0</v>
      </c>
      <c r="S2157" s="494">
        <v>6491</v>
      </c>
      <c r="T2157" s="494">
        <v>6491</v>
      </c>
      <c r="U2157" s="494">
        <v>1902</v>
      </c>
      <c r="V2157" s="493">
        <v>2024</v>
      </c>
      <c r="W2157" s="495"/>
      <c r="X2157" s="496">
        <f t="shared" si="139"/>
        <v>3.4127234490010516</v>
      </c>
      <c r="Y2157" s="497" t="str">
        <f t="shared" si="141"/>
        <v/>
      </c>
      <c r="Z2157" s="497" t="str">
        <f t="shared" si="141"/>
        <v/>
      </c>
    </row>
    <row r="2158" spans="1:26" s="82" customFormat="1" ht="32" x14ac:dyDescent="0.4">
      <c r="A2158" s="493">
        <v>64116</v>
      </c>
      <c r="B2158" s="105" t="s">
        <v>329</v>
      </c>
      <c r="C2158" s="493" t="s">
        <v>330</v>
      </c>
      <c r="D2158" s="105" t="s">
        <v>2548</v>
      </c>
      <c r="E2158" s="105" t="s">
        <v>2549</v>
      </c>
      <c r="F2158" s="493">
        <v>63745</v>
      </c>
      <c r="G2158" s="105" t="s">
        <v>38</v>
      </c>
      <c r="H2158" s="105" t="s">
        <v>342</v>
      </c>
      <c r="I2158" s="105" t="s">
        <v>334</v>
      </c>
      <c r="J2158" s="493">
        <v>22</v>
      </c>
      <c r="K2158" s="493">
        <v>2</v>
      </c>
      <c r="L2158" s="105" t="s">
        <v>343</v>
      </c>
      <c r="M2158" s="105" t="s">
        <v>655</v>
      </c>
      <c r="N2158" s="105" t="s">
        <v>656</v>
      </c>
      <c r="O2158" s="105" t="s">
        <v>656</v>
      </c>
      <c r="P2158" s="105" t="s">
        <v>339</v>
      </c>
      <c r="Q2158" s="494">
        <v>0</v>
      </c>
      <c r="R2158" s="494">
        <v>0</v>
      </c>
      <c r="S2158" s="494">
        <v>12470</v>
      </c>
      <c r="T2158" s="494">
        <v>12470</v>
      </c>
      <c r="U2158" s="494">
        <v>3654</v>
      </c>
      <c r="V2158" s="493">
        <v>2024</v>
      </c>
      <c r="W2158" s="495"/>
      <c r="X2158" s="496">
        <f t="shared" si="139"/>
        <v>3.4126984126984126</v>
      </c>
      <c r="Y2158" s="497" t="str">
        <f t="shared" si="141"/>
        <v/>
      </c>
      <c r="Z2158" s="497" t="str">
        <f t="shared" si="141"/>
        <v/>
      </c>
    </row>
    <row r="2159" spans="1:26" s="82" customFormat="1" x14ac:dyDescent="0.4">
      <c r="A2159" s="493">
        <v>64120</v>
      </c>
      <c r="B2159" s="105" t="s">
        <v>329</v>
      </c>
      <c r="C2159" s="493" t="s">
        <v>330</v>
      </c>
      <c r="D2159" s="105" t="s">
        <v>2550</v>
      </c>
      <c r="E2159" s="105" t="s">
        <v>2551</v>
      </c>
      <c r="F2159" s="493">
        <v>63736</v>
      </c>
      <c r="G2159" s="105" t="s">
        <v>33</v>
      </c>
      <c r="H2159" s="105" t="s">
        <v>342</v>
      </c>
      <c r="I2159" s="105" t="s">
        <v>334</v>
      </c>
      <c r="J2159" s="493">
        <v>22</v>
      </c>
      <c r="K2159" s="493">
        <v>2</v>
      </c>
      <c r="L2159" s="105" t="s">
        <v>343</v>
      </c>
      <c r="M2159" s="105" t="s">
        <v>655</v>
      </c>
      <c r="N2159" s="105" t="s">
        <v>656</v>
      </c>
      <c r="O2159" s="105" t="s">
        <v>656</v>
      </c>
      <c r="P2159" s="105" t="s">
        <v>339</v>
      </c>
      <c r="Q2159" s="494">
        <v>0</v>
      </c>
      <c r="R2159" s="494">
        <v>0</v>
      </c>
      <c r="S2159" s="494">
        <v>8892</v>
      </c>
      <c r="T2159" s="494">
        <v>8892</v>
      </c>
      <c r="U2159" s="494">
        <v>2606</v>
      </c>
      <c r="V2159" s="493">
        <v>2024</v>
      </c>
      <c r="W2159" s="495"/>
      <c r="X2159" s="496">
        <f t="shared" si="139"/>
        <v>3.4121258633921721</v>
      </c>
      <c r="Y2159" s="497" t="str">
        <f t="shared" si="141"/>
        <v/>
      </c>
      <c r="Z2159" s="497" t="str">
        <f t="shared" si="141"/>
        <v/>
      </c>
    </row>
    <row r="2160" spans="1:26" s="82" customFormat="1" x14ac:dyDescent="0.4">
      <c r="A2160" s="493">
        <v>64125</v>
      </c>
      <c r="B2160" s="105" t="s">
        <v>329</v>
      </c>
      <c r="C2160" s="493" t="s">
        <v>330</v>
      </c>
      <c r="D2160" s="105" t="s">
        <v>2552</v>
      </c>
      <c r="E2160" s="105" t="s">
        <v>2135</v>
      </c>
      <c r="F2160" s="493">
        <v>63244</v>
      </c>
      <c r="G2160" s="105" t="s">
        <v>52</v>
      </c>
      <c r="H2160" s="105" t="s">
        <v>333</v>
      </c>
      <c r="I2160" s="105" t="s">
        <v>334</v>
      </c>
      <c r="J2160" s="493">
        <v>22</v>
      </c>
      <c r="K2160" s="493">
        <v>2</v>
      </c>
      <c r="L2160" s="105" t="s">
        <v>343</v>
      </c>
      <c r="M2160" s="105" t="s">
        <v>655</v>
      </c>
      <c r="N2160" s="105" t="s">
        <v>656</v>
      </c>
      <c r="O2160" s="105" t="s">
        <v>656</v>
      </c>
      <c r="P2160" s="105" t="s">
        <v>339</v>
      </c>
      <c r="Q2160" s="494">
        <v>0</v>
      </c>
      <c r="R2160" s="494">
        <v>0</v>
      </c>
      <c r="S2160" s="494">
        <v>26076</v>
      </c>
      <c r="T2160" s="494">
        <v>26076</v>
      </c>
      <c r="U2160" s="494">
        <v>7644</v>
      </c>
      <c r="V2160" s="493">
        <v>2024</v>
      </c>
      <c r="W2160" s="495"/>
      <c r="X2160" s="496">
        <f t="shared" si="139"/>
        <v>3.411302982731554</v>
      </c>
      <c r="Y2160" s="497" t="str">
        <f t="shared" si="141"/>
        <v/>
      </c>
      <c r="Z2160" s="497" t="str">
        <f t="shared" si="141"/>
        <v/>
      </c>
    </row>
    <row r="2161" spans="1:26" s="82" customFormat="1" x14ac:dyDescent="0.4">
      <c r="A2161" s="493">
        <v>64126</v>
      </c>
      <c r="B2161" s="105" t="s">
        <v>329</v>
      </c>
      <c r="C2161" s="493" t="s">
        <v>330</v>
      </c>
      <c r="D2161" s="105" t="s">
        <v>2553</v>
      </c>
      <c r="E2161" s="105" t="s">
        <v>2135</v>
      </c>
      <c r="F2161" s="493">
        <v>63244</v>
      </c>
      <c r="G2161" s="105" t="s">
        <v>52</v>
      </c>
      <c r="H2161" s="105" t="s">
        <v>333</v>
      </c>
      <c r="I2161" s="105" t="s">
        <v>334</v>
      </c>
      <c r="J2161" s="493">
        <v>22</v>
      </c>
      <c r="K2161" s="493">
        <v>2</v>
      </c>
      <c r="L2161" s="105" t="s">
        <v>343</v>
      </c>
      <c r="M2161" s="105" t="s">
        <v>655</v>
      </c>
      <c r="N2161" s="105" t="s">
        <v>656</v>
      </c>
      <c r="O2161" s="105" t="s">
        <v>656</v>
      </c>
      <c r="P2161" s="105" t="s">
        <v>339</v>
      </c>
      <c r="Q2161" s="494">
        <v>0</v>
      </c>
      <c r="R2161" s="494">
        <v>0</v>
      </c>
      <c r="S2161" s="494">
        <v>10968</v>
      </c>
      <c r="T2161" s="494">
        <v>10968</v>
      </c>
      <c r="U2161" s="494">
        <v>3216</v>
      </c>
      <c r="V2161" s="493">
        <v>2024</v>
      </c>
      <c r="W2161" s="495"/>
      <c r="X2161" s="496">
        <f t="shared" si="139"/>
        <v>3.41044776119403</v>
      </c>
      <c r="Y2161" s="497" t="str">
        <f t="shared" si="141"/>
        <v/>
      </c>
      <c r="Z2161" s="497" t="str">
        <f t="shared" si="141"/>
        <v/>
      </c>
    </row>
    <row r="2162" spans="1:26" s="82" customFormat="1" x14ac:dyDescent="0.4">
      <c r="A2162" s="493">
        <v>64127</v>
      </c>
      <c r="B2162" s="105" t="s">
        <v>329</v>
      </c>
      <c r="C2162" s="493" t="s">
        <v>330</v>
      </c>
      <c r="D2162" s="105" t="s">
        <v>2554</v>
      </c>
      <c r="E2162" s="105" t="s">
        <v>2135</v>
      </c>
      <c r="F2162" s="493">
        <v>63244</v>
      </c>
      <c r="G2162" s="105" t="s">
        <v>52</v>
      </c>
      <c r="H2162" s="105" t="s">
        <v>333</v>
      </c>
      <c r="I2162" s="105" t="s">
        <v>334</v>
      </c>
      <c r="J2162" s="493">
        <v>22</v>
      </c>
      <c r="K2162" s="493">
        <v>2</v>
      </c>
      <c r="L2162" s="105" t="s">
        <v>343</v>
      </c>
      <c r="M2162" s="105" t="s">
        <v>655</v>
      </c>
      <c r="N2162" s="105" t="s">
        <v>656</v>
      </c>
      <c r="O2162" s="105" t="s">
        <v>656</v>
      </c>
      <c r="P2162" s="105" t="s">
        <v>339</v>
      </c>
      <c r="Q2162" s="494">
        <v>0</v>
      </c>
      <c r="R2162" s="494">
        <v>0</v>
      </c>
      <c r="S2162" s="494">
        <v>20928</v>
      </c>
      <c r="T2162" s="494">
        <v>20928</v>
      </c>
      <c r="U2162" s="494">
        <v>6132</v>
      </c>
      <c r="V2162" s="493">
        <v>2024</v>
      </c>
      <c r="W2162" s="495"/>
      <c r="X2162" s="496">
        <f t="shared" si="139"/>
        <v>3.4129158512720155</v>
      </c>
      <c r="Y2162" s="497" t="str">
        <f t="shared" si="141"/>
        <v/>
      </c>
      <c r="Z2162" s="497" t="str">
        <f t="shared" si="141"/>
        <v/>
      </c>
    </row>
    <row r="2163" spans="1:26" s="82" customFormat="1" ht="32" x14ac:dyDescent="0.4">
      <c r="A2163" s="493">
        <v>64128</v>
      </c>
      <c r="B2163" s="105" t="s">
        <v>329</v>
      </c>
      <c r="C2163" s="493" t="s">
        <v>330</v>
      </c>
      <c r="D2163" s="105" t="s">
        <v>2555</v>
      </c>
      <c r="E2163" s="105" t="s">
        <v>2556</v>
      </c>
      <c r="F2163" s="493">
        <v>64059</v>
      </c>
      <c r="G2163" s="105" t="s">
        <v>33</v>
      </c>
      <c r="H2163" s="105" t="s">
        <v>342</v>
      </c>
      <c r="I2163" s="105" t="s">
        <v>334</v>
      </c>
      <c r="J2163" s="493">
        <v>22</v>
      </c>
      <c r="K2163" s="493">
        <v>2</v>
      </c>
      <c r="L2163" s="105" t="s">
        <v>343</v>
      </c>
      <c r="M2163" s="105" t="s">
        <v>403</v>
      </c>
      <c r="N2163" s="105" t="s">
        <v>404</v>
      </c>
      <c r="O2163" s="105" t="s">
        <v>232</v>
      </c>
      <c r="P2163" s="105" t="s">
        <v>346</v>
      </c>
      <c r="Q2163" s="494">
        <v>61</v>
      </c>
      <c r="R2163" s="494">
        <v>61</v>
      </c>
      <c r="S2163" s="494">
        <v>0</v>
      </c>
      <c r="T2163" s="494">
        <v>0</v>
      </c>
      <c r="U2163" s="494">
        <v>-41</v>
      </c>
      <c r="V2163" s="493">
        <v>2024</v>
      </c>
      <c r="W2163" s="495"/>
      <c r="X2163" s="496" t="str">
        <f t="shared" si="139"/>
        <v/>
      </c>
      <c r="Y2163" s="497" t="str">
        <f t="shared" si="141"/>
        <v/>
      </c>
      <c r="Z2163" s="497" t="str">
        <f t="shared" si="141"/>
        <v/>
      </c>
    </row>
    <row r="2164" spans="1:26" s="82" customFormat="1" ht="32" x14ac:dyDescent="0.4">
      <c r="A2164" s="493">
        <v>64128</v>
      </c>
      <c r="B2164" s="105" t="s">
        <v>329</v>
      </c>
      <c r="C2164" s="493" t="s">
        <v>330</v>
      </c>
      <c r="D2164" s="105" t="s">
        <v>2555</v>
      </c>
      <c r="E2164" s="105" t="s">
        <v>2556</v>
      </c>
      <c r="F2164" s="493">
        <v>64059</v>
      </c>
      <c r="G2164" s="105" t="s">
        <v>33</v>
      </c>
      <c r="H2164" s="105" t="s">
        <v>342</v>
      </c>
      <c r="I2164" s="105" t="s">
        <v>334</v>
      </c>
      <c r="J2164" s="493">
        <v>22</v>
      </c>
      <c r="K2164" s="493">
        <v>2</v>
      </c>
      <c r="L2164" s="105" t="s">
        <v>343</v>
      </c>
      <c r="M2164" s="105" t="s">
        <v>655</v>
      </c>
      <c r="N2164" s="105" t="s">
        <v>656</v>
      </c>
      <c r="O2164" s="105" t="s">
        <v>656</v>
      </c>
      <c r="P2164" s="105" t="s">
        <v>339</v>
      </c>
      <c r="Q2164" s="494">
        <v>0</v>
      </c>
      <c r="R2164" s="494">
        <v>0</v>
      </c>
      <c r="S2164" s="494">
        <v>16958</v>
      </c>
      <c r="T2164" s="494">
        <v>16958</v>
      </c>
      <c r="U2164" s="494">
        <v>4970</v>
      </c>
      <c r="V2164" s="493">
        <v>2024</v>
      </c>
      <c r="W2164" s="495"/>
      <c r="X2164" s="496">
        <f t="shared" si="139"/>
        <v>3.4120724346076461</v>
      </c>
      <c r="Y2164" s="497" t="str">
        <f t="shared" si="141"/>
        <v/>
      </c>
      <c r="Z2164" s="497" t="str">
        <f t="shared" si="141"/>
        <v/>
      </c>
    </row>
    <row r="2165" spans="1:26" s="82" customFormat="1" x14ac:dyDescent="0.4">
      <c r="A2165" s="493">
        <v>64137</v>
      </c>
      <c r="B2165" s="105" t="s">
        <v>329</v>
      </c>
      <c r="C2165" s="493" t="s">
        <v>330</v>
      </c>
      <c r="D2165" s="105" t="s">
        <v>2557</v>
      </c>
      <c r="E2165" s="105" t="s">
        <v>1383</v>
      </c>
      <c r="F2165" s="493">
        <v>61944</v>
      </c>
      <c r="G2165" s="105" t="s">
        <v>33</v>
      </c>
      <c r="H2165" s="105" t="s">
        <v>342</v>
      </c>
      <c r="I2165" s="105" t="s">
        <v>334</v>
      </c>
      <c r="J2165" s="493">
        <v>22</v>
      </c>
      <c r="K2165" s="493">
        <v>2</v>
      </c>
      <c r="L2165" s="105" t="s">
        <v>343</v>
      </c>
      <c r="M2165" s="105" t="s">
        <v>655</v>
      </c>
      <c r="N2165" s="105" t="s">
        <v>656</v>
      </c>
      <c r="O2165" s="105" t="s">
        <v>656</v>
      </c>
      <c r="P2165" s="105" t="s">
        <v>339</v>
      </c>
      <c r="Q2165" s="494">
        <v>0</v>
      </c>
      <c r="R2165" s="494">
        <v>0</v>
      </c>
      <c r="S2165" s="494">
        <v>8053</v>
      </c>
      <c r="T2165" s="494">
        <v>8053</v>
      </c>
      <c r="U2165" s="494">
        <v>2360</v>
      </c>
      <c r="V2165" s="493">
        <v>2024</v>
      </c>
      <c r="W2165" s="495"/>
      <c r="X2165" s="496">
        <f t="shared" si="139"/>
        <v>3.4122881355932204</v>
      </c>
      <c r="Y2165" s="497" t="str">
        <f t="shared" si="141"/>
        <v/>
      </c>
      <c r="Z2165" s="497" t="str">
        <f t="shared" si="141"/>
        <v/>
      </c>
    </row>
    <row r="2166" spans="1:26" s="82" customFormat="1" x14ac:dyDescent="0.4">
      <c r="A2166" s="493">
        <v>64140</v>
      </c>
      <c r="B2166" s="105" t="s">
        <v>329</v>
      </c>
      <c r="C2166" s="493" t="s">
        <v>330</v>
      </c>
      <c r="D2166" s="105" t="s">
        <v>2558</v>
      </c>
      <c r="E2166" s="105" t="s">
        <v>1448</v>
      </c>
      <c r="F2166" s="493">
        <v>61012</v>
      </c>
      <c r="G2166" s="105" t="s">
        <v>33</v>
      </c>
      <c r="H2166" s="105" t="s">
        <v>342</v>
      </c>
      <c r="I2166" s="105" t="s">
        <v>334</v>
      </c>
      <c r="J2166" s="493">
        <v>22</v>
      </c>
      <c r="K2166" s="493">
        <v>2</v>
      </c>
      <c r="L2166" s="105" t="s">
        <v>343</v>
      </c>
      <c r="M2166" s="105" t="s">
        <v>403</v>
      </c>
      <c r="N2166" s="105" t="s">
        <v>404</v>
      </c>
      <c r="O2166" s="105" t="s">
        <v>232</v>
      </c>
      <c r="P2166" s="105" t="s">
        <v>346</v>
      </c>
      <c r="Q2166" s="494">
        <v>201</v>
      </c>
      <c r="R2166" s="494">
        <v>201</v>
      </c>
      <c r="S2166" s="494">
        <v>0</v>
      </c>
      <c r="T2166" s="494">
        <v>0</v>
      </c>
      <c r="U2166" s="494">
        <v>-34</v>
      </c>
      <c r="V2166" s="493">
        <v>2024</v>
      </c>
      <c r="W2166" s="495"/>
      <c r="X2166" s="496" t="str">
        <f t="shared" si="139"/>
        <v/>
      </c>
      <c r="Y2166" s="497" t="str">
        <f t="shared" si="141"/>
        <v/>
      </c>
      <c r="Z2166" s="497" t="str">
        <f t="shared" si="141"/>
        <v/>
      </c>
    </row>
    <row r="2167" spans="1:26" s="82" customFormat="1" x14ac:dyDescent="0.4">
      <c r="A2167" s="493">
        <v>64140</v>
      </c>
      <c r="B2167" s="105" t="s">
        <v>329</v>
      </c>
      <c r="C2167" s="493" t="s">
        <v>330</v>
      </c>
      <c r="D2167" s="105" t="s">
        <v>2558</v>
      </c>
      <c r="E2167" s="105" t="s">
        <v>1448</v>
      </c>
      <c r="F2167" s="493">
        <v>61012</v>
      </c>
      <c r="G2167" s="105" t="s">
        <v>33</v>
      </c>
      <c r="H2167" s="105" t="s">
        <v>342</v>
      </c>
      <c r="I2167" s="105" t="s">
        <v>334</v>
      </c>
      <c r="J2167" s="493">
        <v>22</v>
      </c>
      <c r="K2167" s="493">
        <v>2</v>
      </c>
      <c r="L2167" s="105" t="s">
        <v>343</v>
      </c>
      <c r="M2167" s="105" t="s">
        <v>655</v>
      </c>
      <c r="N2167" s="105" t="s">
        <v>656</v>
      </c>
      <c r="O2167" s="105" t="s">
        <v>656</v>
      </c>
      <c r="P2167" s="105" t="s">
        <v>339</v>
      </c>
      <c r="Q2167" s="494">
        <v>0</v>
      </c>
      <c r="R2167" s="494">
        <v>0</v>
      </c>
      <c r="S2167" s="494">
        <v>6552</v>
      </c>
      <c r="T2167" s="494">
        <v>6552</v>
      </c>
      <c r="U2167" s="494">
        <v>1920</v>
      </c>
      <c r="V2167" s="493">
        <v>2024</v>
      </c>
      <c r="W2167" s="495"/>
      <c r="X2167" s="496">
        <f t="shared" si="139"/>
        <v>3.4125000000000001</v>
      </c>
      <c r="Y2167" s="497" t="str">
        <f t="shared" si="141"/>
        <v/>
      </c>
      <c r="Z2167" s="497" t="str">
        <f t="shared" si="141"/>
        <v/>
      </c>
    </row>
    <row r="2168" spans="1:26" s="82" customFormat="1" ht="32" x14ac:dyDescent="0.4">
      <c r="A2168" s="493">
        <v>64143</v>
      </c>
      <c r="B2168" s="105" t="s">
        <v>329</v>
      </c>
      <c r="C2168" s="493" t="s">
        <v>330</v>
      </c>
      <c r="D2168" s="105" t="s">
        <v>2559</v>
      </c>
      <c r="E2168" s="105" t="s">
        <v>1773</v>
      </c>
      <c r="F2168" s="493">
        <v>60571</v>
      </c>
      <c r="G2168" s="105" t="s">
        <v>52</v>
      </c>
      <c r="H2168" s="105" t="s">
        <v>333</v>
      </c>
      <c r="I2168" s="105" t="s">
        <v>334</v>
      </c>
      <c r="J2168" s="493">
        <v>22</v>
      </c>
      <c r="K2168" s="493">
        <v>2</v>
      </c>
      <c r="L2168" s="105" t="s">
        <v>343</v>
      </c>
      <c r="M2168" s="105" t="s">
        <v>990</v>
      </c>
      <c r="N2168" s="105" t="s">
        <v>228</v>
      </c>
      <c r="O2168" s="105" t="s">
        <v>228</v>
      </c>
      <c r="P2168" s="105" t="s">
        <v>356</v>
      </c>
      <c r="Q2168" s="494">
        <v>105855</v>
      </c>
      <c r="R2168" s="494">
        <v>105855</v>
      </c>
      <c r="S2168" s="494">
        <v>109243</v>
      </c>
      <c r="T2168" s="494">
        <v>109243</v>
      </c>
      <c r="U2168" s="494">
        <v>15597</v>
      </c>
      <c r="V2168" s="493">
        <v>2024</v>
      </c>
      <c r="W2168" s="495"/>
      <c r="X2168" s="496">
        <f t="shared" si="139"/>
        <v>7.0041033532089507</v>
      </c>
      <c r="Y2168" s="497" t="str">
        <f t="shared" ref="Y2168:Z2187" si="142">IF(AND($M2168=$Y$2,$N2168=$Y$3,NOT($Q2168=$R2168),NOT($U2168=0)),IF($K2168=5,$S2168/($U2168+(8/5)*$U2168),IF($K2168=7,$S2168/($U2168+(29/25)*$U2168),"")),"")</f>
        <v/>
      </c>
      <c r="Z2168" s="497" t="str">
        <f t="shared" si="142"/>
        <v/>
      </c>
    </row>
    <row r="2169" spans="1:26" s="82" customFormat="1" x14ac:dyDescent="0.4">
      <c r="A2169" s="493">
        <v>64147</v>
      </c>
      <c r="B2169" s="105" t="s">
        <v>329</v>
      </c>
      <c r="C2169" s="493" t="s">
        <v>330</v>
      </c>
      <c r="D2169" s="105" t="s">
        <v>2560</v>
      </c>
      <c r="E2169" s="105" t="s">
        <v>1448</v>
      </c>
      <c r="F2169" s="493">
        <v>61012</v>
      </c>
      <c r="G2169" s="105" t="s">
        <v>33</v>
      </c>
      <c r="H2169" s="105" t="s">
        <v>342</v>
      </c>
      <c r="I2169" s="105" t="s">
        <v>334</v>
      </c>
      <c r="J2169" s="493">
        <v>22</v>
      </c>
      <c r="K2169" s="493">
        <v>2</v>
      </c>
      <c r="L2169" s="105" t="s">
        <v>343</v>
      </c>
      <c r="M2169" s="105" t="s">
        <v>403</v>
      </c>
      <c r="N2169" s="105" t="s">
        <v>404</v>
      </c>
      <c r="O2169" s="105" t="s">
        <v>232</v>
      </c>
      <c r="P2169" s="105" t="s">
        <v>346</v>
      </c>
      <c r="Q2169" s="494">
        <v>876</v>
      </c>
      <c r="R2169" s="494">
        <v>876</v>
      </c>
      <c r="S2169" s="494">
        <v>0</v>
      </c>
      <c r="T2169" s="494">
        <v>0</v>
      </c>
      <c r="U2169" s="494">
        <v>-87</v>
      </c>
      <c r="V2169" s="493">
        <v>2024</v>
      </c>
      <c r="W2169" s="495"/>
      <c r="X2169" s="496" t="str">
        <f t="shared" si="139"/>
        <v/>
      </c>
      <c r="Y2169" s="497" t="str">
        <f t="shared" si="142"/>
        <v/>
      </c>
      <c r="Z2169" s="497" t="str">
        <f t="shared" si="142"/>
        <v/>
      </c>
    </row>
    <row r="2170" spans="1:26" s="82" customFormat="1" x14ac:dyDescent="0.4">
      <c r="A2170" s="493">
        <v>64147</v>
      </c>
      <c r="B2170" s="105" t="s">
        <v>329</v>
      </c>
      <c r="C2170" s="493" t="s">
        <v>330</v>
      </c>
      <c r="D2170" s="105" t="s">
        <v>2560</v>
      </c>
      <c r="E2170" s="105" t="s">
        <v>1448</v>
      </c>
      <c r="F2170" s="493">
        <v>61012</v>
      </c>
      <c r="G2170" s="105" t="s">
        <v>33</v>
      </c>
      <c r="H2170" s="105" t="s">
        <v>342</v>
      </c>
      <c r="I2170" s="105" t="s">
        <v>334</v>
      </c>
      <c r="J2170" s="493">
        <v>22</v>
      </c>
      <c r="K2170" s="493">
        <v>2</v>
      </c>
      <c r="L2170" s="105" t="s">
        <v>343</v>
      </c>
      <c r="M2170" s="105" t="s">
        <v>655</v>
      </c>
      <c r="N2170" s="105" t="s">
        <v>656</v>
      </c>
      <c r="O2170" s="105" t="s">
        <v>656</v>
      </c>
      <c r="P2170" s="105" t="s">
        <v>339</v>
      </c>
      <c r="Q2170" s="494">
        <v>0</v>
      </c>
      <c r="R2170" s="494">
        <v>0</v>
      </c>
      <c r="S2170" s="494">
        <v>23528</v>
      </c>
      <c r="T2170" s="494">
        <v>23528</v>
      </c>
      <c r="U2170" s="494">
        <v>6896</v>
      </c>
      <c r="V2170" s="493">
        <v>2024</v>
      </c>
      <c r="W2170" s="495"/>
      <c r="X2170" s="496">
        <f t="shared" si="139"/>
        <v>3.4118329466357307</v>
      </c>
      <c r="Y2170" s="497" t="str">
        <f t="shared" si="142"/>
        <v/>
      </c>
      <c r="Z2170" s="497" t="str">
        <f t="shared" si="142"/>
        <v/>
      </c>
    </row>
    <row r="2171" spans="1:26" s="82" customFormat="1" ht="32" x14ac:dyDescent="0.4">
      <c r="A2171" s="493">
        <v>64160</v>
      </c>
      <c r="B2171" s="105" t="s">
        <v>329</v>
      </c>
      <c r="C2171" s="493" t="s">
        <v>330</v>
      </c>
      <c r="D2171" s="105" t="s">
        <v>2561</v>
      </c>
      <c r="E2171" s="105" t="s">
        <v>2562</v>
      </c>
      <c r="F2171" s="493">
        <v>63781</v>
      </c>
      <c r="G2171" s="105" t="s">
        <v>37</v>
      </c>
      <c r="H2171" s="105" t="s">
        <v>342</v>
      </c>
      <c r="I2171" s="105" t="s">
        <v>334</v>
      </c>
      <c r="J2171" s="493">
        <v>22</v>
      </c>
      <c r="K2171" s="493">
        <v>2</v>
      </c>
      <c r="L2171" s="105" t="s">
        <v>343</v>
      </c>
      <c r="M2171" s="105" t="s">
        <v>655</v>
      </c>
      <c r="N2171" s="105" t="s">
        <v>656</v>
      </c>
      <c r="O2171" s="105" t="s">
        <v>656</v>
      </c>
      <c r="P2171" s="105" t="s">
        <v>339</v>
      </c>
      <c r="Q2171" s="494">
        <v>0</v>
      </c>
      <c r="R2171" s="494">
        <v>0</v>
      </c>
      <c r="S2171" s="494">
        <v>45192</v>
      </c>
      <c r="T2171" s="494">
        <v>45192</v>
      </c>
      <c r="U2171" s="494">
        <v>13245</v>
      </c>
      <c r="V2171" s="493">
        <v>2024</v>
      </c>
      <c r="W2171" s="495"/>
      <c r="X2171" s="496">
        <f t="shared" si="139"/>
        <v>3.4120045300113251</v>
      </c>
      <c r="Y2171" s="497" t="str">
        <f t="shared" si="142"/>
        <v/>
      </c>
      <c r="Z2171" s="497" t="str">
        <f t="shared" si="142"/>
        <v/>
      </c>
    </row>
    <row r="2172" spans="1:26" s="82" customFormat="1" ht="32" x14ac:dyDescent="0.4">
      <c r="A2172" s="493">
        <v>64162</v>
      </c>
      <c r="B2172" s="105" t="s">
        <v>329</v>
      </c>
      <c r="C2172" s="493" t="s">
        <v>330</v>
      </c>
      <c r="D2172" s="105" t="s">
        <v>2563</v>
      </c>
      <c r="E2172" s="105" t="s">
        <v>2564</v>
      </c>
      <c r="F2172" s="493">
        <v>63706</v>
      </c>
      <c r="G2172" s="105" t="s">
        <v>33</v>
      </c>
      <c r="H2172" s="105" t="s">
        <v>342</v>
      </c>
      <c r="I2172" s="105" t="s">
        <v>334</v>
      </c>
      <c r="J2172" s="493">
        <v>22</v>
      </c>
      <c r="K2172" s="493">
        <v>2</v>
      </c>
      <c r="L2172" s="105" t="s">
        <v>343</v>
      </c>
      <c r="M2172" s="105" t="s">
        <v>655</v>
      </c>
      <c r="N2172" s="105" t="s">
        <v>656</v>
      </c>
      <c r="O2172" s="105" t="s">
        <v>656</v>
      </c>
      <c r="P2172" s="105" t="s">
        <v>339</v>
      </c>
      <c r="Q2172" s="494">
        <v>0</v>
      </c>
      <c r="R2172" s="494">
        <v>0</v>
      </c>
      <c r="S2172" s="494">
        <v>9120</v>
      </c>
      <c r="T2172" s="494">
        <v>9120</v>
      </c>
      <c r="U2172" s="494">
        <v>2673</v>
      </c>
      <c r="V2172" s="493">
        <v>2024</v>
      </c>
      <c r="W2172" s="495"/>
      <c r="X2172" s="496">
        <f t="shared" si="139"/>
        <v>3.4118967452300786</v>
      </c>
      <c r="Y2172" s="497" t="str">
        <f t="shared" si="142"/>
        <v/>
      </c>
      <c r="Z2172" s="497" t="str">
        <f t="shared" si="142"/>
        <v/>
      </c>
    </row>
    <row r="2173" spans="1:26" s="82" customFormat="1" x14ac:dyDescent="0.4">
      <c r="A2173" s="493">
        <v>64170</v>
      </c>
      <c r="B2173" s="105" t="s">
        <v>329</v>
      </c>
      <c r="C2173" s="493" t="s">
        <v>330</v>
      </c>
      <c r="D2173" s="105" t="s">
        <v>2565</v>
      </c>
      <c r="E2173" s="105" t="s">
        <v>1448</v>
      </c>
      <c r="F2173" s="493">
        <v>61012</v>
      </c>
      <c r="G2173" s="105" t="s">
        <v>33</v>
      </c>
      <c r="H2173" s="105" t="s">
        <v>342</v>
      </c>
      <c r="I2173" s="105" t="s">
        <v>334</v>
      </c>
      <c r="J2173" s="493">
        <v>22</v>
      </c>
      <c r="K2173" s="493">
        <v>2</v>
      </c>
      <c r="L2173" s="105" t="s">
        <v>343</v>
      </c>
      <c r="M2173" s="105" t="s">
        <v>403</v>
      </c>
      <c r="N2173" s="105" t="s">
        <v>404</v>
      </c>
      <c r="O2173" s="105" t="s">
        <v>232</v>
      </c>
      <c r="P2173" s="105" t="s">
        <v>346</v>
      </c>
      <c r="Q2173" s="494">
        <v>222</v>
      </c>
      <c r="R2173" s="494">
        <v>222</v>
      </c>
      <c r="S2173" s="494">
        <v>0</v>
      </c>
      <c r="T2173" s="494">
        <v>0</v>
      </c>
      <c r="U2173" s="494">
        <v>-23</v>
      </c>
      <c r="V2173" s="493">
        <v>2024</v>
      </c>
      <c r="W2173" s="495"/>
      <c r="X2173" s="496" t="str">
        <f t="shared" si="139"/>
        <v/>
      </c>
      <c r="Y2173" s="497" t="str">
        <f t="shared" si="142"/>
        <v/>
      </c>
      <c r="Z2173" s="497" t="str">
        <f t="shared" si="142"/>
        <v/>
      </c>
    </row>
    <row r="2174" spans="1:26" s="82" customFormat="1" x14ac:dyDescent="0.4">
      <c r="A2174" s="493">
        <v>64170</v>
      </c>
      <c r="B2174" s="105" t="s">
        <v>329</v>
      </c>
      <c r="C2174" s="493" t="s">
        <v>330</v>
      </c>
      <c r="D2174" s="105" t="s">
        <v>2565</v>
      </c>
      <c r="E2174" s="105" t="s">
        <v>1448</v>
      </c>
      <c r="F2174" s="493">
        <v>61012</v>
      </c>
      <c r="G2174" s="105" t="s">
        <v>33</v>
      </c>
      <c r="H2174" s="105" t="s">
        <v>342</v>
      </c>
      <c r="I2174" s="105" t="s">
        <v>334</v>
      </c>
      <c r="J2174" s="493">
        <v>22</v>
      </c>
      <c r="K2174" s="493">
        <v>2</v>
      </c>
      <c r="L2174" s="105" t="s">
        <v>343</v>
      </c>
      <c r="M2174" s="105" t="s">
        <v>655</v>
      </c>
      <c r="N2174" s="105" t="s">
        <v>656</v>
      </c>
      <c r="O2174" s="105" t="s">
        <v>656</v>
      </c>
      <c r="P2174" s="105" t="s">
        <v>339</v>
      </c>
      <c r="Q2174" s="494">
        <v>0</v>
      </c>
      <c r="R2174" s="494">
        <v>0</v>
      </c>
      <c r="S2174" s="494">
        <v>6547</v>
      </c>
      <c r="T2174" s="494">
        <v>6547</v>
      </c>
      <c r="U2174" s="494">
        <v>1919</v>
      </c>
      <c r="V2174" s="493">
        <v>2024</v>
      </c>
      <c r="W2174" s="495"/>
      <c r="X2174" s="496">
        <f t="shared" si="139"/>
        <v>3.4116727462219907</v>
      </c>
      <c r="Y2174" s="497" t="str">
        <f t="shared" si="142"/>
        <v/>
      </c>
      <c r="Z2174" s="497" t="str">
        <f t="shared" si="142"/>
        <v/>
      </c>
    </row>
    <row r="2175" spans="1:26" s="82" customFormat="1" x14ac:dyDescent="0.4">
      <c r="A2175" s="493">
        <v>64182</v>
      </c>
      <c r="B2175" s="105" t="s">
        <v>329</v>
      </c>
      <c r="C2175" s="493" t="s">
        <v>330</v>
      </c>
      <c r="D2175" s="105" t="s">
        <v>2566</v>
      </c>
      <c r="E2175" s="105" t="s">
        <v>1448</v>
      </c>
      <c r="F2175" s="493">
        <v>61012</v>
      </c>
      <c r="G2175" s="105" t="s">
        <v>33</v>
      </c>
      <c r="H2175" s="105" t="s">
        <v>342</v>
      </c>
      <c r="I2175" s="105" t="s">
        <v>334</v>
      </c>
      <c r="J2175" s="493">
        <v>22</v>
      </c>
      <c r="K2175" s="493">
        <v>2</v>
      </c>
      <c r="L2175" s="105" t="s">
        <v>343</v>
      </c>
      <c r="M2175" s="105" t="s">
        <v>403</v>
      </c>
      <c r="N2175" s="105" t="s">
        <v>404</v>
      </c>
      <c r="O2175" s="105" t="s">
        <v>232</v>
      </c>
      <c r="P2175" s="105" t="s">
        <v>346</v>
      </c>
      <c r="Q2175" s="494">
        <v>874</v>
      </c>
      <c r="R2175" s="494">
        <v>874</v>
      </c>
      <c r="S2175" s="494">
        <v>0</v>
      </c>
      <c r="T2175" s="494">
        <v>0</v>
      </c>
      <c r="U2175" s="494">
        <v>-24</v>
      </c>
      <c r="V2175" s="493">
        <v>2024</v>
      </c>
      <c r="W2175" s="495"/>
      <c r="X2175" s="496" t="str">
        <f t="shared" si="139"/>
        <v/>
      </c>
      <c r="Y2175" s="497" t="str">
        <f t="shared" si="142"/>
        <v/>
      </c>
      <c r="Z2175" s="497" t="str">
        <f t="shared" si="142"/>
        <v/>
      </c>
    </row>
    <row r="2176" spans="1:26" s="82" customFormat="1" x14ac:dyDescent="0.4">
      <c r="A2176" s="493">
        <v>64182</v>
      </c>
      <c r="B2176" s="105" t="s">
        <v>329</v>
      </c>
      <c r="C2176" s="493" t="s">
        <v>330</v>
      </c>
      <c r="D2176" s="105" t="s">
        <v>2566</v>
      </c>
      <c r="E2176" s="105" t="s">
        <v>1448</v>
      </c>
      <c r="F2176" s="493">
        <v>61012</v>
      </c>
      <c r="G2176" s="105" t="s">
        <v>33</v>
      </c>
      <c r="H2176" s="105" t="s">
        <v>342</v>
      </c>
      <c r="I2176" s="105" t="s">
        <v>334</v>
      </c>
      <c r="J2176" s="493">
        <v>22</v>
      </c>
      <c r="K2176" s="493">
        <v>2</v>
      </c>
      <c r="L2176" s="105" t="s">
        <v>343</v>
      </c>
      <c r="M2176" s="105" t="s">
        <v>655</v>
      </c>
      <c r="N2176" s="105" t="s">
        <v>656</v>
      </c>
      <c r="O2176" s="105" t="s">
        <v>656</v>
      </c>
      <c r="P2176" s="105" t="s">
        <v>339</v>
      </c>
      <c r="Q2176" s="494">
        <v>0</v>
      </c>
      <c r="R2176" s="494">
        <v>0</v>
      </c>
      <c r="S2176" s="494">
        <v>26907</v>
      </c>
      <c r="T2176" s="494">
        <v>26907</v>
      </c>
      <c r="U2176" s="494">
        <v>7886</v>
      </c>
      <c r="V2176" s="493">
        <v>2024</v>
      </c>
      <c r="W2176" s="495"/>
      <c r="X2176" s="496">
        <f t="shared" si="139"/>
        <v>3.411995942176008</v>
      </c>
      <c r="Y2176" s="497" t="str">
        <f t="shared" si="142"/>
        <v/>
      </c>
      <c r="Z2176" s="497" t="str">
        <f t="shared" si="142"/>
        <v/>
      </c>
    </row>
    <row r="2177" spans="1:26" s="82" customFormat="1" x14ac:dyDescent="0.4">
      <c r="A2177" s="493">
        <v>64184</v>
      </c>
      <c r="B2177" s="105" t="s">
        <v>329</v>
      </c>
      <c r="C2177" s="493" t="s">
        <v>330</v>
      </c>
      <c r="D2177" s="105" t="s">
        <v>2567</v>
      </c>
      <c r="E2177" s="105" t="s">
        <v>1448</v>
      </c>
      <c r="F2177" s="493">
        <v>61012</v>
      </c>
      <c r="G2177" s="105" t="s">
        <v>33</v>
      </c>
      <c r="H2177" s="105" t="s">
        <v>342</v>
      </c>
      <c r="I2177" s="105" t="s">
        <v>334</v>
      </c>
      <c r="J2177" s="493">
        <v>22</v>
      </c>
      <c r="K2177" s="493">
        <v>2</v>
      </c>
      <c r="L2177" s="105" t="s">
        <v>343</v>
      </c>
      <c r="M2177" s="105" t="s">
        <v>655</v>
      </c>
      <c r="N2177" s="105" t="s">
        <v>656</v>
      </c>
      <c r="O2177" s="105" t="s">
        <v>656</v>
      </c>
      <c r="P2177" s="105" t="s">
        <v>339</v>
      </c>
      <c r="Q2177" s="494">
        <v>0</v>
      </c>
      <c r="R2177" s="494">
        <v>0</v>
      </c>
      <c r="S2177" s="494">
        <v>4573</v>
      </c>
      <c r="T2177" s="494">
        <v>4573</v>
      </c>
      <c r="U2177" s="494">
        <v>1340</v>
      </c>
      <c r="V2177" s="493">
        <v>2024</v>
      </c>
      <c r="W2177" s="495"/>
      <c r="X2177" s="496">
        <f t="shared" si="139"/>
        <v>3.4126865671641791</v>
      </c>
      <c r="Y2177" s="497" t="str">
        <f t="shared" si="142"/>
        <v/>
      </c>
      <c r="Z2177" s="497" t="str">
        <f t="shared" si="142"/>
        <v/>
      </c>
    </row>
    <row r="2178" spans="1:26" s="82" customFormat="1" x14ac:dyDescent="0.4">
      <c r="A2178" s="493">
        <v>64185</v>
      </c>
      <c r="B2178" s="105" t="s">
        <v>329</v>
      </c>
      <c r="C2178" s="493" t="s">
        <v>330</v>
      </c>
      <c r="D2178" s="105" t="s">
        <v>2568</v>
      </c>
      <c r="E2178" s="105" t="s">
        <v>1448</v>
      </c>
      <c r="F2178" s="493">
        <v>61012</v>
      </c>
      <c r="G2178" s="105" t="s">
        <v>33</v>
      </c>
      <c r="H2178" s="105" t="s">
        <v>342</v>
      </c>
      <c r="I2178" s="105" t="s">
        <v>334</v>
      </c>
      <c r="J2178" s="493">
        <v>22</v>
      </c>
      <c r="K2178" s="493">
        <v>2</v>
      </c>
      <c r="L2178" s="105" t="s">
        <v>343</v>
      </c>
      <c r="M2178" s="105" t="s">
        <v>403</v>
      </c>
      <c r="N2178" s="105" t="s">
        <v>404</v>
      </c>
      <c r="O2178" s="105" t="s">
        <v>232</v>
      </c>
      <c r="P2178" s="105" t="s">
        <v>346</v>
      </c>
      <c r="Q2178" s="494">
        <v>329</v>
      </c>
      <c r="R2178" s="494">
        <v>329</v>
      </c>
      <c r="S2178" s="494">
        <v>0</v>
      </c>
      <c r="T2178" s="494">
        <v>0</v>
      </c>
      <c r="U2178" s="494">
        <v>-15</v>
      </c>
      <c r="V2178" s="493">
        <v>2024</v>
      </c>
      <c r="W2178" s="495"/>
      <c r="X2178" s="496" t="str">
        <f t="shared" si="139"/>
        <v/>
      </c>
      <c r="Y2178" s="497" t="str">
        <f t="shared" si="142"/>
        <v/>
      </c>
      <c r="Z2178" s="497" t="str">
        <f t="shared" si="142"/>
        <v/>
      </c>
    </row>
    <row r="2179" spans="1:26" s="82" customFormat="1" x14ac:dyDescent="0.4">
      <c r="A2179" s="493">
        <v>64185</v>
      </c>
      <c r="B2179" s="105" t="s">
        <v>329</v>
      </c>
      <c r="C2179" s="493" t="s">
        <v>330</v>
      </c>
      <c r="D2179" s="105" t="s">
        <v>2568</v>
      </c>
      <c r="E2179" s="105" t="s">
        <v>1448</v>
      </c>
      <c r="F2179" s="493">
        <v>61012</v>
      </c>
      <c r="G2179" s="105" t="s">
        <v>33</v>
      </c>
      <c r="H2179" s="105" t="s">
        <v>342</v>
      </c>
      <c r="I2179" s="105" t="s">
        <v>334</v>
      </c>
      <c r="J2179" s="493">
        <v>22</v>
      </c>
      <c r="K2179" s="493">
        <v>2</v>
      </c>
      <c r="L2179" s="105" t="s">
        <v>343</v>
      </c>
      <c r="M2179" s="105" t="s">
        <v>655</v>
      </c>
      <c r="N2179" s="105" t="s">
        <v>656</v>
      </c>
      <c r="O2179" s="105" t="s">
        <v>656</v>
      </c>
      <c r="P2179" s="105" t="s">
        <v>339</v>
      </c>
      <c r="Q2179" s="494">
        <v>0</v>
      </c>
      <c r="R2179" s="494">
        <v>0</v>
      </c>
      <c r="S2179" s="494">
        <v>12136</v>
      </c>
      <c r="T2179" s="494">
        <v>12136</v>
      </c>
      <c r="U2179" s="494">
        <v>3557</v>
      </c>
      <c r="V2179" s="493">
        <v>2024</v>
      </c>
      <c r="W2179" s="495"/>
      <c r="X2179" s="496">
        <f t="shared" si="139"/>
        <v>3.4118639302783245</v>
      </c>
      <c r="Y2179" s="497" t="str">
        <f t="shared" si="142"/>
        <v/>
      </c>
      <c r="Z2179" s="497" t="str">
        <f t="shared" si="142"/>
        <v/>
      </c>
    </row>
    <row r="2180" spans="1:26" s="82" customFormat="1" x14ac:dyDescent="0.4">
      <c r="A2180" s="493">
        <v>64187</v>
      </c>
      <c r="B2180" s="105" t="s">
        <v>329</v>
      </c>
      <c r="C2180" s="493" t="s">
        <v>330</v>
      </c>
      <c r="D2180" s="105" t="s">
        <v>2569</v>
      </c>
      <c r="E2180" s="105" t="s">
        <v>1448</v>
      </c>
      <c r="F2180" s="493">
        <v>61012</v>
      </c>
      <c r="G2180" s="105" t="s">
        <v>33</v>
      </c>
      <c r="H2180" s="105" t="s">
        <v>342</v>
      </c>
      <c r="I2180" s="105" t="s">
        <v>334</v>
      </c>
      <c r="J2180" s="493">
        <v>22</v>
      </c>
      <c r="K2180" s="493">
        <v>2</v>
      </c>
      <c r="L2180" s="105" t="s">
        <v>343</v>
      </c>
      <c r="M2180" s="105" t="s">
        <v>403</v>
      </c>
      <c r="N2180" s="105" t="s">
        <v>404</v>
      </c>
      <c r="O2180" s="105" t="s">
        <v>232</v>
      </c>
      <c r="P2180" s="105" t="s">
        <v>346</v>
      </c>
      <c r="Q2180" s="494">
        <v>190</v>
      </c>
      <c r="R2180" s="494">
        <v>190</v>
      </c>
      <c r="S2180" s="494">
        <v>0</v>
      </c>
      <c r="T2180" s="494">
        <v>0</v>
      </c>
      <c r="U2180" s="494">
        <v>-11</v>
      </c>
      <c r="V2180" s="493">
        <v>2024</v>
      </c>
      <c r="W2180" s="495"/>
      <c r="X2180" s="496" t="str">
        <f t="shared" si="139"/>
        <v/>
      </c>
      <c r="Y2180" s="497" t="str">
        <f t="shared" si="142"/>
        <v/>
      </c>
      <c r="Z2180" s="497" t="str">
        <f t="shared" si="142"/>
        <v/>
      </c>
    </row>
    <row r="2181" spans="1:26" s="82" customFormat="1" x14ac:dyDescent="0.4">
      <c r="A2181" s="493">
        <v>64187</v>
      </c>
      <c r="B2181" s="105" t="s">
        <v>329</v>
      </c>
      <c r="C2181" s="493" t="s">
        <v>330</v>
      </c>
      <c r="D2181" s="105" t="s">
        <v>2569</v>
      </c>
      <c r="E2181" s="105" t="s">
        <v>1448</v>
      </c>
      <c r="F2181" s="493">
        <v>61012</v>
      </c>
      <c r="G2181" s="105" t="s">
        <v>33</v>
      </c>
      <c r="H2181" s="105" t="s">
        <v>342</v>
      </c>
      <c r="I2181" s="105" t="s">
        <v>334</v>
      </c>
      <c r="J2181" s="493">
        <v>22</v>
      </c>
      <c r="K2181" s="493">
        <v>2</v>
      </c>
      <c r="L2181" s="105" t="s">
        <v>343</v>
      </c>
      <c r="M2181" s="105" t="s">
        <v>655</v>
      </c>
      <c r="N2181" s="105" t="s">
        <v>656</v>
      </c>
      <c r="O2181" s="105" t="s">
        <v>656</v>
      </c>
      <c r="P2181" s="105" t="s">
        <v>339</v>
      </c>
      <c r="Q2181" s="494">
        <v>0</v>
      </c>
      <c r="R2181" s="494">
        <v>0</v>
      </c>
      <c r="S2181" s="494">
        <v>6415</v>
      </c>
      <c r="T2181" s="494">
        <v>6415</v>
      </c>
      <c r="U2181" s="494">
        <v>1880</v>
      </c>
      <c r="V2181" s="493">
        <v>2024</v>
      </c>
      <c r="W2181" s="495"/>
      <c r="X2181" s="496">
        <f t="shared" si="139"/>
        <v>3.4122340425531914</v>
      </c>
      <c r="Y2181" s="497" t="str">
        <f t="shared" si="142"/>
        <v/>
      </c>
      <c r="Z2181" s="497" t="str">
        <f t="shared" si="142"/>
        <v/>
      </c>
    </row>
    <row r="2182" spans="1:26" s="82" customFormat="1" x14ac:dyDescent="0.4">
      <c r="A2182" s="493">
        <v>64213</v>
      </c>
      <c r="B2182" s="105" t="s">
        <v>329</v>
      </c>
      <c r="C2182" s="493" t="s">
        <v>330</v>
      </c>
      <c r="D2182" s="105" t="s">
        <v>2570</v>
      </c>
      <c r="E2182" s="105" t="s">
        <v>2571</v>
      </c>
      <c r="F2182" s="493">
        <v>61514</v>
      </c>
      <c r="G2182" s="105" t="s">
        <v>33</v>
      </c>
      <c r="H2182" s="105" t="s">
        <v>342</v>
      </c>
      <c r="I2182" s="105" t="s">
        <v>334</v>
      </c>
      <c r="J2182" s="493">
        <v>22</v>
      </c>
      <c r="K2182" s="493">
        <v>2</v>
      </c>
      <c r="L2182" s="105" t="s">
        <v>343</v>
      </c>
      <c r="M2182" s="105" t="s">
        <v>403</v>
      </c>
      <c r="N2182" s="105" t="s">
        <v>404</v>
      </c>
      <c r="O2182" s="105" t="s">
        <v>232</v>
      </c>
      <c r="P2182" s="105" t="s">
        <v>346</v>
      </c>
      <c r="Q2182" s="494">
        <v>981</v>
      </c>
      <c r="R2182" s="494">
        <v>981</v>
      </c>
      <c r="S2182" s="494">
        <v>0</v>
      </c>
      <c r="T2182" s="494">
        <v>0</v>
      </c>
      <c r="U2182" s="494">
        <v>-99</v>
      </c>
      <c r="V2182" s="493">
        <v>2024</v>
      </c>
      <c r="W2182" s="495"/>
      <c r="X2182" s="496" t="str">
        <f t="shared" si="139"/>
        <v/>
      </c>
      <c r="Y2182" s="497" t="str">
        <f t="shared" si="142"/>
        <v/>
      </c>
      <c r="Z2182" s="497" t="str">
        <f t="shared" si="142"/>
        <v/>
      </c>
    </row>
    <row r="2183" spans="1:26" s="82" customFormat="1" x14ac:dyDescent="0.4">
      <c r="A2183" s="493">
        <v>64213</v>
      </c>
      <c r="B2183" s="105" t="s">
        <v>329</v>
      </c>
      <c r="C2183" s="493" t="s">
        <v>330</v>
      </c>
      <c r="D2183" s="105" t="s">
        <v>2570</v>
      </c>
      <c r="E2183" s="105" t="s">
        <v>2571</v>
      </c>
      <c r="F2183" s="493">
        <v>61514</v>
      </c>
      <c r="G2183" s="105" t="s">
        <v>33</v>
      </c>
      <c r="H2183" s="105" t="s">
        <v>342</v>
      </c>
      <c r="I2183" s="105" t="s">
        <v>334</v>
      </c>
      <c r="J2183" s="493">
        <v>22</v>
      </c>
      <c r="K2183" s="493">
        <v>2</v>
      </c>
      <c r="L2183" s="105" t="s">
        <v>343</v>
      </c>
      <c r="M2183" s="105" t="s">
        <v>655</v>
      </c>
      <c r="N2183" s="105" t="s">
        <v>656</v>
      </c>
      <c r="O2183" s="105" t="s">
        <v>656</v>
      </c>
      <c r="P2183" s="105" t="s">
        <v>339</v>
      </c>
      <c r="Q2183" s="494">
        <v>0</v>
      </c>
      <c r="R2183" s="494">
        <v>0</v>
      </c>
      <c r="S2183" s="494">
        <v>28344</v>
      </c>
      <c r="T2183" s="494">
        <v>28344</v>
      </c>
      <c r="U2183" s="494">
        <v>8307</v>
      </c>
      <c r="V2183" s="493">
        <v>2024</v>
      </c>
      <c r="W2183" s="495"/>
      <c r="X2183" s="496">
        <f t="shared" si="139"/>
        <v>3.4120621162874682</v>
      </c>
      <c r="Y2183" s="497" t="str">
        <f t="shared" si="142"/>
        <v/>
      </c>
      <c r="Z2183" s="497" t="str">
        <f t="shared" si="142"/>
        <v/>
      </c>
    </row>
    <row r="2184" spans="1:26" s="82" customFormat="1" x14ac:dyDescent="0.4">
      <c r="A2184" s="493">
        <v>64217</v>
      </c>
      <c r="B2184" s="105" t="s">
        <v>329</v>
      </c>
      <c r="C2184" s="493" t="s">
        <v>330</v>
      </c>
      <c r="D2184" s="105" t="s">
        <v>2572</v>
      </c>
      <c r="E2184" s="105" t="s">
        <v>1650</v>
      </c>
      <c r="F2184" s="493">
        <v>58135</v>
      </c>
      <c r="G2184" s="105" t="s">
        <v>37</v>
      </c>
      <c r="H2184" s="105" t="s">
        <v>342</v>
      </c>
      <c r="I2184" s="105" t="s">
        <v>334</v>
      </c>
      <c r="J2184" s="493">
        <v>22</v>
      </c>
      <c r="K2184" s="493">
        <v>2</v>
      </c>
      <c r="L2184" s="105" t="s">
        <v>343</v>
      </c>
      <c r="M2184" s="105" t="s">
        <v>655</v>
      </c>
      <c r="N2184" s="105" t="s">
        <v>656</v>
      </c>
      <c r="O2184" s="105" t="s">
        <v>656</v>
      </c>
      <c r="P2184" s="105" t="s">
        <v>339</v>
      </c>
      <c r="Q2184" s="494">
        <v>0</v>
      </c>
      <c r="R2184" s="494">
        <v>0</v>
      </c>
      <c r="S2184" s="494">
        <v>5565</v>
      </c>
      <c r="T2184" s="494">
        <v>5565</v>
      </c>
      <c r="U2184" s="494">
        <v>1631</v>
      </c>
      <c r="V2184" s="493">
        <v>2024</v>
      </c>
      <c r="W2184" s="495"/>
      <c r="X2184" s="496">
        <f t="shared" si="139"/>
        <v>3.4120171673819741</v>
      </c>
      <c r="Y2184" s="497" t="str">
        <f t="shared" si="142"/>
        <v/>
      </c>
      <c r="Z2184" s="497" t="str">
        <f t="shared" si="142"/>
        <v/>
      </c>
    </row>
    <row r="2185" spans="1:26" s="82" customFormat="1" x14ac:dyDescent="0.4">
      <c r="A2185" s="493">
        <v>64218</v>
      </c>
      <c r="B2185" s="105" t="s">
        <v>329</v>
      </c>
      <c r="C2185" s="493" t="s">
        <v>330</v>
      </c>
      <c r="D2185" s="105" t="s">
        <v>2573</v>
      </c>
      <c r="E2185" s="105" t="s">
        <v>1650</v>
      </c>
      <c r="F2185" s="493">
        <v>58135</v>
      </c>
      <c r="G2185" s="105" t="s">
        <v>37</v>
      </c>
      <c r="H2185" s="105" t="s">
        <v>342</v>
      </c>
      <c r="I2185" s="105" t="s">
        <v>334</v>
      </c>
      <c r="J2185" s="493">
        <v>22</v>
      </c>
      <c r="K2185" s="493">
        <v>2</v>
      </c>
      <c r="L2185" s="105" t="s">
        <v>343</v>
      </c>
      <c r="M2185" s="105" t="s">
        <v>655</v>
      </c>
      <c r="N2185" s="105" t="s">
        <v>656</v>
      </c>
      <c r="O2185" s="105" t="s">
        <v>656</v>
      </c>
      <c r="P2185" s="105" t="s">
        <v>339</v>
      </c>
      <c r="Q2185" s="494">
        <v>0</v>
      </c>
      <c r="R2185" s="494">
        <v>0</v>
      </c>
      <c r="S2185" s="494">
        <v>5693</v>
      </c>
      <c r="T2185" s="494">
        <v>5693</v>
      </c>
      <c r="U2185" s="494">
        <v>1669</v>
      </c>
      <c r="V2185" s="493">
        <v>2024</v>
      </c>
      <c r="W2185" s="495"/>
      <c r="X2185" s="496">
        <f t="shared" ref="X2185:X2248" si="143">IF(OR(K2185&gt;3,T2185=0,NOT(U2185&gt;0)),"",T2185/U2185)</f>
        <v>3.4110245656081486</v>
      </c>
      <c r="Y2185" s="497" t="str">
        <f t="shared" si="142"/>
        <v/>
      </c>
      <c r="Z2185" s="497" t="str">
        <f t="shared" si="142"/>
        <v/>
      </c>
    </row>
    <row r="2186" spans="1:26" s="82" customFormat="1" x14ac:dyDescent="0.4">
      <c r="A2186" s="493">
        <v>64219</v>
      </c>
      <c r="B2186" s="105" t="s">
        <v>329</v>
      </c>
      <c r="C2186" s="493" t="s">
        <v>330</v>
      </c>
      <c r="D2186" s="105" t="s">
        <v>2574</v>
      </c>
      <c r="E2186" s="105" t="s">
        <v>1650</v>
      </c>
      <c r="F2186" s="493">
        <v>58135</v>
      </c>
      <c r="G2186" s="105" t="s">
        <v>37</v>
      </c>
      <c r="H2186" s="105" t="s">
        <v>342</v>
      </c>
      <c r="I2186" s="105" t="s">
        <v>334</v>
      </c>
      <c r="J2186" s="493">
        <v>22</v>
      </c>
      <c r="K2186" s="493">
        <v>2</v>
      </c>
      <c r="L2186" s="105" t="s">
        <v>343</v>
      </c>
      <c r="M2186" s="105" t="s">
        <v>655</v>
      </c>
      <c r="N2186" s="105" t="s">
        <v>656</v>
      </c>
      <c r="O2186" s="105" t="s">
        <v>656</v>
      </c>
      <c r="P2186" s="105" t="s">
        <v>339</v>
      </c>
      <c r="Q2186" s="494">
        <v>0</v>
      </c>
      <c r="R2186" s="494">
        <v>0</v>
      </c>
      <c r="S2186" s="494">
        <v>5476</v>
      </c>
      <c r="T2186" s="494">
        <v>5476</v>
      </c>
      <c r="U2186" s="494">
        <v>1605</v>
      </c>
      <c r="V2186" s="493">
        <v>2024</v>
      </c>
      <c r="W2186" s="495"/>
      <c r="X2186" s="496">
        <f t="shared" si="143"/>
        <v>3.4118380062305298</v>
      </c>
      <c r="Y2186" s="497" t="str">
        <f t="shared" si="142"/>
        <v/>
      </c>
      <c r="Z2186" s="497" t="str">
        <f t="shared" si="142"/>
        <v/>
      </c>
    </row>
    <row r="2187" spans="1:26" s="82" customFormat="1" ht="32" x14ac:dyDescent="0.4">
      <c r="A2187" s="493">
        <v>64231</v>
      </c>
      <c r="B2187" s="105" t="s">
        <v>329</v>
      </c>
      <c r="C2187" s="493" t="s">
        <v>330</v>
      </c>
      <c r="D2187" s="105" t="s">
        <v>2575</v>
      </c>
      <c r="E2187" s="105" t="s">
        <v>2576</v>
      </c>
      <c r="F2187" s="493">
        <v>63841</v>
      </c>
      <c r="G2187" s="105" t="s">
        <v>33</v>
      </c>
      <c r="H2187" s="105" t="s">
        <v>342</v>
      </c>
      <c r="I2187" s="105" t="s">
        <v>334</v>
      </c>
      <c r="J2187" s="493">
        <v>22</v>
      </c>
      <c r="K2187" s="493">
        <v>2</v>
      </c>
      <c r="L2187" s="105" t="s">
        <v>343</v>
      </c>
      <c r="M2187" s="105" t="s">
        <v>403</v>
      </c>
      <c r="N2187" s="105" t="s">
        <v>404</v>
      </c>
      <c r="O2187" s="105" t="s">
        <v>232</v>
      </c>
      <c r="P2187" s="105" t="s">
        <v>346</v>
      </c>
      <c r="Q2187" s="494">
        <v>0</v>
      </c>
      <c r="R2187" s="494">
        <v>0</v>
      </c>
      <c r="S2187" s="494">
        <v>0</v>
      </c>
      <c r="T2187" s="494">
        <v>0</v>
      </c>
      <c r="U2187" s="494">
        <v>0</v>
      </c>
      <c r="V2187" s="493">
        <v>2024</v>
      </c>
      <c r="W2187" s="495"/>
      <c r="X2187" s="496" t="str">
        <f t="shared" si="143"/>
        <v/>
      </c>
      <c r="Y2187" s="497" t="str">
        <f t="shared" si="142"/>
        <v/>
      </c>
      <c r="Z2187" s="497" t="str">
        <f t="shared" si="142"/>
        <v/>
      </c>
    </row>
    <row r="2188" spans="1:26" s="82" customFormat="1" ht="32" x14ac:dyDescent="0.4">
      <c r="A2188" s="493">
        <v>64231</v>
      </c>
      <c r="B2188" s="105" t="s">
        <v>329</v>
      </c>
      <c r="C2188" s="493" t="s">
        <v>330</v>
      </c>
      <c r="D2188" s="105" t="s">
        <v>2575</v>
      </c>
      <c r="E2188" s="105" t="s">
        <v>2576</v>
      </c>
      <c r="F2188" s="493">
        <v>63841</v>
      </c>
      <c r="G2188" s="105" t="s">
        <v>33</v>
      </c>
      <c r="H2188" s="105" t="s">
        <v>342</v>
      </c>
      <c r="I2188" s="105" t="s">
        <v>334</v>
      </c>
      <c r="J2188" s="493">
        <v>22</v>
      </c>
      <c r="K2188" s="493">
        <v>2</v>
      </c>
      <c r="L2188" s="105" t="s">
        <v>343</v>
      </c>
      <c r="M2188" s="105" t="s">
        <v>655</v>
      </c>
      <c r="N2188" s="105" t="s">
        <v>656</v>
      </c>
      <c r="O2188" s="105" t="s">
        <v>656</v>
      </c>
      <c r="P2188" s="105" t="s">
        <v>339</v>
      </c>
      <c r="Q2188" s="494">
        <v>0</v>
      </c>
      <c r="R2188" s="494">
        <v>0</v>
      </c>
      <c r="S2188" s="494">
        <v>9157</v>
      </c>
      <c r="T2188" s="494">
        <v>9157</v>
      </c>
      <c r="U2188" s="494">
        <v>2684</v>
      </c>
      <c r="V2188" s="493">
        <v>2024</v>
      </c>
      <c r="W2188" s="495"/>
      <c r="X2188" s="496">
        <f t="shared" si="143"/>
        <v>3.4116989567809242</v>
      </c>
      <c r="Y2188" s="497" t="str">
        <f t="shared" ref="Y2188:Z2207" si="144">IF(AND($M2188=$Y$2,$N2188=$Y$3,NOT($Q2188=$R2188),NOT($U2188=0)),IF($K2188=5,$S2188/($U2188+(8/5)*$U2188),IF($K2188=7,$S2188/($U2188+(29/25)*$U2188),"")),"")</f>
        <v/>
      </c>
      <c r="Z2188" s="497" t="str">
        <f t="shared" si="144"/>
        <v/>
      </c>
    </row>
    <row r="2189" spans="1:26" s="82" customFormat="1" ht="32" x14ac:dyDescent="0.4">
      <c r="A2189" s="493">
        <v>64232</v>
      </c>
      <c r="B2189" s="105" t="s">
        <v>329</v>
      </c>
      <c r="C2189" s="493" t="s">
        <v>330</v>
      </c>
      <c r="D2189" s="105" t="s">
        <v>2577</v>
      </c>
      <c r="E2189" s="105" t="s">
        <v>2578</v>
      </c>
      <c r="F2189" s="493">
        <v>63822</v>
      </c>
      <c r="G2189" s="105" t="s">
        <v>33</v>
      </c>
      <c r="H2189" s="105" t="s">
        <v>342</v>
      </c>
      <c r="I2189" s="105" t="s">
        <v>334</v>
      </c>
      <c r="J2189" s="493">
        <v>22</v>
      </c>
      <c r="K2189" s="493">
        <v>2</v>
      </c>
      <c r="L2189" s="105" t="s">
        <v>343</v>
      </c>
      <c r="M2189" s="105" t="s">
        <v>655</v>
      </c>
      <c r="N2189" s="105" t="s">
        <v>656</v>
      </c>
      <c r="O2189" s="105" t="s">
        <v>656</v>
      </c>
      <c r="P2189" s="105" t="s">
        <v>339</v>
      </c>
      <c r="Q2189" s="494">
        <v>0</v>
      </c>
      <c r="R2189" s="494">
        <v>0</v>
      </c>
      <c r="S2189" s="494">
        <v>10716</v>
      </c>
      <c r="T2189" s="494">
        <v>10716</v>
      </c>
      <c r="U2189" s="494">
        <v>3141</v>
      </c>
      <c r="V2189" s="493">
        <v>2024</v>
      </c>
      <c r="W2189" s="495"/>
      <c r="X2189" s="496">
        <f t="shared" si="143"/>
        <v>3.4116523400191023</v>
      </c>
      <c r="Y2189" s="497" t="str">
        <f t="shared" si="144"/>
        <v/>
      </c>
      <c r="Z2189" s="497" t="str">
        <f t="shared" si="144"/>
        <v/>
      </c>
    </row>
    <row r="2190" spans="1:26" s="82" customFormat="1" ht="48" x14ac:dyDescent="0.4">
      <c r="A2190" s="493">
        <v>64268</v>
      </c>
      <c r="B2190" s="105" t="s">
        <v>329</v>
      </c>
      <c r="C2190" s="493" t="s">
        <v>330</v>
      </c>
      <c r="D2190" s="105" t="s">
        <v>2579</v>
      </c>
      <c r="E2190" s="105" t="s">
        <v>1354</v>
      </c>
      <c r="F2190" s="493">
        <v>60025</v>
      </c>
      <c r="G2190" s="105" t="s">
        <v>36</v>
      </c>
      <c r="H2190" s="105" t="s">
        <v>342</v>
      </c>
      <c r="I2190" s="105" t="s">
        <v>334</v>
      </c>
      <c r="J2190" s="493">
        <v>22</v>
      </c>
      <c r="K2190" s="493">
        <v>2</v>
      </c>
      <c r="L2190" s="105" t="s">
        <v>343</v>
      </c>
      <c r="M2190" s="105" t="s">
        <v>655</v>
      </c>
      <c r="N2190" s="105" t="s">
        <v>656</v>
      </c>
      <c r="O2190" s="105" t="s">
        <v>656</v>
      </c>
      <c r="P2190" s="105" t="s">
        <v>339</v>
      </c>
      <c r="Q2190" s="494">
        <v>0</v>
      </c>
      <c r="R2190" s="494">
        <v>0</v>
      </c>
      <c r="S2190" s="494">
        <v>10222</v>
      </c>
      <c r="T2190" s="494">
        <v>10222</v>
      </c>
      <c r="U2190" s="494">
        <v>2996</v>
      </c>
      <c r="V2190" s="493">
        <v>2024</v>
      </c>
      <c r="W2190" s="495"/>
      <c r="X2190" s="496">
        <f t="shared" si="143"/>
        <v>3.411882510013351</v>
      </c>
      <c r="Y2190" s="497" t="str">
        <f t="shared" si="144"/>
        <v/>
      </c>
      <c r="Z2190" s="497" t="str">
        <f t="shared" si="144"/>
        <v/>
      </c>
    </row>
    <row r="2191" spans="1:26" s="82" customFormat="1" ht="32" x14ac:dyDescent="0.4">
      <c r="A2191" s="493">
        <v>64291</v>
      </c>
      <c r="B2191" s="105" t="s">
        <v>329</v>
      </c>
      <c r="C2191" s="493" t="s">
        <v>330</v>
      </c>
      <c r="D2191" s="105" t="s">
        <v>2580</v>
      </c>
      <c r="E2191" s="105" t="s">
        <v>2580</v>
      </c>
      <c r="F2191" s="493">
        <v>63873</v>
      </c>
      <c r="G2191" s="105" t="s">
        <v>52</v>
      </c>
      <c r="H2191" s="105" t="s">
        <v>333</v>
      </c>
      <c r="I2191" s="105" t="s">
        <v>334</v>
      </c>
      <c r="J2191" s="493">
        <v>622</v>
      </c>
      <c r="K2191" s="493">
        <v>4</v>
      </c>
      <c r="L2191" s="105" t="s">
        <v>766</v>
      </c>
      <c r="M2191" s="105" t="s">
        <v>359</v>
      </c>
      <c r="N2191" s="105" t="s">
        <v>226</v>
      </c>
      <c r="O2191" s="105" t="s">
        <v>226</v>
      </c>
      <c r="P2191" s="105" t="s">
        <v>350</v>
      </c>
      <c r="Q2191" s="494">
        <v>100</v>
      </c>
      <c r="R2191" s="494">
        <v>100</v>
      </c>
      <c r="S2191" s="494">
        <v>579</v>
      </c>
      <c r="T2191" s="494">
        <v>579</v>
      </c>
      <c r="U2191" s="494">
        <v>0</v>
      </c>
      <c r="V2191" s="493">
        <v>2024</v>
      </c>
      <c r="W2191" s="495"/>
      <c r="X2191" s="496" t="str">
        <f t="shared" si="143"/>
        <v/>
      </c>
      <c r="Y2191" s="497" t="str">
        <f t="shared" si="144"/>
        <v/>
      </c>
      <c r="Z2191" s="497" t="str">
        <f t="shared" si="144"/>
        <v/>
      </c>
    </row>
    <row r="2192" spans="1:26" s="82" customFormat="1" ht="32" x14ac:dyDescent="0.4">
      <c r="A2192" s="493">
        <v>64299</v>
      </c>
      <c r="B2192" s="105" t="s">
        <v>329</v>
      </c>
      <c r="C2192" s="493" t="s">
        <v>330</v>
      </c>
      <c r="D2192" s="105" t="s">
        <v>2581</v>
      </c>
      <c r="E2192" s="105" t="s">
        <v>2582</v>
      </c>
      <c r="F2192" s="493">
        <v>62679</v>
      </c>
      <c r="G2192" s="105" t="s">
        <v>38</v>
      </c>
      <c r="H2192" s="105" t="s">
        <v>342</v>
      </c>
      <c r="I2192" s="105" t="s">
        <v>334</v>
      </c>
      <c r="J2192" s="493">
        <v>22</v>
      </c>
      <c r="K2192" s="493">
        <v>2</v>
      </c>
      <c r="L2192" s="105" t="s">
        <v>343</v>
      </c>
      <c r="M2192" s="105" t="s">
        <v>655</v>
      </c>
      <c r="N2192" s="105" t="s">
        <v>656</v>
      </c>
      <c r="O2192" s="105" t="s">
        <v>656</v>
      </c>
      <c r="P2192" s="105" t="s">
        <v>339</v>
      </c>
      <c r="Q2192" s="494">
        <v>0</v>
      </c>
      <c r="R2192" s="494">
        <v>0</v>
      </c>
      <c r="S2192" s="494">
        <v>15911</v>
      </c>
      <c r="T2192" s="494">
        <v>15911</v>
      </c>
      <c r="U2192" s="494">
        <v>4663</v>
      </c>
      <c r="V2192" s="493">
        <v>2024</v>
      </c>
      <c r="W2192" s="495"/>
      <c r="X2192" s="496">
        <f t="shared" si="143"/>
        <v>3.4121809993566372</v>
      </c>
      <c r="Y2192" s="497" t="str">
        <f t="shared" si="144"/>
        <v/>
      </c>
      <c r="Z2192" s="497" t="str">
        <f t="shared" si="144"/>
        <v/>
      </c>
    </row>
    <row r="2193" spans="1:26" s="82" customFormat="1" ht="32" x14ac:dyDescent="0.4">
      <c r="A2193" s="493">
        <v>64310</v>
      </c>
      <c r="B2193" s="105" t="s">
        <v>329</v>
      </c>
      <c r="C2193" s="493" t="s">
        <v>330</v>
      </c>
      <c r="D2193" s="105" t="s">
        <v>2583</v>
      </c>
      <c r="E2193" s="105" t="s">
        <v>2584</v>
      </c>
      <c r="F2193" s="493">
        <v>63900</v>
      </c>
      <c r="G2193" s="105" t="s">
        <v>52</v>
      </c>
      <c r="H2193" s="105" t="s">
        <v>333</v>
      </c>
      <c r="I2193" s="105" t="s">
        <v>334</v>
      </c>
      <c r="J2193" s="493">
        <v>22</v>
      </c>
      <c r="K2193" s="493">
        <v>2</v>
      </c>
      <c r="L2193" s="105" t="s">
        <v>343</v>
      </c>
      <c r="M2193" s="105" t="s">
        <v>655</v>
      </c>
      <c r="N2193" s="105" t="s">
        <v>656</v>
      </c>
      <c r="O2193" s="105" t="s">
        <v>656</v>
      </c>
      <c r="P2193" s="105" t="s">
        <v>339</v>
      </c>
      <c r="Q2193" s="494">
        <v>0</v>
      </c>
      <c r="R2193" s="494">
        <v>0</v>
      </c>
      <c r="S2193" s="494">
        <v>24882</v>
      </c>
      <c r="T2193" s="494">
        <v>24882</v>
      </c>
      <c r="U2193" s="494">
        <v>7292</v>
      </c>
      <c r="V2193" s="493">
        <v>2024</v>
      </c>
      <c r="W2193" s="495"/>
      <c r="X2193" s="496">
        <f t="shared" si="143"/>
        <v>3.4122325836533185</v>
      </c>
      <c r="Y2193" s="497" t="str">
        <f t="shared" si="144"/>
        <v/>
      </c>
      <c r="Z2193" s="497" t="str">
        <f t="shared" si="144"/>
        <v/>
      </c>
    </row>
    <row r="2194" spans="1:26" s="82" customFormat="1" ht="32" x14ac:dyDescent="0.4">
      <c r="A2194" s="493">
        <v>64333</v>
      </c>
      <c r="B2194" s="105" t="s">
        <v>329</v>
      </c>
      <c r="C2194" s="493" t="s">
        <v>330</v>
      </c>
      <c r="D2194" s="105" t="s">
        <v>2585</v>
      </c>
      <c r="E2194" s="105" t="s">
        <v>2585</v>
      </c>
      <c r="F2194" s="493">
        <v>63904</v>
      </c>
      <c r="G2194" s="105" t="s">
        <v>38</v>
      </c>
      <c r="H2194" s="105" t="s">
        <v>342</v>
      </c>
      <c r="I2194" s="105" t="s">
        <v>334</v>
      </c>
      <c r="J2194" s="493">
        <v>22</v>
      </c>
      <c r="K2194" s="493">
        <v>2</v>
      </c>
      <c r="L2194" s="105" t="s">
        <v>343</v>
      </c>
      <c r="M2194" s="105" t="s">
        <v>655</v>
      </c>
      <c r="N2194" s="105" t="s">
        <v>656</v>
      </c>
      <c r="O2194" s="105" t="s">
        <v>656</v>
      </c>
      <c r="P2194" s="105" t="s">
        <v>339</v>
      </c>
      <c r="Q2194" s="494">
        <v>0</v>
      </c>
      <c r="R2194" s="494">
        <v>0</v>
      </c>
      <c r="S2194" s="494">
        <v>16827</v>
      </c>
      <c r="T2194" s="494">
        <v>16827</v>
      </c>
      <c r="U2194" s="494">
        <v>4932</v>
      </c>
      <c r="V2194" s="493">
        <v>2024</v>
      </c>
      <c r="W2194" s="495"/>
      <c r="X2194" s="496">
        <f t="shared" si="143"/>
        <v>3.4118004866180049</v>
      </c>
      <c r="Y2194" s="497" t="str">
        <f t="shared" si="144"/>
        <v/>
      </c>
      <c r="Z2194" s="497" t="str">
        <f t="shared" si="144"/>
        <v/>
      </c>
    </row>
    <row r="2195" spans="1:26" s="82" customFormat="1" ht="32" x14ac:dyDescent="0.4">
      <c r="A2195" s="493">
        <v>64334</v>
      </c>
      <c r="B2195" s="105" t="s">
        <v>329</v>
      </c>
      <c r="C2195" s="493" t="s">
        <v>330</v>
      </c>
      <c r="D2195" s="105" t="s">
        <v>2586</v>
      </c>
      <c r="E2195" s="105" t="s">
        <v>2586</v>
      </c>
      <c r="F2195" s="493">
        <v>63905</v>
      </c>
      <c r="G2195" s="105" t="s">
        <v>38</v>
      </c>
      <c r="H2195" s="105" t="s">
        <v>342</v>
      </c>
      <c r="I2195" s="105" t="s">
        <v>334</v>
      </c>
      <c r="J2195" s="493">
        <v>22</v>
      </c>
      <c r="K2195" s="493">
        <v>2</v>
      </c>
      <c r="L2195" s="105" t="s">
        <v>343</v>
      </c>
      <c r="M2195" s="105" t="s">
        <v>655</v>
      </c>
      <c r="N2195" s="105" t="s">
        <v>656</v>
      </c>
      <c r="O2195" s="105" t="s">
        <v>656</v>
      </c>
      <c r="P2195" s="105" t="s">
        <v>339</v>
      </c>
      <c r="Q2195" s="494">
        <v>0</v>
      </c>
      <c r="R2195" s="494">
        <v>0</v>
      </c>
      <c r="S2195" s="494">
        <v>8820</v>
      </c>
      <c r="T2195" s="494">
        <v>8820</v>
      </c>
      <c r="U2195" s="494">
        <v>2585</v>
      </c>
      <c r="V2195" s="493">
        <v>2024</v>
      </c>
      <c r="W2195" s="495"/>
      <c r="X2195" s="496">
        <f t="shared" si="143"/>
        <v>3.411992263056093</v>
      </c>
      <c r="Y2195" s="497" t="str">
        <f t="shared" si="144"/>
        <v/>
      </c>
      <c r="Z2195" s="497" t="str">
        <f t="shared" si="144"/>
        <v/>
      </c>
    </row>
    <row r="2196" spans="1:26" s="82" customFormat="1" x14ac:dyDescent="0.4">
      <c r="A2196" s="493">
        <v>64337</v>
      </c>
      <c r="B2196" s="105" t="s">
        <v>329</v>
      </c>
      <c r="C2196" s="493" t="s">
        <v>330</v>
      </c>
      <c r="D2196" s="105" t="s">
        <v>2587</v>
      </c>
      <c r="E2196" s="105" t="s">
        <v>2588</v>
      </c>
      <c r="F2196" s="493">
        <v>63955</v>
      </c>
      <c r="G2196" s="105" t="s">
        <v>34</v>
      </c>
      <c r="H2196" s="105" t="s">
        <v>342</v>
      </c>
      <c r="I2196" s="105" t="s">
        <v>334</v>
      </c>
      <c r="J2196" s="493">
        <v>22</v>
      </c>
      <c r="K2196" s="493">
        <v>2</v>
      </c>
      <c r="L2196" s="105" t="s">
        <v>343</v>
      </c>
      <c r="M2196" s="105" t="s">
        <v>655</v>
      </c>
      <c r="N2196" s="105" t="s">
        <v>656</v>
      </c>
      <c r="O2196" s="105" t="s">
        <v>656</v>
      </c>
      <c r="P2196" s="105" t="s">
        <v>339</v>
      </c>
      <c r="Q2196" s="494">
        <v>0</v>
      </c>
      <c r="R2196" s="494">
        <v>0</v>
      </c>
      <c r="S2196" s="494">
        <v>442113</v>
      </c>
      <c r="T2196" s="494">
        <v>442113</v>
      </c>
      <c r="U2196" s="494">
        <v>129576</v>
      </c>
      <c r="V2196" s="493">
        <v>2024</v>
      </c>
      <c r="W2196" s="495"/>
      <c r="X2196" s="496">
        <f t="shared" si="143"/>
        <v>3.4119975921466938</v>
      </c>
      <c r="Y2196" s="497" t="str">
        <f t="shared" si="144"/>
        <v/>
      </c>
      <c r="Z2196" s="497" t="str">
        <f t="shared" si="144"/>
        <v/>
      </c>
    </row>
    <row r="2197" spans="1:26" s="82" customFormat="1" x14ac:dyDescent="0.4">
      <c r="A2197" s="493">
        <v>64350</v>
      </c>
      <c r="B2197" s="105" t="s">
        <v>329</v>
      </c>
      <c r="C2197" s="493" t="s">
        <v>330</v>
      </c>
      <c r="D2197" s="105" t="s">
        <v>2589</v>
      </c>
      <c r="E2197" s="105" t="s">
        <v>2590</v>
      </c>
      <c r="F2197" s="493">
        <v>63963</v>
      </c>
      <c r="G2197" s="105" t="s">
        <v>52</v>
      </c>
      <c r="H2197" s="105" t="s">
        <v>333</v>
      </c>
      <c r="I2197" s="105" t="s">
        <v>334</v>
      </c>
      <c r="J2197" s="493">
        <v>22</v>
      </c>
      <c r="K2197" s="493">
        <v>2</v>
      </c>
      <c r="L2197" s="105" t="s">
        <v>343</v>
      </c>
      <c r="M2197" s="105" t="s">
        <v>990</v>
      </c>
      <c r="N2197" s="105" t="s">
        <v>228</v>
      </c>
      <c r="O2197" s="105" t="s">
        <v>228</v>
      </c>
      <c r="P2197" s="105" t="s">
        <v>356</v>
      </c>
      <c r="Q2197" s="494">
        <v>321576</v>
      </c>
      <c r="R2197" s="494">
        <v>321576</v>
      </c>
      <c r="S2197" s="494">
        <v>223484</v>
      </c>
      <c r="T2197" s="494">
        <v>223484</v>
      </c>
      <c r="U2197" s="494">
        <v>45588</v>
      </c>
      <c r="V2197" s="493">
        <v>2024</v>
      </c>
      <c r="W2197" s="495"/>
      <c r="X2197" s="496">
        <f t="shared" si="143"/>
        <v>4.9022549793805386</v>
      </c>
      <c r="Y2197" s="497" t="str">
        <f t="shared" si="144"/>
        <v/>
      </c>
      <c r="Z2197" s="497" t="str">
        <f t="shared" si="144"/>
        <v/>
      </c>
    </row>
    <row r="2198" spans="1:26" s="82" customFormat="1" x14ac:dyDescent="0.4">
      <c r="A2198" s="493">
        <v>64351</v>
      </c>
      <c r="B2198" s="105" t="s">
        <v>329</v>
      </c>
      <c r="C2198" s="493" t="s">
        <v>330</v>
      </c>
      <c r="D2198" s="105" t="s">
        <v>2591</v>
      </c>
      <c r="E2198" s="105" t="s">
        <v>2592</v>
      </c>
      <c r="F2198" s="493">
        <v>63962</v>
      </c>
      <c r="G2198" s="105" t="s">
        <v>52</v>
      </c>
      <c r="H2198" s="105" t="s">
        <v>333</v>
      </c>
      <c r="I2198" s="105" t="s">
        <v>334</v>
      </c>
      <c r="J2198" s="493">
        <v>22</v>
      </c>
      <c r="K2198" s="493">
        <v>2</v>
      </c>
      <c r="L2198" s="105" t="s">
        <v>343</v>
      </c>
      <c r="M2198" s="105" t="s">
        <v>655</v>
      </c>
      <c r="N2198" s="105" t="s">
        <v>656</v>
      </c>
      <c r="O2198" s="105" t="s">
        <v>656</v>
      </c>
      <c r="P2198" s="105" t="s">
        <v>339</v>
      </c>
      <c r="Q2198" s="494">
        <v>0</v>
      </c>
      <c r="R2198" s="494">
        <v>0</v>
      </c>
      <c r="S2198" s="494">
        <v>23711</v>
      </c>
      <c r="T2198" s="494">
        <v>23711</v>
      </c>
      <c r="U2198" s="494">
        <v>6949</v>
      </c>
      <c r="V2198" s="493">
        <v>2024</v>
      </c>
      <c r="W2198" s="495"/>
      <c r="X2198" s="496">
        <f t="shared" si="143"/>
        <v>3.4121456324651027</v>
      </c>
      <c r="Y2198" s="497" t="str">
        <f t="shared" si="144"/>
        <v/>
      </c>
      <c r="Z2198" s="497" t="str">
        <f t="shared" si="144"/>
        <v/>
      </c>
    </row>
    <row r="2199" spans="1:26" s="82" customFormat="1" x14ac:dyDescent="0.4">
      <c r="A2199" s="493">
        <v>64370</v>
      </c>
      <c r="B2199" s="105" t="s">
        <v>329</v>
      </c>
      <c r="C2199" s="493" t="s">
        <v>330</v>
      </c>
      <c r="D2199" s="105" t="s">
        <v>2593</v>
      </c>
      <c r="E2199" s="105" t="s">
        <v>1650</v>
      </c>
      <c r="F2199" s="493">
        <v>58135</v>
      </c>
      <c r="G2199" s="105" t="s">
        <v>37</v>
      </c>
      <c r="H2199" s="105" t="s">
        <v>342</v>
      </c>
      <c r="I2199" s="105" t="s">
        <v>334</v>
      </c>
      <c r="J2199" s="493">
        <v>22</v>
      </c>
      <c r="K2199" s="493">
        <v>2</v>
      </c>
      <c r="L2199" s="105" t="s">
        <v>343</v>
      </c>
      <c r="M2199" s="105" t="s">
        <v>655</v>
      </c>
      <c r="N2199" s="105" t="s">
        <v>656</v>
      </c>
      <c r="O2199" s="105" t="s">
        <v>656</v>
      </c>
      <c r="P2199" s="105" t="s">
        <v>339</v>
      </c>
      <c r="Q2199" s="494">
        <v>0</v>
      </c>
      <c r="R2199" s="494">
        <v>0</v>
      </c>
      <c r="S2199" s="494">
        <v>4955</v>
      </c>
      <c r="T2199" s="494">
        <v>4955</v>
      </c>
      <c r="U2199" s="494">
        <v>1452</v>
      </c>
      <c r="V2199" s="493">
        <v>2024</v>
      </c>
      <c r="W2199" s="495"/>
      <c r="X2199" s="496">
        <f t="shared" si="143"/>
        <v>3.412534435261708</v>
      </c>
      <c r="Y2199" s="497" t="str">
        <f t="shared" si="144"/>
        <v/>
      </c>
      <c r="Z2199" s="497" t="str">
        <f t="shared" si="144"/>
        <v/>
      </c>
    </row>
    <row r="2200" spans="1:26" s="82" customFormat="1" x14ac:dyDescent="0.4">
      <c r="A2200" s="493">
        <v>64371</v>
      </c>
      <c r="B2200" s="105" t="s">
        <v>329</v>
      </c>
      <c r="C2200" s="493" t="s">
        <v>330</v>
      </c>
      <c r="D2200" s="105" t="s">
        <v>2594</v>
      </c>
      <c r="E2200" s="105" t="s">
        <v>2595</v>
      </c>
      <c r="F2200" s="493">
        <v>63991</v>
      </c>
      <c r="G2200" s="105" t="s">
        <v>52</v>
      </c>
      <c r="H2200" s="105" t="s">
        <v>333</v>
      </c>
      <c r="I2200" s="105" t="s">
        <v>334</v>
      </c>
      <c r="J2200" s="493">
        <v>22</v>
      </c>
      <c r="K2200" s="493">
        <v>2</v>
      </c>
      <c r="L2200" s="105" t="s">
        <v>343</v>
      </c>
      <c r="M2200" s="105" t="s">
        <v>655</v>
      </c>
      <c r="N2200" s="105" t="s">
        <v>656</v>
      </c>
      <c r="O2200" s="105" t="s">
        <v>656</v>
      </c>
      <c r="P2200" s="105" t="s">
        <v>339</v>
      </c>
      <c r="Q2200" s="494">
        <v>0</v>
      </c>
      <c r="R2200" s="494">
        <v>0</v>
      </c>
      <c r="S2200" s="494">
        <v>22269</v>
      </c>
      <c r="T2200" s="494">
        <v>22269</v>
      </c>
      <c r="U2200" s="494">
        <v>6527</v>
      </c>
      <c r="V2200" s="493">
        <v>2024</v>
      </c>
      <c r="W2200" s="495"/>
      <c r="X2200" s="496">
        <f t="shared" si="143"/>
        <v>3.4118277922475868</v>
      </c>
      <c r="Y2200" s="497" t="str">
        <f t="shared" si="144"/>
        <v/>
      </c>
      <c r="Z2200" s="497" t="str">
        <f t="shared" si="144"/>
        <v/>
      </c>
    </row>
    <row r="2201" spans="1:26" s="82" customFormat="1" x14ac:dyDescent="0.4">
      <c r="A2201" s="493">
        <v>64372</v>
      </c>
      <c r="B2201" s="105" t="s">
        <v>329</v>
      </c>
      <c r="C2201" s="493" t="s">
        <v>330</v>
      </c>
      <c r="D2201" s="105" t="s">
        <v>2596</v>
      </c>
      <c r="E2201" s="105" t="s">
        <v>2595</v>
      </c>
      <c r="F2201" s="493">
        <v>63991</v>
      </c>
      <c r="G2201" s="105" t="s">
        <v>52</v>
      </c>
      <c r="H2201" s="105" t="s">
        <v>333</v>
      </c>
      <c r="I2201" s="105" t="s">
        <v>334</v>
      </c>
      <c r="J2201" s="493">
        <v>22</v>
      </c>
      <c r="K2201" s="493">
        <v>2</v>
      </c>
      <c r="L2201" s="105" t="s">
        <v>343</v>
      </c>
      <c r="M2201" s="105" t="s">
        <v>655</v>
      </c>
      <c r="N2201" s="105" t="s">
        <v>656</v>
      </c>
      <c r="O2201" s="105" t="s">
        <v>656</v>
      </c>
      <c r="P2201" s="105" t="s">
        <v>339</v>
      </c>
      <c r="Q2201" s="494">
        <v>0</v>
      </c>
      <c r="R2201" s="494">
        <v>0</v>
      </c>
      <c r="S2201" s="494">
        <v>27025</v>
      </c>
      <c r="T2201" s="494">
        <v>27025</v>
      </c>
      <c r="U2201" s="494">
        <v>7921</v>
      </c>
      <c r="V2201" s="493">
        <v>2024</v>
      </c>
      <c r="W2201" s="495"/>
      <c r="X2201" s="496">
        <f t="shared" si="143"/>
        <v>3.4118166898118925</v>
      </c>
      <c r="Y2201" s="497" t="str">
        <f t="shared" si="144"/>
        <v/>
      </c>
      <c r="Z2201" s="497" t="str">
        <f t="shared" si="144"/>
        <v/>
      </c>
    </row>
    <row r="2202" spans="1:26" s="82" customFormat="1" x14ac:dyDescent="0.4">
      <c r="A2202" s="493">
        <v>64373</v>
      </c>
      <c r="B2202" s="105" t="s">
        <v>329</v>
      </c>
      <c r="C2202" s="493" t="s">
        <v>330</v>
      </c>
      <c r="D2202" s="105" t="s">
        <v>2597</v>
      </c>
      <c r="E2202" s="105" t="s">
        <v>2595</v>
      </c>
      <c r="F2202" s="493">
        <v>63991</v>
      </c>
      <c r="G2202" s="105" t="s">
        <v>52</v>
      </c>
      <c r="H2202" s="105" t="s">
        <v>333</v>
      </c>
      <c r="I2202" s="105" t="s">
        <v>334</v>
      </c>
      <c r="J2202" s="493">
        <v>22</v>
      </c>
      <c r="K2202" s="493">
        <v>2</v>
      </c>
      <c r="L2202" s="105" t="s">
        <v>343</v>
      </c>
      <c r="M2202" s="105" t="s">
        <v>655</v>
      </c>
      <c r="N2202" s="105" t="s">
        <v>656</v>
      </c>
      <c r="O2202" s="105" t="s">
        <v>656</v>
      </c>
      <c r="P2202" s="105" t="s">
        <v>339</v>
      </c>
      <c r="Q2202" s="494">
        <v>0</v>
      </c>
      <c r="R2202" s="494">
        <v>0</v>
      </c>
      <c r="S2202" s="494">
        <v>28575</v>
      </c>
      <c r="T2202" s="494">
        <v>28575</v>
      </c>
      <c r="U2202" s="494">
        <v>8375</v>
      </c>
      <c r="V2202" s="493">
        <v>2024</v>
      </c>
      <c r="W2202" s="495"/>
      <c r="X2202" s="496">
        <f t="shared" si="143"/>
        <v>3.4119402985074627</v>
      </c>
      <c r="Y2202" s="497" t="str">
        <f t="shared" si="144"/>
        <v/>
      </c>
      <c r="Z2202" s="497" t="str">
        <f t="shared" si="144"/>
        <v/>
      </c>
    </row>
    <row r="2203" spans="1:26" s="82" customFormat="1" x14ac:dyDescent="0.4">
      <c r="A2203" s="493">
        <v>64374</v>
      </c>
      <c r="B2203" s="105" t="s">
        <v>329</v>
      </c>
      <c r="C2203" s="493" t="s">
        <v>330</v>
      </c>
      <c r="D2203" s="105" t="s">
        <v>2598</v>
      </c>
      <c r="E2203" s="105" t="s">
        <v>2595</v>
      </c>
      <c r="F2203" s="493">
        <v>63991</v>
      </c>
      <c r="G2203" s="105" t="s">
        <v>52</v>
      </c>
      <c r="H2203" s="105" t="s">
        <v>333</v>
      </c>
      <c r="I2203" s="105" t="s">
        <v>334</v>
      </c>
      <c r="J2203" s="493">
        <v>22</v>
      </c>
      <c r="K2203" s="493">
        <v>2</v>
      </c>
      <c r="L2203" s="105" t="s">
        <v>343</v>
      </c>
      <c r="M2203" s="105" t="s">
        <v>403</v>
      </c>
      <c r="N2203" s="105" t="s">
        <v>404</v>
      </c>
      <c r="O2203" s="105" t="s">
        <v>232</v>
      </c>
      <c r="P2203" s="105" t="s">
        <v>346</v>
      </c>
      <c r="Q2203" s="494">
        <v>574</v>
      </c>
      <c r="R2203" s="494">
        <v>574</v>
      </c>
      <c r="S2203" s="494">
        <v>0</v>
      </c>
      <c r="T2203" s="494">
        <v>0</v>
      </c>
      <c r="U2203" s="494">
        <v>-53</v>
      </c>
      <c r="V2203" s="493">
        <v>2024</v>
      </c>
      <c r="W2203" s="495"/>
      <c r="X2203" s="496" t="str">
        <f t="shared" si="143"/>
        <v/>
      </c>
      <c r="Y2203" s="497" t="str">
        <f t="shared" si="144"/>
        <v/>
      </c>
      <c r="Z2203" s="497" t="str">
        <f t="shared" si="144"/>
        <v/>
      </c>
    </row>
    <row r="2204" spans="1:26" s="82" customFormat="1" x14ac:dyDescent="0.4">
      <c r="A2204" s="493">
        <v>64374</v>
      </c>
      <c r="B2204" s="105" t="s">
        <v>329</v>
      </c>
      <c r="C2204" s="493" t="s">
        <v>330</v>
      </c>
      <c r="D2204" s="105" t="s">
        <v>2598</v>
      </c>
      <c r="E2204" s="105" t="s">
        <v>2595</v>
      </c>
      <c r="F2204" s="493">
        <v>63991</v>
      </c>
      <c r="G2204" s="105" t="s">
        <v>52</v>
      </c>
      <c r="H2204" s="105" t="s">
        <v>333</v>
      </c>
      <c r="I2204" s="105" t="s">
        <v>334</v>
      </c>
      <c r="J2204" s="493">
        <v>22</v>
      </c>
      <c r="K2204" s="493">
        <v>2</v>
      </c>
      <c r="L2204" s="105" t="s">
        <v>343</v>
      </c>
      <c r="M2204" s="105" t="s">
        <v>655</v>
      </c>
      <c r="N2204" s="105" t="s">
        <v>656</v>
      </c>
      <c r="O2204" s="105" t="s">
        <v>656</v>
      </c>
      <c r="P2204" s="105" t="s">
        <v>339</v>
      </c>
      <c r="Q2204" s="494">
        <v>0</v>
      </c>
      <c r="R2204" s="494">
        <v>0</v>
      </c>
      <c r="S2204" s="494">
        <v>25290</v>
      </c>
      <c r="T2204" s="494">
        <v>25290</v>
      </c>
      <c r="U2204" s="494">
        <v>7412</v>
      </c>
      <c r="V2204" s="493">
        <v>2024</v>
      </c>
      <c r="W2204" s="495"/>
      <c r="X2204" s="496">
        <f t="shared" si="143"/>
        <v>3.4120345385860764</v>
      </c>
      <c r="Y2204" s="497" t="str">
        <f t="shared" si="144"/>
        <v/>
      </c>
      <c r="Z2204" s="497" t="str">
        <f t="shared" si="144"/>
        <v/>
      </c>
    </row>
    <row r="2205" spans="1:26" s="82" customFormat="1" ht="32" x14ac:dyDescent="0.4">
      <c r="A2205" s="493">
        <v>64378</v>
      </c>
      <c r="B2205" s="105" t="s">
        <v>329</v>
      </c>
      <c r="C2205" s="493" t="s">
        <v>330</v>
      </c>
      <c r="D2205" s="105" t="s">
        <v>2599</v>
      </c>
      <c r="E2205" s="105" t="s">
        <v>2600</v>
      </c>
      <c r="F2205" s="493">
        <v>64585</v>
      </c>
      <c r="G2205" s="105" t="s">
        <v>33</v>
      </c>
      <c r="H2205" s="105" t="s">
        <v>342</v>
      </c>
      <c r="I2205" s="105" t="s">
        <v>334</v>
      </c>
      <c r="J2205" s="493">
        <v>311</v>
      </c>
      <c r="K2205" s="493">
        <v>6</v>
      </c>
      <c r="L2205" s="105" t="s">
        <v>729</v>
      </c>
      <c r="M2205" s="105" t="s">
        <v>359</v>
      </c>
      <c r="N2205" s="105" t="s">
        <v>226</v>
      </c>
      <c r="O2205" s="105" t="s">
        <v>226</v>
      </c>
      <c r="P2205" s="105" t="s">
        <v>350</v>
      </c>
      <c r="Q2205" s="494">
        <v>0</v>
      </c>
      <c r="R2205" s="494">
        <v>0</v>
      </c>
      <c r="S2205" s="494">
        <v>0</v>
      </c>
      <c r="T2205" s="494">
        <v>0</v>
      </c>
      <c r="U2205" s="494">
        <v>0</v>
      </c>
      <c r="V2205" s="493">
        <v>2024</v>
      </c>
      <c r="W2205" s="495"/>
      <c r="X2205" s="496" t="str">
        <f t="shared" si="143"/>
        <v/>
      </c>
      <c r="Y2205" s="497" t="str">
        <f t="shared" si="144"/>
        <v/>
      </c>
      <c r="Z2205" s="497" t="str">
        <f t="shared" si="144"/>
        <v/>
      </c>
    </row>
    <row r="2206" spans="1:26" s="82" customFormat="1" ht="32" x14ac:dyDescent="0.4">
      <c r="A2206" s="493">
        <v>64382</v>
      </c>
      <c r="B2206" s="105" t="s">
        <v>329</v>
      </c>
      <c r="C2206" s="493" t="s">
        <v>330</v>
      </c>
      <c r="D2206" s="105" t="s">
        <v>2601</v>
      </c>
      <c r="E2206" s="105" t="s">
        <v>2602</v>
      </c>
      <c r="F2206" s="493">
        <v>63994</v>
      </c>
      <c r="G2206" s="105" t="s">
        <v>33</v>
      </c>
      <c r="H2206" s="105" t="s">
        <v>342</v>
      </c>
      <c r="I2206" s="105" t="s">
        <v>334</v>
      </c>
      <c r="J2206" s="493">
        <v>334</v>
      </c>
      <c r="K2206" s="493">
        <v>6</v>
      </c>
      <c r="L2206" s="105" t="s">
        <v>729</v>
      </c>
      <c r="M2206" s="105" t="s">
        <v>359</v>
      </c>
      <c r="N2206" s="105" t="s">
        <v>226</v>
      </c>
      <c r="O2206" s="105" t="s">
        <v>226</v>
      </c>
      <c r="P2206" s="105" t="s">
        <v>350</v>
      </c>
      <c r="Q2206" s="494">
        <v>5</v>
      </c>
      <c r="R2206" s="494">
        <v>5</v>
      </c>
      <c r="S2206" s="494">
        <v>29</v>
      </c>
      <c r="T2206" s="494">
        <v>29</v>
      </c>
      <c r="U2206" s="494">
        <v>-1822.2570000000001</v>
      </c>
      <c r="V2206" s="493">
        <v>2024</v>
      </c>
      <c r="W2206" s="495"/>
      <c r="X2206" s="496" t="str">
        <f t="shared" si="143"/>
        <v/>
      </c>
      <c r="Y2206" s="497" t="str">
        <f t="shared" si="144"/>
        <v/>
      </c>
      <c r="Z2206" s="497" t="str">
        <f t="shared" si="144"/>
        <v/>
      </c>
    </row>
    <row r="2207" spans="1:26" s="82" customFormat="1" ht="32" x14ac:dyDescent="0.4">
      <c r="A2207" s="493">
        <v>64382</v>
      </c>
      <c r="B2207" s="105" t="s">
        <v>329</v>
      </c>
      <c r="C2207" s="493" t="s">
        <v>330</v>
      </c>
      <c r="D2207" s="105" t="s">
        <v>2601</v>
      </c>
      <c r="E2207" s="105" t="s">
        <v>2602</v>
      </c>
      <c r="F2207" s="493">
        <v>63994</v>
      </c>
      <c r="G2207" s="105" t="s">
        <v>33</v>
      </c>
      <c r="H2207" s="105" t="s">
        <v>342</v>
      </c>
      <c r="I2207" s="105" t="s">
        <v>334</v>
      </c>
      <c r="J2207" s="493">
        <v>334</v>
      </c>
      <c r="K2207" s="493">
        <v>6</v>
      </c>
      <c r="L2207" s="105" t="s">
        <v>729</v>
      </c>
      <c r="M2207" s="105" t="s">
        <v>359</v>
      </c>
      <c r="N2207" s="105" t="s">
        <v>228</v>
      </c>
      <c r="O2207" s="105" t="s">
        <v>228</v>
      </c>
      <c r="P2207" s="105" t="s">
        <v>356</v>
      </c>
      <c r="Q2207" s="494">
        <v>126</v>
      </c>
      <c r="R2207" s="494">
        <v>126</v>
      </c>
      <c r="S2207" s="494">
        <v>126</v>
      </c>
      <c r="T2207" s="494">
        <v>126</v>
      </c>
      <c r="U2207" s="494">
        <v>-8075.7430000000004</v>
      </c>
      <c r="V2207" s="493">
        <v>2024</v>
      </c>
      <c r="W2207" s="495"/>
      <c r="X2207" s="496" t="str">
        <f t="shared" si="143"/>
        <v/>
      </c>
      <c r="Y2207" s="497" t="str">
        <f t="shared" si="144"/>
        <v/>
      </c>
      <c r="Z2207" s="497" t="str">
        <f t="shared" si="144"/>
        <v/>
      </c>
    </row>
    <row r="2208" spans="1:26" s="82" customFormat="1" x14ac:dyDescent="0.4">
      <c r="A2208" s="493">
        <v>64387</v>
      </c>
      <c r="B2208" s="105" t="s">
        <v>329</v>
      </c>
      <c r="C2208" s="493" t="s">
        <v>330</v>
      </c>
      <c r="D2208" s="105" t="s">
        <v>2603</v>
      </c>
      <c r="E2208" s="105" t="s">
        <v>2604</v>
      </c>
      <c r="F2208" s="493">
        <v>63999</v>
      </c>
      <c r="G2208" s="105" t="s">
        <v>37</v>
      </c>
      <c r="H2208" s="105" t="s">
        <v>342</v>
      </c>
      <c r="I2208" s="105" t="s">
        <v>334</v>
      </c>
      <c r="J2208" s="493">
        <v>22</v>
      </c>
      <c r="K2208" s="493">
        <v>2</v>
      </c>
      <c r="L2208" s="105" t="s">
        <v>343</v>
      </c>
      <c r="M2208" s="105" t="s">
        <v>655</v>
      </c>
      <c r="N2208" s="105" t="s">
        <v>656</v>
      </c>
      <c r="O2208" s="105" t="s">
        <v>656</v>
      </c>
      <c r="P2208" s="105" t="s">
        <v>339</v>
      </c>
      <c r="Q2208" s="494">
        <v>0</v>
      </c>
      <c r="R2208" s="494">
        <v>0</v>
      </c>
      <c r="S2208" s="494">
        <v>271285</v>
      </c>
      <c r="T2208" s="494">
        <v>271285</v>
      </c>
      <c r="U2208" s="494">
        <v>79509</v>
      </c>
      <c r="V2208" s="493">
        <v>2024</v>
      </c>
      <c r="W2208" s="495"/>
      <c r="X2208" s="496">
        <f t="shared" si="143"/>
        <v>3.4120036725402154</v>
      </c>
      <c r="Y2208" s="497" t="str">
        <f t="shared" ref="Y2208:Z2227" si="145">IF(AND($M2208=$Y$2,$N2208=$Y$3,NOT($Q2208=$R2208),NOT($U2208=0)),IF($K2208=5,$S2208/($U2208+(8/5)*$U2208),IF($K2208=7,$S2208/($U2208+(29/25)*$U2208),"")),"")</f>
        <v/>
      </c>
      <c r="Z2208" s="497" t="str">
        <f t="shared" si="145"/>
        <v/>
      </c>
    </row>
    <row r="2209" spans="1:26" s="82" customFormat="1" x14ac:dyDescent="0.4">
      <c r="A2209" s="493">
        <v>64395</v>
      </c>
      <c r="B2209" s="105" t="s">
        <v>329</v>
      </c>
      <c r="C2209" s="493" t="s">
        <v>330</v>
      </c>
      <c r="D2209" s="105" t="s">
        <v>2605</v>
      </c>
      <c r="E2209" s="105" t="s">
        <v>1448</v>
      </c>
      <c r="F2209" s="493">
        <v>61012</v>
      </c>
      <c r="G2209" s="105" t="s">
        <v>33</v>
      </c>
      <c r="H2209" s="105" t="s">
        <v>342</v>
      </c>
      <c r="I2209" s="105" t="s">
        <v>334</v>
      </c>
      <c r="J2209" s="493">
        <v>22</v>
      </c>
      <c r="K2209" s="493">
        <v>2</v>
      </c>
      <c r="L2209" s="105" t="s">
        <v>343</v>
      </c>
      <c r="M2209" s="105" t="s">
        <v>403</v>
      </c>
      <c r="N2209" s="105" t="s">
        <v>404</v>
      </c>
      <c r="O2209" s="105" t="s">
        <v>232</v>
      </c>
      <c r="P2209" s="105" t="s">
        <v>346</v>
      </c>
      <c r="Q2209" s="494">
        <v>414</v>
      </c>
      <c r="R2209" s="494">
        <v>414</v>
      </c>
      <c r="S2209" s="494">
        <v>0</v>
      </c>
      <c r="T2209" s="494">
        <v>0</v>
      </c>
      <c r="U2209" s="494">
        <v>-73</v>
      </c>
      <c r="V2209" s="493">
        <v>2024</v>
      </c>
      <c r="W2209" s="495"/>
      <c r="X2209" s="496" t="str">
        <f t="shared" si="143"/>
        <v/>
      </c>
      <c r="Y2209" s="497" t="str">
        <f t="shared" si="145"/>
        <v/>
      </c>
      <c r="Z2209" s="497" t="str">
        <f t="shared" si="145"/>
        <v/>
      </c>
    </row>
    <row r="2210" spans="1:26" s="82" customFormat="1" x14ac:dyDescent="0.4">
      <c r="A2210" s="493">
        <v>64395</v>
      </c>
      <c r="B2210" s="105" t="s">
        <v>329</v>
      </c>
      <c r="C2210" s="493" t="s">
        <v>330</v>
      </c>
      <c r="D2210" s="105" t="s">
        <v>2605</v>
      </c>
      <c r="E2210" s="105" t="s">
        <v>1448</v>
      </c>
      <c r="F2210" s="493">
        <v>61012</v>
      </c>
      <c r="G2210" s="105" t="s">
        <v>33</v>
      </c>
      <c r="H2210" s="105" t="s">
        <v>342</v>
      </c>
      <c r="I2210" s="105" t="s">
        <v>334</v>
      </c>
      <c r="J2210" s="493">
        <v>22</v>
      </c>
      <c r="K2210" s="493">
        <v>2</v>
      </c>
      <c r="L2210" s="105" t="s">
        <v>343</v>
      </c>
      <c r="M2210" s="105" t="s">
        <v>655</v>
      </c>
      <c r="N2210" s="105" t="s">
        <v>656</v>
      </c>
      <c r="O2210" s="105" t="s">
        <v>656</v>
      </c>
      <c r="P2210" s="105" t="s">
        <v>339</v>
      </c>
      <c r="Q2210" s="494">
        <v>0</v>
      </c>
      <c r="R2210" s="494">
        <v>0</v>
      </c>
      <c r="S2210" s="494">
        <v>16757</v>
      </c>
      <c r="T2210" s="494">
        <v>16757</v>
      </c>
      <c r="U2210" s="494">
        <v>4911</v>
      </c>
      <c r="V2210" s="493">
        <v>2024</v>
      </c>
      <c r="W2210" s="495"/>
      <c r="X2210" s="496">
        <f t="shared" si="143"/>
        <v>3.4121360211769498</v>
      </c>
      <c r="Y2210" s="497" t="str">
        <f t="shared" si="145"/>
        <v/>
      </c>
      <c r="Z2210" s="497" t="str">
        <f t="shared" si="145"/>
        <v/>
      </c>
    </row>
    <row r="2211" spans="1:26" s="82" customFormat="1" x14ac:dyDescent="0.4">
      <c r="A2211" s="493">
        <v>64408</v>
      </c>
      <c r="B2211" s="105" t="s">
        <v>433</v>
      </c>
      <c r="C2211" s="493" t="s">
        <v>330</v>
      </c>
      <c r="D2211" s="105" t="s">
        <v>2606</v>
      </c>
      <c r="E2211" s="105" t="s">
        <v>890</v>
      </c>
      <c r="F2211" s="493">
        <v>16191</v>
      </c>
      <c r="G2211" s="105" t="s">
        <v>34</v>
      </c>
      <c r="H2211" s="105" t="s">
        <v>342</v>
      </c>
      <c r="I2211" s="105" t="s">
        <v>334</v>
      </c>
      <c r="J2211" s="493">
        <v>22</v>
      </c>
      <c r="K2211" s="493">
        <v>3</v>
      </c>
      <c r="L2211" s="105" t="s">
        <v>436</v>
      </c>
      <c r="M2211" s="105" t="s">
        <v>360</v>
      </c>
      <c r="N2211" s="105" t="s">
        <v>258</v>
      </c>
      <c r="O2211" s="105" t="s">
        <v>387</v>
      </c>
      <c r="P2211" s="105" t="s">
        <v>388</v>
      </c>
      <c r="Q2211" s="494">
        <v>124283</v>
      </c>
      <c r="R2211" s="494">
        <v>77941</v>
      </c>
      <c r="S2211" s="494">
        <v>1060135</v>
      </c>
      <c r="T2211" s="494">
        <v>664838</v>
      </c>
      <c r="U2211" s="494">
        <v>51885</v>
      </c>
      <c r="V2211" s="493">
        <v>2024</v>
      </c>
      <c r="W2211" s="495"/>
      <c r="X2211" s="496">
        <f t="shared" si="143"/>
        <v>12.813684109087404</v>
      </c>
      <c r="Y2211" s="497" t="str">
        <f t="shared" si="145"/>
        <v/>
      </c>
      <c r="Z2211" s="497" t="str">
        <f t="shared" si="145"/>
        <v/>
      </c>
    </row>
    <row r="2212" spans="1:26" s="82" customFormat="1" x14ac:dyDescent="0.4">
      <c r="A2212" s="493">
        <v>64417</v>
      </c>
      <c r="B2212" s="105" t="s">
        <v>329</v>
      </c>
      <c r="C2212" s="493" t="s">
        <v>330</v>
      </c>
      <c r="D2212" s="105" t="s">
        <v>2607</v>
      </c>
      <c r="E2212" s="105" t="s">
        <v>2608</v>
      </c>
      <c r="F2212" s="493">
        <v>64057</v>
      </c>
      <c r="G2212" s="105" t="s">
        <v>33</v>
      </c>
      <c r="H2212" s="105" t="s">
        <v>342</v>
      </c>
      <c r="I2212" s="105" t="s">
        <v>334</v>
      </c>
      <c r="J2212" s="493">
        <v>22</v>
      </c>
      <c r="K2212" s="493">
        <v>2</v>
      </c>
      <c r="L2212" s="105" t="s">
        <v>343</v>
      </c>
      <c r="M2212" s="105" t="s">
        <v>655</v>
      </c>
      <c r="N2212" s="105" t="s">
        <v>656</v>
      </c>
      <c r="O2212" s="105" t="s">
        <v>656</v>
      </c>
      <c r="P2212" s="105" t="s">
        <v>339</v>
      </c>
      <c r="Q2212" s="494">
        <v>0</v>
      </c>
      <c r="R2212" s="494">
        <v>0</v>
      </c>
      <c r="S2212" s="494">
        <v>18166</v>
      </c>
      <c r="T2212" s="494">
        <v>18166</v>
      </c>
      <c r="U2212" s="494">
        <v>5324</v>
      </c>
      <c r="V2212" s="493">
        <v>2024</v>
      </c>
      <c r="W2212" s="495"/>
      <c r="X2212" s="496">
        <f t="shared" si="143"/>
        <v>3.4120961682945152</v>
      </c>
      <c r="Y2212" s="497" t="str">
        <f t="shared" si="145"/>
        <v/>
      </c>
      <c r="Z2212" s="497" t="str">
        <f t="shared" si="145"/>
        <v/>
      </c>
    </row>
    <row r="2213" spans="1:26" s="82" customFormat="1" x14ac:dyDescent="0.4">
      <c r="A2213" s="493">
        <v>64419</v>
      </c>
      <c r="B2213" s="105" t="s">
        <v>329</v>
      </c>
      <c r="C2213" s="493" t="s">
        <v>330</v>
      </c>
      <c r="D2213" s="105" t="s">
        <v>2609</v>
      </c>
      <c r="E2213" s="105" t="s">
        <v>2610</v>
      </c>
      <c r="F2213" s="493">
        <v>64067</v>
      </c>
      <c r="G2213" s="105" t="s">
        <v>33</v>
      </c>
      <c r="H2213" s="105" t="s">
        <v>342</v>
      </c>
      <c r="I2213" s="105" t="s">
        <v>334</v>
      </c>
      <c r="J2213" s="493">
        <v>22</v>
      </c>
      <c r="K2213" s="493">
        <v>2</v>
      </c>
      <c r="L2213" s="105" t="s">
        <v>343</v>
      </c>
      <c r="M2213" s="105" t="s">
        <v>655</v>
      </c>
      <c r="N2213" s="105" t="s">
        <v>656</v>
      </c>
      <c r="O2213" s="105" t="s">
        <v>656</v>
      </c>
      <c r="P2213" s="105" t="s">
        <v>339</v>
      </c>
      <c r="Q2213" s="494">
        <v>0</v>
      </c>
      <c r="R2213" s="494">
        <v>0</v>
      </c>
      <c r="S2213" s="494">
        <v>17232</v>
      </c>
      <c r="T2213" s="494">
        <v>17232</v>
      </c>
      <c r="U2213" s="494">
        <v>5051</v>
      </c>
      <c r="V2213" s="493">
        <v>2024</v>
      </c>
      <c r="W2213" s="495"/>
      <c r="X2213" s="496">
        <f t="shared" si="143"/>
        <v>3.4116016630370223</v>
      </c>
      <c r="Y2213" s="497" t="str">
        <f t="shared" si="145"/>
        <v/>
      </c>
      <c r="Z2213" s="497" t="str">
        <f t="shared" si="145"/>
        <v/>
      </c>
    </row>
    <row r="2214" spans="1:26" s="82" customFormat="1" ht="32" x14ac:dyDescent="0.4">
      <c r="A2214" s="493">
        <v>64421</v>
      </c>
      <c r="B2214" s="105" t="s">
        <v>329</v>
      </c>
      <c r="C2214" s="493" t="s">
        <v>330</v>
      </c>
      <c r="D2214" s="105" t="s">
        <v>2611</v>
      </c>
      <c r="E2214" s="105" t="s">
        <v>2234</v>
      </c>
      <c r="F2214" s="493">
        <v>62719</v>
      </c>
      <c r="G2214" s="105" t="s">
        <v>52</v>
      </c>
      <c r="H2214" s="105" t="s">
        <v>333</v>
      </c>
      <c r="I2214" s="105" t="s">
        <v>334</v>
      </c>
      <c r="J2214" s="493">
        <v>22</v>
      </c>
      <c r="K2214" s="493">
        <v>2</v>
      </c>
      <c r="L2214" s="105" t="s">
        <v>343</v>
      </c>
      <c r="M2214" s="105" t="s">
        <v>655</v>
      </c>
      <c r="N2214" s="105" t="s">
        <v>656</v>
      </c>
      <c r="O2214" s="105" t="s">
        <v>656</v>
      </c>
      <c r="P2214" s="105" t="s">
        <v>339</v>
      </c>
      <c r="Q2214" s="494">
        <v>0</v>
      </c>
      <c r="R2214" s="494">
        <v>0</v>
      </c>
      <c r="S2214" s="494">
        <v>10440</v>
      </c>
      <c r="T2214" s="494">
        <v>10440</v>
      </c>
      <c r="U2214" s="494">
        <v>3060</v>
      </c>
      <c r="V2214" s="493">
        <v>2024</v>
      </c>
      <c r="W2214" s="495"/>
      <c r="X2214" s="496">
        <f t="shared" si="143"/>
        <v>3.4117647058823528</v>
      </c>
      <c r="Y2214" s="497" t="str">
        <f t="shared" si="145"/>
        <v/>
      </c>
      <c r="Z2214" s="497" t="str">
        <f t="shared" si="145"/>
        <v/>
      </c>
    </row>
    <row r="2215" spans="1:26" s="82" customFormat="1" ht="32" x14ac:dyDescent="0.4">
      <c r="A2215" s="493">
        <v>64432</v>
      </c>
      <c r="B2215" s="105" t="s">
        <v>329</v>
      </c>
      <c r="C2215" s="493" t="s">
        <v>330</v>
      </c>
      <c r="D2215" s="105" t="s">
        <v>2612</v>
      </c>
      <c r="E2215" s="105" t="s">
        <v>2613</v>
      </c>
      <c r="F2215" s="493">
        <v>64069</v>
      </c>
      <c r="G2215" s="105" t="s">
        <v>33</v>
      </c>
      <c r="H2215" s="105" t="s">
        <v>342</v>
      </c>
      <c r="I2215" s="105" t="s">
        <v>334</v>
      </c>
      <c r="J2215" s="493">
        <v>22</v>
      </c>
      <c r="K2215" s="493">
        <v>2</v>
      </c>
      <c r="L2215" s="105" t="s">
        <v>343</v>
      </c>
      <c r="M2215" s="105" t="s">
        <v>403</v>
      </c>
      <c r="N2215" s="105" t="s">
        <v>404</v>
      </c>
      <c r="O2215" s="105" t="s">
        <v>232</v>
      </c>
      <c r="P2215" s="105" t="s">
        <v>346</v>
      </c>
      <c r="Q2215" s="494">
        <v>283</v>
      </c>
      <c r="R2215" s="494">
        <v>283</v>
      </c>
      <c r="S2215" s="494">
        <v>0</v>
      </c>
      <c r="T2215" s="494">
        <v>0</v>
      </c>
      <c r="U2215" s="494">
        <v>-41</v>
      </c>
      <c r="V2215" s="493">
        <v>2024</v>
      </c>
      <c r="W2215" s="495"/>
      <c r="X2215" s="496" t="str">
        <f t="shared" si="143"/>
        <v/>
      </c>
      <c r="Y2215" s="497" t="str">
        <f t="shared" si="145"/>
        <v/>
      </c>
      <c r="Z2215" s="497" t="str">
        <f t="shared" si="145"/>
        <v/>
      </c>
    </row>
    <row r="2216" spans="1:26" s="82" customFormat="1" ht="32" x14ac:dyDescent="0.4">
      <c r="A2216" s="493">
        <v>64432</v>
      </c>
      <c r="B2216" s="105" t="s">
        <v>329</v>
      </c>
      <c r="C2216" s="493" t="s">
        <v>330</v>
      </c>
      <c r="D2216" s="105" t="s">
        <v>2612</v>
      </c>
      <c r="E2216" s="105" t="s">
        <v>2613</v>
      </c>
      <c r="F2216" s="493">
        <v>64069</v>
      </c>
      <c r="G2216" s="105" t="s">
        <v>33</v>
      </c>
      <c r="H2216" s="105" t="s">
        <v>342</v>
      </c>
      <c r="I2216" s="105" t="s">
        <v>334</v>
      </c>
      <c r="J2216" s="493">
        <v>22</v>
      </c>
      <c r="K2216" s="493">
        <v>2</v>
      </c>
      <c r="L2216" s="105" t="s">
        <v>343</v>
      </c>
      <c r="M2216" s="105" t="s">
        <v>655</v>
      </c>
      <c r="N2216" s="105" t="s">
        <v>656</v>
      </c>
      <c r="O2216" s="105" t="s">
        <v>656</v>
      </c>
      <c r="P2216" s="105" t="s">
        <v>339</v>
      </c>
      <c r="Q2216" s="494">
        <v>0</v>
      </c>
      <c r="R2216" s="494">
        <v>0</v>
      </c>
      <c r="S2216" s="494">
        <v>23073</v>
      </c>
      <c r="T2216" s="494">
        <v>23073</v>
      </c>
      <c r="U2216" s="494">
        <v>6762</v>
      </c>
      <c r="V2216" s="493">
        <v>2024</v>
      </c>
      <c r="W2216" s="495"/>
      <c r="X2216" s="496">
        <f t="shared" si="143"/>
        <v>3.4121561668145519</v>
      </c>
      <c r="Y2216" s="497" t="str">
        <f t="shared" si="145"/>
        <v/>
      </c>
      <c r="Z2216" s="497" t="str">
        <f t="shared" si="145"/>
        <v/>
      </c>
    </row>
    <row r="2217" spans="1:26" s="82" customFormat="1" x14ac:dyDescent="0.4">
      <c r="A2217" s="493">
        <v>64434</v>
      </c>
      <c r="B2217" s="105" t="s">
        <v>329</v>
      </c>
      <c r="C2217" s="493" t="s">
        <v>330</v>
      </c>
      <c r="D2217" s="105" t="s">
        <v>2614</v>
      </c>
      <c r="E2217" s="105" t="s">
        <v>2615</v>
      </c>
      <c r="F2217" s="493">
        <v>64071</v>
      </c>
      <c r="G2217" s="105" t="s">
        <v>33</v>
      </c>
      <c r="H2217" s="105" t="s">
        <v>342</v>
      </c>
      <c r="I2217" s="105" t="s">
        <v>334</v>
      </c>
      <c r="J2217" s="493">
        <v>22</v>
      </c>
      <c r="K2217" s="493">
        <v>2</v>
      </c>
      <c r="L2217" s="105" t="s">
        <v>343</v>
      </c>
      <c r="M2217" s="105" t="s">
        <v>655</v>
      </c>
      <c r="N2217" s="105" t="s">
        <v>656</v>
      </c>
      <c r="O2217" s="105" t="s">
        <v>656</v>
      </c>
      <c r="P2217" s="105" t="s">
        <v>339</v>
      </c>
      <c r="Q2217" s="494">
        <v>0</v>
      </c>
      <c r="R2217" s="494">
        <v>0</v>
      </c>
      <c r="S2217" s="494">
        <v>14467</v>
      </c>
      <c r="T2217" s="494">
        <v>14467</v>
      </c>
      <c r="U2217" s="494">
        <v>4240</v>
      </c>
      <c r="V2217" s="493">
        <v>2024</v>
      </c>
      <c r="W2217" s="495"/>
      <c r="X2217" s="496">
        <f t="shared" si="143"/>
        <v>3.4120283018867923</v>
      </c>
      <c r="Y2217" s="497" t="str">
        <f t="shared" si="145"/>
        <v/>
      </c>
      <c r="Z2217" s="497" t="str">
        <f t="shared" si="145"/>
        <v/>
      </c>
    </row>
    <row r="2218" spans="1:26" s="82" customFormat="1" x14ac:dyDescent="0.4">
      <c r="A2218" s="493">
        <v>64435</v>
      </c>
      <c r="B2218" s="105" t="s">
        <v>329</v>
      </c>
      <c r="C2218" s="493" t="s">
        <v>330</v>
      </c>
      <c r="D2218" s="105" t="s">
        <v>2616</v>
      </c>
      <c r="E2218" s="105" t="s">
        <v>2617</v>
      </c>
      <c r="F2218" s="493">
        <v>64072</v>
      </c>
      <c r="G2218" s="105" t="s">
        <v>33</v>
      </c>
      <c r="H2218" s="105" t="s">
        <v>342</v>
      </c>
      <c r="I2218" s="105" t="s">
        <v>334</v>
      </c>
      <c r="J2218" s="493">
        <v>22</v>
      </c>
      <c r="K2218" s="493">
        <v>2</v>
      </c>
      <c r="L2218" s="105" t="s">
        <v>343</v>
      </c>
      <c r="M2218" s="105" t="s">
        <v>655</v>
      </c>
      <c r="N2218" s="105" t="s">
        <v>656</v>
      </c>
      <c r="O2218" s="105" t="s">
        <v>656</v>
      </c>
      <c r="P2218" s="105" t="s">
        <v>339</v>
      </c>
      <c r="Q2218" s="494">
        <v>0</v>
      </c>
      <c r="R2218" s="494">
        <v>0</v>
      </c>
      <c r="S2218" s="494">
        <v>8275</v>
      </c>
      <c r="T2218" s="494">
        <v>8275</v>
      </c>
      <c r="U2218" s="494">
        <v>2425</v>
      </c>
      <c r="V2218" s="493">
        <v>2024</v>
      </c>
      <c r="W2218" s="495"/>
      <c r="X2218" s="496">
        <f t="shared" si="143"/>
        <v>3.4123711340206184</v>
      </c>
      <c r="Y2218" s="497" t="str">
        <f t="shared" si="145"/>
        <v/>
      </c>
      <c r="Z2218" s="497" t="str">
        <f t="shared" si="145"/>
        <v/>
      </c>
    </row>
    <row r="2219" spans="1:26" s="82" customFormat="1" ht="32" x14ac:dyDescent="0.4">
      <c r="A2219" s="493">
        <v>64436</v>
      </c>
      <c r="B2219" s="105" t="s">
        <v>329</v>
      </c>
      <c r="C2219" s="493" t="s">
        <v>330</v>
      </c>
      <c r="D2219" s="105" t="s">
        <v>2618</v>
      </c>
      <c r="E2219" s="105" t="s">
        <v>2619</v>
      </c>
      <c r="F2219" s="493">
        <v>64073</v>
      </c>
      <c r="G2219" s="105" t="s">
        <v>33</v>
      </c>
      <c r="H2219" s="105" t="s">
        <v>342</v>
      </c>
      <c r="I2219" s="105" t="s">
        <v>334</v>
      </c>
      <c r="J2219" s="493">
        <v>22</v>
      </c>
      <c r="K2219" s="493">
        <v>2</v>
      </c>
      <c r="L2219" s="105" t="s">
        <v>343</v>
      </c>
      <c r="M2219" s="105" t="s">
        <v>403</v>
      </c>
      <c r="N2219" s="105" t="s">
        <v>404</v>
      </c>
      <c r="O2219" s="105" t="s">
        <v>232</v>
      </c>
      <c r="P2219" s="105" t="s">
        <v>346</v>
      </c>
      <c r="Q2219" s="494">
        <v>402</v>
      </c>
      <c r="R2219" s="494">
        <v>402</v>
      </c>
      <c r="S2219" s="494">
        <v>0</v>
      </c>
      <c r="T2219" s="494">
        <v>0</v>
      </c>
      <c r="U2219" s="494">
        <v>-107</v>
      </c>
      <c r="V2219" s="493">
        <v>2024</v>
      </c>
      <c r="W2219" s="495"/>
      <c r="X2219" s="496" t="str">
        <f t="shared" si="143"/>
        <v/>
      </c>
      <c r="Y2219" s="497" t="str">
        <f t="shared" si="145"/>
        <v/>
      </c>
      <c r="Z2219" s="497" t="str">
        <f t="shared" si="145"/>
        <v/>
      </c>
    </row>
    <row r="2220" spans="1:26" s="82" customFormat="1" ht="32" x14ac:dyDescent="0.4">
      <c r="A2220" s="493">
        <v>64436</v>
      </c>
      <c r="B2220" s="105" t="s">
        <v>329</v>
      </c>
      <c r="C2220" s="493" t="s">
        <v>330</v>
      </c>
      <c r="D2220" s="105" t="s">
        <v>2618</v>
      </c>
      <c r="E2220" s="105" t="s">
        <v>2619</v>
      </c>
      <c r="F2220" s="493">
        <v>64073</v>
      </c>
      <c r="G2220" s="105" t="s">
        <v>33</v>
      </c>
      <c r="H2220" s="105" t="s">
        <v>342</v>
      </c>
      <c r="I2220" s="105" t="s">
        <v>334</v>
      </c>
      <c r="J2220" s="493">
        <v>22</v>
      </c>
      <c r="K2220" s="493">
        <v>2</v>
      </c>
      <c r="L2220" s="105" t="s">
        <v>343</v>
      </c>
      <c r="M2220" s="105" t="s">
        <v>655</v>
      </c>
      <c r="N2220" s="105" t="s">
        <v>656</v>
      </c>
      <c r="O2220" s="105" t="s">
        <v>656</v>
      </c>
      <c r="P2220" s="105" t="s">
        <v>339</v>
      </c>
      <c r="Q2220" s="494">
        <v>0</v>
      </c>
      <c r="R2220" s="494">
        <v>0</v>
      </c>
      <c r="S2220" s="494">
        <v>27619</v>
      </c>
      <c r="T2220" s="494">
        <v>27619</v>
      </c>
      <c r="U2220" s="494">
        <v>8095</v>
      </c>
      <c r="V2220" s="493">
        <v>2024</v>
      </c>
      <c r="W2220" s="495"/>
      <c r="X2220" s="496">
        <f t="shared" si="143"/>
        <v>3.4118591723285978</v>
      </c>
      <c r="Y2220" s="497" t="str">
        <f t="shared" si="145"/>
        <v/>
      </c>
      <c r="Z2220" s="497" t="str">
        <f t="shared" si="145"/>
        <v/>
      </c>
    </row>
    <row r="2221" spans="1:26" s="82" customFormat="1" x14ac:dyDescent="0.4">
      <c r="A2221" s="493">
        <v>64437</v>
      </c>
      <c r="B2221" s="105" t="s">
        <v>329</v>
      </c>
      <c r="C2221" s="493" t="s">
        <v>330</v>
      </c>
      <c r="D2221" s="105" t="s">
        <v>2620</v>
      </c>
      <c r="E2221" s="105" t="s">
        <v>2621</v>
      </c>
      <c r="F2221" s="493">
        <v>64070</v>
      </c>
      <c r="G2221" s="105" t="s">
        <v>33</v>
      </c>
      <c r="H2221" s="105" t="s">
        <v>342</v>
      </c>
      <c r="I2221" s="105" t="s">
        <v>334</v>
      </c>
      <c r="J2221" s="493">
        <v>22</v>
      </c>
      <c r="K2221" s="493">
        <v>2</v>
      </c>
      <c r="L2221" s="105" t="s">
        <v>343</v>
      </c>
      <c r="M2221" s="105" t="s">
        <v>655</v>
      </c>
      <c r="N2221" s="105" t="s">
        <v>656</v>
      </c>
      <c r="O2221" s="105" t="s">
        <v>656</v>
      </c>
      <c r="P2221" s="105" t="s">
        <v>339</v>
      </c>
      <c r="Q2221" s="494">
        <v>0</v>
      </c>
      <c r="R2221" s="494">
        <v>0</v>
      </c>
      <c r="S2221" s="494">
        <v>21295</v>
      </c>
      <c r="T2221" s="494">
        <v>21295</v>
      </c>
      <c r="U2221" s="494">
        <v>6241</v>
      </c>
      <c r="V2221" s="493">
        <v>2024</v>
      </c>
      <c r="W2221" s="495"/>
      <c r="X2221" s="496">
        <f t="shared" si="143"/>
        <v>3.4121134433584364</v>
      </c>
      <c r="Y2221" s="497" t="str">
        <f t="shared" si="145"/>
        <v/>
      </c>
      <c r="Z2221" s="497" t="str">
        <f t="shared" si="145"/>
        <v/>
      </c>
    </row>
    <row r="2222" spans="1:26" s="82" customFormat="1" ht="32" x14ac:dyDescent="0.4">
      <c r="A2222" s="493">
        <v>64442</v>
      </c>
      <c r="B2222" s="105" t="s">
        <v>329</v>
      </c>
      <c r="C2222" s="493" t="s">
        <v>330</v>
      </c>
      <c r="D2222" s="105" t="s">
        <v>2622</v>
      </c>
      <c r="E2222" s="105" t="s">
        <v>1295</v>
      </c>
      <c r="F2222" s="493">
        <v>57365</v>
      </c>
      <c r="G2222" s="105" t="s">
        <v>52</v>
      </c>
      <c r="H2222" s="105" t="s">
        <v>333</v>
      </c>
      <c r="I2222" s="105" t="s">
        <v>334</v>
      </c>
      <c r="J2222" s="493">
        <v>22</v>
      </c>
      <c r="K2222" s="493">
        <v>2</v>
      </c>
      <c r="L2222" s="105" t="s">
        <v>343</v>
      </c>
      <c r="M2222" s="105" t="s">
        <v>403</v>
      </c>
      <c r="N2222" s="105" t="s">
        <v>404</v>
      </c>
      <c r="O2222" s="105" t="s">
        <v>232</v>
      </c>
      <c r="P2222" s="105" t="s">
        <v>346</v>
      </c>
      <c r="Q2222" s="494">
        <v>0</v>
      </c>
      <c r="R2222" s="494">
        <v>0</v>
      </c>
      <c r="S2222" s="494">
        <v>0</v>
      </c>
      <c r="T2222" s="494">
        <v>0</v>
      </c>
      <c r="U2222" s="494">
        <v>0</v>
      </c>
      <c r="V2222" s="493">
        <v>2024</v>
      </c>
      <c r="W2222" s="495"/>
      <c r="X2222" s="496" t="str">
        <f t="shared" si="143"/>
        <v/>
      </c>
      <c r="Y2222" s="497" t="str">
        <f t="shared" si="145"/>
        <v/>
      </c>
      <c r="Z2222" s="497" t="str">
        <f t="shared" si="145"/>
        <v/>
      </c>
    </row>
    <row r="2223" spans="1:26" s="82" customFormat="1" ht="32" x14ac:dyDescent="0.4">
      <c r="A2223" s="493">
        <v>64442</v>
      </c>
      <c r="B2223" s="105" t="s">
        <v>329</v>
      </c>
      <c r="C2223" s="493" t="s">
        <v>330</v>
      </c>
      <c r="D2223" s="105" t="s">
        <v>2622</v>
      </c>
      <c r="E2223" s="105" t="s">
        <v>1295</v>
      </c>
      <c r="F2223" s="493">
        <v>57365</v>
      </c>
      <c r="G2223" s="105" t="s">
        <v>52</v>
      </c>
      <c r="H2223" s="105" t="s">
        <v>333</v>
      </c>
      <c r="I2223" s="105" t="s">
        <v>334</v>
      </c>
      <c r="J2223" s="493">
        <v>22</v>
      </c>
      <c r="K2223" s="493">
        <v>2</v>
      </c>
      <c r="L2223" s="105" t="s">
        <v>343</v>
      </c>
      <c r="M2223" s="105" t="s">
        <v>655</v>
      </c>
      <c r="N2223" s="105" t="s">
        <v>656</v>
      </c>
      <c r="O2223" s="105" t="s">
        <v>656</v>
      </c>
      <c r="P2223" s="105" t="s">
        <v>339</v>
      </c>
      <c r="Q2223" s="494">
        <v>0</v>
      </c>
      <c r="R2223" s="494">
        <v>0</v>
      </c>
      <c r="S2223" s="494">
        <v>2450</v>
      </c>
      <c r="T2223" s="494">
        <v>2450</v>
      </c>
      <c r="U2223" s="494">
        <v>718</v>
      </c>
      <c r="V2223" s="493">
        <v>2024</v>
      </c>
      <c r="W2223" s="495"/>
      <c r="X2223" s="496">
        <f t="shared" si="143"/>
        <v>3.4122562674094707</v>
      </c>
      <c r="Y2223" s="497" t="str">
        <f t="shared" si="145"/>
        <v/>
      </c>
      <c r="Z2223" s="497" t="str">
        <f t="shared" si="145"/>
        <v/>
      </c>
    </row>
    <row r="2224" spans="1:26" s="82" customFormat="1" x14ac:dyDescent="0.4">
      <c r="A2224" s="493">
        <v>64443</v>
      </c>
      <c r="B2224" s="105" t="s">
        <v>329</v>
      </c>
      <c r="C2224" s="493" t="s">
        <v>330</v>
      </c>
      <c r="D2224" s="105" t="s">
        <v>2623</v>
      </c>
      <c r="E2224" s="105" t="s">
        <v>2624</v>
      </c>
      <c r="F2224" s="493">
        <v>62627</v>
      </c>
      <c r="G2224" s="105" t="s">
        <v>36</v>
      </c>
      <c r="H2224" s="105" t="s">
        <v>342</v>
      </c>
      <c r="I2224" s="105" t="s">
        <v>334</v>
      </c>
      <c r="J2224" s="493">
        <v>22</v>
      </c>
      <c r="K2224" s="493">
        <v>2</v>
      </c>
      <c r="L2224" s="105" t="s">
        <v>343</v>
      </c>
      <c r="M2224" s="105" t="s">
        <v>655</v>
      </c>
      <c r="N2224" s="105" t="s">
        <v>656</v>
      </c>
      <c r="O2224" s="105" t="s">
        <v>656</v>
      </c>
      <c r="P2224" s="105" t="s">
        <v>339</v>
      </c>
      <c r="Q2224" s="494">
        <v>0</v>
      </c>
      <c r="R2224" s="494">
        <v>0</v>
      </c>
      <c r="S2224" s="494">
        <v>12303</v>
      </c>
      <c r="T2224" s="494">
        <v>12303</v>
      </c>
      <c r="U2224" s="494">
        <v>3606</v>
      </c>
      <c r="V2224" s="493">
        <v>2024</v>
      </c>
      <c r="W2224" s="495"/>
      <c r="X2224" s="496">
        <f t="shared" si="143"/>
        <v>3.4118136439267888</v>
      </c>
      <c r="Y2224" s="497" t="str">
        <f t="shared" si="145"/>
        <v/>
      </c>
      <c r="Z2224" s="497" t="str">
        <f t="shared" si="145"/>
        <v/>
      </c>
    </row>
    <row r="2225" spans="1:26" s="82" customFormat="1" x14ac:dyDescent="0.4">
      <c r="A2225" s="493">
        <v>64445</v>
      </c>
      <c r="B2225" s="105" t="s">
        <v>329</v>
      </c>
      <c r="C2225" s="493" t="s">
        <v>330</v>
      </c>
      <c r="D2225" s="105" t="s">
        <v>2625</v>
      </c>
      <c r="E2225" s="105" t="s">
        <v>1393</v>
      </c>
      <c r="F2225" s="493">
        <v>57313</v>
      </c>
      <c r="G2225" s="105" t="s">
        <v>52</v>
      </c>
      <c r="H2225" s="105" t="s">
        <v>333</v>
      </c>
      <c r="I2225" s="105" t="s">
        <v>334</v>
      </c>
      <c r="J2225" s="493">
        <v>22</v>
      </c>
      <c r="K2225" s="493">
        <v>2</v>
      </c>
      <c r="L2225" s="105" t="s">
        <v>343</v>
      </c>
      <c r="M2225" s="105" t="s">
        <v>655</v>
      </c>
      <c r="N2225" s="105" t="s">
        <v>656</v>
      </c>
      <c r="O2225" s="105" t="s">
        <v>656</v>
      </c>
      <c r="P2225" s="105" t="s">
        <v>339</v>
      </c>
      <c r="Q2225" s="494">
        <v>0</v>
      </c>
      <c r="R2225" s="494">
        <v>0</v>
      </c>
      <c r="S2225" s="494">
        <v>9120</v>
      </c>
      <c r="T2225" s="494">
        <v>9120</v>
      </c>
      <c r="U2225" s="494">
        <v>2673</v>
      </c>
      <c r="V2225" s="493">
        <v>2024</v>
      </c>
      <c r="W2225" s="495"/>
      <c r="X2225" s="496">
        <f t="shared" si="143"/>
        <v>3.4118967452300786</v>
      </c>
      <c r="Y2225" s="497" t="str">
        <f t="shared" si="145"/>
        <v/>
      </c>
      <c r="Z2225" s="497" t="str">
        <f t="shared" si="145"/>
        <v/>
      </c>
    </row>
    <row r="2226" spans="1:26" s="82" customFormat="1" x14ac:dyDescent="0.4">
      <c r="A2226" s="493">
        <v>64451</v>
      </c>
      <c r="B2226" s="105" t="s">
        <v>329</v>
      </c>
      <c r="C2226" s="493" t="s">
        <v>330</v>
      </c>
      <c r="D2226" s="105" t="s">
        <v>2626</v>
      </c>
      <c r="E2226" s="105" t="s">
        <v>2016</v>
      </c>
      <c r="F2226" s="493">
        <v>65242</v>
      </c>
      <c r="G2226" s="105" t="s">
        <v>52</v>
      </c>
      <c r="H2226" s="105" t="s">
        <v>333</v>
      </c>
      <c r="I2226" s="105" t="s">
        <v>334</v>
      </c>
      <c r="J2226" s="493">
        <v>22</v>
      </c>
      <c r="K2226" s="493">
        <v>2</v>
      </c>
      <c r="L2226" s="105" t="s">
        <v>343</v>
      </c>
      <c r="M2226" s="105" t="s">
        <v>655</v>
      </c>
      <c r="N2226" s="105" t="s">
        <v>656</v>
      </c>
      <c r="O2226" s="105" t="s">
        <v>656</v>
      </c>
      <c r="P2226" s="105" t="s">
        <v>339</v>
      </c>
      <c r="Q2226" s="494">
        <v>0</v>
      </c>
      <c r="R2226" s="494">
        <v>0</v>
      </c>
      <c r="S2226" s="494">
        <v>12152</v>
      </c>
      <c r="T2226" s="494">
        <v>12152</v>
      </c>
      <c r="U2226" s="494">
        <v>3562</v>
      </c>
      <c r="V2226" s="493">
        <v>2024</v>
      </c>
      <c r="W2226" s="495"/>
      <c r="X2226" s="496">
        <f t="shared" si="143"/>
        <v>3.4115665356541269</v>
      </c>
      <c r="Y2226" s="497" t="str">
        <f t="shared" si="145"/>
        <v/>
      </c>
      <c r="Z2226" s="497" t="str">
        <f t="shared" si="145"/>
        <v/>
      </c>
    </row>
    <row r="2227" spans="1:26" s="82" customFormat="1" x14ac:dyDescent="0.4">
      <c r="A2227" s="493">
        <v>64453</v>
      </c>
      <c r="B2227" s="105" t="s">
        <v>329</v>
      </c>
      <c r="C2227" s="493" t="s">
        <v>330</v>
      </c>
      <c r="D2227" s="105" t="s">
        <v>2627</v>
      </c>
      <c r="E2227" s="105" t="s">
        <v>2595</v>
      </c>
      <c r="F2227" s="493">
        <v>63991</v>
      </c>
      <c r="G2227" s="105" t="s">
        <v>52</v>
      </c>
      <c r="H2227" s="105" t="s">
        <v>333</v>
      </c>
      <c r="I2227" s="105" t="s">
        <v>334</v>
      </c>
      <c r="J2227" s="493">
        <v>22</v>
      </c>
      <c r="K2227" s="493">
        <v>2</v>
      </c>
      <c r="L2227" s="105" t="s">
        <v>343</v>
      </c>
      <c r="M2227" s="105" t="s">
        <v>403</v>
      </c>
      <c r="N2227" s="105" t="s">
        <v>404</v>
      </c>
      <c r="O2227" s="105" t="s">
        <v>232</v>
      </c>
      <c r="P2227" s="105" t="s">
        <v>346</v>
      </c>
      <c r="Q2227" s="494">
        <v>0</v>
      </c>
      <c r="R2227" s="494">
        <v>0</v>
      </c>
      <c r="S2227" s="494">
        <v>0</v>
      </c>
      <c r="T2227" s="494">
        <v>0</v>
      </c>
      <c r="U2227" s="494">
        <v>0</v>
      </c>
      <c r="V2227" s="493">
        <v>2024</v>
      </c>
      <c r="W2227" s="495"/>
      <c r="X2227" s="496" t="str">
        <f t="shared" si="143"/>
        <v/>
      </c>
      <c r="Y2227" s="497" t="str">
        <f t="shared" si="145"/>
        <v/>
      </c>
      <c r="Z2227" s="497" t="str">
        <f t="shared" si="145"/>
        <v/>
      </c>
    </row>
    <row r="2228" spans="1:26" s="82" customFormat="1" x14ac:dyDescent="0.4">
      <c r="A2228" s="493">
        <v>64453</v>
      </c>
      <c r="B2228" s="105" t="s">
        <v>329</v>
      </c>
      <c r="C2228" s="493" t="s">
        <v>330</v>
      </c>
      <c r="D2228" s="105" t="s">
        <v>2627</v>
      </c>
      <c r="E2228" s="105" t="s">
        <v>2595</v>
      </c>
      <c r="F2228" s="493">
        <v>63991</v>
      </c>
      <c r="G2228" s="105" t="s">
        <v>52</v>
      </c>
      <c r="H2228" s="105" t="s">
        <v>333</v>
      </c>
      <c r="I2228" s="105" t="s">
        <v>334</v>
      </c>
      <c r="J2228" s="493">
        <v>22</v>
      </c>
      <c r="K2228" s="493">
        <v>2</v>
      </c>
      <c r="L2228" s="105" t="s">
        <v>343</v>
      </c>
      <c r="M2228" s="105" t="s">
        <v>655</v>
      </c>
      <c r="N2228" s="105" t="s">
        <v>656</v>
      </c>
      <c r="O2228" s="105" t="s">
        <v>656</v>
      </c>
      <c r="P2228" s="105" t="s">
        <v>339</v>
      </c>
      <c r="Q2228" s="494">
        <v>0</v>
      </c>
      <c r="R2228" s="494">
        <v>0</v>
      </c>
      <c r="S2228" s="494">
        <v>15810</v>
      </c>
      <c r="T2228" s="494">
        <v>15810</v>
      </c>
      <c r="U2228" s="494">
        <v>4634</v>
      </c>
      <c r="V2228" s="493">
        <v>2024</v>
      </c>
      <c r="W2228" s="495"/>
      <c r="X2228" s="496">
        <f t="shared" si="143"/>
        <v>3.411739318083729</v>
      </c>
      <c r="Y2228" s="497" t="str">
        <f t="shared" ref="Y2228:Z2247" si="146">IF(AND($M2228=$Y$2,$N2228=$Y$3,NOT($Q2228=$R2228),NOT($U2228=0)),IF($K2228=5,$S2228/($U2228+(8/5)*$U2228),IF($K2228=7,$S2228/($U2228+(29/25)*$U2228),"")),"")</f>
        <v/>
      </c>
      <c r="Z2228" s="497" t="str">
        <f t="shared" si="146"/>
        <v/>
      </c>
    </row>
    <row r="2229" spans="1:26" s="82" customFormat="1" x14ac:dyDescent="0.4">
      <c r="A2229" s="493">
        <v>64454</v>
      </c>
      <c r="B2229" s="105" t="s">
        <v>329</v>
      </c>
      <c r="C2229" s="493" t="s">
        <v>330</v>
      </c>
      <c r="D2229" s="105" t="s">
        <v>2628</v>
      </c>
      <c r="E2229" s="105" t="s">
        <v>2629</v>
      </c>
      <c r="F2229" s="493">
        <v>64119</v>
      </c>
      <c r="G2229" s="105" t="s">
        <v>35</v>
      </c>
      <c r="H2229" s="105" t="s">
        <v>342</v>
      </c>
      <c r="I2229" s="105" t="s">
        <v>334</v>
      </c>
      <c r="J2229" s="493">
        <v>22</v>
      </c>
      <c r="K2229" s="493">
        <v>2</v>
      </c>
      <c r="L2229" s="105" t="s">
        <v>343</v>
      </c>
      <c r="M2229" s="105" t="s">
        <v>655</v>
      </c>
      <c r="N2229" s="105" t="s">
        <v>656</v>
      </c>
      <c r="O2229" s="105" t="s">
        <v>656</v>
      </c>
      <c r="P2229" s="105" t="s">
        <v>339</v>
      </c>
      <c r="Q2229" s="494">
        <v>0</v>
      </c>
      <c r="R2229" s="494">
        <v>0</v>
      </c>
      <c r="S2229" s="494">
        <v>11973</v>
      </c>
      <c r="T2229" s="494">
        <v>11973</v>
      </c>
      <c r="U2229" s="494">
        <v>3509</v>
      </c>
      <c r="V2229" s="493">
        <v>2024</v>
      </c>
      <c r="W2229" s="495"/>
      <c r="X2229" s="496">
        <f t="shared" si="143"/>
        <v>3.4120832145910516</v>
      </c>
      <c r="Y2229" s="497" t="str">
        <f t="shared" si="146"/>
        <v/>
      </c>
      <c r="Z2229" s="497" t="str">
        <f t="shared" si="146"/>
        <v/>
      </c>
    </row>
    <row r="2230" spans="1:26" s="82" customFormat="1" ht="32" x14ac:dyDescent="0.4">
      <c r="A2230" s="493">
        <v>64515</v>
      </c>
      <c r="B2230" s="105" t="s">
        <v>329</v>
      </c>
      <c r="C2230" s="493" t="s">
        <v>330</v>
      </c>
      <c r="D2230" s="105" t="s">
        <v>2630</v>
      </c>
      <c r="E2230" s="105" t="s">
        <v>2631</v>
      </c>
      <c r="F2230" s="493">
        <v>64153</v>
      </c>
      <c r="G2230" s="105" t="s">
        <v>37</v>
      </c>
      <c r="H2230" s="105" t="s">
        <v>342</v>
      </c>
      <c r="I2230" s="105" t="s">
        <v>334</v>
      </c>
      <c r="J2230" s="493">
        <v>622</v>
      </c>
      <c r="K2230" s="493">
        <v>4</v>
      </c>
      <c r="L2230" s="105" t="s">
        <v>766</v>
      </c>
      <c r="M2230" s="105" t="s">
        <v>990</v>
      </c>
      <c r="N2230" s="105" t="s">
        <v>228</v>
      </c>
      <c r="O2230" s="105" t="s">
        <v>228</v>
      </c>
      <c r="P2230" s="105" t="s">
        <v>356</v>
      </c>
      <c r="Q2230" s="494">
        <v>104625</v>
      </c>
      <c r="R2230" s="494">
        <v>104625</v>
      </c>
      <c r="S2230" s="494">
        <v>106719</v>
      </c>
      <c r="T2230" s="494">
        <v>106719</v>
      </c>
      <c r="U2230" s="494">
        <v>-46325</v>
      </c>
      <c r="V2230" s="493">
        <v>2024</v>
      </c>
      <c r="W2230" s="495"/>
      <c r="X2230" s="496" t="str">
        <f t="shared" si="143"/>
        <v/>
      </c>
      <c r="Y2230" s="497" t="str">
        <f t="shared" si="146"/>
        <v/>
      </c>
      <c r="Z2230" s="497" t="str">
        <f t="shared" si="146"/>
        <v/>
      </c>
    </row>
    <row r="2231" spans="1:26" s="82" customFormat="1" ht="32" x14ac:dyDescent="0.4">
      <c r="A2231" s="493">
        <v>64515</v>
      </c>
      <c r="B2231" s="105" t="s">
        <v>329</v>
      </c>
      <c r="C2231" s="493" t="s">
        <v>330</v>
      </c>
      <c r="D2231" s="105" t="s">
        <v>2630</v>
      </c>
      <c r="E2231" s="105" t="s">
        <v>2631</v>
      </c>
      <c r="F2231" s="493">
        <v>64153</v>
      </c>
      <c r="G2231" s="105" t="s">
        <v>37</v>
      </c>
      <c r="H2231" s="105" t="s">
        <v>342</v>
      </c>
      <c r="I2231" s="105" t="s">
        <v>334</v>
      </c>
      <c r="J2231" s="493">
        <v>622</v>
      </c>
      <c r="K2231" s="493">
        <v>4</v>
      </c>
      <c r="L2231" s="105" t="s">
        <v>766</v>
      </c>
      <c r="M2231" s="105" t="s">
        <v>359</v>
      </c>
      <c r="N2231" s="105" t="s">
        <v>226</v>
      </c>
      <c r="O2231" s="105" t="s">
        <v>226</v>
      </c>
      <c r="P2231" s="105" t="s">
        <v>350</v>
      </c>
      <c r="Q2231" s="494">
        <v>150</v>
      </c>
      <c r="R2231" s="494">
        <v>150</v>
      </c>
      <c r="S2231" s="494">
        <v>870</v>
      </c>
      <c r="T2231" s="494">
        <v>870</v>
      </c>
      <c r="U2231" s="494">
        <v>-62290</v>
      </c>
      <c r="V2231" s="493">
        <v>2024</v>
      </c>
      <c r="W2231" s="495"/>
      <c r="X2231" s="496" t="str">
        <f t="shared" si="143"/>
        <v/>
      </c>
      <c r="Y2231" s="497" t="str">
        <f t="shared" si="146"/>
        <v/>
      </c>
      <c r="Z2231" s="497" t="str">
        <f t="shared" si="146"/>
        <v/>
      </c>
    </row>
    <row r="2232" spans="1:26" s="82" customFormat="1" x14ac:dyDescent="0.4">
      <c r="A2232" s="493">
        <v>64525</v>
      </c>
      <c r="B2232" s="105" t="s">
        <v>329</v>
      </c>
      <c r="C2232" s="493" t="s">
        <v>330</v>
      </c>
      <c r="D2232" s="105" t="s">
        <v>2632</v>
      </c>
      <c r="E2232" s="105" t="s">
        <v>2370</v>
      </c>
      <c r="F2232" s="493">
        <v>62923</v>
      </c>
      <c r="G2232" s="105" t="s">
        <v>52</v>
      </c>
      <c r="H2232" s="105" t="s">
        <v>333</v>
      </c>
      <c r="I2232" s="105" t="s">
        <v>334</v>
      </c>
      <c r="J2232" s="493">
        <v>22</v>
      </c>
      <c r="K2232" s="493">
        <v>2</v>
      </c>
      <c r="L2232" s="105" t="s">
        <v>343</v>
      </c>
      <c r="M2232" s="105" t="s">
        <v>655</v>
      </c>
      <c r="N2232" s="105" t="s">
        <v>656</v>
      </c>
      <c r="O2232" s="105" t="s">
        <v>656</v>
      </c>
      <c r="P2232" s="105" t="s">
        <v>339</v>
      </c>
      <c r="Q2232" s="494">
        <v>0</v>
      </c>
      <c r="R2232" s="494">
        <v>0</v>
      </c>
      <c r="S2232" s="494">
        <v>24488</v>
      </c>
      <c r="T2232" s="494">
        <v>24488</v>
      </c>
      <c r="U2232" s="494">
        <v>7177</v>
      </c>
      <c r="V2232" s="493">
        <v>2024</v>
      </c>
      <c r="W2232" s="495"/>
      <c r="X2232" s="496">
        <f t="shared" si="143"/>
        <v>3.4120105893827506</v>
      </c>
      <c r="Y2232" s="497" t="str">
        <f t="shared" si="146"/>
        <v/>
      </c>
      <c r="Z2232" s="497" t="str">
        <f t="shared" si="146"/>
        <v/>
      </c>
    </row>
    <row r="2233" spans="1:26" s="82" customFormat="1" ht="32" x14ac:dyDescent="0.4">
      <c r="A2233" s="493">
        <v>64526</v>
      </c>
      <c r="B2233" s="105" t="s">
        <v>329</v>
      </c>
      <c r="C2233" s="493" t="s">
        <v>330</v>
      </c>
      <c r="D2233" s="105" t="s">
        <v>2633</v>
      </c>
      <c r="E2233" s="105" t="s">
        <v>1875</v>
      </c>
      <c r="F2233" s="493">
        <v>62915</v>
      </c>
      <c r="G2233" s="105" t="s">
        <v>33</v>
      </c>
      <c r="H2233" s="105" t="s">
        <v>342</v>
      </c>
      <c r="I2233" s="105" t="s">
        <v>334</v>
      </c>
      <c r="J2233" s="493">
        <v>22</v>
      </c>
      <c r="K2233" s="493">
        <v>2</v>
      </c>
      <c r="L2233" s="105" t="s">
        <v>343</v>
      </c>
      <c r="M2233" s="105" t="s">
        <v>655</v>
      </c>
      <c r="N2233" s="105" t="s">
        <v>656</v>
      </c>
      <c r="O2233" s="105" t="s">
        <v>656</v>
      </c>
      <c r="P2233" s="105" t="s">
        <v>339</v>
      </c>
      <c r="Q2233" s="494">
        <v>0</v>
      </c>
      <c r="R2233" s="494">
        <v>0</v>
      </c>
      <c r="S2233" s="494">
        <v>17460</v>
      </c>
      <c r="T2233" s="494">
        <v>17460</v>
      </c>
      <c r="U2233" s="494">
        <v>5117</v>
      </c>
      <c r="V2233" s="493">
        <v>2024</v>
      </c>
      <c r="W2233" s="495"/>
      <c r="X2233" s="496">
        <f t="shared" si="143"/>
        <v>3.4121555598983782</v>
      </c>
      <c r="Y2233" s="497" t="str">
        <f t="shared" si="146"/>
        <v/>
      </c>
      <c r="Z2233" s="497" t="str">
        <f t="shared" si="146"/>
        <v/>
      </c>
    </row>
    <row r="2234" spans="1:26" s="82" customFormat="1" x14ac:dyDescent="0.4">
      <c r="A2234" s="493">
        <v>64530</v>
      </c>
      <c r="B2234" s="105" t="s">
        <v>329</v>
      </c>
      <c r="C2234" s="493" t="s">
        <v>330</v>
      </c>
      <c r="D2234" s="105" t="s">
        <v>2634</v>
      </c>
      <c r="E2234" s="105" t="s">
        <v>2208</v>
      </c>
      <c r="F2234" s="493">
        <v>60531</v>
      </c>
      <c r="G2234" s="105" t="s">
        <v>38</v>
      </c>
      <c r="H2234" s="105" t="s">
        <v>342</v>
      </c>
      <c r="I2234" s="105" t="s">
        <v>2635</v>
      </c>
      <c r="J2234" s="493">
        <v>22</v>
      </c>
      <c r="K2234" s="493">
        <v>2</v>
      </c>
      <c r="L2234" s="105" t="s">
        <v>343</v>
      </c>
      <c r="M2234" s="105" t="s">
        <v>655</v>
      </c>
      <c r="N2234" s="105" t="s">
        <v>656</v>
      </c>
      <c r="O2234" s="105" t="s">
        <v>656</v>
      </c>
      <c r="P2234" s="105" t="s">
        <v>339</v>
      </c>
      <c r="Q2234" s="494">
        <v>0</v>
      </c>
      <c r="R2234" s="494">
        <v>0</v>
      </c>
      <c r="S2234" s="494">
        <v>0</v>
      </c>
      <c r="T2234" s="494">
        <v>0</v>
      </c>
      <c r="U2234" s="494">
        <v>0</v>
      </c>
      <c r="V2234" s="493">
        <v>2024</v>
      </c>
      <c r="W2234" s="495"/>
      <c r="X2234" s="496" t="str">
        <f t="shared" si="143"/>
        <v/>
      </c>
      <c r="Y2234" s="497" t="str">
        <f t="shared" si="146"/>
        <v/>
      </c>
      <c r="Z2234" s="497" t="str">
        <f t="shared" si="146"/>
        <v/>
      </c>
    </row>
    <row r="2235" spans="1:26" s="82" customFormat="1" ht="32" x14ac:dyDescent="0.4">
      <c r="A2235" s="493">
        <v>64532</v>
      </c>
      <c r="B2235" s="105" t="s">
        <v>329</v>
      </c>
      <c r="C2235" s="493" t="s">
        <v>330</v>
      </c>
      <c r="D2235" s="105" t="s">
        <v>2636</v>
      </c>
      <c r="E2235" s="105" t="s">
        <v>1875</v>
      </c>
      <c r="F2235" s="493">
        <v>62915</v>
      </c>
      <c r="G2235" s="105" t="s">
        <v>33</v>
      </c>
      <c r="H2235" s="105" t="s">
        <v>342</v>
      </c>
      <c r="I2235" s="105" t="s">
        <v>334</v>
      </c>
      <c r="J2235" s="493">
        <v>22</v>
      </c>
      <c r="K2235" s="493">
        <v>2</v>
      </c>
      <c r="L2235" s="105" t="s">
        <v>343</v>
      </c>
      <c r="M2235" s="105" t="s">
        <v>655</v>
      </c>
      <c r="N2235" s="105" t="s">
        <v>656</v>
      </c>
      <c r="O2235" s="105" t="s">
        <v>656</v>
      </c>
      <c r="P2235" s="105" t="s">
        <v>339</v>
      </c>
      <c r="Q2235" s="494">
        <v>0</v>
      </c>
      <c r="R2235" s="494">
        <v>0</v>
      </c>
      <c r="S2235" s="494">
        <v>5110</v>
      </c>
      <c r="T2235" s="494">
        <v>5110</v>
      </c>
      <c r="U2235" s="494">
        <v>1497</v>
      </c>
      <c r="V2235" s="493">
        <v>2024</v>
      </c>
      <c r="W2235" s="495"/>
      <c r="X2235" s="496">
        <f t="shared" si="143"/>
        <v>3.4134936539746157</v>
      </c>
      <c r="Y2235" s="497" t="str">
        <f t="shared" si="146"/>
        <v/>
      </c>
      <c r="Z2235" s="497" t="str">
        <f t="shared" si="146"/>
        <v/>
      </c>
    </row>
    <row r="2236" spans="1:26" s="82" customFormat="1" ht="32" x14ac:dyDescent="0.4">
      <c r="A2236" s="493">
        <v>64542</v>
      </c>
      <c r="B2236" s="105" t="s">
        <v>329</v>
      </c>
      <c r="C2236" s="493" t="s">
        <v>330</v>
      </c>
      <c r="D2236" s="105" t="s">
        <v>2637</v>
      </c>
      <c r="E2236" s="105" t="s">
        <v>2638</v>
      </c>
      <c r="F2236" s="493">
        <v>64175</v>
      </c>
      <c r="G2236" s="105" t="s">
        <v>52</v>
      </c>
      <c r="H2236" s="105" t="s">
        <v>333</v>
      </c>
      <c r="I2236" s="105" t="s">
        <v>334</v>
      </c>
      <c r="J2236" s="493">
        <v>22</v>
      </c>
      <c r="K2236" s="493">
        <v>2</v>
      </c>
      <c r="L2236" s="105" t="s">
        <v>343</v>
      </c>
      <c r="M2236" s="105" t="s">
        <v>655</v>
      </c>
      <c r="N2236" s="105" t="s">
        <v>656</v>
      </c>
      <c r="O2236" s="105" t="s">
        <v>656</v>
      </c>
      <c r="P2236" s="105" t="s">
        <v>339</v>
      </c>
      <c r="Q2236" s="494">
        <v>0</v>
      </c>
      <c r="R2236" s="494">
        <v>0</v>
      </c>
      <c r="S2236" s="494">
        <v>28899</v>
      </c>
      <c r="T2236" s="494">
        <v>28899</v>
      </c>
      <c r="U2236" s="494">
        <v>8470</v>
      </c>
      <c r="V2236" s="493">
        <v>2024</v>
      </c>
      <c r="W2236" s="495"/>
      <c r="X2236" s="496">
        <f t="shared" si="143"/>
        <v>3.4119244391971666</v>
      </c>
      <c r="Y2236" s="497" t="str">
        <f t="shared" si="146"/>
        <v/>
      </c>
      <c r="Z2236" s="497" t="str">
        <f t="shared" si="146"/>
        <v/>
      </c>
    </row>
    <row r="2237" spans="1:26" s="82" customFormat="1" x14ac:dyDescent="0.4">
      <c r="A2237" s="493">
        <v>64549</v>
      </c>
      <c r="B2237" s="105" t="s">
        <v>329</v>
      </c>
      <c r="C2237" s="493" t="s">
        <v>330</v>
      </c>
      <c r="D2237" s="105" t="s">
        <v>2639</v>
      </c>
      <c r="E2237" s="105" t="s">
        <v>2640</v>
      </c>
      <c r="F2237" s="493">
        <v>64120</v>
      </c>
      <c r="G2237" s="105" t="s">
        <v>38</v>
      </c>
      <c r="H2237" s="105" t="s">
        <v>342</v>
      </c>
      <c r="I2237" s="105" t="s">
        <v>334</v>
      </c>
      <c r="J2237" s="493">
        <v>22</v>
      </c>
      <c r="K2237" s="493">
        <v>2</v>
      </c>
      <c r="L2237" s="105" t="s">
        <v>343</v>
      </c>
      <c r="M2237" s="105" t="s">
        <v>655</v>
      </c>
      <c r="N2237" s="105" t="s">
        <v>656</v>
      </c>
      <c r="O2237" s="105" t="s">
        <v>656</v>
      </c>
      <c r="P2237" s="105" t="s">
        <v>339</v>
      </c>
      <c r="Q2237" s="494">
        <v>0</v>
      </c>
      <c r="R2237" s="494">
        <v>0</v>
      </c>
      <c r="S2237" s="494">
        <v>15060</v>
      </c>
      <c r="T2237" s="494">
        <v>15060</v>
      </c>
      <c r="U2237" s="494">
        <v>4414</v>
      </c>
      <c r="V2237" s="493">
        <v>2024</v>
      </c>
      <c r="W2237" s="495"/>
      <c r="X2237" s="496">
        <f t="shared" si="143"/>
        <v>3.411871318531944</v>
      </c>
      <c r="Y2237" s="497" t="str">
        <f t="shared" si="146"/>
        <v/>
      </c>
      <c r="Z2237" s="497" t="str">
        <f t="shared" si="146"/>
        <v/>
      </c>
    </row>
    <row r="2238" spans="1:26" s="82" customFormat="1" x14ac:dyDescent="0.4">
      <c r="A2238" s="493">
        <v>64554</v>
      </c>
      <c r="B2238" s="105" t="s">
        <v>329</v>
      </c>
      <c r="C2238" s="493" t="s">
        <v>330</v>
      </c>
      <c r="D2238" s="105" t="s">
        <v>2641</v>
      </c>
      <c r="E2238" s="105" t="s">
        <v>1606</v>
      </c>
      <c r="F2238" s="493">
        <v>61227</v>
      </c>
      <c r="G2238" s="105" t="s">
        <v>52</v>
      </c>
      <c r="H2238" s="105" t="s">
        <v>333</v>
      </c>
      <c r="I2238" s="105" t="s">
        <v>334</v>
      </c>
      <c r="J2238" s="493">
        <v>22</v>
      </c>
      <c r="K2238" s="493">
        <v>2</v>
      </c>
      <c r="L2238" s="105" t="s">
        <v>343</v>
      </c>
      <c r="M2238" s="105" t="s">
        <v>655</v>
      </c>
      <c r="N2238" s="105" t="s">
        <v>656</v>
      </c>
      <c r="O2238" s="105" t="s">
        <v>656</v>
      </c>
      <c r="P2238" s="105" t="s">
        <v>339</v>
      </c>
      <c r="Q2238" s="494">
        <v>0</v>
      </c>
      <c r="R2238" s="494">
        <v>0</v>
      </c>
      <c r="S2238" s="494">
        <v>19485</v>
      </c>
      <c r="T2238" s="494">
        <v>19485</v>
      </c>
      <c r="U2238" s="494">
        <v>5711</v>
      </c>
      <c r="V2238" s="493">
        <v>2024</v>
      </c>
      <c r="W2238" s="495"/>
      <c r="X2238" s="496">
        <f t="shared" si="143"/>
        <v>3.411836806163544</v>
      </c>
      <c r="Y2238" s="497" t="str">
        <f t="shared" si="146"/>
        <v/>
      </c>
      <c r="Z2238" s="497" t="str">
        <f t="shared" si="146"/>
        <v/>
      </c>
    </row>
    <row r="2239" spans="1:26" s="82" customFormat="1" x14ac:dyDescent="0.4">
      <c r="A2239" s="493">
        <v>64555</v>
      </c>
      <c r="B2239" s="105" t="s">
        <v>329</v>
      </c>
      <c r="C2239" s="493" t="s">
        <v>330</v>
      </c>
      <c r="D2239" s="105" t="s">
        <v>2642</v>
      </c>
      <c r="E2239" s="105" t="s">
        <v>1606</v>
      </c>
      <c r="F2239" s="493">
        <v>61227</v>
      </c>
      <c r="G2239" s="105" t="s">
        <v>52</v>
      </c>
      <c r="H2239" s="105" t="s">
        <v>333</v>
      </c>
      <c r="I2239" s="105" t="s">
        <v>334</v>
      </c>
      <c r="J2239" s="493">
        <v>22</v>
      </c>
      <c r="K2239" s="493">
        <v>2</v>
      </c>
      <c r="L2239" s="105" t="s">
        <v>343</v>
      </c>
      <c r="M2239" s="105" t="s">
        <v>655</v>
      </c>
      <c r="N2239" s="105" t="s">
        <v>656</v>
      </c>
      <c r="O2239" s="105" t="s">
        <v>656</v>
      </c>
      <c r="P2239" s="105" t="s">
        <v>339</v>
      </c>
      <c r="Q2239" s="494">
        <v>0</v>
      </c>
      <c r="R2239" s="494">
        <v>0</v>
      </c>
      <c r="S2239" s="494">
        <v>22926</v>
      </c>
      <c r="T2239" s="494">
        <v>22926</v>
      </c>
      <c r="U2239" s="494">
        <v>6719</v>
      </c>
      <c r="V2239" s="493">
        <v>2024</v>
      </c>
      <c r="W2239" s="495"/>
      <c r="X2239" s="496">
        <f t="shared" si="143"/>
        <v>3.4121148980503051</v>
      </c>
      <c r="Y2239" s="497" t="str">
        <f t="shared" si="146"/>
        <v/>
      </c>
      <c r="Z2239" s="497" t="str">
        <f t="shared" si="146"/>
        <v/>
      </c>
    </row>
    <row r="2240" spans="1:26" s="82" customFormat="1" x14ac:dyDescent="0.4">
      <c r="A2240" s="493">
        <v>64556</v>
      </c>
      <c r="B2240" s="105" t="s">
        <v>329</v>
      </c>
      <c r="C2240" s="493" t="s">
        <v>330</v>
      </c>
      <c r="D2240" s="105" t="s">
        <v>2643</v>
      </c>
      <c r="E2240" s="105" t="s">
        <v>1606</v>
      </c>
      <c r="F2240" s="493">
        <v>61227</v>
      </c>
      <c r="G2240" s="105" t="s">
        <v>52</v>
      </c>
      <c r="H2240" s="105" t="s">
        <v>333</v>
      </c>
      <c r="I2240" s="105" t="s">
        <v>334</v>
      </c>
      <c r="J2240" s="493">
        <v>22</v>
      </c>
      <c r="K2240" s="493">
        <v>2</v>
      </c>
      <c r="L2240" s="105" t="s">
        <v>343</v>
      </c>
      <c r="M2240" s="105" t="s">
        <v>655</v>
      </c>
      <c r="N2240" s="105" t="s">
        <v>656</v>
      </c>
      <c r="O2240" s="105" t="s">
        <v>656</v>
      </c>
      <c r="P2240" s="105" t="s">
        <v>339</v>
      </c>
      <c r="Q2240" s="494">
        <v>0</v>
      </c>
      <c r="R2240" s="494">
        <v>0</v>
      </c>
      <c r="S2240" s="494">
        <v>26901</v>
      </c>
      <c r="T2240" s="494">
        <v>26901</v>
      </c>
      <c r="U2240" s="494">
        <v>7884</v>
      </c>
      <c r="V2240" s="493">
        <v>2024</v>
      </c>
      <c r="W2240" s="495"/>
      <c r="X2240" s="496">
        <f t="shared" si="143"/>
        <v>3.4121004566210047</v>
      </c>
      <c r="Y2240" s="497" t="str">
        <f t="shared" si="146"/>
        <v/>
      </c>
      <c r="Z2240" s="497" t="str">
        <f t="shared" si="146"/>
        <v/>
      </c>
    </row>
    <row r="2241" spans="1:26" s="82" customFormat="1" x14ac:dyDescent="0.4">
      <c r="A2241" s="493">
        <v>64557</v>
      </c>
      <c r="B2241" s="105" t="s">
        <v>329</v>
      </c>
      <c r="C2241" s="493" t="s">
        <v>330</v>
      </c>
      <c r="D2241" s="105" t="s">
        <v>2644</v>
      </c>
      <c r="E2241" s="105" t="s">
        <v>1606</v>
      </c>
      <c r="F2241" s="493">
        <v>61227</v>
      </c>
      <c r="G2241" s="105" t="s">
        <v>52</v>
      </c>
      <c r="H2241" s="105" t="s">
        <v>333</v>
      </c>
      <c r="I2241" s="105" t="s">
        <v>334</v>
      </c>
      <c r="J2241" s="493">
        <v>22</v>
      </c>
      <c r="K2241" s="493">
        <v>2</v>
      </c>
      <c r="L2241" s="105" t="s">
        <v>343</v>
      </c>
      <c r="M2241" s="105" t="s">
        <v>655</v>
      </c>
      <c r="N2241" s="105" t="s">
        <v>656</v>
      </c>
      <c r="O2241" s="105" t="s">
        <v>656</v>
      </c>
      <c r="P2241" s="105" t="s">
        <v>339</v>
      </c>
      <c r="Q2241" s="494">
        <v>0</v>
      </c>
      <c r="R2241" s="494">
        <v>0</v>
      </c>
      <c r="S2241" s="494">
        <v>25315</v>
      </c>
      <c r="T2241" s="494">
        <v>25315</v>
      </c>
      <c r="U2241" s="494">
        <v>7420</v>
      </c>
      <c r="V2241" s="493">
        <v>2024</v>
      </c>
      <c r="W2241" s="495"/>
      <c r="X2241" s="496">
        <f t="shared" si="143"/>
        <v>3.4117250673854449</v>
      </c>
      <c r="Y2241" s="497" t="str">
        <f t="shared" si="146"/>
        <v/>
      </c>
      <c r="Z2241" s="497" t="str">
        <f t="shared" si="146"/>
        <v/>
      </c>
    </row>
    <row r="2242" spans="1:26" s="82" customFormat="1" ht="32" x14ac:dyDescent="0.4">
      <c r="A2242" s="493">
        <v>64559</v>
      </c>
      <c r="B2242" s="105" t="s">
        <v>329</v>
      </c>
      <c r="C2242" s="493" t="s">
        <v>330</v>
      </c>
      <c r="D2242" s="105" t="s">
        <v>2645</v>
      </c>
      <c r="E2242" s="105" t="s">
        <v>2646</v>
      </c>
      <c r="F2242" s="493">
        <v>64187</v>
      </c>
      <c r="G2242" s="105" t="s">
        <v>37</v>
      </c>
      <c r="H2242" s="105" t="s">
        <v>342</v>
      </c>
      <c r="I2242" s="105" t="s">
        <v>334</v>
      </c>
      <c r="J2242" s="493">
        <v>22</v>
      </c>
      <c r="K2242" s="493">
        <v>2</v>
      </c>
      <c r="L2242" s="105" t="s">
        <v>343</v>
      </c>
      <c r="M2242" s="105" t="s">
        <v>655</v>
      </c>
      <c r="N2242" s="105" t="s">
        <v>656</v>
      </c>
      <c r="O2242" s="105" t="s">
        <v>656</v>
      </c>
      <c r="P2242" s="105" t="s">
        <v>339</v>
      </c>
      <c r="Q2242" s="494">
        <v>0</v>
      </c>
      <c r="R2242" s="494">
        <v>0</v>
      </c>
      <c r="S2242" s="494">
        <v>71157</v>
      </c>
      <c r="T2242" s="494">
        <v>71157</v>
      </c>
      <c r="U2242" s="494">
        <v>20855</v>
      </c>
      <c r="V2242" s="493">
        <v>2024</v>
      </c>
      <c r="W2242" s="495"/>
      <c r="X2242" s="496">
        <f t="shared" si="143"/>
        <v>3.4119875329657154</v>
      </c>
      <c r="Y2242" s="497" t="str">
        <f t="shared" si="146"/>
        <v/>
      </c>
      <c r="Z2242" s="497" t="str">
        <f t="shared" si="146"/>
        <v/>
      </c>
    </row>
    <row r="2243" spans="1:26" s="82" customFormat="1" ht="32" x14ac:dyDescent="0.4">
      <c r="A2243" s="493">
        <v>64560</v>
      </c>
      <c r="B2243" s="105" t="s">
        <v>329</v>
      </c>
      <c r="C2243" s="493" t="s">
        <v>330</v>
      </c>
      <c r="D2243" s="105" t="s">
        <v>2647</v>
      </c>
      <c r="E2243" s="105" t="s">
        <v>2648</v>
      </c>
      <c r="F2243" s="493">
        <v>64189</v>
      </c>
      <c r="G2243" s="105" t="s">
        <v>52</v>
      </c>
      <c r="H2243" s="105" t="s">
        <v>333</v>
      </c>
      <c r="I2243" s="105" t="s">
        <v>334</v>
      </c>
      <c r="J2243" s="493">
        <v>22</v>
      </c>
      <c r="K2243" s="493">
        <v>2</v>
      </c>
      <c r="L2243" s="105" t="s">
        <v>343</v>
      </c>
      <c r="M2243" s="105" t="s">
        <v>655</v>
      </c>
      <c r="N2243" s="105" t="s">
        <v>656</v>
      </c>
      <c r="O2243" s="105" t="s">
        <v>656</v>
      </c>
      <c r="P2243" s="105" t="s">
        <v>339</v>
      </c>
      <c r="Q2243" s="494">
        <v>0</v>
      </c>
      <c r="R2243" s="494">
        <v>0</v>
      </c>
      <c r="S2243" s="494">
        <v>20824</v>
      </c>
      <c r="T2243" s="494">
        <v>20824</v>
      </c>
      <c r="U2243" s="494">
        <v>6103</v>
      </c>
      <c r="V2243" s="493">
        <v>2024</v>
      </c>
      <c r="W2243" s="495"/>
      <c r="X2243" s="496">
        <f t="shared" si="143"/>
        <v>3.4120924135670982</v>
      </c>
      <c r="Y2243" s="497" t="str">
        <f t="shared" si="146"/>
        <v/>
      </c>
      <c r="Z2243" s="497" t="str">
        <f t="shared" si="146"/>
        <v/>
      </c>
    </row>
    <row r="2244" spans="1:26" s="82" customFormat="1" ht="32" x14ac:dyDescent="0.4">
      <c r="A2244" s="493">
        <v>64561</v>
      </c>
      <c r="B2244" s="105" t="s">
        <v>329</v>
      </c>
      <c r="C2244" s="493" t="s">
        <v>330</v>
      </c>
      <c r="D2244" s="105" t="s">
        <v>2649</v>
      </c>
      <c r="E2244" s="105" t="s">
        <v>2650</v>
      </c>
      <c r="F2244" s="493">
        <v>64190</v>
      </c>
      <c r="G2244" s="105" t="s">
        <v>52</v>
      </c>
      <c r="H2244" s="105" t="s">
        <v>333</v>
      </c>
      <c r="I2244" s="105" t="s">
        <v>334</v>
      </c>
      <c r="J2244" s="493">
        <v>22</v>
      </c>
      <c r="K2244" s="493">
        <v>2</v>
      </c>
      <c r="L2244" s="105" t="s">
        <v>343</v>
      </c>
      <c r="M2244" s="105" t="s">
        <v>655</v>
      </c>
      <c r="N2244" s="105" t="s">
        <v>656</v>
      </c>
      <c r="O2244" s="105" t="s">
        <v>656</v>
      </c>
      <c r="P2244" s="105" t="s">
        <v>339</v>
      </c>
      <c r="Q2244" s="494">
        <v>0</v>
      </c>
      <c r="R2244" s="494">
        <v>0</v>
      </c>
      <c r="S2244" s="494">
        <v>20824</v>
      </c>
      <c r="T2244" s="494">
        <v>20824</v>
      </c>
      <c r="U2244" s="494">
        <v>6103</v>
      </c>
      <c r="V2244" s="493">
        <v>2024</v>
      </c>
      <c r="W2244" s="495"/>
      <c r="X2244" s="496">
        <f t="shared" si="143"/>
        <v>3.4120924135670982</v>
      </c>
      <c r="Y2244" s="497" t="str">
        <f t="shared" si="146"/>
        <v/>
      </c>
      <c r="Z2244" s="497" t="str">
        <f t="shared" si="146"/>
        <v/>
      </c>
    </row>
    <row r="2245" spans="1:26" s="82" customFormat="1" ht="32" x14ac:dyDescent="0.4">
      <c r="A2245" s="493">
        <v>64562</v>
      </c>
      <c r="B2245" s="105" t="s">
        <v>329</v>
      </c>
      <c r="C2245" s="493" t="s">
        <v>330</v>
      </c>
      <c r="D2245" s="105" t="s">
        <v>2651</v>
      </c>
      <c r="E2245" s="105" t="s">
        <v>2652</v>
      </c>
      <c r="F2245" s="493">
        <v>64193</v>
      </c>
      <c r="G2245" s="105" t="s">
        <v>52</v>
      </c>
      <c r="H2245" s="105" t="s">
        <v>333</v>
      </c>
      <c r="I2245" s="105" t="s">
        <v>334</v>
      </c>
      <c r="J2245" s="493">
        <v>22</v>
      </c>
      <c r="K2245" s="493">
        <v>2</v>
      </c>
      <c r="L2245" s="105" t="s">
        <v>343</v>
      </c>
      <c r="M2245" s="105" t="s">
        <v>655</v>
      </c>
      <c r="N2245" s="105" t="s">
        <v>656</v>
      </c>
      <c r="O2245" s="105" t="s">
        <v>656</v>
      </c>
      <c r="P2245" s="105" t="s">
        <v>339</v>
      </c>
      <c r="Q2245" s="494">
        <v>0</v>
      </c>
      <c r="R2245" s="494">
        <v>0</v>
      </c>
      <c r="S2245" s="494">
        <v>11990</v>
      </c>
      <c r="T2245" s="494">
        <v>11990</v>
      </c>
      <c r="U2245" s="494">
        <v>3514</v>
      </c>
      <c r="V2245" s="493">
        <v>2024</v>
      </c>
      <c r="W2245" s="495"/>
      <c r="X2245" s="496">
        <f t="shared" si="143"/>
        <v>3.4120660216277745</v>
      </c>
      <c r="Y2245" s="497" t="str">
        <f t="shared" si="146"/>
        <v/>
      </c>
      <c r="Z2245" s="497" t="str">
        <f t="shared" si="146"/>
        <v/>
      </c>
    </row>
    <row r="2246" spans="1:26" s="82" customFormat="1" x14ac:dyDescent="0.4">
      <c r="A2246" s="493">
        <v>64572</v>
      </c>
      <c r="B2246" s="105" t="s">
        <v>329</v>
      </c>
      <c r="C2246" s="493" t="s">
        <v>330</v>
      </c>
      <c r="D2246" s="105" t="s">
        <v>2653</v>
      </c>
      <c r="E2246" s="105" t="s">
        <v>2654</v>
      </c>
      <c r="F2246" s="493">
        <v>64197</v>
      </c>
      <c r="G2246" s="105" t="s">
        <v>33</v>
      </c>
      <c r="H2246" s="105" t="s">
        <v>342</v>
      </c>
      <c r="I2246" s="105" t="s">
        <v>334</v>
      </c>
      <c r="J2246" s="493">
        <v>22</v>
      </c>
      <c r="K2246" s="493">
        <v>2</v>
      </c>
      <c r="L2246" s="105" t="s">
        <v>343</v>
      </c>
      <c r="M2246" s="105" t="s">
        <v>655</v>
      </c>
      <c r="N2246" s="105" t="s">
        <v>656</v>
      </c>
      <c r="O2246" s="105" t="s">
        <v>656</v>
      </c>
      <c r="P2246" s="105" t="s">
        <v>339</v>
      </c>
      <c r="Q2246" s="494">
        <v>0</v>
      </c>
      <c r="R2246" s="494">
        <v>0</v>
      </c>
      <c r="S2246" s="494">
        <v>14653</v>
      </c>
      <c r="T2246" s="494">
        <v>14653</v>
      </c>
      <c r="U2246" s="494">
        <v>4294</v>
      </c>
      <c r="V2246" s="493">
        <v>2024</v>
      </c>
      <c r="W2246" s="495"/>
      <c r="X2246" s="496">
        <f t="shared" si="143"/>
        <v>3.4124359571495111</v>
      </c>
      <c r="Y2246" s="497" t="str">
        <f t="shared" si="146"/>
        <v/>
      </c>
      <c r="Z2246" s="497" t="str">
        <f t="shared" si="146"/>
        <v/>
      </c>
    </row>
    <row r="2247" spans="1:26" s="82" customFormat="1" x14ac:dyDescent="0.4">
      <c r="A2247" s="493">
        <v>64573</v>
      </c>
      <c r="B2247" s="105" t="s">
        <v>329</v>
      </c>
      <c r="C2247" s="493" t="s">
        <v>330</v>
      </c>
      <c r="D2247" s="105" t="s">
        <v>2655</v>
      </c>
      <c r="E2247" s="105" t="s">
        <v>2656</v>
      </c>
      <c r="F2247" s="493">
        <v>64198</v>
      </c>
      <c r="G2247" s="105" t="s">
        <v>33</v>
      </c>
      <c r="H2247" s="105" t="s">
        <v>342</v>
      </c>
      <c r="I2247" s="105" t="s">
        <v>334</v>
      </c>
      <c r="J2247" s="493">
        <v>22</v>
      </c>
      <c r="K2247" s="493">
        <v>2</v>
      </c>
      <c r="L2247" s="105" t="s">
        <v>343</v>
      </c>
      <c r="M2247" s="105" t="s">
        <v>655</v>
      </c>
      <c r="N2247" s="105" t="s">
        <v>656</v>
      </c>
      <c r="O2247" s="105" t="s">
        <v>656</v>
      </c>
      <c r="P2247" s="105" t="s">
        <v>339</v>
      </c>
      <c r="Q2247" s="494">
        <v>0</v>
      </c>
      <c r="R2247" s="494">
        <v>0</v>
      </c>
      <c r="S2247" s="494">
        <v>8212</v>
      </c>
      <c r="T2247" s="494">
        <v>8212</v>
      </c>
      <c r="U2247" s="494">
        <v>2407</v>
      </c>
      <c r="V2247" s="493">
        <v>2024</v>
      </c>
      <c r="W2247" s="495"/>
      <c r="X2247" s="496">
        <f t="shared" si="143"/>
        <v>3.4117158288325715</v>
      </c>
      <c r="Y2247" s="497" t="str">
        <f t="shared" si="146"/>
        <v/>
      </c>
      <c r="Z2247" s="497" t="str">
        <f t="shared" si="146"/>
        <v/>
      </c>
    </row>
    <row r="2248" spans="1:26" s="82" customFormat="1" x14ac:dyDescent="0.4">
      <c r="A2248" s="493">
        <v>64574</v>
      </c>
      <c r="B2248" s="105" t="s">
        <v>329</v>
      </c>
      <c r="C2248" s="493" t="s">
        <v>330</v>
      </c>
      <c r="D2248" s="105" t="s">
        <v>2657</v>
      </c>
      <c r="E2248" s="105" t="s">
        <v>2658</v>
      </c>
      <c r="F2248" s="493">
        <v>64200</v>
      </c>
      <c r="G2248" s="105" t="s">
        <v>33</v>
      </c>
      <c r="H2248" s="105" t="s">
        <v>342</v>
      </c>
      <c r="I2248" s="105" t="s">
        <v>334</v>
      </c>
      <c r="J2248" s="493">
        <v>22</v>
      </c>
      <c r="K2248" s="493">
        <v>2</v>
      </c>
      <c r="L2248" s="105" t="s">
        <v>343</v>
      </c>
      <c r="M2248" s="105" t="s">
        <v>655</v>
      </c>
      <c r="N2248" s="105" t="s">
        <v>656</v>
      </c>
      <c r="O2248" s="105" t="s">
        <v>656</v>
      </c>
      <c r="P2248" s="105" t="s">
        <v>339</v>
      </c>
      <c r="Q2248" s="494">
        <v>0</v>
      </c>
      <c r="R2248" s="494">
        <v>0</v>
      </c>
      <c r="S2248" s="494">
        <v>12746</v>
      </c>
      <c r="T2248" s="494">
        <v>12746</v>
      </c>
      <c r="U2248" s="494">
        <v>3736</v>
      </c>
      <c r="V2248" s="493">
        <v>2024</v>
      </c>
      <c r="W2248" s="495"/>
      <c r="X2248" s="496">
        <f t="shared" si="143"/>
        <v>3.4116702355460387</v>
      </c>
      <c r="Y2248" s="497" t="str">
        <f t="shared" ref="Y2248:Z2267" si="147">IF(AND($M2248=$Y$2,$N2248=$Y$3,NOT($Q2248=$R2248),NOT($U2248=0)),IF($K2248=5,$S2248/($U2248+(8/5)*$U2248),IF($K2248=7,$S2248/($U2248+(29/25)*$U2248),"")),"")</f>
        <v/>
      </c>
      <c r="Z2248" s="497" t="str">
        <f t="shared" si="147"/>
        <v/>
      </c>
    </row>
    <row r="2249" spans="1:26" s="82" customFormat="1" x14ac:dyDescent="0.4">
      <c r="A2249" s="493">
        <v>64575</v>
      </c>
      <c r="B2249" s="105" t="s">
        <v>329</v>
      </c>
      <c r="C2249" s="493" t="s">
        <v>330</v>
      </c>
      <c r="D2249" s="105" t="s">
        <v>2659</v>
      </c>
      <c r="E2249" s="105" t="s">
        <v>2660</v>
      </c>
      <c r="F2249" s="493">
        <v>64201</v>
      </c>
      <c r="G2249" s="105" t="s">
        <v>33</v>
      </c>
      <c r="H2249" s="105" t="s">
        <v>342</v>
      </c>
      <c r="I2249" s="105" t="s">
        <v>334</v>
      </c>
      <c r="J2249" s="493">
        <v>22</v>
      </c>
      <c r="K2249" s="493">
        <v>2</v>
      </c>
      <c r="L2249" s="105" t="s">
        <v>343</v>
      </c>
      <c r="M2249" s="105" t="s">
        <v>655</v>
      </c>
      <c r="N2249" s="105" t="s">
        <v>656</v>
      </c>
      <c r="O2249" s="105" t="s">
        <v>656</v>
      </c>
      <c r="P2249" s="105" t="s">
        <v>339</v>
      </c>
      <c r="Q2249" s="494">
        <v>0</v>
      </c>
      <c r="R2249" s="494">
        <v>0</v>
      </c>
      <c r="S2249" s="494">
        <v>12995</v>
      </c>
      <c r="T2249" s="494">
        <v>12995</v>
      </c>
      <c r="U2249" s="494">
        <v>3809</v>
      </c>
      <c r="V2249" s="493">
        <v>2024</v>
      </c>
      <c r="W2249" s="495"/>
      <c r="X2249" s="496">
        <f t="shared" ref="X2249:X2312" si="148">IF(OR(K2249&gt;3,T2249=0,NOT(U2249&gt;0)),"",T2249/U2249)</f>
        <v>3.4116566027828825</v>
      </c>
      <c r="Y2249" s="497" t="str">
        <f t="shared" si="147"/>
        <v/>
      </c>
      <c r="Z2249" s="497" t="str">
        <f t="shared" si="147"/>
        <v/>
      </c>
    </row>
    <row r="2250" spans="1:26" s="82" customFormat="1" x14ac:dyDescent="0.4">
      <c r="A2250" s="493">
        <v>64577</v>
      </c>
      <c r="B2250" s="105" t="s">
        <v>329</v>
      </c>
      <c r="C2250" s="493" t="s">
        <v>330</v>
      </c>
      <c r="D2250" s="105" t="s">
        <v>2661</v>
      </c>
      <c r="E2250" s="105" t="s">
        <v>2662</v>
      </c>
      <c r="F2250" s="493">
        <v>64191</v>
      </c>
      <c r="G2250" s="105" t="s">
        <v>52</v>
      </c>
      <c r="H2250" s="105" t="s">
        <v>333</v>
      </c>
      <c r="I2250" s="105" t="s">
        <v>334</v>
      </c>
      <c r="J2250" s="493">
        <v>22</v>
      </c>
      <c r="K2250" s="493">
        <v>2</v>
      </c>
      <c r="L2250" s="105" t="s">
        <v>343</v>
      </c>
      <c r="M2250" s="105" t="s">
        <v>655</v>
      </c>
      <c r="N2250" s="105" t="s">
        <v>656</v>
      </c>
      <c r="O2250" s="105" t="s">
        <v>656</v>
      </c>
      <c r="P2250" s="105" t="s">
        <v>339</v>
      </c>
      <c r="Q2250" s="494">
        <v>0</v>
      </c>
      <c r="R2250" s="494">
        <v>0</v>
      </c>
      <c r="S2250" s="494">
        <v>12184</v>
      </c>
      <c r="T2250" s="494">
        <v>12184</v>
      </c>
      <c r="U2250" s="494">
        <v>3571</v>
      </c>
      <c r="V2250" s="493">
        <v>2024</v>
      </c>
      <c r="W2250" s="495"/>
      <c r="X2250" s="496">
        <f t="shared" si="148"/>
        <v>3.4119294315317839</v>
      </c>
      <c r="Y2250" s="497" t="str">
        <f t="shared" si="147"/>
        <v/>
      </c>
      <c r="Z2250" s="497" t="str">
        <f t="shared" si="147"/>
        <v/>
      </c>
    </row>
    <row r="2251" spans="1:26" s="82" customFormat="1" x14ac:dyDescent="0.4">
      <c r="A2251" s="493">
        <v>64578</v>
      </c>
      <c r="B2251" s="105" t="s">
        <v>329</v>
      </c>
      <c r="C2251" s="493" t="s">
        <v>330</v>
      </c>
      <c r="D2251" s="105" t="s">
        <v>2663</v>
      </c>
      <c r="E2251" s="105" t="s">
        <v>2664</v>
      </c>
      <c r="F2251" s="493">
        <v>64192</v>
      </c>
      <c r="G2251" s="105" t="s">
        <v>52</v>
      </c>
      <c r="H2251" s="105" t="s">
        <v>333</v>
      </c>
      <c r="I2251" s="105" t="s">
        <v>334</v>
      </c>
      <c r="J2251" s="493">
        <v>22</v>
      </c>
      <c r="K2251" s="493">
        <v>2</v>
      </c>
      <c r="L2251" s="105" t="s">
        <v>343</v>
      </c>
      <c r="M2251" s="105" t="s">
        <v>655</v>
      </c>
      <c r="N2251" s="105" t="s">
        <v>656</v>
      </c>
      <c r="O2251" s="105" t="s">
        <v>656</v>
      </c>
      <c r="P2251" s="105" t="s">
        <v>339</v>
      </c>
      <c r="Q2251" s="494">
        <v>0</v>
      </c>
      <c r="R2251" s="494">
        <v>0</v>
      </c>
      <c r="S2251" s="494">
        <v>12532</v>
      </c>
      <c r="T2251" s="494">
        <v>12532</v>
      </c>
      <c r="U2251" s="494">
        <v>3673</v>
      </c>
      <c r="V2251" s="493">
        <v>2024</v>
      </c>
      <c r="W2251" s="495"/>
      <c r="X2251" s="496">
        <f t="shared" si="148"/>
        <v>3.4119248570650695</v>
      </c>
      <c r="Y2251" s="497" t="str">
        <f t="shared" si="147"/>
        <v/>
      </c>
      <c r="Z2251" s="497" t="str">
        <f t="shared" si="147"/>
        <v/>
      </c>
    </row>
    <row r="2252" spans="1:26" s="82" customFormat="1" ht="32" x14ac:dyDescent="0.4">
      <c r="A2252" s="493">
        <v>64587</v>
      </c>
      <c r="B2252" s="105" t="s">
        <v>329</v>
      </c>
      <c r="C2252" s="493" t="s">
        <v>330</v>
      </c>
      <c r="D2252" s="105" t="s">
        <v>2665</v>
      </c>
      <c r="E2252" s="105" t="s">
        <v>2666</v>
      </c>
      <c r="F2252" s="493">
        <v>64202</v>
      </c>
      <c r="G2252" s="105" t="s">
        <v>33</v>
      </c>
      <c r="H2252" s="105" t="s">
        <v>342</v>
      </c>
      <c r="I2252" s="105" t="s">
        <v>334</v>
      </c>
      <c r="J2252" s="493">
        <v>22</v>
      </c>
      <c r="K2252" s="493">
        <v>2</v>
      </c>
      <c r="L2252" s="105" t="s">
        <v>343</v>
      </c>
      <c r="M2252" s="105" t="s">
        <v>655</v>
      </c>
      <c r="N2252" s="105" t="s">
        <v>656</v>
      </c>
      <c r="O2252" s="105" t="s">
        <v>656</v>
      </c>
      <c r="P2252" s="105" t="s">
        <v>339</v>
      </c>
      <c r="Q2252" s="494">
        <v>0</v>
      </c>
      <c r="R2252" s="494">
        <v>0</v>
      </c>
      <c r="S2252" s="494">
        <v>5844</v>
      </c>
      <c r="T2252" s="494">
        <v>5844</v>
      </c>
      <c r="U2252" s="494">
        <v>1713</v>
      </c>
      <c r="V2252" s="493">
        <v>2024</v>
      </c>
      <c r="W2252" s="495"/>
      <c r="X2252" s="496">
        <f t="shared" si="148"/>
        <v>3.4115586690017512</v>
      </c>
      <c r="Y2252" s="497" t="str">
        <f t="shared" si="147"/>
        <v/>
      </c>
      <c r="Z2252" s="497" t="str">
        <f t="shared" si="147"/>
        <v/>
      </c>
    </row>
    <row r="2253" spans="1:26" s="82" customFormat="1" ht="32" x14ac:dyDescent="0.4">
      <c r="A2253" s="493">
        <v>64588</v>
      </c>
      <c r="B2253" s="105" t="s">
        <v>329</v>
      </c>
      <c r="C2253" s="493" t="s">
        <v>330</v>
      </c>
      <c r="D2253" s="105" t="s">
        <v>2667</v>
      </c>
      <c r="E2253" s="105" t="s">
        <v>2668</v>
      </c>
      <c r="F2253" s="493">
        <v>64203</v>
      </c>
      <c r="G2253" s="105" t="s">
        <v>33</v>
      </c>
      <c r="H2253" s="105" t="s">
        <v>342</v>
      </c>
      <c r="I2253" s="105" t="s">
        <v>334</v>
      </c>
      <c r="J2253" s="493">
        <v>22</v>
      </c>
      <c r="K2253" s="493">
        <v>2</v>
      </c>
      <c r="L2253" s="105" t="s">
        <v>343</v>
      </c>
      <c r="M2253" s="105" t="s">
        <v>655</v>
      </c>
      <c r="N2253" s="105" t="s">
        <v>656</v>
      </c>
      <c r="O2253" s="105" t="s">
        <v>656</v>
      </c>
      <c r="P2253" s="105" t="s">
        <v>339</v>
      </c>
      <c r="Q2253" s="494">
        <v>0</v>
      </c>
      <c r="R2253" s="494">
        <v>0</v>
      </c>
      <c r="S2253" s="494">
        <v>28205</v>
      </c>
      <c r="T2253" s="494">
        <v>28205</v>
      </c>
      <c r="U2253" s="494">
        <v>8266</v>
      </c>
      <c r="V2253" s="493">
        <v>2024</v>
      </c>
      <c r="W2253" s="495"/>
      <c r="X2253" s="496">
        <f t="shared" si="148"/>
        <v>3.4121703363174452</v>
      </c>
      <c r="Y2253" s="497" t="str">
        <f t="shared" si="147"/>
        <v/>
      </c>
      <c r="Z2253" s="497" t="str">
        <f t="shared" si="147"/>
        <v/>
      </c>
    </row>
    <row r="2254" spans="1:26" s="82" customFormat="1" ht="32" x14ac:dyDescent="0.4">
      <c r="A2254" s="493">
        <v>64589</v>
      </c>
      <c r="B2254" s="105" t="s">
        <v>329</v>
      </c>
      <c r="C2254" s="493" t="s">
        <v>330</v>
      </c>
      <c r="D2254" s="105" t="s">
        <v>2669</v>
      </c>
      <c r="E2254" s="105" t="s">
        <v>2670</v>
      </c>
      <c r="F2254" s="493">
        <v>64204</v>
      </c>
      <c r="G2254" s="105" t="s">
        <v>33</v>
      </c>
      <c r="H2254" s="105" t="s">
        <v>342</v>
      </c>
      <c r="I2254" s="105" t="s">
        <v>334</v>
      </c>
      <c r="J2254" s="493">
        <v>22</v>
      </c>
      <c r="K2254" s="493">
        <v>2</v>
      </c>
      <c r="L2254" s="105" t="s">
        <v>343</v>
      </c>
      <c r="M2254" s="105" t="s">
        <v>655</v>
      </c>
      <c r="N2254" s="105" t="s">
        <v>656</v>
      </c>
      <c r="O2254" s="105" t="s">
        <v>656</v>
      </c>
      <c r="P2254" s="105" t="s">
        <v>339</v>
      </c>
      <c r="Q2254" s="494">
        <v>0</v>
      </c>
      <c r="R2254" s="494">
        <v>0</v>
      </c>
      <c r="S2254" s="494">
        <v>25495</v>
      </c>
      <c r="T2254" s="494">
        <v>25495</v>
      </c>
      <c r="U2254" s="494">
        <v>7472</v>
      </c>
      <c r="V2254" s="493">
        <v>2024</v>
      </c>
      <c r="W2254" s="495"/>
      <c r="X2254" s="496">
        <f t="shared" si="148"/>
        <v>3.4120717344753748</v>
      </c>
      <c r="Y2254" s="497" t="str">
        <f t="shared" si="147"/>
        <v/>
      </c>
      <c r="Z2254" s="497" t="str">
        <f t="shared" si="147"/>
        <v/>
      </c>
    </row>
    <row r="2255" spans="1:26" s="82" customFormat="1" ht="32" x14ac:dyDescent="0.4">
      <c r="A2255" s="493">
        <v>64593</v>
      </c>
      <c r="B2255" s="105" t="s">
        <v>329</v>
      </c>
      <c r="C2255" s="493" t="s">
        <v>330</v>
      </c>
      <c r="D2255" s="105" t="s">
        <v>2671</v>
      </c>
      <c r="E2255" s="105" t="s">
        <v>2672</v>
      </c>
      <c r="F2255" s="493">
        <v>64210</v>
      </c>
      <c r="G2255" s="105" t="s">
        <v>52</v>
      </c>
      <c r="H2255" s="105" t="s">
        <v>333</v>
      </c>
      <c r="I2255" s="105" t="s">
        <v>334</v>
      </c>
      <c r="J2255" s="493">
        <v>22</v>
      </c>
      <c r="K2255" s="493">
        <v>2</v>
      </c>
      <c r="L2255" s="105" t="s">
        <v>343</v>
      </c>
      <c r="M2255" s="105" t="s">
        <v>655</v>
      </c>
      <c r="N2255" s="105" t="s">
        <v>656</v>
      </c>
      <c r="O2255" s="105" t="s">
        <v>656</v>
      </c>
      <c r="P2255" s="105" t="s">
        <v>339</v>
      </c>
      <c r="Q2255" s="494">
        <v>0</v>
      </c>
      <c r="R2255" s="494">
        <v>0</v>
      </c>
      <c r="S2255" s="494">
        <v>21484</v>
      </c>
      <c r="T2255" s="494">
        <v>21484</v>
      </c>
      <c r="U2255" s="494">
        <v>6297</v>
      </c>
      <c r="V2255" s="493">
        <v>2024</v>
      </c>
      <c r="W2255" s="495"/>
      <c r="X2255" s="496">
        <f t="shared" si="148"/>
        <v>3.4117833889153566</v>
      </c>
      <c r="Y2255" s="497" t="str">
        <f t="shared" si="147"/>
        <v/>
      </c>
      <c r="Z2255" s="497" t="str">
        <f t="shared" si="147"/>
        <v/>
      </c>
    </row>
    <row r="2256" spans="1:26" s="82" customFormat="1" ht="32" x14ac:dyDescent="0.4">
      <c r="A2256" s="493">
        <v>64594</v>
      </c>
      <c r="B2256" s="105" t="s">
        <v>329</v>
      </c>
      <c r="C2256" s="493" t="s">
        <v>330</v>
      </c>
      <c r="D2256" s="105" t="s">
        <v>2673</v>
      </c>
      <c r="E2256" s="105" t="s">
        <v>2672</v>
      </c>
      <c r="F2256" s="493">
        <v>64210</v>
      </c>
      <c r="G2256" s="105" t="s">
        <v>52</v>
      </c>
      <c r="H2256" s="105" t="s">
        <v>333</v>
      </c>
      <c r="I2256" s="105" t="s">
        <v>334</v>
      </c>
      <c r="J2256" s="493">
        <v>22</v>
      </c>
      <c r="K2256" s="493">
        <v>2</v>
      </c>
      <c r="L2256" s="105" t="s">
        <v>343</v>
      </c>
      <c r="M2256" s="105" t="s">
        <v>655</v>
      </c>
      <c r="N2256" s="105" t="s">
        <v>656</v>
      </c>
      <c r="O2256" s="105" t="s">
        <v>656</v>
      </c>
      <c r="P2256" s="105" t="s">
        <v>339</v>
      </c>
      <c r="Q2256" s="494">
        <v>0</v>
      </c>
      <c r="R2256" s="494">
        <v>0</v>
      </c>
      <c r="S2256" s="494">
        <v>21044</v>
      </c>
      <c r="T2256" s="494">
        <v>21044</v>
      </c>
      <c r="U2256" s="494">
        <v>6168</v>
      </c>
      <c r="V2256" s="493">
        <v>2024</v>
      </c>
      <c r="W2256" s="495"/>
      <c r="X2256" s="496">
        <f t="shared" si="148"/>
        <v>3.4118028534370946</v>
      </c>
      <c r="Y2256" s="497" t="str">
        <f t="shared" si="147"/>
        <v/>
      </c>
      <c r="Z2256" s="497" t="str">
        <f t="shared" si="147"/>
        <v/>
      </c>
    </row>
    <row r="2257" spans="1:26" s="82" customFormat="1" ht="32" x14ac:dyDescent="0.4">
      <c r="A2257" s="493">
        <v>64595</v>
      </c>
      <c r="B2257" s="105" t="s">
        <v>329</v>
      </c>
      <c r="C2257" s="493" t="s">
        <v>330</v>
      </c>
      <c r="D2257" s="105" t="s">
        <v>2674</v>
      </c>
      <c r="E2257" s="105" t="s">
        <v>2672</v>
      </c>
      <c r="F2257" s="493">
        <v>64210</v>
      </c>
      <c r="G2257" s="105" t="s">
        <v>52</v>
      </c>
      <c r="H2257" s="105" t="s">
        <v>333</v>
      </c>
      <c r="I2257" s="105" t="s">
        <v>334</v>
      </c>
      <c r="J2257" s="493">
        <v>22</v>
      </c>
      <c r="K2257" s="493">
        <v>2</v>
      </c>
      <c r="L2257" s="105" t="s">
        <v>343</v>
      </c>
      <c r="M2257" s="105" t="s">
        <v>655</v>
      </c>
      <c r="N2257" s="105" t="s">
        <v>656</v>
      </c>
      <c r="O2257" s="105" t="s">
        <v>656</v>
      </c>
      <c r="P2257" s="105" t="s">
        <v>339</v>
      </c>
      <c r="Q2257" s="494">
        <v>0</v>
      </c>
      <c r="R2257" s="494">
        <v>0</v>
      </c>
      <c r="S2257" s="494">
        <v>21643</v>
      </c>
      <c r="T2257" s="494">
        <v>21643</v>
      </c>
      <c r="U2257" s="494">
        <v>6343</v>
      </c>
      <c r="V2257" s="493">
        <v>2024</v>
      </c>
      <c r="W2257" s="495"/>
      <c r="X2257" s="496">
        <f t="shared" si="148"/>
        <v>3.4121078354091123</v>
      </c>
      <c r="Y2257" s="497" t="str">
        <f t="shared" si="147"/>
        <v/>
      </c>
      <c r="Z2257" s="497" t="str">
        <f t="shared" si="147"/>
        <v/>
      </c>
    </row>
    <row r="2258" spans="1:26" s="82" customFormat="1" x14ac:dyDescent="0.4">
      <c r="A2258" s="493">
        <v>64603</v>
      </c>
      <c r="B2258" s="105" t="s">
        <v>329</v>
      </c>
      <c r="C2258" s="493" t="s">
        <v>330</v>
      </c>
      <c r="D2258" s="105" t="s">
        <v>2675</v>
      </c>
      <c r="E2258" s="105" t="s">
        <v>1606</v>
      </c>
      <c r="F2258" s="493">
        <v>61227</v>
      </c>
      <c r="G2258" s="105" t="s">
        <v>38</v>
      </c>
      <c r="H2258" s="105" t="s">
        <v>342</v>
      </c>
      <c r="I2258" s="105" t="s">
        <v>334</v>
      </c>
      <c r="J2258" s="493">
        <v>22</v>
      </c>
      <c r="K2258" s="493">
        <v>2</v>
      </c>
      <c r="L2258" s="105" t="s">
        <v>343</v>
      </c>
      <c r="M2258" s="105" t="s">
        <v>655</v>
      </c>
      <c r="N2258" s="105" t="s">
        <v>656</v>
      </c>
      <c r="O2258" s="105" t="s">
        <v>656</v>
      </c>
      <c r="P2258" s="105" t="s">
        <v>339</v>
      </c>
      <c r="Q2258" s="494">
        <v>0</v>
      </c>
      <c r="R2258" s="494">
        <v>0</v>
      </c>
      <c r="S2258" s="494">
        <v>61760</v>
      </c>
      <c r="T2258" s="494">
        <v>61760</v>
      </c>
      <c r="U2258" s="494">
        <v>18101</v>
      </c>
      <c r="V2258" s="493">
        <v>2024</v>
      </c>
      <c r="W2258" s="495"/>
      <c r="X2258" s="496">
        <f t="shared" si="148"/>
        <v>3.4119661897132754</v>
      </c>
      <c r="Y2258" s="497" t="str">
        <f t="shared" si="147"/>
        <v/>
      </c>
      <c r="Z2258" s="497" t="str">
        <f t="shared" si="147"/>
        <v/>
      </c>
    </row>
    <row r="2259" spans="1:26" s="82" customFormat="1" ht="32" x14ac:dyDescent="0.4">
      <c r="A2259" s="493">
        <v>64617</v>
      </c>
      <c r="B2259" s="105" t="s">
        <v>329</v>
      </c>
      <c r="C2259" s="493" t="s">
        <v>330</v>
      </c>
      <c r="D2259" s="105" t="s">
        <v>2676</v>
      </c>
      <c r="E2259" s="105" t="s">
        <v>2677</v>
      </c>
      <c r="F2259" s="493">
        <v>64234</v>
      </c>
      <c r="G2259" s="105" t="s">
        <v>33</v>
      </c>
      <c r="H2259" s="105" t="s">
        <v>342</v>
      </c>
      <c r="I2259" s="105" t="s">
        <v>334</v>
      </c>
      <c r="J2259" s="493">
        <v>22</v>
      </c>
      <c r="K2259" s="493">
        <v>2</v>
      </c>
      <c r="L2259" s="105" t="s">
        <v>343</v>
      </c>
      <c r="M2259" s="105" t="s">
        <v>403</v>
      </c>
      <c r="N2259" s="105" t="s">
        <v>404</v>
      </c>
      <c r="O2259" s="105" t="s">
        <v>232</v>
      </c>
      <c r="P2259" s="105" t="s">
        <v>346</v>
      </c>
      <c r="Q2259" s="494">
        <v>2546</v>
      </c>
      <c r="R2259" s="494">
        <v>2546</v>
      </c>
      <c r="S2259" s="494">
        <v>0</v>
      </c>
      <c r="T2259" s="494">
        <v>0</v>
      </c>
      <c r="U2259" s="494">
        <v>-276</v>
      </c>
      <c r="V2259" s="493">
        <v>2024</v>
      </c>
      <c r="W2259" s="495"/>
      <c r="X2259" s="496" t="str">
        <f t="shared" si="148"/>
        <v/>
      </c>
      <c r="Y2259" s="497" t="str">
        <f t="shared" si="147"/>
        <v/>
      </c>
      <c r="Z2259" s="497" t="str">
        <f t="shared" si="147"/>
        <v/>
      </c>
    </row>
    <row r="2260" spans="1:26" s="82" customFormat="1" ht="32" x14ac:dyDescent="0.4">
      <c r="A2260" s="493">
        <v>64617</v>
      </c>
      <c r="B2260" s="105" t="s">
        <v>329</v>
      </c>
      <c r="C2260" s="493" t="s">
        <v>330</v>
      </c>
      <c r="D2260" s="105" t="s">
        <v>2676</v>
      </c>
      <c r="E2260" s="105" t="s">
        <v>2677</v>
      </c>
      <c r="F2260" s="493">
        <v>64234</v>
      </c>
      <c r="G2260" s="105" t="s">
        <v>33</v>
      </c>
      <c r="H2260" s="105" t="s">
        <v>342</v>
      </c>
      <c r="I2260" s="105" t="s">
        <v>334</v>
      </c>
      <c r="J2260" s="493">
        <v>22</v>
      </c>
      <c r="K2260" s="493">
        <v>2</v>
      </c>
      <c r="L2260" s="105" t="s">
        <v>343</v>
      </c>
      <c r="M2260" s="105" t="s">
        <v>655</v>
      </c>
      <c r="N2260" s="105" t="s">
        <v>656</v>
      </c>
      <c r="O2260" s="105" t="s">
        <v>656</v>
      </c>
      <c r="P2260" s="105" t="s">
        <v>339</v>
      </c>
      <c r="Q2260" s="494">
        <v>0</v>
      </c>
      <c r="R2260" s="494">
        <v>0</v>
      </c>
      <c r="S2260" s="494">
        <v>26171</v>
      </c>
      <c r="T2260" s="494">
        <v>26171</v>
      </c>
      <c r="U2260" s="494">
        <v>7670</v>
      </c>
      <c r="V2260" s="493">
        <v>2024</v>
      </c>
      <c r="W2260" s="495"/>
      <c r="X2260" s="496">
        <f t="shared" si="148"/>
        <v>3.4121251629726208</v>
      </c>
      <c r="Y2260" s="497" t="str">
        <f t="shared" si="147"/>
        <v/>
      </c>
      <c r="Z2260" s="497" t="str">
        <f t="shared" si="147"/>
        <v/>
      </c>
    </row>
    <row r="2261" spans="1:26" s="82" customFormat="1" x14ac:dyDescent="0.4">
      <c r="A2261" s="493">
        <v>64618</v>
      </c>
      <c r="B2261" s="105" t="s">
        <v>329</v>
      </c>
      <c r="C2261" s="493" t="s">
        <v>330</v>
      </c>
      <c r="D2261" s="105" t="s">
        <v>2678</v>
      </c>
      <c r="E2261" s="105" t="s">
        <v>2679</v>
      </c>
      <c r="F2261" s="493">
        <v>64235</v>
      </c>
      <c r="G2261" s="105" t="s">
        <v>33</v>
      </c>
      <c r="H2261" s="105" t="s">
        <v>342</v>
      </c>
      <c r="I2261" s="105" t="s">
        <v>334</v>
      </c>
      <c r="J2261" s="493">
        <v>22</v>
      </c>
      <c r="K2261" s="493">
        <v>2</v>
      </c>
      <c r="L2261" s="105" t="s">
        <v>343</v>
      </c>
      <c r="M2261" s="105" t="s">
        <v>403</v>
      </c>
      <c r="N2261" s="105" t="s">
        <v>404</v>
      </c>
      <c r="O2261" s="105" t="s">
        <v>232</v>
      </c>
      <c r="P2261" s="105" t="s">
        <v>346</v>
      </c>
      <c r="Q2261" s="494">
        <v>1157</v>
      </c>
      <c r="R2261" s="494">
        <v>1157</v>
      </c>
      <c r="S2261" s="494">
        <v>0</v>
      </c>
      <c r="T2261" s="494">
        <v>0</v>
      </c>
      <c r="U2261" s="494">
        <v>-207</v>
      </c>
      <c r="V2261" s="493">
        <v>2024</v>
      </c>
      <c r="W2261" s="495"/>
      <c r="X2261" s="496" t="str">
        <f t="shared" si="148"/>
        <v/>
      </c>
      <c r="Y2261" s="497" t="str">
        <f t="shared" si="147"/>
        <v/>
      </c>
      <c r="Z2261" s="497" t="str">
        <f t="shared" si="147"/>
        <v/>
      </c>
    </row>
    <row r="2262" spans="1:26" s="82" customFormat="1" x14ac:dyDescent="0.4">
      <c r="A2262" s="493">
        <v>64618</v>
      </c>
      <c r="B2262" s="105" t="s">
        <v>329</v>
      </c>
      <c r="C2262" s="493" t="s">
        <v>330</v>
      </c>
      <c r="D2262" s="105" t="s">
        <v>2678</v>
      </c>
      <c r="E2262" s="105" t="s">
        <v>2679</v>
      </c>
      <c r="F2262" s="493">
        <v>64235</v>
      </c>
      <c r="G2262" s="105" t="s">
        <v>33</v>
      </c>
      <c r="H2262" s="105" t="s">
        <v>342</v>
      </c>
      <c r="I2262" s="105" t="s">
        <v>334</v>
      </c>
      <c r="J2262" s="493">
        <v>22</v>
      </c>
      <c r="K2262" s="493">
        <v>2</v>
      </c>
      <c r="L2262" s="105" t="s">
        <v>343</v>
      </c>
      <c r="M2262" s="105" t="s">
        <v>655</v>
      </c>
      <c r="N2262" s="105" t="s">
        <v>656</v>
      </c>
      <c r="O2262" s="105" t="s">
        <v>656</v>
      </c>
      <c r="P2262" s="105" t="s">
        <v>339</v>
      </c>
      <c r="Q2262" s="494">
        <v>0</v>
      </c>
      <c r="R2262" s="494">
        <v>0</v>
      </c>
      <c r="S2262" s="494">
        <v>14450</v>
      </c>
      <c r="T2262" s="494">
        <v>14450</v>
      </c>
      <c r="U2262" s="494">
        <v>4235</v>
      </c>
      <c r="V2262" s="493">
        <v>2024</v>
      </c>
      <c r="W2262" s="495"/>
      <c r="X2262" s="496">
        <f t="shared" si="148"/>
        <v>3.4120425029515937</v>
      </c>
      <c r="Y2262" s="497" t="str">
        <f t="shared" si="147"/>
        <v/>
      </c>
      <c r="Z2262" s="497" t="str">
        <f t="shared" si="147"/>
        <v/>
      </c>
    </row>
    <row r="2263" spans="1:26" s="82" customFormat="1" ht="32" x14ac:dyDescent="0.4">
      <c r="A2263" s="493">
        <v>64619</v>
      </c>
      <c r="B2263" s="105" t="s">
        <v>329</v>
      </c>
      <c r="C2263" s="493" t="s">
        <v>330</v>
      </c>
      <c r="D2263" s="105" t="s">
        <v>2680</v>
      </c>
      <c r="E2263" s="105" t="s">
        <v>2681</v>
      </c>
      <c r="F2263" s="493">
        <v>64236</v>
      </c>
      <c r="G2263" s="105" t="s">
        <v>33</v>
      </c>
      <c r="H2263" s="105" t="s">
        <v>342</v>
      </c>
      <c r="I2263" s="105" t="s">
        <v>334</v>
      </c>
      <c r="J2263" s="493">
        <v>22</v>
      </c>
      <c r="K2263" s="493">
        <v>2</v>
      </c>
      <c r="L2263" s="105" t="s">
        <v>343</v>
      </c>
      <c r="M2263" s="105" t="s">
        <v>403</v>
      </c>
      <c r="N2263" s="105" t="s">
        <v>404</v>
      </c>
      <c r="O2263" s="105" t="s">
        <v>232</v>
      </c>
      <c r="P2263" s="105" t="s">
        <v>346</v>
      </c>
      <c r="Q2263" s="494">
        <v>681</v>
      </c>
      <c r="R2263" s="494">
        <v>681</v>
      </c>
      <c r="S2263" s="494">
        <v>0</v>
      </c>
      <c r="T2263" s="494">
        <v>0</v>
      </c>
      <c r="U2263" s="494">
        <v>-63</v>
      </c>
      <c r="V2263" s="493">
        <v>2024</v>
      </c>
      <c r="W2263" s="495"/>
      <c r="X2263" s="496" t="str">
        <f t="shared" si="148"/>
        <v/>
      </c>
      <c r="Y2263" s="497" t="str">
        <f t="shared" si="147"/>
        <v/>
      </c>
      <c r="Z2263" s="497" t="str">
        <f t="shared" si="147"/>
        <v/>
      </c>
    </row>
    <row r="2264" spans="1:26" s="82" customFormat="1" ht="32" x14ac:dyDescent="0.4">
      <c r="A2264" s="493">
        <v>64619</v>
      </c>
      <c r="B2264" s="105" t="s">
        <v>329</v>
      </c>
      <c r="C2264" s="493" t="s">
        <v>330</v>
      </c>
      <c r="D2264" s="105" t="s">
        <v>2680</v>
      </c>
      <c r="E2264" s="105" t="s">
        <v>2681</v>
      </c>
      <c r="F2264" s="493">
        <v>64236</v>
      </c>
      <c r="G2264" s="105" t="s">
        <v>33</v>
      </c>
      <c r="H2264" s="105" t="s">
        <v>342</v>
      </c>
      <c r="I2264" s="105" t="s">
        <v>334</v>
      </c>
      <c r="J2264" s="493">
        <v>22</v>
      </c>
      <c r="K2264" s="493">
        <v>2</v>
      </c>
      <c r="L2264" s="105" t="s">
        <v>343</v>
      </c>
      <c r="M2264" s="105" t="s">
        <v>655</v>
      </c>
      <c r="N2264" s="105" t="s">
        <v>656</v>
      </c>
      <c r="O2264" s="105" t="s">
        <v>656</v>
      </c>
      <c r="P2264" s="105" t="s">
        <v>339</v>
      </c>
      <c r="Q2264" s="494">
        <v>0</v>
      </c>
      <c r="R2264" s="494">
        <v>0</v>
      </c>
      <c r="S2264" s="494">
        <v>5800</v>
      </c>
      <c r="T2264" s="494">
        <v>5800</v>
      </c>
      <c r="U2264" s="494">
        <v>1700</v>
      </c>
      <c r="V2264" s="493">
        <v>2024</v>
      </c>
      <c r="W2264" s="495"/>
      <c r="X2264" s="496">
        <f t="shared" si="148"/>
        <v>3.4117647058823528</v>
      </c>
      <c r="Y2264" s="497" t="str">
        <f t="shared" si="147"/>
        <v/>
      </c>
      <c r="Z2264" s="497" t="str">
        <f t="shared" si="147"/>
        <v/>
      </c>
    </row>
    <row r="2265" spans="1:26" s="82" customFormat="1" ht="32" x14ac:dyDescent="0.4">
      <c r="A2265" s="493">
        <v>64620</v>
      </c>
      <c r="B2265" s="105" t="s">
        <v>329</v>
      </c>
      <c r="C2265" s="493" t="s">
        <v>330</v>
      </c>
      <c r="D2265" s="105" t="s">
        <v>2682</v>
      </c>
      <c r="E2265" s="105" t="s">
        <v>2683</v>
      </c>
      <c r="F2265" s="493">
        <v>64237</v>
      </c>
      <c r="G2265" s="105" t="s">
        <v>33</v>
      </c>
      <c r="H2265" s="105" t="s">
        <v>342</v>
      </c>
      <c r="I2265" s="105" t="s">
        <v>334</v>
      </c>
      <c r="J2265" s="493">
        <v>22</v>
      </c>
      <c r="K2265" s="493">
        <v>2</v>
      </c>
      <c r="L2265" s="105" t="s">
        <v>343</v>
      </c>
      <c r="M2265" s="105" t="s">
        <v>403</v>
      </c>
      <c r="N2265" s="105" t="s">
        <v>404</v>
      </c>
      <c r="O2265" s="105" t="s">
        <v>232</v>
      </c>
      <c r="P2265" s="105" t="s">
        <v>346</v>
      </c>
      <c r="Q2265" s="494">
        <v>1138</v>
      </c>
      <c r="R2265" s="494">
        <v>1138</v>
      </c>
      <c r="S2265" s="494">
        <v>0</v>
      </c>
      <c r="T2265" s="494">
        <v>0</v>
      </c>
      <c r="U2265" s="494">
        <v>-189</v>
      </c>
      <c r="V2265" s="493">
        <v>2024</v>
      </c>
      <c r="W2265" s="495"/>
      <c r="X2265" s="496" t="str">
        <f t="shared" si="148"/>
        <v/>
      </c>
      <c r="Y2265" s="497" t="str">
        <f t="shared" si="147"/>
        <v/>
      </c>
      <c r="Z2265" s="497" t="str">
        <f t="shared" si="147"/>
        <v/>
      </c>
    </row>
    <row r="2266" spans="1:26" s="82" customFormat="1" ht="32" x14ac:dyDescent="0.4">
      <c r="A2266" s="493">
        <v>64620</v>
      </c>
      <c r="B2266" s="105" t="s">
        <v>329</v>
      </c>
      <c r="C2266" s="493" t="s">
        <v>330</v>
      </c>
      <c r="D2266" s="105" t="s">
        <v>2682</v>
      </c>
      <c r="E2266" s="105" t="s">
        <v>2683</v>
      </c>
      <c r="F2266" s="493">
        <v>64237</v>
      </c>
      <c r="G2266" s="105" t="s">
        <v>33</v>
      </c>
      <c r="H2266" s="105" t="s">
        <v>342</v>
      </c>
      <c r="I2266" s="105" t="s">
        <v>334</v>
      </c>
      <c r="J2266" s="493">
        <v>22</v>
      </c>
      <c r="K2266" s="493">
        <v>2</v>
      </c>
      <c r="L2266" s="105" t="s">
        <v>343</v>
      </c>
      <c r="M2266" s="105" t="s">
        <v>655</v>
      </c>
      <c r="N2266" s="105" t="s">
        <v>656</v>
      </c>
      <c r="O2266" s="105" t="s">
        <v>656</v>
      </c>
      <c r="P2266" s="105" t="s">
        <v>339</v>
      </c>
      <c r="Q2266" s="494">
        <v>0</v>
      </c>
      <c r="R2266" s="494">
        <v>0</v>
      </c>
      <c r="S2266" s="494">
        <v>12112</v>
      </c>
      <c r="T2266" s="494">
        <v>12112</v>
      </c>
      <c r="U2266" s="494">
        <v>3550</v>
      </c>
      <c r="V2266" s="493">
        <v>2024</v>
      </c>
      <c r="W2266" s="495"/>
      <c r="X2266" s="496">
        <f t="shared" si="148"/>
        <v>3.4118309859154929</v>
      </c>
      <c r="Y2266" s="497" t="str">
        <f t="shared" si="147"/>
        <v/>
      </c>
      <c r="Z2266" s="497" t="str">
        <f t="shared" si="147"/>
        <v/>
      </c>
    </row>
    <row r="2267" spans="1:26" s="82" customFormat="1" ht="32" x14ac:dyDescent="0.4">
      <c r="A2267" s="493">
        <v>64627</v>
      </c>
      <c r="B2267" s="105" t="s">
        <v>329</v>
      </c>
      <c r="C2267" s="493" t="s">
        <v>330</v>
      </c>
      <c r="D2267" s="105" t="s">
        <v>2684</v>
      </c>
      <c r="E2267" s="105" t="s">
        <v>2685</v>
      </c>
      <c r="F2267" s="493">
        <v>64241</v>
      </c>
      <c r="G2267" s="105" t="s">
        <v>33</v>
      </c>
      <c r="H2267" s="105" t="s">
        <v>342</v>
      </c>
      <c r="I2267" s="105" t="s">
        <v>334</v>
      </c>
      <c r="J2267" s="493">
        <v>22</v>
      </c>
      <c r="K2267" s="493">
        <v>2</v>
      </c>
      <c r="L2267" s="105" t="s">
        <v>343</v>
      </c>
      <c r="M2267" s="105" t="s">
        <v>403</v>
      </c>
      <c r="N2267" s="105" t="s">
        <v>404</v>
      </c>
      <c r="O2267" s="105" t="s">
        <v>232</v>
      </c>
      <c r="P2267" s="105" t="s">
        <v>346</v>
      </c>
      <c r="Q2267" s="494">
        <v>365</v>
      </c>
      <c r="R2267" s="494">
        <v>365</v>
      </c>
      <c r="S2267" s="494">
        <v>0</v>
      </c>
      <c r="T2267" s="494">
        <v>0</v>
      </c>
      <c r="U2267" s="494">
        <v>-90</v>
      </c>
      <c r="V2267" s="493">
        <v>2024</v>
      </c>
      <c r="W2267" s="495"/>
      <c r="X2267" s="496" t="str">
        <f t="shared" si="148"/>
        <v/>
      </c>
      <c r="Y2267" s="497" t="str">
        <f t="shared" si="147"/>
        <v/>
      </c>
      <c r="Z2267" s="497" t="str">
        <f t="shared" si="147"/>
        <v/>
      </c>
    </row>
    <row r="2268" spans="1:26" s="82" customFormat="1" ht="32" x14ac:dyDescent="0.4">
      <c r="A2268" s="493">
        <v>64627</v>
      </c>
      <c r="B2268" s="105" t="s">
        <v>329</v>
      </c>
      <c r="C2268" s="493" t="s">
        <v>330</v>
      </c>
      <c r="D2268" s="105" t="s">
        <v>2684</v>
      </c>
      <c r="E2268" s="105" t="s">
        <v>2685</v>
      </c>
      <c r="F2268" s="493">
        <v>64241</v>
      </c>
      <c r="G2268" s="105" t="s">
        <v>33</v>
      </c>
      <c r="H2268" s="105" t="s">
        <v>342</v>
      </c>
      <c r="I2268" s="105" t="s">
        <v>334</v>
      </c>
      <c r="J2268" s="493">
        <v>22</v>
      </c>
      <c r="K2268" s="493">
        <v>2</v>
      </c>
      <c r="L2268" s="105" t="s">
        <v>343</v>
      </c>
      <c r="M2268" s="105" t="s">
        <v>655</v>
      </c>
      <c r="N2268" s="105" t="s">
        <v>656</v>
      </c>
      <c r="O2268" s="105" t="s">
        <v>656</v>
      </c>
      <c r="P2268" s="105" t="s">
        <v>339</v>
      </c>
      <c r="Q2268" s="494">
        <v>0</v>
      </c>
      <c r="R2268" s="494">
        <v>0</v>
      </c>
      <c r="S2268" s="494">
        <v>33900</v>
      </c>
      <c r="T2268" s="494">
        <v>33900</v>
      </c>
      <c r="U2268" s="494">
        <v>9935</v>
      </c>
      <c r="V2268" s="493">
        <v>2024</v>
      </c>
      <c r="W2268" s="495"/>
      <c r="X2268" s="496">
        <f t="shared" si="148"/>
        <v>3.4121791645697033</v>
      </c>
      <c r="Y2268" s="497" t="str">
        <f t="shared" ref="Y2268:Z2287" si="149">IF(AND($M2268=$Y$2,$N2268=$Y$3,NOT($Q2268=$R2268),NOT($U2268=0)),IF($K2268=5,$S2268/($U2268+(8/5)*$U2268),IF($K2268=7,$S2268/($U2268+(29/25)*$U2268),"")),"")</f>
        <v/>
      </c>
      <c r="Z2268" s="497" t="str">
        <f t="shared" si="149"/>
        <v/>
      </c>
    </row>
    <row r="2269" spans="1:26" s="82" customFormat="1" x14ac:dyDescent="0.4">
      <c r="A2269" s="493">
        <v>64664</v>
      </c>
      <c r="B2269" s="105" t="s">
        <v>329</v>
      </c>
      <c r="C2269" s="493" t="s">
        <v>330</v>
      </c>
      <c r="D2269" s="105" t="s">
        <v>2686</v>
      </c>
      <c r="E2269" s="105" t="s">
        <v>2686</v>
      </c>
      <c r="F2269" s="493">
        <v>64258</v>
      </c>
      <c r="G2269" s="105" t="s">
        <v>33</v>
      </c>
      <c r="H2269" s="105" t="s">
        <v>342</v>
      </c>
      <c r="I2269" s="105" t="s">
        <v>334</v>
      </c>
      <c r="J2269" s="493">
        <v>22</v>
      </c>
      <c r="K2269" s="493">
        <v>2</v>
      </c>
      <c r="L2269" s="105" t="s">
        <v>343</v>
      </c>
      <c r="M2269" s="105" t="s">
        <v>403</v>
      </c>
      <c r="N2269" s="105" t="s">
        <v>404</v>
      </c>
      <c r="O2269" s="105" t="s">
        <v>232</v>
      </c>
      <c r="P2269" s="105" t="s">
        <v>346</v>
      </c>
      <c r="Q2269" s="494">
        <v>1197</v>
      </c>
      <c r="R2269" s="494">
        <v>1197</v>
      </c>
      <c r="S2269" s="494">
        <v>0</v>
      </c>
      <c r="T2269" s="494">
        <v>0</v>
      </c>
      <c r="U2269" s="494">
        <v>-120</v>
      </c>
      <c r="V2269" s="493">
        <v>2024</v>
      </c>
      <c r="W2269" s="495"/>
      <c r="X2269" s="496" t="str">
        <f t="shared" si="148"/>
        <v/>
      </c>
      <c r="Y2269" s="497" t="str">
        <f t="shared" si="149"/>
        <v/>
      </c>
      <c r="Z2269" s="497" t="str">
        <f t="shared" si="149"/>
        <v/>
      </c>
    </row>
    <row r="2270" spans="1:26" s="82" customFormat="1" x14ac:dyDescent="0.4">
      <c r="A2270" s="493">
        <v>64664</v>
      </c>
      <c r="B2270" s="105" t="s">
        <v>329</v>
      </c>
      <c r="C2270" s="493" t="s">
        <v>330</v>
      </c>
      <c r="D2270" s="105" t="s">
        <v>2686</v>
      </c>
      <c r="E2270" s="105" t="s">
        <v>2686</v>
      </c>
      <c r="F2270" s="493">
        <v>64258</v>
      </c>
      <c r="G2270" s="105" t="s">
        <v>33</v>
      </c>
      <c r="H2270" s="105" t="s">
        <v>342</v>
      </c>
      <c r="I2270" s="105" t="s">
        <v>334</v>
      </c>
      <c r="J2270" s="493">
        <v>22</v>
      </c>
      <c r="K2270" s="493">
        <v>2</v>
      </c>
      <c r="L2270" s="105" t="s">
        <v>343</v>
      </c>
      <c r="M2270" s="105" t="s">
        <v>655</v>
      </c>
      <c r="N2270" s="105" t="s">
        <v>656</v>
      </c>
      <c r="O2270" s="105" t="s">
        <v>656</v>
      </c>
      <c r="P2270" s="105" t="s">
        <v>339</v>
      </c>
      <c r="Q2270" s="494">
        <v>0</v>
      </c>
      <c r="R2270" s="494">
        <v>0</v>
      </c>
      <c r="S2270" s="494">
        <v>29956</v>
      </c>
      <c r="T2270" s="494">
        <v>29956</v>
      </c>
      <c r="U2270" s="494">
        <v>8780</v>
      </c>
      <c r="V2270" s="493">
        <v>2024</v>
      </c>
      <c r="W2270" s="495"/>
      <c r="X2270" s="496">
        <f t="shared" si="148"/>
        <v>3.4118451025056946</v>
      </c>
      <c r="Y2270" s="497" t="str">
        <f t="shared" si="149"/>
        <v/>
      </c>
      <c r="Z2270" s="497" t="str">
        <f t="shared" si="149"/>
        <v/>
      </c>
    </row>
    <row r="2271" spans="1:26" s="82" customFormat="1" ht="32" x14ac:dyDescent="0.4">
      <c r="A2271" s="493">
        <v>64673</v>
      </c>
      <c r="B2271" s="105" t="s">
        <v>329</v>
      </c>
      <c r="C2271" s="493" t="s">
        <v>330</v>
      </c>
      <c r="D2271" s="105" t="s">
        <v>2687</v>
      </c>
      <c r="E2271" s="105" t="s">
        <v>2688</v>
      </c>
      <c r="F2271" s="493">
        <v>64255</v>
      </c>
      <c r="G2271" s="105" t="s">
        <v>34</v>
      </c>
      <c r="H2271" s="105" t="s">
        <v>342</v>
      </c>
      <c r="I2271" s="105" t="s">
        <v>334</v>
      </c>
      <c r="J2271" s="493">
        <v>22</v>
      </c>
      <c r="K2271" s="493">
        <v>2</v>
      </c>
      <c r="L2271" s="105" t="s">
        <v>343</v>
      </c>
      <c r="M2271" s="105" t="s">
        <v>655</v>
      </c>
      <c r="N2271" s="105" t="s">
        <v>656</v>
      </c>
      <c r="O2271" s="105" t="s">
        <v>656</v>
      </c>
      <c r="P2271" s="105" t="s">
        <v>339</v>
      </c>
      <c r="Q2271" s="494">
        <v>0</v>
      </c>
      <c r="R2271" s="494">
        <v>0</v>
      </c>
      <c r="S2271" s="494">
        <v>15565</v>
      </c>
      <c r="T2271" s="494">
        <v>15565</v>
      </c>
      <c r="U2271" s="494">
        <v>4562</v>
      </c>
      <c r="V2271" s="493">
        <v>2024</v>
      </c>
      <c r="W2271" s="495"/>
      <c r="X2271" s="496">
        <f t="shared" si="148"/>
        <v>3.4118807540552387</v>
      </c>
      <c r="Y2271" s="497" t="str">
        <f t="shared" si="149"/>
        <v/>
      </c>
      <c r="Z2271" s="497" t="str">
        <f t="shared" si="149"/>
        <v/>
      </c>
    </row>
    <row r="2272" spans="1:26" s="82" customFormat="1" ht="32" x14ac:dyDescent="0.4">
      <c r="A2272" s="493">
        <v>64675</v>
      </c>
      <c r="B2272" s="105" t="s">
        <v>329</v>
      </c>
      <c r="C2272" s="493" t="s">
        <v>330</v>
      </c>
      <c r="D2272" s="105" t="s">
        <v>2689</v>
      </c>
      <c r="E2272" s="105" t="s">
        <v>2690</v>
      </c>
      <c r="F2272" s="493">
        <v>64257</v>
      </c>
      <c r="G2272" s="105" t="s">
        <v>34</v>
      </c>
      <c r="H2272" s="105" t="s">
        <v>342</v>
      </c>
      <c r="I2272" s="105" t="s">
        <v>334</v>
      </c>
      <c r="J2272" s="493">
        <v>22</v>
      </c>
      <c r="K2272" s="493">
        <v>2</v>
      </c>
      <c r="L2272" s="105" t="s">
        <v>343</v>
      </c>
      <c r="M2272" s="105" t="s">
        <v>655</v>
      </c>
      <c r="N2272" s="105" t="s">
        <v>656</v>
      </c>
      <c r="O2272" s="105" t="s">
        <v>656</v>
      </c>
      <c r="P2272" s="105" t="s">
        <v>339</v>
      </c>
      <c r="Q2272" s="494">
        <v>0</v>
      </c>
      <c r="R2272" s="494">
        <v>0</v>
      </c>
      <c r="S2272" s="494">
        <v>9140</v>
      </c>
      <c r="T2272" s="494">
        <v>9140</v>
      </c>
      <c r="U2272" s="494">
        <v>2679</v>
      </c>
      <c r="V2272" s="493">
        <v>2024</v>
      </c>
      <c r="W2272" s="495"/>
      <c r="X2272" s="496">
        <f t="shared" si="148"/>
        <v>3.4117207913400525</v>
      </c>
      <c r="Y2272" s="497" t="str">
        <f t="shared" si="149"/>
        <v/>
      </c>
      <c r="Z2272" s="497" t="str">
        <f t="shared" si="149"/>
        <v/>
      </c>
    </row>
    <row r="2273" spans="1:26" s="82" customFormat="1" x14ac:dyDescent="0.4">
      <c r="A2273" s="493">
        <v>64679</v>
      </c>
      <c r="B2273" s="105" t="s">
        <v>329</v>
      </c>
      <c r="C2273" s="493" t="s">
        <v>330</v>
      </c>
      <c r="D2273" s="105" t="s">
        <v>2691</v>
      </c>
      <c r="E2273" s="105" t="s">
        <v>1606</v>
      </c>
      <c r="F2273" s="493">
        <v>61227</v>
      </c>
      <c r="G2273" s="105" t="s">
        <v>52</v>
      </c>
      <c r="H2273" s="105" t="s">
        <v>333</v>
      </c>
      <c r="I2273" s="105" t="s">
        <v>334</v>
      </c>
      <c r="J2273" s="493">
        <v>22</v>
      </c>
      <c r="K2273" s="493">
        <v>2</v>
      </c>
      <c r="L2273" s="105" t="s">
        <v>343</v>
      </c>
      <c r="M2273" s="105" t="s">
        <v>655</v>
      </c>
      <c r="N2273" s="105" t="s">
        <v>656</v>
      </c>
      <c r="O2273" s="105" t="s">
        <v>656</v>
      </c>
      <c r="P2273" s="105" t="s">
        <v>339</v>
      </c>
      <c r="Q2273" s="494">
        <v>0</v>
      </c>
      <c r="R2273" s="494">
        <v>0</v>
      </c>
      <c r="S2273" s="494">
        <v>31820</v>
      </c>
      <c r="T2273" s="494">
        <v>31820</v>
      </c>
      <c r="U2273" s="494">
        <v>9326</v>
      </c>
      <c r="V2273" s="493">
        <v>2024</v>
      </c>
      <c r="W2273" s="495"/>
      <c r="X2273" s="496">
        <f t="shared" si="148"/>
        <v>3.411966545142612</v>
      </c>
      <c r="Y2273" s="497" t="str">
        <f t="shared" si="149"/>
        <v/>
      </c>
      <c r="Z2273" s="497" t="str">
        <f t="shared" si="149"/>
        <v/>
      </c>
    </row>
    <row r="2274" spans="1:26" s="82" customFormat="1" x14ac:dyDescent="0.4">
      <c r="A2274" s="493">
        <v>64680</v>
      </c>
      <c r="B2274" s="105" t="s">
        <v>329</v>
      </c>
      <c r="C2274" s="493" t="s">
        <v>330</v>
      </c>
      <c r="D2274" s="105" t="s">
        <v>2692</v>
      </c>
      <c r="E2274" s="105" t="s">
        <v>1606</v>
      </c>
      <c r="F2274" s="493">
        <v>61227</v>
      </c>
      <c r="G2274" s="105" t="s">
        <v>52</v>
      </c>
      <c r="H2274" s="105" t="s">
        <v>333</v>
      </c>
      <c r="I2274" s="105" t="s">
        <v>334</v>
      </c>
      <c r="J2274" s="493">
        <v>22</v>
      </c>
      <c r="K2274" s="493">
        <v>2</v>
      </c>
      <c r="L2274" s="105" t="s">
        <v>343</v>
      </c>
      <c r="M2274" s="105" t="s">
        <v>655</v>
      </c>
      <c r="N2274" s="105" t="s">
        <v>656</v>
      </c>
      <c r="O2274" s="105" t="s">
        <v>656</v>
      </c>
      <c r="P2274" s="105" t="s">
        <v>339</v>
      </c>
      <c r="Q2274" s="494">
        <v>0</v>
      </c>
      <c r="R2274" s="494">
        <v>0</v>
      </c>
      <c r="S2274" s="494">
        <v>28396</v>
      </c>
      <c r="T2274" s="494">
        <v>28396</v>
      </c>
      <c r="U2274" s="494">
        <v>8322</v>
      </c>
      <c r="V2274" s="493">
        <v>2024</v>
      </c>
      <c r="W2274" s="495"/>
      <c r="X2274" s="496">
        <f t="shared" si="148"/>
        <v>3.4121605383321318</v>
      </c>
      <c r="Y2274" s="497" t="str">
        <f t="shared" si="149"/>
        <v/>
      </c>
      <c r="Z2274" s="497" t="str">
        <f t="shared" si="149"/>
        <v/>
      </c>
    </row>
    <row r="2275" spans="1:26" s="82" customFormat="1" x14ac:dyDescent="0.4">
      <c r="A2275" s="493">
        <v>64681</v>
      </c>
      <c r="B2275" s="105" t="s">
        <v>329</v>
      </c>
      <c r="C2275" s="493" t="s">
        <v>330</v>
      </c>
      <c r="D2275" s="105" t="s">
        <v>2693</v>
      </c>
      <c r="E2275" s="105" t="s">
        <v>1606</v>
      </c>
      <c r="F2275" s="493">
        <v>61227</v>
      </c>
      <c r="G2275" s="105" t="s">
        <v>52</v>
      </c>
      <c r="H2275" s="105" t="s">
        <v>333</v>
      </c>
      <c r="I2275" s="105" t="s">
        <v>334</v>
      </c>
      <c r="J2275" s="493">
        <v>22</v>
      </c>
      <c r="K2275" s="493">
        <v>2</v>
      </c>
      <c r="L2275" s="105" t="s">
        <v>343</v>
      </c>
      <c r="M2275" s="105" t="s">
        <v>655</v>
      </c>
      <c r="N2275" s="105" t="s">
        <v>656</v>
      </c>
      <c r="O2275" s="105" t="s">
        <v>656</v>
      </c>
      <c r="P2275" s="105" t="s">
        <v>339</v>
      </c>
      <c r="Q2275" s="494">
        <v>0</v>
      </c>
      <c r="R2275" s="494">
        <v>0</v>
      </c>
      <c r="S2275" s="494">
        <v>10918</v>
      </c>
      <c r="T2275" s="494">
        <v>10918</v>
      </c>
      <c r="U2275" s="494">
        <v>3200</v>
      </c>
      <c r="V2275" s="493">
        <v>2024</v>
      </c>
      <c r="W2275" s="495"/>
      <c r="X2275" s="496">
        <f t="shared" si="148"/>
        <v>3.4118750000000002</v>
      </c>
      <c r="Y2275" s="497" t="str">
        <f t="shared" si="149"/>
        <v/>
      </c>
      <c r="Z2275" s="497" t="str">
        <f t="shared" si="149"/>
        <v/>
      </c>
    </row>
    <row r="2276" spans="1:26" s="82" customFormat="1" x14ac:dyDescent="0.4">
      <c r="A2276" s="493">
        <v>64686</v>
      </c>
      <c r="B2276" s="105" t="s">
        <v>329</v>
      </c>
      <c r="C2276" s="493" t="s">
        <v>330</v>
      </c>
      <c r="D2276" s="105" t="s">
        <v>2694</v>
      </c>
      <c r="E2276" s="105" t="s">
        <v>1206</v>
      </c>
      <c r="F2276" s="493">
        <v>49893</v>
      </c>
      <c r="G2276" s="105" t="s">
        <v>52</v>
      </c>
      <c r="H2276" s="105" t="s">
        <v>333</v>
      </c>
      <c r="I2276" s="105" t="s">
        <v>334</v>
      </c>
      <c r="J2276" s="493">
        <v>22</v>
      </c>
      <c r="K2276" s="493">
        <v>2</v>
      </c>
      <c r="L2276" s="105" t="s">
        <v>343</v>
      </c>
      <c r="M2276" s="105" t="s">
        <v>403</v>
      </c>
      <c r="N2276" s="105" t="s">
        <v>404</v>
      </c>
      <c r="O2276" s="105" t="s">
        <v>232</v>
      </c>
      <c r="P2276" s="105" t="s">
        <v>346</v>
      </c>
      <c r="Q2276" s="494">
        <v>19910</v>
      </c>
      <c r="R2276" s="494">
        <v>19910</v>
      </c>
      <c r="S2276" s="494">
        <v>0</v>
      </c>
      <c r="T2276" s="494">
        <v>0</v>
      </c>
      <c r="U2276" s="494">
        <v>-4479</v>
      </c>
      <c r="V2276" s="493">
        <v>2024</v>
      </c>
      <c r="W2276" s="495"/>
      <c r="X2276" s="496" t="str">
        <f t="shared" si="148"/>
        <v/>
      </c>
      <c r="Y2276" s="497" t="str">
        <f t="shared" si="149"/>
        <v/>
      </c>
      <c r="Z2276" s="497" t="str">
        <f t="shared" si="149"/>
        <v/>
      </c>
    </row>
    <row r="2277" spans="1:26" s="82" customFormat="1" ht="48" x14ac:dyDescent="0.4">
      <c r="A2277" s="493">
        <v>64692</v>
      </c>
      <c r="B2277" s="105" t="s">
        <v>329</v>
      </c>
      <c r="C2277" s="493" t="s">
        <v>330</v>
      </c>
      <c r="D2277" s="105" t="s">
        <v>2695</v>
      </c>
      <c r="E2277" s="105" t="s">
        <v>1354</v>
      </c>
      <c r="F2277" s="493">
        <v>60025</v>
      </c>
      <c r="G2277" s="105" t="s">
        <v>52</v>
      </c>
      <c r="H2277" s="105" t="s">
        <v>333</v>
      </c>
      <c r="I2277" s="105" t="s">
        <v>334</v>
      </c>
      <c r="J2277" s="493">
        <v>22</v>
      </c>
      <c r="K2277" s="493">
        <v>2</v>
      </c>
      <c r="L2277" s="105" t="s">
        <v>343</v>
      </c>
      <c r="M2277" s="105" t="s">
        <v>655</v>
      </c>
      <c r="N2277" s="105" t="s">
        <v>656</v>
      </c>
      <c r="O2277" s="105" t="s">
        <v>656</v>
      </c>
      <c r="P2277" s="105" t="s">
        <v>339</v>
      </c>
      <c r="Q2277" s="494">
        <v>0</v>
      </c>
      <c r="R2277" s="494">
        <v>0</v>
      </c>
      <c r="S2277" s="494">
        <v>5231</v>
      </c>
      <c r="T2277" s="494">
        <v>5231</v>
      </c>
      <c r="U2277" s="494">
        <v>1533</v>
      </c>
      <c r="V2277" s="493">
        <v>2024</v>
      </c>
      <c r="W2277" s="495"/>
      <c r="X2277" s="496">
        <f t="shared" si="148"/>
        <v>3.4122635355512068</v>
      </c>
      <c r="Y2277" s="497" t="str">
        <f t="shared" si="149"/>
        <v/>
      </c>
      <c r="Z2277" s="497" t="str">
        <f t="shared" si="149"/>
        <v/>
      </c>
    </row>
    <row r="2278" spans="1:26" s="82" customFormat="1" x14ac:dyDescent="0.4">
      <c r="A2278" s="493">
        <v>64696</v>
      </c>
      <c r="B2278" s="105" t="s">
        <v>329</v>
      </c>
      <c r="C2278" s="493" t="s">
        <v>330</v>
      </c>
      <c r="D2278" s="105" t="s">
        <v>2696</v>
      </c>
      <c r="E2278" s="105" t="s">
        <v>1448</v>
      </c>
      <c r="F2278" s="493">
        <v>61012</v>
      </c>
      <c r="G2278" s="105" t="s">
        <v>33</v>
      </c>
      <c r="H2278" s="105" t="s">
        <v>342</v>
      </c>
      <c r="I2278" s="105" t="s">
        <v>334</v>
      </c>
      <c r="J2278" s="493">
        <v>22</v>
      </c>
      <c r="K2278" s="493">
        <v>2</v>
      </c>
      <c r="L2278" s="105" t="s">
        <v>343</v>
      </c>
      <c r="M2278" s="105" t="s">
        <v>403</v>
      </c>
      <c r="N2278" s="105" t="s">
        <v>404</v>
      </c>
      <c r="O2278" s="105" t="s">
        <v>232</v>
      </c>
      <c r="P2278" s="105" t="s">
        <v>346</v>
      </c>
      <c r="Q2278" s="494">
        <v>2089</v>
      </c>
      <c r="R2278" s="494">
        <v>2089</v>
      </c>
      <c r="S2278" s="494">
        <v>0</v>
      </c>
      <c r="T2278" s="494">
        <v>0</v>
      </c>
      <c r="U2278" s="494">
        <v>-115</v>
      </c>
      <c r="V2278" s="493">
        <v>2024</v>
      </c>
      <c r="W2278" s="495"/>
      <c r="X2278" s="496" t="str">
        <f t="shared" si="148"/>
        <v/>
      </c>
      <c r="Y2278" s="497" t="str">
        <f t="shared" si="149"/>
        <v/>
      </c>
      <c r="Z2278" s="497" t="str">
        <f t="shared" si="149"/>
        <v/>
      </c>
    </row>
    <row r="2279" spans="1:26" s="82" customFormat="1" x14ac:dyDescent="0.4">
      <c r="A2279" s="493">
        <v>64696</v>
      </c>
      <c r="B2279" s="105" t="s">
        <v>329</v>
      </c>
      <c r="C2279" s="493" t="s">
        <v>330</v>
      </c>
      <c r="D2279" s="105" t="s">
        <v>2696</v>
      </c>
      <c r="E2279" s="105" t="s">
        <v>1448</v>
      </c>
      <c r="F2279" s="493">
        <v>61012</v>
      </c>
      <c r="G2279" s="105" t="s">
        <v>33</v>
      </c>
      <c r="H2279" s="105" t="s">
        <v>342</v>
      </c>
      <c r="I2279" s="105" t="s">
        <v>334</v>
      </c>
      <c r="J2279" s="493">
        <v>22</v>
      </c>
      <c r="K2279" s="493">
        <v>2</v>
      </c>
      <c r="L2279" s="105" t="s">
        <v>343</v>
      </c>
      <c r="M2279" s="105" t="s">
        <v>655</v>
      </c>
      <c r="N2279" s="105" t="s">
        <v>656</v>
      </c>
      <c r="O2279" s="105" t="s">
        <v>656</v>
      </c>
      <c r="P2279" s="105" t="s">
        <v>339</v>
      </c>
      <c r="Q2279" s="494">
        <v>0</v>
      </c>
      <c r="R2279" s="494">
        <v>0</v>
      </c>
      <c r="S2279" s="494">
        <v>37351</v>
      </c>
      <c r="T2279" s="494">
        <v>37351</v>
      </c>
      <c r="U2279" s="494">
        <v>10947</v>
      </c>
      <c r="V2279" s="493">
        <v>2024</v>
      </c>
      <c r="W2279" s="495"/>
      <c r="X2279" s="496">
        <f t="shared" si="148"/>
        <v>3.4119850187265919</v>
      </c>
      <c r="Y2279" s="497" t="str">
        <f t="shared" si="149"/>
        <v/>
      </c>
      <c r="Z2279" s="497" t="str">
        <f t="shared" si="149"/>
        <v/>
      </c>
    </row>
    <row r="2280" spans="1:26" s="82" customFormat="1" ht="32" x14ac:dyDescent="0.4">
      <c r="A2280" s="493">
        <v>64705</v>
      </c>
      <c r="B2280" s="105" t="s">
        <v>329</v>
      </c>
      <c r="C2280" s="493" t="s">
        <v>330</v>
      </c>
      <c r="D2280" s="105" t="s">
        <v>2697</v>
      </c>
      <c r="E2280" s="105" t="s">
        <v>1243</v>
      </c>
      <c r="F2280" s="493">
        <v>56769</v>
      </c>
      <c r="G2280" s="105" t="s">
        <v>33</v>
      </c>
      <c r="H2280" s="105" t="s">
        <v>342</v>
      </c>
      <c r="I2280" s="105" t="s">
        <v>334</v>
      </c>
      <c r="J2280" s="493">
        <v>22</v>
      </c>
      <c r="K2280" s="493">
        <v>2</v>
      </c>
      <c r="L2280" s="105" t="s">
        <v>343</v>
      </c>
      <c r="M2280" s="105" t="s">
        <v>655</v>
      </c>
      <c r="N2280" s="105" t="s">
        <v>656</v>
      </c>
      <c r="O2280" s="105" t="s">
        <v>656</v>
      </c>
      <c r="P2280" s="105" t="s">
        <v>339</v>
      </c>
      <c r="Q2280" s="494">
        <v>0</v>
      </c>
      <c r="R2280" s="494">
        <v>0</v>
      </c>
      <c r="S2280" s="494">
        <v>15347</v>
      </c>
      <c r="T2280" s="494">
        <v>15347</v>
      </c>
      <c r="U2280" s="494">
        <v>4498</v>
      </c>
      <c r="V2280" s="493">
        <v>2024</v>
      </c>
      <c r="W2280" s="495"/>
      <c r="X2280" s="496">
        <f t="shared" si="148"/>
        <v>3.4119608714984437</v>
      </c>
      <c r="Y2280" s="497" t="str">
        <f t="shared" si="149"/>
        <v/>
      </c>
      <c r="Z2280" s="497" t="str">
        <f t="shared" si="149"/>
        <v/>
      </c>
    </row>
    <row r="2281" spans="1:26" s="82" customFormat="1" x14ac:dyDescent="0.4">
      <c r="A2281" s="493">
        <v>64706</v>
      </c>
      <c r="B2281" s="105" t="s">
        <v>329</v>
      </c>
      <c r="C2281" s="493" t="s">
        <v>330</v>
      </c>
      <c r="D2281" s="105" t="s">
        <v>2698</v>
      </c>
      <c r="E2281" s="105" t="s">
        <v>1666</v>
      </c>
      <c r="F2281" s="493">
        <v>62836</v>
      </c>
      <c r="G2281" s="105" t="s">
        <v>33</v>
      </c>
      <c r="H2281" s="105" t="s">
        <v>342</v>
      </c>
      <c r="I2281" s="105" t="s">
        <v>334</v>
      </c>
      <c r="J2281" s="493">
        <v>22</v>
      </c>
      <c r="K2281" s="493">
        <v>2</v>
      </c>
      <c r="L2281" s="105" t="s">
        <v>343</v>
      </c>
      <c r="M2281" s="105" t="s">
        <v>655</v>
      </c>
      <c r="N2281" s="105" t="s">
        <v>656</v>
      </c>
      <c r="O2281" s="105" t="s">
        <v>656</v>
      </c>
      <c r="P2281" s="105" t="s">
        <v>339</v>
      </c>
      <c r="Q2281" s="494">
        <v>0</v>
      </c>
      <c r="R2281" s="494">
        <v>0</v>
      </c>
      <c r="S2281" s="494">
        <v>5292</v>
      </c>
      <c r="T2281" s="494">
        <v>5292</v>
      </c>
      <c r="U2281" s="494">
        <v>1548</v>
      </c>
      <c r="V2281" s="493">
        <v>2024</v>
      </c>
      <c r="W2281" s="495"/>
      <c r="X2281" s="496">
        <f t="shared" si="148"/>
        <v>3.4186046511627906</v>
      </c>
      <c r="Y2281" s="497" t="str">
        <f t="shared" si="149"/>
        <v/>
      </c>
      <c r="Z2281" s="497" t="str">
        <f t="shared" si="149"/>
        <v/>
      </c>
    </row>
    <row r="2282" spans="1:26" s="82" customFormat="1" x14ac:dyDescent="0.4">
      <c r="A2282" s="493">
        <v>64707</v>
      </c>
      <c r="B2282" s="105" t="s">
        <v>329</v>
      </c>
      <c r="C2282" s="493" t="s">
        <v>330</v>
      </c>
      <c r="D2282" s="105" t="s">
        <v>2699</v>
      </c>
      <c r="E2282" s="105" t="s">
        <v>1666</v>
      </c>
      <c r="F2282" s="493">
        <v>62836</v>
      </c>
      <c r="G2282" s="105" t="s">
        <v>33</v>
      </c>
      <c r="H2282" s="105" t="s">
        <v>342</v>
      </c>
      <c r="I2282" s="105" t="s">
        <v>334</v>
      </c>
      <c r="J2282" s="493">
        <v>22</v>
      </c>
      <c r="K2282" s="493">
        <v>2</v>
      </c>
      <c r="L2282" s="105" t="s">
        <v>343</v>
      </c>
      <c r="M2282" s="105" t="s">
        <v>655</v>
      </c>
      <c r="N2282" s="105" t="s">
        <v>656</v>
      </c>
      <c r="O2282" s="105" t="s">
        <v>656</v>
      </c>
      <c r="P2282" s="105" t="s">
        <v>339</v>
      </c>
      <c r="Q2282" s="494">
        <v>0</v>
      </c>
      <c r="R2282" s="494">
        <v>0</v>
      </c>
      <c r="S2282" s="494">
        <v>4654</v>
      </c>
      <c r="T2282" s="494">
        <v>4654</v>
      </c>
      <c r="U2282" s="494">
        <v>1364</v>
      </c>
      <c r="V2282" s="493">
        <v>2024</v>
      </c>
      <c r="W2282" s="495"/>
      <c r="X2282" s="496">
        <f t="shared" si="148"/>
        <v>3.4120234604105573</v>
      </c>
      <c r="Y2282" s="497" t="str">
        <f t="shared" si="149"/>
        <v/>
      </c>
      <c r="Z2282" s="497" t="str">
        <f t="shared" si="149"/>
        <v/>
      </c>
    </row>
    <row r="2283" spans="1:26" s="82" customFormat="1" x14ac:dyDescent="0.4">
      <c r="A2283" s="493">
        <v>64715</v>
      </c>
      <c r="B2283" s="105" t="s">
        <v>329</v>
      </c>
      <c r="C2283" s="493" t="s">
        <v>330</v>
      </c>
      <c r="D2283" s="105" t="s">
        <v>2700</v>
      </c>
      <c r="E2283" s="105" t="s">
        <v>1448</v>
      </c>
      <c r="F2283" s="493">
        <v>61012</v>
      </c>
      <c r="G2283" s="105" t="s">
        <v>52</v>
      </c>
      <c r="H2283" s="105" t="s">
        <v>333</v>
      </c>
      <c r="I2283" s="105" t="s">
        <v>334</v>
      </c>
      <c r="J2283" s="493">
        <v>22</v>
      </c>
      <c r="K2283" s="493">
        <v>2</v>
      </c>
      <c r="L2283" s="105" t="s">
        <v>343</v>
      </c>
      <c r="M2283" s="105" t="s">
        <v>655</v>
      </c>
      <c r="N2283" s="105" t="s">
        <v>656</v>
      </c>
      <c r="O2283" s="105" t="s">
        <v>656</v>
      </c>
      <c r="P2283" s="105" t="s">
        <v>339</v>
      </c>
      <c r="Q2283" s="494">
        <v>0</v>
      </c>
      <c r="R2283" s="494">
        <v>0</v>
      </c>
      <c r="S2283" s="494">
        <v>27932</v>
      </c>
      <c r="T2283" s="494">
        <v>27932</v>
      </c>
      <c r="U2283" s="494">
        <v>8186</v>
      </c>
      <c r="V2283" s="493">
        <v>2024</v>
      </c>
      <c r="W2283" s="495"/>
      <c r="X2283" s="496">
        <f t="shared" si="148"/>
        <v>3.4121671145858783</v>
      </c>
      <c r="Y2283" s="497" t="str">
        <f t="shared" si="149"/>
        <v/>
      </c>
      <c r="Z2283" s="497" t="str">
        <f t="shared" si="149"/>
        <v/>
      </c>
    </row>
    <row r="2284" spans="1:26" s="82" customFormat="1" x14ac:dyDescent="0.4">
      <c r="A2284" s="493">
        <v>64716</v>
      </c>
      <c r="B2284" s="105" t="s">
        <v>329</v>
      </c>
      <c r="C2284" s="493" t="s">
        <v>330</v>
      </c>
      <c r="D2284" s="105" t="s">
        <v>2701</v>
      </c>
      <c r="E2284" s="105" t="s">
        <v>1448</v>
      </c>
      <c r="F2284" s="493">
        <v>61012</v>
      </c>
      <c r="G2284" s="105" t="s">
        <v>52</v>
      </c>
      <c r="H2284" s="105" t="s">
        <v>333</v>
      </c>
      <c r="I2284" s="105" t="s">
        <v>334</v>
      </c>
      <c r="J2284" s="493">
        <v>22</v>
      </c>
      <c r="K2284" s="493">
        <v>2</v>
      </c>
      <c r="L2284" s="105" t="s">
        <v>343</v>
      </c>
      <c r="M2284" s="105" t="s">
        <v>655</v>
      </c>
      <c r="N2284" s="105" t="s">
        <v>656</v>
      </c>
      <c r="O2284" s="105" t="s">
        <v>656</v>
      </c>
      <c r="P2284" s="105" t="s">
        <v>339</v>
      </c>
      <c r="Q2284" s="494">
        <v>0</v>
      </c>
      <c r="R2284" s="494">
        <v>0</v>
      </c>
      <c r="S2284" s="494">
        <v>25103</v>
      </c>
      <c r="T2284" s="494">
        <v>25103</v>
      </c>
      <c r="U2284" s="494">
        <v>7357</v>
      </c>
      <c r="V2284" s="493">
        <v>2024</v>
      </c>
      <c r="W2284" s="495"/>
      <c r="X2284" s="496">
        <f t="shared" si="148"/>
        <v>3.4121245072719857</v>
      </c>
      <c r="Y2284" s="497" t="str">
        <f t="shared" si="149"/>
        <v/>
      </c>
      <c r="Z2284" s="497" t="str">
        <f t="shared" si="149"/>
        <v/>
      </c>
    </row>
    <row r="2285" spans="1:26" s="82" customFormat="1" x14ac:dyDescent="0.4">
      <c r="A2285" s="493">
        <v>64717</v>
      </c>
      <c r="B2285" s="105" t="s">
        <v>329</v>
      </c>
      <c r="C2285" s="493" t="s">
        <v>330</v>
      </c>
      <c r="D2285" s="105" t="s">
        <v>2702</v>
      </c>
      <c r="E2285" s="105" t="s">
        <v>1448</v>
      </c>
      <c r="F2285" s="493">
        <v>61012</v>
      </c>
      <c r="G2285" s="105" t="s">
        <v>52</v>
      </c>
      <c r="H2285" s="105" t="s">
        <v>333</v>
      </c>
      <c r="I2285" s="105" t="s">
        <v>334</v>
      </c>
      <c r="J2285" s="493">
        <v>22</v>
      </c>
      <c r="K2285" s="493">
        <v>2</v>
      </c>
      <c r="L2285" s="105" t="s">
        <v>343</v>
      </c>
      <c r="M2285" s="105" t="s">
        <v>655</v>
      </c>
      <c r="N2285" s="105" t="s">
        <v>656</v>
      </c>
      <c r="O2285" s="105" t="s">
        <v>656</v>
      </c>
      <c r="P2285" s="105" t="s">
        <v>339</v>
      </c>
      <c r="Q2285" s="494">
        <v>0</v>
      </c>
      <c r="R2285" s="494">
        <v>0</v>
      </c>
      <c r="S2285" s="494">
        <v>27598</v>
      </c>
      <c r="T2285" s="494">
        <v>27598</v>
      </c>
      <c r="U2285" s="494">
        <v>8089</v>
      </c>
      <c r="V2285" s="493">
        <v>2024</v>
      </c>
      <c r="W2285" s="495"/>
      <c r="X2285" s="496">
        <f t="shared" si="148"/>
        <v>3.4117937940412908</v>
      </c>
      <c r="Y2285" s="497" t="str">
        <f t="shared" si="149"/>
        <v/>
      </c>
      <c r="Z2285" s="497" t="str">
        <f t="shared" si="149"/>
        <v/>
      </c>
    </row>
    <row r="2286" spans="1:26" s="82" customFormat="1" x14ac:dyDescent="0.4">
      <c r="A2286" s="493">
        <v>64718</v>
      </c>
      <c r="B2286" s="105" t="s">
        <v>329</v>
      </c>
      <c r="C2286" s="493" t="s">
        <v>330</v>
      </c>
      <c r="D2286" s="105" t="s">
        <v>2703</v>
      </c>
      <c r="E2286" s="105" t="s">
        <v>1448</v>
      </c>
      <c r="F2286" s="493">
        <v>61012</v>
      </c>
      <c r="G2286" s="105" t="s">
        <v>52</v>
      </c>
      <c r="H2286" s="105" t="s">
        <v>333</v>
      </c>
      <c r="I2286" s="105" t="s">
        <v>334</v>
      </c>
      <c r="J2286" s="493">
        <v>22</v>
      </c>
      <c r="K2286" s="493">
        <v>2</v>
      </c>
      <c r="L2286" s="105" t="s">
        <v>343</v>
      </c>
      <c r="M2286" s="105" t="s">
        <v>655</v>
      </c>
      <c r="N2286" s="105" t="s">
        <v>656</v>
      </c>
      <c r="O2286" s="105" t="s">
        <v>656</v>
      </c>
      <c r="P2286" s="105" t="s">
        <v>339</v>
      </c>
      <c r="Q2286" s="494">
        <v>0</v>
      </c>
      <c r="R2286" s="494">
        <v>0</v>
      </c>
      <c r="S2286" s="494">
        <v>6230</v>
      </c>
      <c r="T2286" s="494">
        <v>6230</v>
      </c>
      <c r="U2286" s="494">
        <v>1826</v>
      </c>
      <c r="V2286" s="493">
        <v>2024</v>
      </c>
      <c r="W2286" s="495"/>
      <c r="X2286" s="496">
        <f t="shared" si="148"/>
        <v>3.4118291347207008</v>
      </c>
      <c r="Y2286" s="497" t="str">
        <f t="shared" si="149"/>
        <v/>
      </c>
      <c r="Z2286" s="497" t="str">
        <f t="shared" si="149"/>
        <v/>
      </c>
    </row>
    <row r="2287" spans="1:26" s="82" customFormat="1" x14ac:dyDescent="0.4">
      <c r="A2287" s="493">
        <v>64719</v>
      </c>
      <c r="B2287" s="105" t="s">
        <v>329</v>
      </c>
      <c r="C2287" s="493" t="s">
        <v>330</v>
      </c>
      <c r="D2287" s="105" t="s">
        <v>2704</v>
      </c>
      <c r="E2287" s="105" t="s">
        <v>1448</v>
      </c>
      <c r="F2287" s="493">
        <v>61012</v>
      </c>
      <c r="G2287" s="105" t="s">
        <v>52</v>
      </c>
      <c r="H2287" s="105" t="s">
        <v>333</v>
      </c>
      <c r="I2287" s="105" t="s">
        <v>334</v>
      </c>
      <c r="J2287" s="493">
        <v>22</v>
      </c>
      <c r="K2287" s="493">
        <v>2</v>
      </c>
      <c r="L2287" s="105" t="s">
        <v>343</v>
      </c>
      <c r="M2287" s="105" t="s">
        <v>403</v>
      </c>
      <c r="N2287" s="105" t="s">
        <v>404</v>
      </c>
      <c r="O2287" s="105" t="s">
        <v>232</v>
      </c>
      <c r="P2287" s="105" t="s">
        <v>346</v>
      </c>
      <c r="Q2287" s="494">
        <v>413</v>
      </c>
      <c r="R2287" s="494">
        <v>413</v>
      </c>
      <c r="S2287" s="494">
        <v>0</v>
      </c>
      <c r="T2287" s="494">
        <v>0</v>
      </c>
      <c r="U2287" s="494">
        <v>-42</v>
      </c>
      <c r="V2287" s="493">
        <v>2024</v>
      </c>
      <c r="W2287" s="495"/>
      <c r="X2287" s="496" t="str">
        <f t="shared" si="148"/>
        <v/>
      </c>
      <c r="Y2287" s="497" t="str">
        <f t="shared" si="149"/>
        <v/>
      </c>
      <c r="Z2287" s="497" t="str">
        <f t="shared" si="149"/>
        <v/>
      </c>
    </row>
    <row r="2288" spans="1:26" s="82" customFormat="1" x14ac:dyDescent="0.4">
      <c r="A2288" s="493">
        <v>64719</v>
      </c>
      <c r="B2288" s="105" t="s">
        <v>329</v>
      </c>
      <c r="C2288" s="493" t="s">
        <v>330</v>
      </c>
      <c r="D2288" s="105" t="s">
        <v>2704</v>
      </c>
      <c r="E2288" s="105" t="s">
        <v>1448</v>
      </c>
      <c r="F2288" s="493">
        <v>61012</v>
      </c>
      <c r="G2288" s="105" t="s">
        <v>52</v>
      </c>
      <c r="H2288" s="105" t="s">
        <v>333</v>
      </c>
      <c r="I2288" s="105" t="s">
        <v>334</v>
      </c>
      <c r="J2288" s="493">
        <v>22</v>
      </c>
      <c r="K2288" s="493">
        <v>2</v>
      </c>
      <c r="L2288" s="105" t="s">
        <v>343</v>
      </c>
      <c r="M2288" s="105" t="s">
        <v>655</v>
      </c>
      <c r="N2288" s="105" t="s">
        <v>656</v>
      </c>
      <c r="O2288" s="105" t="s">
        <v>656</v>
      </c>
      <c r="P2288" s="105" t="s">
        <v>339</v>
      </c>
      <c r="Q2288" s="494">
        <v>0</v>
      </c>
      <c r="R2288" s="494">
        <v>0</v>
      </c>
      <c r="S2288" s="494">
        <v>12356</v>
      </c>
      <c r="T2288" s="494">
        <v>12356</v>
      </c>
      <c r="U2288" s="494">
        <v>3621</v>
      </c>
      <c r="V2288" s="493">
        <v>2024</v>
      </c>
      <c r="W2288" s="495"/>
      <c r="X2288" s="496">
        <f t="shared" si="148"/>
        <v>3.4123170394918532</v>
      </c>
      <c r="Y2288" s="497" t="str">
        <f t="shared" ref="Y2288:Z2307" si="150">IF(AND($M2288=$Y$2,$N2288=$Y$3,NOT($Q2288=$R2288),NOT($U2288=0)),IF($K2288=5,$S2288/($U2288+(8/5)*$U2288),IF($K2288=7,$S2288/($U2288+(29/25)*$U2288),"")),"")</f>
        <v/>
      </c>
      <c r="Z2288" s="497" t="str">
        <f t="shared" si="150"/>
        <v/>
      </c>
    </row>
    <row r="2289" spans="1:26" s="82" customFormat="1" x14ac:dyDescent="0.4">
      <c r="A2289" s="493">
        <v>64720</v>
      </c>
      <c r="B2289" s="105" t="s">
        <v>329</v>
      </c>
      <c r="C2289" s="493" t="s">
        <v>330</v>
      </c>
      <c r="D2289" s="105" t="s">
        <v>2705</v>
      </c>
      <c r="E2289" s="105" t="s">
        <v>1448</v>
      </c>
      <c r="F2289" s="493">
        <v>61012</v>
      </c>
      <c r="G2289" s="105" t="s">
        <v>52</v>
      </c>
      <c r="H2289" s="105" t="s">
        <v>333</v>
      </c>
      <c r="I2289" s="105" t="s">
        <v>334</v>
      </c>
      <c r="J2289" s="493">
        <v>22</v>
      </c>
      <c r="K2289" s="493">
        <v>2</v>
      </c>
      <c r="L2289" s="105" t="s">
        <v>343</v>
      </c>
      <c r="M2289" s="105" t="s">
        <v>655</v>
      </c>
      <c r="N2289" s="105" t="s">
        <v>656</v>
      </c>
      <c r="O2289" s="105" t="s">
        <v>656</v>
      </c>
      <c r="P2289" s="105" t="s">
        <v>339</v>
      </c>
      <c r="Q2289" s="494">
        <v>0</v>
      </c>
      <c r="R2289" s="494">
        <v>0</v>
      </c>
      <c r="S2289" s="494">
        <v>23704</v>
      </c>
      <c r="T2289" s="494">
        <v>23704</v>
      </c>
      <c r="U2289" s="494">
        <v>6947</v>
      </c>
      <c r="V2289" s="493">
        <v>2024</v>
      </c>
      <c r="W2289" s="495"/>
      <c r="X2289" s="496">
        <f t="shared" si="148"/>
        <v>3.4121203397149849</v>
      </c>
      <c r="Y2289" s="497" t="str">
        <f t="shared" si="150"/>
        <v/>
      </c>
      <c r="Z2289" s="497" t="str">
        <f t="shared" si="150"/>
        <v/>
      </c>
    </row>
    <row r="2290" spans="1:26" s="82" customFormat="1" x14ac:dyDescent="0.4">
      <c r="A2290" s="493">
        <v>64721</v>
      </c>
      <c r="B2290" s="105" t="s">
        <v>329</v>
      </c>
      <c r="C2290" s="493" t="s">
        <v>330</v>
      </c>
      <c r="D2290" s="105" t="s">
        <v>2706</v>
      </c>
      <c r="E2290" s="105" t="s">
        <v>1448</v>
      </c>
      <c r="F2290" s="493">
        <v>61012</v>
      </c>
      <c r="G2290" s="105" t="s">
        <v>52</v>
      </c>
      <c r="H2290" s="105" t="s">
        <v>333</v>
      </c>
      <c r="I2290" s="105" t="s">
        <v>334</v>
      </c>
      <c r="J2290" s="493">
        <v>22</v>
      </c>
      <c r="K2290" s="493">
        <v>2</v>
      </c>
      <c r="L2290" s="105" t="s">
        <v>343</v>
      </c>
      <c r="M2290" s="105" t="s">
        <v>655</v>
      </c>
      <c r="N2290" s="105" t="s">
        <v>656</v>
      </c>
      <c r="O2290" s="105" t="s">
        <v>656</v>
      </c>
      <c r="P2290" s="105" t="s">
        <v>339</v>
      </c>
      <c r="Q2290" s="494">
        <v>0</v>
      </c>
      <c r="R2290" s="494">
        <v>0</v>
      </c>
      <c r="S2290" s="494">
        <v>25900</v>
      </c>
      <c r="T2290" s="494">
        <v>25900</v>
      </c>
      <c r="U2290" s="494">
        <v>7591</v>
      </c>
      <c r="V2290" s="493">
        <v>2024</v>
      </c>
      <c r="W2290" s="495"/>
      <c r="X2290" s="496">
        <f t="shared" si="148"/>
        <v>3.4119351864049534</v>
      </c>
      <c r="Y2290" s="497" t="str">
        <f t="shared" si="150"/>
        <v/>
      </c>
      <c r="Z2290" s="497" t="str">
        <f t="shared" si="150"/>
        <v/>
      </c>
    </row>
    <row r="2291" spans="1:26" s="82" customFormat="1" x14ac:dyDescent="0.4">
      <c r="A2291" s="493">
        <v>64722</v>
      </c>
      <c r="B2291" s="105" t="s">
        <v>329</v>
      </c>
      <c r="C2291" s="493" t="s">
        <v>330</v>
      </c>
      <c r="D2291" s="105" t="s">
        <v>2707</v>
      </c>
      <c r="E2291" s="105" t="s">
        <v>1448</v>
      </c>
      <c r="F2291" s="493">
        <v>61012</v>
      </c>
      <c r="G2291" s="105" t="s">
        <v>52</v>
      </c>
      <c r="H2291" s="105" t="s">
        <v>333</v>
      </c>
      <c r="I2291" s="105" t="s">
        <v>334</v>
      </c>
      <c r="J2291" s="493">
        <v>22</v>
      </c>
      <c r="K2291" s="493">
        <v>2</v>
      </c>
      <c r="L2291" s="105" t="s">
        <v>343</v>
      </c>
      <c r="M2291" s="105" t="s">
        <v>655</v>
      </c>
      <c r="N2291" s="105" t="s">
        <v>656</v>
      </c>
      <c r="O2291" s="105" t="s">
        <v>656</v>
      </c>
      <c r="P2291" s="105" t="s">
        <v>339</v>
      </c>
      <c r="Q2291" s="494">
        <v>0</v>
      </c>
      <c r="R2291" s="494">
        <v>0</v>
      </c>
      <c r="S2291" s="494">
        <v>32975</v>
      </c>
      <c r="T2291" s="494">
        <v>32975</v>
      </c>
      <c r="U2291" s="494">
        <v>9665</v>
      </c>
      <c r="V2291" s="493">
        <v>2024</v>
      </c>
      <c r="W2291" s="495"/>
      <c r="X2291" s="496">
        <f t="shared" si="148"/>
        <v>3.4117951370926023</v>
      </c>
      <c r="Y2291" s="497" t="str">
        <f t="shared" si="150"/>
        <v/>
      </c>
      <c r="Z2291" s="497" t="str">
        <f t="shared" si="150"/>
        <v/>
      </c>
    </row>
    <row r="2292" spans="1:26" s="82" customFormat="1" x14ac:dyDescent="0.4">
      <c r="A2292" s="493">
        <v>64723</v>
      </c>
      <c r="B2292" s="105" t="s">
        <v>329</v>
      </c>
      <c r="C2292" s="493" t="s">
        <v>330</v>
      </c>
      <c r="D2292" s="105" t="s">
        <v>2708</v>
      </c>
      <c r="E2292" s="105" t="s">
        <v>2709</v>
      </c>
      <c r="F2292" s="493">
        <v>64292</v>
      </c>
      <c r="G2292" s="105" t="s">
        <v>38</v>
      </c>
      <c r="H2292" s="105" t="s">
        <v>342</v>
      </c>
      <c r="I2292" s="105" t="s">
        <v>334</v>
      </c>
      <c r="J2292" s="493">
        <v>22</v>
      </c>
      <c r="K2292" s="493">
        <v>2</v>
      </c>
      <c r="L2292" s="105" t="s">
        <v>343</v>
      </c>
      <c r="M2292" s="105" t="s">
        <v>655</v>
      </c>
      <c r="N2292" s="105" t="s">
        <v>656</v>
      </c>
      <c r="O2292" s="105" t="s">
        <v>656</v>
      </c>
      <c r="P2292" s="105" t="s">
        <v>339</v>
      </c>
      <c r="Q2292" s="494">
        <v>0</v>
      </c>
      <c r="R2292" s="494">
        <v>0</v>
      </c>
      <c r="S2292" s="494">
        <v>80635</v>
      </c>
      <c r="T2292" s="494">
        <v>80635</v>
      </c>
      <c r="U2292" s="494">
        <v>23633</v>
      </c>
      <c r="V2292" s="493">
        <v>2024</v>
      </c>
      <c r="W2292" s="495"/>
      <c r="X2292" s="496">
        <f t="shared" si="148"/>
        <v>3.4119663182837559</v>
      </c>
      <c r="Y2292" s="497" t="str">
        <f t="shared" si="150"/>
        <v/>
      </c>
      <c r="Z2292" s="497" t="str">
        <f t="shared" si="150"/>
        <v/>
      </c>
    </row>
    <row r="2293" spans="1:26" s="82" customFormat="1" x14ac:dyDescent="0.4">
      <c r="A2293" s="493">
        <v>64724</v>
      </c>
      <c r="B2293" s="105" t="s">
        <v>329</v>
      </c>
      <c r="C2293" s="493" t="s">
        <v>330</v>
      </c>
      <c r="D2293" s="105" t="s">
        <v>2710</v>
      </c>
      <c r="E2293" s="105" t="s">
        <v>1448</v>
      </c>
      <c r="F2293" s="493">
        <v>61012</v>
      </c>
      <c r="G2293" s="105" t="s">
        <v>52</v>
      </c>
      <c r="H2293" s="105" t="s">
        <v>333</v>
      </c>
      <c r="I2293" s="105" t="s">
        <v>334</v>
      </c>
      <c r="J2293" s="493">
        <v>22</v>
      </c>
      <c r="K2293" s="493">
        <v>2</v>
      </c>
      <c r="L2293" s="105" t="s">
        <v>343</v>
      </c>
      <c r="M2293" s="105" t="s">
        <v>655</v>
      </c>
      <c r="N2293" s="105" t="s">
        <v>656</v>
      </c>
      <c r="O2293" s="105" t="s">
        <v>656</v>
      </c>
      <c r="P2293" s="105" t="s">
        <v>339</v>
      </c>
      <c r="Q2293" s="494">
        <v>0</v>
      </c>
      <c r="R2293" s="494">
        <v>0</v>
      </c>
      <c r="S2293" s="494">
        <v>25484</v>
      </c>
      <c r="T2293" s="494">
        <v>25484</v>
      </c>
      <c r="U2293" s="494">
        <v>7469</v>
      </c>
      <c r="V2293" s="493">
        <v>2024</v>
      </c>
      <c r="W2293" s="495"/>
      <c r="X2293" s="496">
        <f t="shared" si="148"/>
        <v>3.411969473825144</v>
      </c>
      <c r="Y2293" s="497" t="str">
        <f t="shared" si="150"/>
        <v/>
      </c>
      <c r="Z2293" s="497" t="str">
        <f t="shared" si="150"/>
        <v/>
      </c>
    </row>
    <row r="2294" spans="1:26" s="82" customFormat="1" x14ac:dyDescent="0.4">
      <c r="A2294" s="493">
        <v>64725</v>
      </c>
      <c r="B2294" s="105" t="s">
        <v>329</v>
      </c>
      <c r="C2294" s="493" t="s">
        <v>330</v>
      </c>
      <c r="D2294" s="105" t="s">
        <v>2711</v>
      </c>
      <c r="E2294" s="105" t="s">
        <v>1448</v>
      </c>
      <c r="F2294" s="493">
        <v>61012</v>
      </c>
      <c r="G2294" s="105" t="s">
        <v>52</v>
      </c>
      <c r="H2294" s="105" t="s">
        <v>333</v>
      </c>
      <c r="I2294" s="105" t="s">
        <v>334</v>
      </c>
      <c r="J2294" s="493">
        <v>22</v>
      </c>
      <c r="K2294" s="493">
        <v>2</v>
      </c>
      <c r="L2294" s="105" t="s">
        <v>343</v>
      </c>
      <c r="M2294" s="105" t="s">
        <v>655</v>
      </c>
      <c r="N2294" s="105" t="s">
        <v>656</v>
      </c>
      <c r="O2294" s="105" t="s">
        <v>656</v>
      </c>
      <c r="P2294" s="105" t="s">
        <v>339</v>
      </c>
      <c r="Q2294" s="494">
        <v>0</v>
      </c>
      <c r="R2294" s="494">
        <v>0</v>
      </c>
      <c r="S2294" s="494">
        <v>18767</v>
      </c>
      <c r="T2294" s="494">
        <v>18767</v>
      </c>
      <c r="U2294" s="494">
        <v>5500</v>
      </c>
      <c r="V2294" s="493">
        <v>2024</v>
      </c>
      <c r="W2294" s="495"/>
      <c r="X2294" s="496">
        <f t="shared" si="148"/>
        <v>3.4121818181818182</v>
      </c>
      <c r="Y2294" s="497" t="str">
        <f t="shared" si="150"/>
        <v/>
      </c>
      <c r="Z2294" s="497" t="str">
        <f t="shared" si="150"/>
        <v/>
      </c>
    </row>
    <row r="2295" spans="1:26" s="82" customFormat="1" x14ac:dyDescent="0.4">
      <c r="A2295" s="493">
        <v>64726</v>
      </c>
      <c r="B2295" s="105" t="s">
        <v>329</v>
      </c>
      <c r="C2295" s="493" t="s">
        <v>330</v>
      </c>
      <c r="D2295" s="105" t="s">
        <v>2712</v>
      </c>
      <c r="E2295" s="105" t="s">
        <v>1448</v>
      </c>
      <c r="F2295" s="493">
        <v>61012</v>
      </c>
      <c r="G2295" s="105" t="s">
        <v>33</v>
      </c>
      <c r="H2295" s="105" t="s">
        <v>342</v>
      </c>
      <c r="I2295" s="105" t="s">
        <v>334</v>
      </c>
      <c r="J2295" s="493">
        <v>22</v>
      </c>
      <c r="K2295" s="493">
        <v>2</v>
      </c>
      <c r="L2295" s="105" t="s">
        <v>343</v>
      </c>
      <c r="M2295" s="105" t="s">
        <v>403</v>
      </c>
      <c r="N2295" s="105" t="s">
        <v>404</v>
      </c>
      <c r="O2295" s="105" t="s">
        <v>232</v>
      </c>
      <c r="P2295" s="105" t="s">
        <v>346</v>
      </c>
      <c r="Q2295" s="494">
        <v>727</v>
      </c>
      <c r="R2295" s="494">
        <v>727</v>
      </c>
      <c r="S2295" s="494">
        <v>0</v>
      </c>
      <c r="T2295" s="494">
        <v>0</v>
      </c>
      <c r="U2295" s="494">
        <v>-90</v>
      </c>
      <c r="V2295" s="493">
        <v>2024</v>
      </c>
      <c r="W2295" s="495"/>
      <c r="X2295" s="496" t="str">
        <f t="shared" si="148"/>
        <v/>
      </c>
      <c r="Y2295" s="497" t="str">
        <f t="shared" si="150"/>
        <v/>
      </c>
      <c r="Z2295" s="497" t="str">
        <f t="shared" si="150"/>
        <v/>
      </c>
    </row>
    <row r="2296" spans="1:26" s="82" customFormat="1" x14ac:dyDescent="0.4">
      <c r="A2296" s="493">
        <v>64726</v>
      </c>
      <c r="B2296" s="105" t="s">
        <v>329</v>
      </c>
      <c r="C2296" s="493" t="s">
        <v>330</v>
      </c>
      <c r="D2296" s="105" t="s">
        <v>2712</v>
      </c>
      <c r="E2296" s="105" t="s">
        <v>1448</v>
      </c>
      <c r="F2296" s="493">
        <v>61012</v>
      </c>
      <c r="G2296" s="105" t="s">
        <v>33</v>
      </c>
      <c r="H2296" s="105" t="s">
        <v>342</v>
      </c>
      <c r="I2296" s="105" t="s">
        <v>334</v>
      </c>
      <c r="J2296" s="493">
        <v>22</v>
      </c>
      <c r="K2296" s="493">
        <v>2</v>
      </c>
      <c r="L2296" s="105" t="s">
        <v>343</v>
      </c>
      <c r="M2296" s="105" t="s">
        <v>655</v>
      </c>
      <c r="N2296" s="105" t="s">
        <v>656</v>
      </c>
      <c r="O2296" s="105" t="s">
        <v>656</v>
      </c>
      <c r="P2296" s="105" t="s">
        <v>339</v>
      </c>
      <c r="Q2296" s="494">
        <v>0</v>
      </c>
      <c r="R2296" s="494">
        <v>0</v>
      </c>
      <c r="S2296" s="494">
        <v>29630</v>
      </c>
      <c r="T2296" s="494">
        <v>29630</v>
      </c>
      <c r="U2296" s="494">
        <v>8684</v>
      </c>
      <c r="V2296" s="493">
        <v>2024</v>
      </c>
      <c r="W2296" s="495"/>
      <c r="X2296" s="496">
        <f t="shared" si="148"/>
        <v>3.4120221096268999</v>
      </c>
      <c r="Y2296" s="497" t="str">
        <f t="shared" si="150"/>
        <v/>
      </c>
      <c r="Z2296" s="497" t="str">
        <f t="shared" si="150"/>
        <v/>
      </c>
    </row>
    <row r="2297" spans="1:26" s="82" customFormat="1" x14ac:dyDescent="0.4">
      <c r="A2297" s="493">
        <v>64727</v>
      </c>
      <c r="B2297" s="105" t="s">
        <v>329</v>
      </c>
      <c r="C2297" s="493" t="s">
        <v>330</v>
      </c>
      <c r="D2297" s="105" t="s">
        <v>2713</v>
      </c>
      <c r="E2297" s="105" t="s">
        <v>1448</v>
      </c>
      <c r="F2297" s="493">
        <v>61012</v>
      </c>
      <c r="G2297" s="105" t="s">
        <v>33</v>
      </c>
      <c r="H2297" s="105" t="s">
        <v>342</v>
      </c>
      <c r="I2297" s="105" t="s">
        <v>334</v>
      </c>
      <c r="J2297" s="493">
        <v>22</v>
      </c>
      <c r="K2297" s="493">
        <v>2</v>
      </c>
      <c r="L2297" s="105" t="s">
        <v>343</v>
      </c>
      <c r="M2297" s="105" t="s">
        <v>403</v>
      </c>
      <c r="N2297" s="105" t="s">
        <v>404</v>
      </c>
      <c r="O2297" s="105" t="s">
        <v>232</v>
      </c>
      <c r="P2297" s="105" t="s">
        <v>346</v>
      </c>
      <c r="Q2297" s="494">
        <v>456</v>
      </c>
      <c r="R2297" s="494">
        <v>456</v>
      </c>
      <c r="S2297" s="494">
        <v>0</v>
      </c>
      <c r="T2297" s="494">
        <v>0</v>
      </c>
      <c r="U2297" s="494">
        <v>-45</v>
      </c>
      <c r="V2297" s="493">
        <v>2024</v>
      </c>
      <c r="W2297" s="495"/>
      <c r="X2297" s="496" t="str">
        <f t="shared" si="148"/>
        <v/>
      </c>
      <c r="Y2297" s="497" t="str">
        <f t="shared" si="150"/>
        <v/>
      </c>
      <c r="Z2297" s="497" t="str">
        <f t="shared" si="150"/>
        <v/>
      </c>
    </row>
    <row r="2298" spans="1:26" s="82" customFormat="1" x14ac:dyDescent="0.4">
      <c r="A2298" s="493">
        <v>64727</v>
      </c>
      <c r="B2298" s="105" t="s">
        <v>329</v>
      </c>
      <c r="C2298" s="493" t="s">
        <v>330</v>
      </c>
      <c r="D2298" s="105" t="s">
        <v>2713</v>
      </c>
      <c r="E2298" s="105" t="s">
        <v>1448</v>
      </c>
      <c r="F2298" s="493">
        <v>61012</v>
      </c>
      <c r="G2298" s="105" t="s">
        <v>33</v>
      </c>
      <c r="H2298" s="105" t="s">
        <v>342</v>
      </c>
      <c r="I2298" s="105" t="s">
        <v>334</v>
      </c>
      <c r="J2298" s="493">
        <v>22</v>
      </c>
      <c r="K2298" s="493">
        <v>2</v>
      </c>
      <c r="L2298" s="105" t="s">
        <v>343</v>
      </c>
      <c r="M2298" s="105" t="s">
        <v>655</v>
      </c>
      <c r="N2298" s="105" t="s">
        <v>656</v>
      </c>
      <c r="O2298" s="105" t="s">
        <v>656</v>
      </c>
      <c r="P2298" s="105" t="s">
        <v>339</v>
      </c>
      <c r="Q2298" s="494">
        <v>0</v>
      </c>
      <c r="R2298" s="494">
        <v>0</v>
      </c>
      <c r="S2298" s="494">
        <v>24150</v>
      </c>
      <c r="T2298" s="494">
        <v>24150</v>
      </c>
      <c r="U2298" s="494">
        <v>7078</v>
      </c>
      <c r="V2298" s="493">
        <v>2024</v>
      </c>
      <c r="W2298" s="495"/>
      <c r="X2298" s="496">
        <f t="shared" si="148"/>
        <v>3.4119807855326365</v>
      </c>
      <c r="Y2298" s="497" t="str">
        <f t="shared" si="150"/>
        <v/>
      </c>
      <c r="Z2298" s="497" t="str">
        <f t="shared" si="150"/>
        <v/>
      </c>
    </row>
    <row r="2299" spans="1:26" s="82" customFormat="1" ht="32" x14ac:dyDescent="0.4">
      <c r="A2299" s="493">
        <v>64731</v>
      </c>
      <c r="B2299" s="105" t="s">
        <v>329</v>
      </c>
      <c r="C2299" s="493" t="s">
        <v>330</v>
      </c>
      <c r="D2299" s="105" t="s">
        <v>2714</v>
      </c>
      <c r="E2299" s="105" t="s">
        <v>2715</v>
      </c>
      <c r="F2299" s="493">
        <v>64296</v>
      </c>
      <c r="G2299" s="105" t="s">
        <v>33</v>
      </c>
      <c r="H2299" s="105" t="s">
        <v>342</v>
      </c>
      <c r="I2299" s="105" t="s">
        <v>334</v>
      </c>
      <c r="J2299" s="493">
        <v>22</v>
      </c>
      <c r="K2299" s="493">
        <v>2</v>
      </c>
      <c r="L2299" s="105" t="s">
        <v>343</v>
      </c>
      <c r="M2299" s="105" t="s">
        <v>403</v>
      </c>
      <c r="N2299" s="105" t="s">
        <v>404</v>
      </c>
      <c r="O2299" s="105" t="s">
        <v>232</v>
      </c>
      <c r="P2299" s="105" t="s">
        <v>346</v>
      </c>
      <c r="Q2299" s="494">
        <v>7</v>
      </c>
      <c r="R2299" s="494">
        <v>7</v>
      </c>
      <c r="S2299" s="494">
        <v>0</v>
      </c>
      <c r="T2299" s="494">
        <v>0</v>
      </c>
      <c r="U2299" s="494">
        <v>-5</v>
      </c>
      <c r="V2299" s="493">
        <v>2024</v>
      </c>
      <c r="W2299" s="495"/>
      <c r="X2299" s="496" t="str">
        <f t="shared" si="148"/>
        <v/>
      </c>
      <c r="Y2299" s="497" t="str">
        <f t="shared" si="150"/>
        <v/>
      </c>
      <c r="Z2299" s="497" t="str">
        <f t="shared" si="150"/>
        <v/>
      </c>
    </row>
    <row r="2300" spans="1:26" s="82" customFormat="1" ht="32" x14ac:dyDescent="0.4">
      <c r="A2300" s="493">
        <v>64731</v>
      </c>
      <c r="B2300" s="105" t="s">
        <v>329</v>
      </c>
      <c r="C2300" s="493" t="s">
        <v>330</v>
      </c>
      <c r="D2300" s="105" t="s">
        <v>2714</v>
      </c>
      <c r="E2300" s="105" t="s">
        <v>2715</v>
      </c>
      <c r="F2300" s="493">
        <v>64296</v>
      </c>
      <c r="G2300" s="105" t="s">
        <v>33</v>
      </c>
      <c r="H2300" s="105" t="s">
        <v>342</v>
      </c>
      <c r="I2300" s="105" t="s">
        <v>334</v>
      </c>
      <c r="J2300" s="493">
        <v>22</v>
      </c>
      <c r="K2300" s="493">
        <v>2</v>
      </c>
      <c r="L2300" s="105" t="s">
        <v>343</v>
      </c>
      <c r="M2300" s="105" t="s">
        <v>655</v>
      </c>
      <c r="N2300" s="105" t="s">
        <v>656</v>
      </c>
      <c r="O2300" s="105" t="s">
        <v>656</v>
      </c>
      <c r="P2300" s="105" t="s">
        <v>339</v>
      </c>
      <c r="Q2300" s="494">
        <v>0</v>
      </c>
      <c r="R2300" s="494">
        <v>0</v>
      </c>
      <c r="S2300" s="494">
        <v>22805</v>
      </c>
      <c r="T2300" s="494">
        <v>22805</v>
      </c>
      <c r="U2300" s="494">
        <v>6684</v>
      </c>
      <c r="V2300" s="493">
        <v>2024</v>
      </c>
      <c r="W2300" s="495"/>
      <c r="X2300" s="496">
        <f t="shared" si="148"/>
        <v>3.4118791143028129</v>
      </c>
      <c r="Y2300" s="497" t="str">
        <f t="shared" si="150"/>
        <v/>
      </c>
      <c r="Z2300" s="497" t="str">
        <f t="shared" si="150"/>
        <v/>
      </c>
    </row>
    <row r="2301" spans="1:26" s="82" customFormat="1" x14ac:dyDescent="0.4">
      <c r="A2301" s="493">
        <v>64746</v>
      </c>
      <c r="B2301" s="105" t="s">
        <v>329</v>
      </c>
      <c r="C2301" s="493" t="s">
        <v>330</v>
      </c>
      <c r="D2301" s="105" t="s">
        <v>2716</v>
      </c>
      <c r="E2301" s="105" t="s">
        <v>2338</v>
      </c>
      <c r="F2301" s="493">
        <v>63058</v>
      </c>
      <c r="G2301" s="105" t="s">
        <v>52</v>
      </c>
      <c r="H2301" s="105" t="s">
        <v>333</v>
      </c>
      <c r="I2301" s="105" t="s">
        <v>334</v>
      </c>
      <c r="J2301" s="493">
        <v>22</v>
      </c>
      <c r="K2301" s="493">
        <v>2</v>
      </c>
      <c r="L2301" s="105" t="s">
        <v>343</v>
      </c>
      <c r="M2301" s="105" t="s">
        <v>655</v>
      </c>
      <c r="N2301" s="105" t="s">
        <v>656</v>
      </c>
      <c r="O2301" s="105" t="s">
        <v>656</v>
      </c>
      <c r="P2301" s="105" t="s">
        <v>339</v>
      </c>
      <c r="Q2301" s="494">
        <v>0</v>
      </c>
      <c r="R2301" s="494">
        <v>0</v>
      </c>
      <c r="S2301" s="494">
        <v>3882</v>
      </c>
      <c r="T2301" s="494">
        <v>3882</v>
      </c>
      <c r="U2301" s="494">
        <v>1138</v>
      </c>
      <c r="V2301" s="493">
        <v>2024</v>
      </c>
      <c r="W2301" s="495"/>
      <c r="X2301" s="496">
        <f t="shared" si="148"/>
        <v>3.4112478031634446</v>
      </c>
      <c r="Y2301" s="497" t="str">
        <f t="shared" si="150"/>
        <v/>
      </c>
      <c r="Z2301" s="497" t="str">
        <f t="shared" si="150"/>
        <v/>
      </c>
    </row>
    <row r="2302" spans="1:26" s="82" customFormat="1" ht="32" x14ac:dyDescent="0.4">
      <c r="A2302" s="493">
        <v>64747</v>
      </c>
      <c r="B2302" s="105" t="s">
        <v>329</v>
      </c>
      <c r="C2302" s="493" t="s">
        <v>330</v>
      </c>
      <c r="D2302" s="105" t="s">
        <v>2717</v>
      </c>
      <c r="E2302" s="105" t="s">
        <v>2718</v>
      </c>
      <c r="F2302" s="493">
        <v>64310</v>
      </c>
      <c r="G2302" s="105" t="s">
        <v>52</v>
      </c>
      <c r="H2302" s="105" t="s">
        <v>333</v>
      </c>
      <c r="I2302" s="105" t="s">
        <v>334</v>
      </c>
      <c r="J2302" s="493">
        <v>22</v>
      </c>
      <c r="K2302" s="493">
        <v>2</v>
      </c>
      <c r="L2302" s="105" t="s">
        <v>343</v>
      </c>
      <c r="M2302" s="105" t="s">
        <v>990</v>
      </c>
      <c r="N2302" s="105" t="s">
        <v>228</v>
      </c>
      <c r="O2302" s="105" t="s">
        <v>228</v>
      </c>
      <c r="P2302" s="105" t="s">
        <v>356</v>
      </c>
      <c r="Q2302" s="494">
        <v>278937</v>
      </c>
      <c r="R2302" s="494">
        <v>278937</v>
      </c>
      <c r="S2302" s="494">
        <v>278937</v>
      </c>
      <c r="T2302" s="494">
        <v>278937</v>
      </c>
      <c r="U2302" s="494">
        <v>40168</v>
      </c>
      <c r="V2302" s="493">
        <v>2024</v>
      </c>
      <c r="W2302" s="495"/>
      <c r="X2302" s="496">
        <f t="shared" si="148"/>
        <v>6.9442591117307311</v>
      </c>
      <c r="Y2302" s="497" t="str">
        <f t="shared" si="150"/>
        <v/>
      </c>
      <c r="Z2302" s="497" t="str">
        <f t="shared" si="150"/>
        <v/>
      </c>
    </row>
    <row r="2303" spans="1:26" s="82" customFormat="1" ht="48" x14ac:dyDescent="0.4">
      <c r="A2303" s="493">
        <v>64748</v>
      </c>
      <c r="B2303" s="105" t="s">
        <v>329</v>
      </c>
      <c r="C2303" s="493" t="s">
        <v>330</v>
      </c>
      <c r="D2303" s="105" t="s">
        <v>2719</v>
      </c>
      <c r="E2303" s="105" t="s">
        <v>2720</v>
      </c>
      <c r="F2303" s="493">
        <v>64309</v>
      </c>
      <c r="G2303" s="105" t="s">
        <v>52</v>
      </c>
      <c r="H2303" s="105" t="s">
        <v>333</v>
      </c>
      <c r="I2303" s="105" t="s">
        <v>334</v>
      </c>
      <c r="J2303" s="493">
        <v>22</v>
      </c>
      <c r="K2303" s="493">
        <v>2</v>
      </c>
      <c r="L2303" s="105" t="s">
        <v>343</v>
      </c>
      <c r="M2303" s="105" t="s">
        <v>990</v>
      </c>
      <c r="N2303" s="105" t="s">
        <v>228</v>
      </c>
      <c r="O2303" s="105" t="s">
        <v>228</v>
      </c>
      <c r="P2303" s="105" t="s">
        <v>356</v>
      </c>
      <c r="Q2303" s="494">
        <v>191747</v>
      </c>
      <c r="R2303" s="494">
        <v>191747</v>
      </c>
      <c r="S2303" s="494">
        <v>191747</v>
      </c>
      <c r="T2303" s="494">
        <v>191747</v>
      </c>
      <c r="U2303" s="494">
        <v>27347</v>
      </c>
      <c r="V2303" s="493">
        <v>2024</v>
      </c>
      <c r="W2303" s="495"/>
      <c r="X2303" s="496">
        <f t="shared" si="148"/>
        <v>7.0116283321753761</v>
      </c>
      <c r="Y2303" s="497" t="str">
        <f t="shared" si="150"/>
        <v/>
      </c>
      <c r="Z2303" s="497" t="str">
        <f t="shared" si="150"/>
        <v/>
      </c>
    </row>
    <row r="2304" spans="1:26" s="82" customFormat="1" ht="48" x14ac:dyDescent="0.4">
      <c r="A2304" s="493">
        <v>64749</v>
      </c>
      <c r="B2304" s="105" t="s">
        <v>329</v>
      </c>
      <c r="C2304" s="493" t="s">
        <v>330</v>
      </c>
      <c r="D2304" s="105" t="s">
        <v>2721</v>
      </c>
      <c r="E2304" s="105" t="s">
        <v>2720</v>
      </c>
      <c r="F2304" s="493">
        <v>64309</v>
      </c>
      <c r="G2304" s="105" t="s">
        <v>52</v>
      </c>
      <c r="H2304" s="105" t="s">
        <v>333</v>
      </c>
      <c r="I2304" s="105" t="s">
        <v>334</v>
      </c>
      <c r="J2304" s="493">
        <v>22</v>
      </c>
      <c r="K2304" s="493">
        <v>2</v>
      </c>
      <c r="L2304" s="105" t="s">
        <v>343</v>
      </c>
      <c r="M2304" s="105" t="s">
        <v>990</v>
      </c>
      <c r="N2304" s="105" t="s">
        <v>228</v>
      </c>
      <c r="O2304" s="105" t="s">
        <v>228</v>
      </c>
      <c r="P2304" s="105" t="s">
        <v>356</v>
      </c>
      <c r="Q2304" s="494">
        <v>220023</v>
      </c>
      <c r="R2304" s="494">
        <v>220023</v>
      </c>
      <c r="S2304" s="494">
        <v>220023</v>
      </c>
      <c r="T2304" s="494">
        <v>220023</v>
      </c>
      <c r="U2304" s="494">
        <v>31664</v>
      </c>
      <c r="V2304" s="493">
        <v>2024</v>
      </c>
      <c r="W2304" s="495"/>
      <c r="X2304" s="496">
        <f t="shared" si="148"/>
        <v>6.9486798888327437</v>
      </c>
      <c r="Y2304" s="497" t="str">
        <f t="shared" si="150"/>
        <v/>
      </c>
      <c r="Z2304" s="497" t="str">
        <f t="shared" si="150"/>
        <v/>
      </c>
    </row>
    <row r="2305" spans="1:26" s="82" customFormat="1" ht="32" x14ac:dyDescent="0.4">
      <c r="A2305" s="493">
        <v>64753</v>
      </c>
      <c r="B2305" s="105" t="s">
        <v>329</v>
      </c>
      <c r="C2305" s="493" t="s">
        <v>330</v>
      </c>
      <c r="D2305" s="105" t="s">
        <v>2722</v>
      </c>
      <c r="E2305" s="105" t="s">
        <v>2416</v>
      </c>
      <c r="F2305" s="493">
        <v>62150</v>
      </c>
      <c r="G2305" s="105" t="s">
        <v>37</v>
      </c>
      <c r="H2305" s="105" t="s">
        <v>342</v>
      </c>
      <c r="I2305" s="105" t="s">
        <v>334</v>
      </c>
      <c r="J2305" s="493">
        <v>22</v>
      </c>
      <c r="K2305" s="493">
        <v>2</v>
      </c>
      <c r="L2305" s="105" t="s">
        <v>343</v>
      </c>
      <c r="M2305" s="105" t="s">
        <v>990</v>
      </c>
      <c r="N2305" s="105" t="s">
        <v>228</v>
      </c>
      <c r="O2305" s="105" t="s">
        <v>228</v>
      </c>
      <c r="P2305" s="105" t="s">
        <v>356</v>
      </c>
      <c r="Q2305" s="494">
        <v>55604</v>
      </c>
      <c r="R2305" s="494">
        <v>55604</v>
      </c>
      <c r="S2305" s="494">
        <v>57272</v>
      </c>
      <c r="T2305" s="494">
        <v>57272</v>
      </c>
      <c r="U2305" s="494">
        <v>7939</v>
      </c>
      <c r="V2305" s="493">
        <v>2024</v>
      </c>
      <c r="W2305" s="495"/>
      <c r="X2305" s="496">
        <f t="shared" si="148"/>
        <v>7.2140068018642145</v>
      </c>
      <c r="Y2305" s="497" t="str">
        <f t="shared" si="150"/>
        <v/>
      </c>
      <c r="Z2305" s="497" t="str">
        <f t="shared" si="150"/>
        <v/>
      </c>
    </row>
    <row r="2306" spans="1:26" s="82" customFormat="1" x14ac:dyDescent="0.4">
      <c r="A2306" s="493">
        <v>64759</v>
      </c>
      <c r="B2306" s="105" t="s">
        <v>329</v>
      </c>
      <c r="C2306" s="493" t="s">
        <v>330</v>
      </c>
      <c r="D2306" s="105" t="s">
        <v>2723</v>
      </c>
      <c r="E2306" s="105" t="s">
        <v>2571</v>
      </c>
      <c r="F2306" s="493">
        <v>61514</v>
      </c>
      <c r="G2306" s="105" t="s">
        <v>33</v>
      </c>
      <c r="H2306" s="105" t="s">
        <v>342</v>
      </c>
      <c r="I2306" s="105" t="s">
        <v>334</v>
      </c>
      <c r="J2306" s="493">
        <v>22</v>
      </c>
      <c r="K2306" s="493">
        <v>2</v>
      </c>
      <c r="L2306" s="105" t="s">
        <v>343</v>
      </c>
      <c r="M2306" s="105" t="s">
        <v>403</v>
      </c>
      <c r="N2306" s="105" t="s">
        <v>404</v>
      </c>
      <c r="O2306" s="105" t="s">
        <v>232</v>
      </c>
      <c r="P2306" s="105" t="s">
        <v>346</v>
      </c>
      <c r="Q2306" s="494">
        <v>1962</v>
      </c>
      <c r="R2306" s="494">
        <v>1962</v>
      </c>
      <c r="S2306" s="494">
        <v>0</v>
      </c>
      <c r="T2306" s="494">
        <v>0</v>
      </c>
      <c r="U2306" s="494">
        <v>-176</v>
      </c>
      <c r="V2306" s="493">
        <v>2024</v>
      </c>
      <c r="W2306" s="495"/>
      <c r="X2306" s="496" t="str">
        <f t="shared" si="148"/>
        <v/>
      </c>
      <c r="Y2306" s="497" t="str">
        <f t="shared" si="150"/>
        <v/>
      </c>
      <c r="Z2306" s="497" t="str">
        <f t="shared" si="150"/>
        <v/>
      </c>
    </row>
    <row r="2307" spans="1:26" s="82" customFormat="1" x14ac:dyDescent="0.4">
      <c r="A2307" s="493">
        <v>64759</v>
      </c>
      <c r="B2307" s="105" t="s">
        <v>329</v>
      </c>
      <c r="C2307" s="493" t="s">
        <v>330</v>
      </c>
      <c r="D2307" s="105" t="s">
        <v>2723</v>
      </c>
      <c r="E2307" s="105" t="s">
        <v>2571</v>
      </c>
      <c r="F2307" s="493">
        <v>61514</v>
      </c>
      <c r="G2307" s="105" t="s">
        <v>33</v>
      </c>
      <c r="H2307" s="105" t="s">
        <v>342</v>
      </c>
      <c r="I2307" s="105" t="s">
        <v>334</v>
      </c>
      <c r="J2307" s="493">
        <v>22</v>
      </c>
      <c r="K2307" s="493">
        <v>2</v>
      </c>
      <c r="L2307" s="105" t="s">
        <v>343</v>
      </c>
      <c r="M2307" s="105" t="s">
        <v>655</v>
      </c>
      <c r="N2307" s="105" t="s">
        <v>656</v>
      </c>
      <c r="O2307" s="105" t="s">
        <v>656</v>
      </c>
      <c r="P2307" s="105" t="s">
        <v>339</v>
      </c>
      <c r="Q2307" s="494">
        <v>0</v>
      </c>
      <c r="R2307" s="494">
        <v>0</v>
      </c>
      <c r="S2307" s="494">
        <v>37651</v>
      </c>
      <c r="T2307" s="494">
        <v>37651</v>
      </c>
      <c r="U2307" s="494">
        <v>11035</v>
      </c>
      <c r="V2307" s="493">
        <v>2024</v>
      </c>
      <c r="W2307" s="495"/>
      <c r="X2307" s="496">
        <f t="shared" si="148"/>
        <v>3.4119619392840961</v>
      </c>
      <c r="Y2307" s="497" t="str">
        <f t="shared" si="150"/>
        <v/>
      </c>
      <c r="Z2307" s="497" t="str">
        <f t="shared" si="150"/>
        <v/>
      </c>
    </row>
    <row r="2308" spans="1:26" s="82" customFormat="1" x14ac:dyDescent="0.4">
      <c r="A2308" s="493">
        <v>64760</v>
      </c>
      <c r="B2308" s="105" t="s">
        <v>329</v>
      </c>
      <c r="C2308" s="493" t="s">
        <v>330</v>
      </c>
      <c r="D2308" s="105" t="s">
        <v>2724</v>
      </c>
      <c r="E2308" s="105" t="s">
        <v>2571</v>
      </c>
      <c r="F2308" s="493">
        <v>61514</v>
      </c>
      <c r="G2308" s="105" t="s">
        <v>38</v>
      </c>
      <c r="H2308" s="105" t="s">
        <v>342</v>
      </c>
      <c r="I2308" s="105" t="s">
        <v>334</v>
      </c>
      <c r="J2308" s="493">
        <v>22</v>
      </c>
      <c r="K2308" s="493">
        <v>2</v>
      </c>
      <c r="L2308" s="105" t="s">
        <v>343</v>
      </c>
      <c r="M2308" s="105" t="s">
        <v>403</v>
      </c>
      <c r="N2308" s="105" t="s">
        <v>404</v>
      </c>
      <c r="O2308" s="105" t="s">
        <v>232</v>
      </c>
      <c r="P2308" s="105" t="s">
        <v>346</v>
      </c>
      <c r="Q2308" s="494">
        <v>1572</v>
      </c>
      <c r="R2308" s="494">
        <v>1572</v>
      </c>
      <c r="S2308" s="494">
        <v>0</v>
      </c>
      <c r="T2308" s="494">
        <v>0</v>
      </c>
      <c r="U2308" s="494">
        <v>-376</v>
      </c>
      <c r="V2308" s="493">
        <v>2024</v>
      </c>
      <c r="W2308" s="495"/>
      <c r="X2308" s="496" t="str">
        <f t="shared" si="148"/>
        <v/>
      </c>
      <c r="Y2308" s="497" t="str">
        <f t="shared" ref="Y2308:Z2327" si="151">IF(AND($M2308=$Y$2,$N2308=$Y$3,NOT($Q2308=$R2308),NOT($U2308=0)),IF($K2308=5,$S2308/($U2308+(8/5)*$U2308),IF($K2308=7,$S2308/($U2308+(29/25)*$U2308),"")),"")</f>
        <v/>
      </c>
      <c r="Z2308" s="497" t="str">
        <f t="shared" si="151"/>
        <v/>
      </c>
    </row>
    <row r="2309" spans="1:26" s="82" customFormat="1" x14ac:dyDescent="0.4">
      <c r="A2309" s="493">
        <v>64763</v>
      </c>
      <c r="B2309" s="105" t="s">
        <v>329</v>
      </c>
      <c r="C2309" s="493" t="s">
        <v>330</v>
      </c>
      <c r="D2309" s="105" t="s">
        <v>2725</v>
      </c>
      <c r="E2309" s="105" t="s">
        <v>2571</v>
      </c>
      <c r="F2309" s="493">
        <v>61514</v>
      </c>
      <c r="G2309" s="105" t="s">
        <v>34</v>
      </c>
      <c r="H2309" s="105" t="s">
        <v>342</v>
      </c>
      <c r="I2309" s="105" t="s">
        <v>334</v>
      </c>
      <c r="J2309" s="493">
        <v>22</v>
      </c>
      <c r="K2309" s="493">
        <v>2</v>
      </c>
      <c r="L2309" s="105" t="s">
        <v>343</v>
      </c>
      <c r="M2309" s="105" t="s">
        <v>403</v>
      </c>
      <c r="N2309" s="105" t="s">
        <v>404</v>
      </c>
      <c r="O2309" s="105" t="s">
        <v>232</v>
      </c>
      <c r="P2309" s="105" t="s">
        <v>346</v>
      </c>
      <c r="Q2309" s="494">
        <v>310</v>
      </c>
      <c r="R2309" s="494">
        <v>310</v>
      </c>
      <c r="S2309" s="494">
        <v>0</v>
      </c>
      <c r="T2309" s="494">
        <v>0</v>
      </c>
      <c r="U2309" s="494">
        <v>-102</v>
      </c>
      <c r="V2309" s="493">
        <v>2024</v>
      </c>
      <c r="W2309" s="495"/>
      <c r="X2309" s="496" t="str">
        <f t="shared" si="148"/>
        <v/>
      </c>
      <c r="Y2309" s="497" t="str">
        <f t="shared" si="151"/>
        <v/>
      </c>
      <c r="Z2309" s="497" t="str">
        <f t="shared" si="151"/>
        <v/>
      </c>
    </row>
    <row r="2310" spans="1:26" s="82" customFormat="1" x14ac:dyDescent="0.4">
      <c r="A2310" s="493">
        <v>64764</v>
      </c>
      <c r="B2310" s="105" t="s">
        <v>329</v>
      </c>
      <c r="C2310" s="493" t="s">
        <v>330</v>
      </c>
      <c r="D2310" s="105" t="s">
        <v>2726</v>
      </c>
      <c r="E2310" s="105" t="s">
        <v>2571</v>
      </c>
      <c r="F2310" s="493">
        <v>61514</v>
      </c>
      <c r="G2310" s="105" t="s">
        <v>34</v>
      </c>
      <c r="H2310" s="105" t="s">
        <v>342</v>
      </c>
      <c r="I2310" s="105" t="s">
        <v>334</v>
      </c>
      <c r="J2310" s="493">
        <v>22</v>
      </c>
      <c r="K2310" s="493">
        <v>2</v>
      </c>
      <c r="L2310" s="105" t="s">
        <v>343</v>
      </c>
      <c r="M2310" s="105" t="s">
        <v>403</v>
      </c>
      <c r="N2310" s="105" t="s">
        <v>404</v>
      </c>
      <c r="O2310" s="105" t="s">
        <v>232</v>
      </c>
      <c r="P2310" s="105" t="s">
        <v>346</v>
      </c>
      <c r="Q2310" s="494">
        <v>134</v>
      </c>
      <c r="R2310" s="494">
        <v>134</v>
      </c>
      <c r="S2310" s="494">
        <v>0</v>
      </c>
      <c r="T2310" s="494">
        <v>0</v>
      </c>
      <c r="U2310" s="494">
        <v>-34</v>
      </c>
      <c r="V2310" s="493">
        <v>2024</v>
      </c>
      <c r="W2310" s="495"/>
      <c r="X2310" s="496" t="str">
        <f t="shared" si="148"/>
        <v/>
      </c>
      <c r="Y2310" s="497" t="str">
        <f t="shared" si="151"/>
        <v/>
      </c>
      <c r="Z2310" s="497" t="str">
        <f t="shared" si="151"/>
        <v/>
      </c>
    </row>
    <row r="2311" spans="1:26" s="82" customFormat="1" x14ac:dyDescent="0.4">
      <c r="A2311" s="493">
        <v>64765</v>
      </c>
      <c r="B2311" s="105" t="s">
        <v>329</v>
      </c>
      <c r="C2311" s="493" t="s">
        <v>330</v>
      </c>
      <c r="D2311" s="105" t="s">
        <v>2727</v>
      </c>
      <c r="E2311" s="105" t="s">
        <v>2571</v>
      </c>
      <c r="F2311" s="493">
        <v>61514</v>
      </c>
      <c r="G2311" s="105" t="s">
        <v>34</v>
      </c>
      <c r="H2311" s="105" t="s">
        <v>342</v>
      </c>
      <c r="I2311" s="105" t="s">
        <v>334</v>
      </c>
      <c r="J2311" s="493">
        <v>22</v>
      </c>
      <c r="K2311" s="493">
        <v>2</v>
      </c>
      <c r="L2311" s="105" t="s">
        <v>343</v>
      </c>
      <c r="M2311" s="105" t="s">
        <v>403</v>
      </c>
      <c r="N2311" s="105" t="s">
        <v>404</v>
      </c>
      <c r="O2311" s="105" t="s">
        <v>232</v>
      </c>
      <c r="P2311" s="105" t="s">
        <v>346</v>
      </c>
      <c r="Q2311" s="494">
        <v>282</v>
      </c>
      <c r="R2311" s="494">
        <v>282</v>
      </c>
      <c r="S2311" s="494">
        <v>0</v>
      </c>
      <c r="T2311" s="494">
        <v>0</v>
      </c>
      <c r="U2311" s="494">
        <v>-65</v>
      </c>
      <c r="V2311" s="493">
        <v>2024</v>
      </c>
      <c r="W2311" s="495"/>
      <c r="X2311" s="496" t="str">
        <f t="shared" si="148"/>
        <v/>
      </c>
      <c r="Y2311" s="497" t="str">
        <f t="shared" si="151"/>
        <v/>
      </c>
      <c r="Z2311" s="497" t="str">
        <f t="shared" si="151"/>
        <v/>
      </c>
    </row>
    <row r="2312" spans="1:26" s="82" customFormat="1" x14ac:dyDescent="0.4">
      <c r="A2312" s="493">
        <v>64781</v>
      </c>
      <c r="B2312" s="105" t="s">
        <v>329</v>
      </c>
      <c r="C2312" s="493" t="s">
        <v>330</v>
      </c>
      <c r="D2312" s="105" t="s">
        <v>2728</v>
      </c>
      <c r="E2312" s="105" t="s">
        <v>2729</v>
      </c>
      <c r="F2312" s="493">
        <v>64327</v>
      </c>
      <c r="G2312" s="105" t="s">
        <v>38</v>
      </c>
      <c r="H2312" s="105" t="s">
        <v>342</v>
      </c>
      <c r="I2312" s="105" t="s">
        <v>334</v>
      </c>
      <c r="J2312" s="493">
        <v>22</v>
      </c>
      <c r="K2312" s="493">
        <v>2</v>
      </c>
      <c r="L2312" s="105" t="s">
        <v>343</v>
      </c>
      <c r="M2312" s="105" t="s">
        <v>655</v>
      </c>
      <c r="N2312" s="105" t="s">
        <v>656</v>
      </c>
      <c r="O2312" s="105" t="s">
        <v>656</v>
      </c>
      <c r="P2312" s="105" t="s">
        <v>339</v>
      </c>
      <c r="Q2312" s="494">
        <v>0</v>
      </c>
      <c r="R2312" s="494">
        <v>0</v>
      </c>
      <c r="S2312" s="494">
        <v>22434</v>
      </c>
      <c r="T2312" s="494">
        <v>22434</v>
      </c>
      <c r="U2312" s="494">
        <v>6575</v>
      </c>
      <c r="V2312" s="493">
        <v>2024</v>
      </c>
      <c r="W2312" s="495"/>
      <c r="X2312" s="496">
        <f t="shared" si="148"/>
        <v>3.4120152091254754</v>
      </c>
      <c r="Y2312" s="497" t="str">
        <f t="shared" si="151"/>
        <v/>
      </c>
      <c r="Z2312" s="497" t="str">
        <f t="shared" si="151"/>
        <v/>
      </c>
    </row>
    <row r="2313" spans="1:26" s="82" customFormat="1" x14ac:dyDescent="0.4">
      <c r="A2313" s="493">
        <v>64782</v>
      </c>
      <c r="B2313" s="105" t="s">
        <v>329</v>
      </c>
      <c r="C2313" s="493" t="s">
        <v>330</v>
      </c>
      <c r="D2313" s="105" t="s">
        <v>2730</v>
      </c>
      <c r="E2313" s="105" t="s">
        <v>2731</v>
      </c>
      <c r="F2313" s="493">
        <v>64328</v>
      </c>
      <c r="G2313" s="105" t="s">
        <v>38</v>
      </c>
      <c r="H2313" s="105" t="s">
        <v>342</v>
      </c>
      <c r="I2313" s="105" t="s">
        <v>334</v>
      </c>
      <c r="J2313" s="493">
        <v>22</v>
      </c>
      <c r="K2313" s="493">
        <v>2</v>
      </c>
      <c r="L2313" s="105" t="s">
        <v>343</v>
      </c>
      <c r="M2313" s="105" t="s">
        <v>655</v>
      </c>
      <c r="N2313" s="105" t="s">
        <v>656</v>
      </c>
      <c r="O2313" s="105" t="s">
        <v>656</v>
      </c>
      <c r="P2313" s="105" t="s">
        <v>339</v>
      </c>
      <c r="Q2313" s="494">
        <v>0</v>
      </c>
      <c r="R2313" s="494">
        <v>0</v>
      </c>
      <c r="S2313" s="494">
        <v>11799</v>
      </c>
      <c r="T2313" s="494">
        <v>11799</v>
      </c>
      <c r="U2313" s="494">
        <v>3458</v>
      </c>
      <c r="V2313" s="493">
        <v>2024</v>
      </c>
      <c r="W2313" s="495"/>
      <c r="X2313" s="496">
        <f t="shared" ref="X2313:X2376" si="152">IF(OR(K2313&gt;3,T2313=0,NOT(U2313&gt;0)),"",T2313/U2313)</f>
        <v>3.412087912087912</v>
      </c>
      <c r="Y2313" s="497" t="str">
        <f t="shared" si="151"/>
        <v/>
      </c>
      <c r="Z2313" s="497" t="str">
        <f t="shared" si="151"/>
        <v/>
      </c>
    </row>
    <row r="2314" spans="1:26" s="82" customFormat="1" ht="32" x14ac:dyDescent="0.4">
      <c r="A2314" s="493">
        <v>64783</v>
      </c>
      <c r="B2314" s="105" t="s">
        <v>329</v>
      </c>
      <c r="C2314" s="493" t="s">
        <v>330</v>
      </c>
      <c r="D2314" s="105" t="s">
        <v>2732</v>
      </c>
      <c r="E2314" s="105" t="s">
        <v>2733</v>
      </c>
      <c r="F2314" s="493">
        <v>64330</v>
      </c>
      <c r="G2314" s="105" t="s">
        <v>38</v>
      </c>
      <c r="H2314" s="105" t="s">
        <v>342</v>
      </c>
      <c r="I2314" s="105" t="s">
        <v>334</v>
      </c>
      <c r="J2314" s="493">
        <v>22</v>
      </c>
      <c r="K2314" s="493">
        <v>2</v>
      </c>
      <c r="L2314" s="105" t="s">
        <v>343</v>
      </c>
      <c r="M2314" s="105" t="s">
        <v>655</v>
      </c>
      <c r="N2314" s="105" t="s">
        <v>656</v>
      </c>
      <c r="O2314" s="105" t="s">
        <v>656</v>
      </c>
      <c r="P2314" s="105" t="s">
        <v>339</v>
      </c>
      <c r="Q2314" s="494">
        <v>0</v>
      </c>
      <c r="R2314" s="494">
        <v>0</v>
      </c>
      <c r="S2314" s="494">
        <v>10503</v>
      </c>
      <c r="T2314" s="494">
        <v>10503</v>
      </c>
      <c r="U2314" s="494">
        <v>3078</v>
      </c>
      <c r="V2314" s="493">
        <v>2024</v>
      </c>
      <c r="W2314" s="495"/>
      <c r="X2314" s="496">
        <f t="shared" si="152"/>
        <v>3.4122807017543861</v>
      </c>
      <c r="Y2314" s="497" t="str">
        <f t="shared" si="151"/>
        <v/>
      </c>
      <c r="Z2314" s="497" t="str">
        <f t="shared" si="151"/>
        <v/>
      </c>
    </row>
    <row r="2315" spans="1:26" s="82" customFormat="1" x14ac:dyDescent="0.4">
      <c r="A2315" s="493">
        <v>64788</v>
      </c>
      <c r="B2315" s="105" t="s">
        <v>329</v>
      </c>
      <c r="C2315" s="493" t="s">
        <v>330</v>
      </c>
      <c r="D2315" s="105" t="s">
        <v>2734</v>
      </c>
      <c r="E2315" s="105" t="s">
        <v>2735</v>
      </c>
      <c r="F2315" s="493">
        <v>64334</v>
      </c>
      <c r="G2315" s="105" t="s">
        <v>52</v>
      </c>
      <c r="H2315" s="105" t="s">
        <v>333</v>
      </c>
      <c r="I2315" s="105" t="s">
        <v>334</v>
      </c>
      <c r="J2315" s="493">
        <v>22</v>
      </c>
      <c r="K2315" s="493">
        <v>2</v>
      </c>
      <c r="L2315" s="105" t="s">
        <v>343</v>
      </c>
      <c r="M2315" s="105" t="s">
        <v>655</v>
      </c>
      <c r="N2315" s="105" t="s">
        <v>656</v>
      </c>
      <c r="O2315" s="105" t="s">
        <v>656</v>
      </c>
      <c r="P2315" s="105" t="s">
        <v>339</v>
      </c>
      <c r="Q2315" s="494">
        <v>0</v>
      </c>
      <c r="R2315" s="494">
        <v>0</v>
      </c>
      <c r="S2315" s="494">
        <v>11962</v>
      </c>
      <c r="T2315" s="494">
        <v>11962</v>
      </c>
      <c r="U2315" s="494">
        <v>3506</v>
      </c>
      <c r="V2315" s="493">
        <v>2024</v>
      </c>
      <c r="W2315" s="495"/>
      <c r="X2315" s="496">
        <f t="shared" si="152"/>
        <v>3.4118653736451798</v>
      </c>
      <c r="Y2315" s="497" t="str">
        <f t="shared" si="151"/>
        <v/>
      </c>
      <c r="Z2315" s="497" t="str">
        <f t="shared" si="151"/>
        <v/>
      </c>
    </row>
    <row r="2316" spans="1:26" s="82" customFormat="1" ht="32" x14ac:dyDescent="0.4">
      <c r="A2316" s="493">
        <v>64844</v>
      </c>
      <c r="B2316" s="105" t="s">
        <v>329</v>
      </c>
      <c r="C2316" s="493" t="s">
        <v>330</v>
      </c>
      <c r="D2316" s="105" t="s">
        <v>2736</v>
      </c>
      <c r="E2316" s="105" t="s">
        <v>2737</v>
      </c>
      <c r="F2316" s="493">
        <v>64348</v>
      </c>
      <c r="G2316" s="105" t="s">
        <v>33</v>
      </c>
      <c r="H2316" s="105" t="s">
        <v>342</v>
      </c>
      <c r="I2316" s="105" t="s">
        <v>334</v>
      </c>
      <c r="J2316" s="493">
        <v>22</v>
      </c>
      <c r="K2316" s="493">
        <v>2</v>
      </c>
      <c r="L2316" s="105" t="s">
        <v>343</v>
      </c>
      <c r="M2316" s="105" t="s">
        <v>403</v>
      </c>
      <c r="N2316" s="105" t="s">
        <v>404</v>
      </c>
      <c r="O2316" s="105" t="s">
        <v>232</v>
      </c>
      <c r="P2316" s="105" t="s">
        <v>346</v>
      </c>
      <c r="Q2316" s="494">
        <v>13</v>
      </c>
      <c r="R2316" s="494">
        <v>13</v>
      </c>
      <c r="S2316" s="494">
        <v>0</v>
      </c>
      <c r="T2316" s="494">
        <v>0</v>
      </c>
      <c r="U2316" s="494">
        <v>-10</v>
      </c>
      <c r="V2316" s="493">
        <v>2024</v>
      </c>
      <c r="W2316" s="495"/>
      <c r="X2316" s="496" t="str">
        <f t="shared" si="152"/>
        <v/>
      </c>
      <c r="Y2316" s="497" t="str">
        <f t="shared" si="151"/>
        <v/>
      </c>
      <c r="Z2316" s="497" t="str">
        <f t="shared" si="151"/>
        <v/>
      </c>
    </row>
    <row r="2317" spans="1:26" s="82" customFormat="1" ht="32" x14ac:dyDescent="0.4">
      <c r="A2317" s="493">
        <v>64844</v>
      </c>
      <c r="B2317" s="105" t="s">
        <v>329</v>
      </c>
      <c r="C2317" s="493" t="s">
        <v>330</v>
      </c>
      <c r="D2317" s="105" t="s">
        <v>2736</v>
      </c>
      <c r="E2317" s="105" t="s">
        <v>2737</v>
      </c>
      <c r="F2317" s="493">
        <v>64348</v>
      </c>
      <c r="G2317" s="105" t="s">
        <v>33</v>
      </c>
      <c r="H2317" s="105" t="s">
        <v>342</v>
      </c>
      <c r="I2317" s="105" t="s">
        <v>334</v>
      </c>
      <c r="J2317" s="493">
        <v>22</v>
      </c>
      <c r="K2317" s="493">
        <v>2</v>
      </c>
      <c r="L2317" s="105" t="s">
        <v>343</v>
      </c>
      <c r="M2317" s="105" t="s">
        <v>655</v>
      </c>
      <c r="N2317" s="105" t="s">
        <v>656</v>
      </c>
      <c r="O2317" s="105" t="s">
        <v>656</v>
      </c>
      <c r="P2317" s="105" t="s">
        <v>339</v>
      </c>
      <c r="Q2317" s="494">
        <v>0</v>
      </c>
      <c r="R2317" s="494">
        <v>0</v>
      </c>
      <c r="S2317" s="494">
        <v>560</v>
      </c>
      <c r="T2317" s="494">
        <v>560</v>
      </c>
      <c r="U2317" s="494">
        <v>164</v>
      </c>
      <c r="V2317" s="493">
        <v>2024</v>
      </c>
      <c r="W2317" s="495"/>
      <c r="X2317" s="496">
        <f t="shared" si="152"/>
        <v>3.4146341463414633</v>
      </c>
      <c r="Y2317" s="497" t="str">
        <f t="shared" si="151"/>
        <v/>
      </c>
      <c r="Z2317" s="497" t="str">
        <f t="shared" si="151"/>
        <v/>
      </c>
    </row>
    <row r="2318" spans="1:26" s="82" customFormat="1" ht="48" x14ac:dyDescent="0.4">
      <c r="A2318" s="493">
        <v>64860</v>
      </c>
      <c r="B2318" s="105" t="s">
        <v>329</v>
      </c>
      <c r="C2318" s="493" t="s">
        <v>330</v>
      </c>
      <c r="D2318" s="105" t="s">
        <v>2738</v>
      </c>
      <c r="E2318" s="105" t="s">
        <v>1354</v>
      </c>
      <c r="F2318" s="493">
        <v>60025</v>
      </c>
      <c r="G2318" s="105" t="s">
        <v>36</v>
      </c>
      <c r="H2318" s="105" t="s">
        <v>342</v>
      </c>
      <c r="I2318" s="105" t="s">
        <v>334</v>
      </c>
      <c r="J2318" s="493">
        <v>22</v>
      </c>
      <c r="K2318" s="493">
        <v>2</v>
      </c>
      <c r="L2318" s="105" t="s">
        <v>343</v>
      </c>
      <c r="M2318" s="105" t="s">
        <v>655</v>
      </c>
      <c r="N2318" s="105" t="s">
        <v>656</v>
      </c>
      <c r="O2318" s="105" t="s">
        <v>656</v>
      </c>
      <c r="P2318" s="105" t="s">
        <v>339</v>
      </c>
      <c r="Q2318" s="494">
        <v>0</v>
      </c>
      <c r="R2318" s="494">
        <v>0</v>
      </c>
      <c r="S2318" s="494">
        <v>7960</v>
      </c>
      <c r="T2318" s="494">
        <v>7960</v>
      </c>
      <c r="U2318" s="494">
        <v>2333</v>
      </c>
      <c r="V2318" s="493">
        <v>2024</v>
      </c>
      <c r="W2318" s="495"/>
      <c r="X2318" s="496">
        <f t="shared" si="152"/>
        <v>3.4119159879982854</v>
      </c>
      <c r="Y2318" s="497" t="str">
        <f t="shared" si="151"/>
        <v/>
      </c>
      <c r="Z2318" s="497" t="str">
        <f t="shared" si="151"/>
        <v/>
      </c>
    </row>
    <row r="2319" spans="1:26" s="82" customFormat="1" ht="48" x14ac:dyDescent="0.4">
      <c r="A2319" s="493">
        <v>64863</v>
      </c>
      <c r="B2319" s="105" t="s">
        <v>329</v>
      </c>
      <c r="C2319" s="493" t="s">
        <v>330</v>
      </c>
      <c r="D2319" s="105" t="s">
        <v>2739</v>
      </c>
      <c r="E2319" s="105" t="s">
        <v>1354</v>
      </c>
      <c r="F2319" s="493">
        <v>60025</v>
      </c>
      <c r="G2319" s="105" t="s">
        <v>36</v>
      </c>
      <c r="H2319" s="105" t="s">
        <v>342</v>
      </c>
      <c r="I2319" s="105" t="s">
        <v>334</v>
      </c>
      <c r="J2319" s="493">
        <v>22</v>
      </c>
      <c r="K2319" s="493">
        <v>2</v>
      </c>
      <c r="L2319" s="105" t="s">
        <v>343</v>
      </c>
      <c r="M2319" s="105" t="s">
        <v>655</v>
      </c>
      <c r="N2319" s="105" t="s">
        <v>656</v>
      </c>
      <c r="O2319" s="105" t="s">
        <v>656</v>
      </c>
      <c r="P2319" s="105" t="s">
        <v>339</v>
      </c>
      <c r="Q2319" s="494">
        <v>0</v>
      </c>
      <c r="R2319" s="494">
        <v>0</v>
      </c>
      <c r="S2319" s="494">
        <v>10066</v>
      </c>
      <c r="T2319" s="494">
        <v>10066</v>
      </c>
      <c r="U2319" s="494">
        <v>2950</v>
      </c>
      <c r="V2319" s="493">
        <v>2024</v>
      </c>
      <c r="W2319" s="495"/>
      <c r="X2319" s="496">
        <f t="shared" si="152"/>
        <v>3.4122033898305086</v>
      </c>
      <c r="Y2319" s="497" t="str">
        <f t="shared" si="151"/>
        <v/>
      </c>
      <c r="Z2319" s="497" t="str">
        <f t="shared" si="151"/>
        <v/>
      </c>
    </row>
    <row r="2320" spans="1:26" s="82" customFormat="1" x14ac:dyDescent="0.4">
      <c r="A2320" s="493">
        <v>64867</v>
      </c>
      <c r="B2320" s="105" t="s">
        <v>329</v>
      </c>
      <c r="C2320" s="493" t="s">
        <v>330</v>
      </c>
      <c r="D2320" s="105" t="s">
        <v>2740</v>
      </c>
      <c r="E2320" s="105" t="s">
        <v>2741</v>
      </c>
      <c r="F2320" s="493">
        <v>64371</v>
      </c>
      <c r="G2320" s="105" t="s">
        <v>52</v>
      </c>
      <c r="H2320" s="105" t="s">
        <v>333</v>
      </c>
      <c r="I2320" s="105" t="s">
        <v>334</v>
      </c>
      <c r="J2320" s="493">
        <v>22</v>
      </c>
      <c r="K2320" s="493">
        <v>2</v>
      </c>
      <c r="L2320" s="105" t="s">
        <v>343</v>
      </c>
      <c r="M2320" s="105" t="s">
        <v>655</v>
      </c>
      <c r="N2320" s="105" t="s">
        <v>656</v>
      </c>
      <c r="O2320" s="105" t="s">
        <v>656</v>
      </c>
      <c r="P2320" s="105" t="s">
        <v>339</v>
      </c>
      <c r="Q2320" s="494">
        <v>0</v>
      </c>
      <c r="R2320" s="494">
        <v>0</v>
      </c>
      <c r="S2320" s="494">
        <v>30124</v>
      </c>
      <c r="T2320" s="494">
        <v>30124</v>
      </c>
      <c r="U2320" s="494">
        <v>8829</v>
      </c>
      <c r="V2320" s="493">
        <v>2024</v>
      </c>
      <c r="W2320" s="495"/>
      <c r="X2320" s="496">
        <f t="shared" si="152"/>
        <v>3.4119379318156078</v>
      </c>
      <c r="Y2320" s="497" t="str">
        <f t="shared" si="151"/>
        <v/>
      </c>
      <c r="Z2320" s="497" t="str">
        <f t="shared" si="151"/>
        <v/>
      </c>
    </row>
    <row r="2321" spans="1:26" s="82" customFormat="1" ht="32" x14ac:dyDescent="0.4">
      <c r="A2321" s="493">
        <v>64875</v>
      </c>
      <c r="B2321" s="105" t="s">
        <v>329</v>
      </c>
      <c r="C2321" s="493" t="s">
        <v>330</v>
      </c>
      <c r="D2321" s="105" t="s">
        <v>2742</v>
      </c>
      <c r="E2321" s="105" t="s">
        <v>2743</v>
      </c>
      <c r="F2321" s="493">
        <v>64381</v>
      </c>
      <c r="G2321" s="105" t="s">
        <v>33</v>
      </c>
      <c r="H2321" s="105" t="s">
        <v>342</v>
      </c>
      <c r="I2321" s="105" t="s">
        <v>334</v>
      </c>
      <c r="J2321" s="493">
        <v>22</v>
      </c>
      <c r="K2321" s="493">
        <v>2</v>
      </c>
      <c r="L2321" s="105" t="s">
        <v>343</v>
      </c>
      <c r="M2321" s="105" t="s">
        <v>403</v>
      </c>
      <c r="N2321" s="105" t="s">
        <v>404</v>
      </c>
      <c r="O2321" s="105" t="s">
        <v>232</v>
      </c>
      <c r="P2321" s="105" t="s">
        <v>346</v>
      </c>
      <c r="Q2321" s="494">
        <v>546</v>
      </c>
      <c r="R2321" s="494">
        <v>546</v>
      </c>
      <c r="S2321" s="494">
        <v>0</v>
      </c>
      <c r="T2321" s="494">
        <v>0</v>
      </c>
      <c r="U2321" s="494">
        <v>-64</v>
      </c>
      <c r="V2321" s="493">
        <v>2024</v>
      </c>
      <c r="W2321" s="495"/>
      <c r="X2321" s="496" t="str">
        <f t="shared" si="152"/>
        <v/>
      </c>
      <c r="Y2321" s="497" t="str">
        <f t="shared" si="151"/>
        <v/>
      </c>
      <c r="Z2321" s="497" t="str">
        <f t="shared" si="151"/>
        <v/>
      </c>
    </row>
    <row r="2322" spans="1:26" s="82" customFormat="1" ht="32" x14ac:dyDescent="0.4">
      <c r="A2322" s="493">
        <v>64875</v>
      </c>
      <c r="B2322" s="105" t="s">
        <v>329</v>
      </c>
      <c r="C2322" s="493" t="s">
        <v>330</v>
      </c>
      <c r="D2322" s="105" t="s">
        <v>2742</v>
      </c>
      <c r="E2322" s="105" t="s">
        <v>2743</v>
      </c>
      <c r="F2322" s="493">
        <v>64381</v>
      </c>
      <c r="G2322" s="105" t="s">
        <v>33</v>
      </c>
      <c r="H2322" s="105" t="s">
        <v>342</v>
      </c>
      <c r="I2322" s="105" t="s">
        <v>334</v>
      </c>
      <c r="J2322" s="493">
        <v>22</v>
      </c>
      <c r="K2322" s="493">
        <v>2</v>
      </c>
      <c r="L2322" s="105" t="s">
        <v>343</v>
      </c>
      <c r="M2322" s="105" t="s">
        <v>655</v>
      </c>
      <c r="N2322" s="105" t="s">
        <v>656</v>
      </c>
      <c r="O2322" s="105" t="s">
        <v>656</v>
      </c>
      <c r="P2322" s="105" t="s">
        <v>339</v>
      </c>
      <c r="Q2322" s="494">
        <v>0</v>
      </c>
      <c r="R2322" s="494">
        <v>0</v>
      </c>
      <c r="S2322" s="494">
        <v>34693</v>
      </c>
      <c r="T2322" s="494">
        <v>34693</v>
      </c>
      <c r="U2322" s="494">
        <v>10168</v>
      </c>
      <c r="V2322" s="493">
        <v>2024</v>
      </c>
      <c r="W2322" s="495"/>
      <c r="X2322" s="496">
        <f t="shared" si="152"/>
        <v>3.4119787568843432</v>
      </c>
      <c r="Y2322" s="497" t="str">
        <f t="shared" si="151"/>
        <v/>
      </c>
      <c r="Z2322" s="497" t="str">
        <f t="shared" si="151"/>
        <v/>
      </c>
    </row>
    <row r="2323" spans="1:26" s="82" customFormat="1" ht="32" x14ac:dyDescent="0.4">
      <c r="A2323" s="493">
        <v>64876</v>
      </c>
      <c r="B2323" s="105" t="s">
        <v>329</v>
      </c>
      <c r="C2323" s="493" t="s">
        <v>330</v>
      </c>
      <c r="D2323" s="105" t="s">
        <v>2744</v>
      </c>
      <c r="E2323" s="105" t="s">
        <v>2745</v>
      </c>
      <c r="F2323" s="493">
        <v>64380</v>
      </c>
      <c r="G2323" s="105" t="s">
        <v>33</v>
      </c>
      <c r="H2323" s="105" t="s">
        <v>342</v>
      </c>
      <c r="I2323" s="105" t="s">
        <v>334</v>
      </c>
      <c r="J2323" s="493">
        <v>22</v>
      </c>
      <c r="K2323" s="493">
        <v>2</v>
      </c>
      <c r="L2323" s="105" t="s">
        <v>343</v>
      </c>
      <c r="M2323" s="105" t="s">
        <v>403</v>
      </c>
      <c r="N2323" s="105" t="s">
        <v>404</v>
      </c>
      <c r="O2323" s="105" t="s">
        <v>232</v>
      </c>
      <c r="P2323" s="105" t="s">
        <v>346</v>
      </c>
      <c r="Q2323" s="494">
        <v>3573</v>
      </c>
      <c r="R2323" s="494">
        <v>3573</v>
      </c>
      <c r="S2323" s="494">
        <v>0</v>
      </c>
      <c r="T2323" s="494">
        <v>0</v>
      </c>
      <c r="U2323" s="494">
        <v>-434</v>
      </c>
      <c r="V2323" s="493">
        <v>2024</v>
      </c>
      <c r="W2323" s="495"/>
      <c r="X2323" s="496" t="str">
        <f t="shared" si="152"/>
        <v/>
      </c>
      <c r="Y2323" s="497" t="str">
        <f t="shared" si="151"/>
        <v/>
      </c>
      <c r="Z2323" s="497" t="str">
        <f t="shared" si="151"/>
        <v/>
      </c>
    </row>
    <row r="2324" spans="1:26" s="82" customFormat="1" ht="32" x14ac:dyDescent="0.4">
      <c r="A2324" s="493">
        <v>64876</v>
      </c>
      <c r="B2324" s="105" t="s">
        <v>329</v>
      </c>
      <c r="C2324" s="493" t="s">
        <v>330</v>
      </c>
      <c r="D2324" s="105" t="s">
        <v>2744</v>
      </c>
      <c r="E2324" s="105" t="s">
        <v>2745</v>
      </c>
      <c r="F2324" s="493">
        <v>64380</v>
      </c>
      <c r="G2324" s="105" t="s">
        <v>33</v>
      </c>
      <c r="H2324" s="105" t="s">
        <v>342</v>
      </c>
      <c r="I2324" s="105" t="s">
        <v>334</v>
      </c>
      <c r="J2324" s="493">
        <v>22</v>
      </c>
      <c r="K2324" s="493">
        <v>2</v>
      </c>
      <c r="L2324" s="105" t="s">
        <v>343</v>
      </c>
      <c r="M2324" s="105" t="s">
        <v>655</v>
      </c>
      <c r="N2324" s="105" t="s">
        <v>656</v>
      </c>
      <c r="O2324" s="105" t="s">
        <v>656</v>
      </c>
      <c r="P2324" s="105" t="s">
        <v>339</v>
      </c>
      <c r="Q2324" s="494">
        <v>0</v>
      </c>
      <c r="R2324" s="494">
        <v>0</v>
      </c>
      <c r="S2324" s="494">
        <v>50447</v>
      </c>
      <c r="T2324" s="494">
        <v>50447</v>
      </c>
      <c r="U2324" s="494">
        <v>14785</v>
      </c>
      <c r="V2324" s="493">
        <v>2024</v>
      </c>
      <c r="W2324" s="495"/>
      <c r="X2324" s="496">
        <f t="shared" si="152"/>
        <v>3.4120392289482582</v>
      </c>
      <c r="Y2324" s="497" t="str">
        <f t="shared" si="151"/>
        <v/>
      </c>
      <c r="Z2324" s="497" t="str">
        <f t="shared" si="151"/>
        <v/>
      </c>
    </row>
    <row r="2325" spans="1:26" s="82" customFormat="1" ht="48" x14ac:dyDescent="0.4">
      <c r="A2325" s="493">
        <v>64931</v>
      </c>
      <c r="B2325" s="105" t="s">
        <v>329</v>
      </c>
      <c r="C2325" s="493" t="s">
        <v>330</v>
      </c>
      <c r="D2325" s="105" t="s">
        <v>2746</v>
      </c>
      <c r="E2325" s="105" t="s">
        <v>1354</v>
      </c>
      <c r="F2325" s="493">
        <v>60025</v>
      </c>
      <c r="G2325" s="105" t="s">
        <v>52</v>
      </c>
      <c r="H2325" s="105" t="s">
        <v>333</v>
      </c>
      <c r="I2325" s="105" t="s">
        <v>334</v>
      </c>
      <c r="J2325" s="493">
        <v>22</v>
      </c>
      <c r="K2325" s="493">
        <v>2</v>
      </c>
      <c r="L2325" s="105" t="s">
        <v>343</v>
      </c>
      <c r="M2325" s="105" t="s">
        <v>655</v>
      </c>
      <c r="N2325" s="105" t="s">
        <v>656</v>
      </c>
      <c r="O2325" s="105" t="s">
        <v>656</v>
      </c>
      <c r="P2325" s="105" t="s">
        <v>339</v>
      </c>
      <c r="Q2325" s="494">
        <v>0</v>
      </c>
      <c r="R2325" s="494">
        <v>0</v>
      </c>
      <c r="S2325" s="494">
        <v>6831</v>
      </c>
      <c r="T2325" s="494">
        <v>6831</v>
      </c>
      <c r="U2325" s="494">
        <v>2002</v>
      </c>
      <c r="V2325" s="493">
        <v>2024</v>
      </c>
      <c r="W2325" s="495"/>
      <c r="X2325" s="496">
        <f t="shared" si="152"/>
        <v>3.412087912087912</v>
      </c>
      <c r="Y2325" s="497" t="str">
        <f t="shared" si="151"/>
        <v/>
      </c>
      <c r="Z2325" s="497" t="str">
        <f t="shared" si="151"/>
        <v/>
      </c>
    </row>
    <row r="2326" spans="1:26" s="82" customFormat="1" x14ac:dyDescent="0.4">
      <c r="A2326" s="493">
        <v>64964</v>
      </c>
      <c r="B2326" s="105" t="s">
        <v>329</v>
      </c>
      <c r="C2326" s="493" t="s">
        <v>330</v>
      </c>
      <c r="D2326" s="105" t="s">
        <v>2747</v>
      </c>
      <c r="E2326" s="105" t="s">
        <v>2748</v>
      </c>
      <c r="F2326" s="493">
        <v>64415</v>
      </c>
      <c r="G2326" s="105" t="s">
        <v>52</v>
      </c>
      <c r="H2326" s="105" t="s">
        <v>333</v>
      </c>
      <c r="I2326" s="105" t="s">
        <v>334</v>
      </c>
      <c r="J2326" s="493">
        <v>22</v>
      </c>
      <c r="K2326" s="493">
        <v>2</v>
      </c>
      <c r="L2326" s="105" t="s">
        <v>343</v>
      </c>
      <c r="M2326" s="105" t="s">
        <v>655</v>
      </c>
      <c r="N2326" s="105" t="s">
        <v>656</v>
      </c>
      <c r="O2326" s="105" t="s">
        <v>656</v>
      </c>
      <c r="P2326" s="105" t="s">
        <v>339</v>
      </c>
      <c r="Q2326" s="494">
        <v>0</v>
      </c>
      <c r="R2326" s="494">
        <v>0</v>
      </c>
      <c r="S2326" s="494">
        <v>19874</v>
      </c>
      <c r="T2326" s="494">
        <v>19874</v>
      </c>
      <c r="U2326" s="494">
        <v>5825</v>
      </c>
      <c r="V2326" s="493">
        <v>2024</v>
      </c>
      <c r="W2326" s="495"/>
      <c r="X2326" s="496">
        <f t="shared" si="152"/>
        <v>3.4118454935622315</v>
      </c>
      <c r="Y2326" s="497" t="str">
        <f t="shared" si="151"/>
        <v/>
      </c>
      <c r="Z2326" s="497" t="str">
        <f t="shared" si="151"/>
        <v/>
      </c>
    </row>
    <row r="2327" spans="1:26" s="82" customFormat="1" x14ac:dyDescent="0.4">
      <c r="A2327" s="493">
        <v>64965</v>
      </c>
      <c r="B2327" s="105" t="s">
        <v>329</v>
      </c>
      <c r="C2327" s="493" t="s">
        <v>330</v>
      </c>
      <c r="D2327" s="105" t="s">
        <v>2749</v>
      </c>
      <c r="E2327" s="105" t="s">
        <v>2750</v>
      </c>
      <c r="F2327" s="493">
        <v>64416</v>
      </c>
      <c r="G2327" s="105" t="s">
        <v>52</v>
      </c>
      <c r="H2327" s="105" t="s">
        <v>333</v>
      </c>
      <c r="I2327" s="105" t="s">
        <v>334</v>
      </c>
      <c r="J2327" s="493">
        <v>22</v>
      </c>
      <c r="K2327" s="493">
        <v>2</v>
      </c>
      <c r="L2327" s="105" t="s">
        <v>343</v>
      </c>
      <c r="M2327" s="105" t="s">
        <v>655</v>
      </c>
      <c r="N2327" s="105" t="s">
        <v>656</v>
      </c>
      <c r="O2327" s="105" t="s">
        <v>656</v>
      </c>
      <c r="P2327" s="105" t="s">
        <v>339</v>
      </c>
      <c r="Q2327" s="494">
        <v>0</v>
      </c>
      <c r="R2327" s="494">
        <v>0</v>
      </c>
      <c r="S2327" s="494">
        <v>24188</v>
      </c>
      <c r="T2327" s="494">
        <v>24188</v>
      </c>
      <c r="U2327" s="494">
        <v>7089</v>
      </c>
      <c r="V2327" s="493">
        <v>2024</v>
      </c>
      <c r="W2327" s="495"/>
      <c r="X2327" s="496">
        <f t="shared" si="152"/>
        <v>3.412046833121738</v>
      </c>
      <c r="Y2327" s="497" t="str">
        <f t="shared" si="151"/>
        <v/>
      </c>
      <c r="Z2327" s="497" t="str">
        <f t="shared" si="151"/>
        <v/>
      </c>
    </row>
    <row r="2328" spans="1:26" s="82" customFormat="1" ht="32" x14ac:dyDescent="0.4">
      <c r="A2328" s="493">
        <v>64970</v>
      </c>
      <c r="B2328" s="105" t="s">
        <v>329</v>
      </c>
      <c r="C2328" s="493" t="s">
        <v>330</v>
      </c>
      <c r="D2328" s="105" t="s">
        <v>2751</v>
      </c>
      <c r="E2328" s="105" t="s">
        <v>2752</v>
      </c>
      <c r="F2328" s="493">
        <v>64417</v>
      </c>
      <c r="G2328" s="105" t="s">
        <v>33</v>
      </c>
      <c r="H2328" s="105" t="s">
        <v>342</v>
      </c>
      <c r="I2328" s="105" t="s">
        <v>334</v>
      </c>
      <c r="J2328" s="493">
        <v>22</v>
      </c>
      <c r="K2328" s="493">
        <v>2</v>
      </c>
      <c r="L2328" s="105" t="s">
        <v>343</v>
      </c>
      <c r="M2328" s="105" t="s">
        <v>403</v>
      </c>
      <c r="N2328" s="105" t="s">
        <v>404</v>
      </c>
      <c r="O2328" s="105" t="s">
        <v>232</v>
      </c>
      <c r="P2328" s="105" t="s">
        <v>346</v>
      </c>
      <c r="Q2328" s="494">
        <v>2276</v>
      </c>
      <c r="R2328" s="494">
        <v>2276</v>
      </c>
      <c r="S2328" s="494">
        <v>0</v>
      </c>
      <c r="T2328" s="494">
        <v>0</v>
      </c>
      <c r="U2328" s="494">
        <v>-778</v>
      </c>
      <c r="V2328" s="493">
        <v>2024</v>
      </c>
      <c r="W2328" s="495"/>
      <c r="X2328" s="496" t="str">
        <f t="shared" si="152"/>
        <v/>
      </c>
      <c r="Y2328" s="497" t="str">
        <f t="shared" ref="Y2328:Z2347" si="153">IF(AND($M2328=$Y$2,$N2328=$Y$3,NOT($Q2328=$R2328),NOT($U2328=0)),IF($K2328=5,$S2328/($U2328+(8/5)*$U2328),IF($K2328=7,$S2328/($U2328+(29/25)*$U2328),"")),"")</f>
        <v/>
      </c>
      <c r="Z2328" s="497" t="str">
        <f t="shared" si="153"/>
        <v/>
      </c>
    </row>
    <row r="2329" spans="1:26" s="82" customFormat="1" ht="32" x14ac:dyDescent="0.4">
      <c r="A2329" s="493">
        <v>64970</v>
      </c>
      <c r="B2329" s="105" t="s">
        <v>329</v>
      </c>
      <c r="C2329" s="493" t="s">
        <v>330</v>
      </c>
      <c r="D2329" s="105" t="s">
        <v>2751</v>
      </c>
      <c r="E2329" s="105" t="s">
        <v>2752</v>
      </c>
      <c r="F2329" s="493">
        <v>64417</v>
      </c>
      <c r="G2329" s="105" t="s">
        <v>33</v>
      </c>
      <c r="H2329" s="105" t="s">
        <v>342</v>
      </c>
      <c r="I2329" s="105" t="s">
        <v>334</v>
      </c>
      <c r="J2329" s="493">
        <v>22</v>
      </c>
      <c r="K2329" s="493">
        <v>2</v>
      </c>
      <c r="L2329" s="105" t="s">
        <v>343</v>
      </c>
      <c r="M2329" s="105" t="s">
        <v>655</v>
      </c>
      <c r="N2329" s="105" t="s">
        <v>656</v>
      </c>
      <c r="O2329" s="105" t="s">
        <v>656</v>
      </c>
      <c r="P2329" s="105" t="s">
        <v>339</v>
      </c>
      <c r="Q2329" s="494">
        <v>0</v>
      </c>
      <c r="R2329" s="494">
        <v>0</v>
      </c>
      <c r="S2329" s="494">
        <v>41284</v>
      </c>
      <c r="T2329" s="494">
        <v>41284</v>
      </c>
      <c r="U2329" s="494">
        <v>12100</v>
      </c>
      <c r="V2329" s="493">
        <v>2024</v>
      </c>
      <c r="W2329" s="495"/>
      <c r="X2329" s="496">
        <f t="shared" si="152"/>
        <v>3.4119008264462809</v>
      </c>
      <c r="Y2329" s="497" t="str">
        <f t="shared" si="153"/>
        <v/>
      </c>
      <c r="Z2329" s="497" t="str">
        <f t="shared" si="153"/>
        <v/>
      </c>
    </row>
    <row r="2330" spans="1:26" s="82" customFormat="1" ht="48" x14ac:dyDescent="0.4">
      <c r="A2330" s="493">
        <v>64975</v>
      </c>
      <c r="B2330" s="105" t="s">
        <v>329</v>
      </c>
      <c r="C2330" s="493" t="s">
        <v>330</v>
      </c>
      <c r="D2330" s="105" t="s">
        <v>2753</v>
      </c>
      <c r="E2330" s="105" t="s">
        <v>1354</v>
      </c>
      <c r="F2330" s="493">
        <v>60025</v>
      </c>
      <c r="G2330" s="105" t="s">
        <v>36</v>
      </c>
      <c r="H2330" s="105" t="s">
        <v>342</v>
      </c>
      <c r="I2330" s="105" t="s">
        <v>334</v>
      </c>
      <c r="J2330" s="493">
        <v>22</v>
      </c>
      <c r="K2330" s="493">
        <v>2</v>
      </c>
      <c r="L2330" s="105" t="s">
        <v>343</v>
      </c>
      <c r="M2330" s="105" t="s">
        <v>655</v>
      </c>
      <c r="N2330" s="105" t="s">
        <v>656</v>
      </c>
      <c r="O2330" s="105" t="s">
        <v>656</v>
      </c>
      <c r="P2330" s="105" t="s">
        <v>339</v>
      </c>
      <c r="Q2330" s="494">
        <v>0</v>
      </c>
      <c r="R2330" s="494">
        <v>0</v>
      </c>
      <c r="S2330" s="494">
        <v>8333</v>
      </c>
      <c r="T2330" s="494">
        <v>8333</v>
      </c>
      <c r="U2330" s="494">
        <v>2442</v>
      </c>
      <c r="V2330" s="493">
        <v>2024</v>
      </c>
      <c r="W2330" s="495"/>
      <c r="X2330" s="496">
        <f t="shared" si="152"/>
        <v>3.4123669123669123</v>
      </c>
      <c r="Y2330" s="497" t="str">
        <f t="shared" si="153"/>
        <v/>
      </c>
      <c r="Z2330" s="497" t="str">
        <f t="shared" si="153"/>
        <v/>
      </c>
    </row>
    <row r="2331" spans="1:26" s="82" customFormat="1" x14ac:dyDescent="0.4">
      <c r="A2331" s="493">
        <v>64977</v>
      </c>
      <c r="B2331" s="105" t="s">
        <v>329</v>
      </c>
      <c r="C2331" s="493" t="s">
        <v>330</v>
      </c>
      <c r="D2331" s="105" t="s">
        <v>2754</v>
      </c>
      <c r="E2331" s="105" t="s">
        <v>2755</v>
      </c>
      <c r="F2331" s="493">
        <v>64426</v>
      </c>
      <c r="G2331" s="105" t="s">
        <v>37</v>
      </c>
      <c r="H2331" s="105" t="s">
        <v>342</v>
      </c>
      <c r="I2331" s="105" t="s">
        <v>334</v>
      </c>
      <c r="J2331" s="493">
        <v>22</v>
      </c>
      <c r="K2331" s="493">
        <v>2</v>
      </c>
      <c r="L2331" s="105" t="s">
        <v>343</v>
      </c>
      <c r="M2331" s="105" t="s">
        <v>655</v>
      </c>
      <c r="N2331" s="105" t="s">
        <v>656</v>
      </c>
      <c r="O2331" s="105" t="s">
        <v>656</v>
      </c>
      <c r="P2331" s="105" t="s">
        <v>339</v>
      </c>
      <c r="Q2331" s="494">
        <v>0</v>
      </c>
      <c r="R2331" s="494">
        <v>0</v>
      </c>
      <c r="S2331" s="494">
        <v>10762</v>
      </c>
      <c r="T2331" s="494">
        <v>10762</v>
      </c>
      <c r="U2331" s="494">
        <v>3154</v>
      </c>
      <c r="V2331" s="493">
        <v>2024</v>
      </c>
      <c r="W2331" s="495"/>
      <c r="X2331" s="496">
        <f t="shared" si="152"/>
        <v>3.4121750158528852</v>
      </c>
      <c r="Y2331" s="497" t="str">
        <f t="shared" si="153"/>
        <v/>
      </c>
      <c r="Z2331" s="497" t="str">
        <f t="shared" si="153"/>
        <v/>
      </c>
    </row>
    <row r="2332" spans="1:26" s="82" customFormat="1" x14ac:dyDescent="0.4">
      <c r="A2332" s="493">
        <v>64978</v>
      </c>
      <c r="B2332" s="105" t="s">
        <v>329</v>
      </c>
      <c r="C2332" s="493" t="s">
        <v>330</v>
      </c>
      <c r="D2332" s="105" t="s">
        <v>2756</v>
      </c>
      <c r="E2332" s="105" t="s">
        <v>2755</v>
      </c>
      <c r="F2332" s="493">
        <v>64426</v>
      </c>
      <c r="G2332" s="105" t="s">
        <v>37</v>
      </c>
      <c r="H2332" s="105" t="s">
        <v>342</v>
      </c>
      <c r="I2332" s="105" t="s">
        <v>334</v>
      </c>
      <c r="J2332" s="493">
        <v>22</v>
      </c>
      <c r="K2332" s="493">
        <v>2</v>
      </c>
      <c r="L2332" s="105" t="s">
        <v>343</v>
      </c>
      <c r="M2332" s="105" t="s">
        <v>655</v>
      </c>
      <c r="N2332" s="105" t="s">
        <v>656</v>
      </c>
      <c r="O2332" s="105" t="s">
        <v>656</v>
      </c>
      <c r="P2332" s="105" t="s">
        <v>339</v>
      </c>
      <c r="Q2332" s="494">
        <v>0</v>
      </c>
      <c r="R2332" s="494">
        <v>0</v>
      </c>
      <c r="S2332" s="494">
        <v>16606</v>
      </c>
      <c r="T2332" s="494">
        <v>16606</v>
      </c>
      <c r="U2332" s="494">
        <v>4867</v>
      </c>
      <c r="V2332" s="493">
        <v>2024</v>
      </c>
      <c r="W2332" s="495"/>
      <c r="X2332" s="496">
        <f t="shared" si="152"/>
        <v>3.411958085062667</v>
      </c>
      <c r="Y2332" s="497" t="str">
        <f t="shared" si="153"/>
        <v/>
      </c>
      <c r="Z2332" s="497" t="str">
        <f t="shared" si="153"/>
        <v/>
      </c>
    </row>
    <row r="2333" spans="1:26" s="82" customFormat="1" x14ac:dyDescent="0.4">
      <c r="A2333" s="493">
        <v>64979</v>
      </c>
      <c r="B2333" s="105" t="s">
        <v>329</v>
      </c>
      <c r="C2333" s="493" t="s">
        <v>330</v>
      </c>
      <c r="D2333" s="105" t="s">
        <v>2757</v>
      </c>
      <c r="E2333" s="105" t="s">
        <v>2755</v>
      </c>
      <c r="F2333" s="493">
        <v>64426</v>
      </c>
      <c r="G2333" s="105" t="s">
        <v>37</v>
      </c>
      <c r="H2333" s="105" t="s">
        <v>342</v>
      </c>
      <c r="I2333" s="105" t="s">
        <v>334</v>
      </c>
      <c r="J2333" s="493">
        <v>22</v>
      </c>
      <c r="K2333" s="493">
        <v>2</v>
      </c>
      <c r="L2333" s="105" t="s">
        <v>343</v>
      </c>
      <c r="M2333" s="105" t="s">
        <v>655</v>
      </c>
      <c r="N2333" s="105" t="s">
        <v>656</v>
      </c>
      <c r="O2333" s="105" t="s">
        <v>656</v>
      </c>
      <c r="P2333" s="105" t="s">
        <v>339</v>
      </c>
      <c r="Q2333" s="494">
        <v>0</v>
      </c>
      <c r="R2333" s="494">
        <v>0</v>
      </c>
      <c r="S2333" s="494">
        <v>9864</v>
      </c>
      <c r="T2333" s="494">
        <v>9864</v>
      </c>
      <c r="U2333" s="494">
        <v>2891</v>
      </c>
      <c r="V2333" s="493">
        <v>2024</v>
      </c>
      <c r="W2333" s="495"/>
      <c r="X2333" s="496">
        <f t="shared" si="152"/>
        <v>3.411968177101349</v>
      </c>
      <c r="Y2333" s="497" t="str">
        <f t="shared" si="153"/>
        <v/>
      </c>
      <c r="Z2333" s="497" t="str">
        <f t="shared" si="153"/>
        <v/>
      </c>
    </row>
    <row r="2334" spans="1:26" s="82" customFormat="1" ht="48" x14ac:dyDescent="0.4">
      <c r="A2334" s="493">
        <v>64980</v>
      </c>
      <c r="B2334" s="105" t="s">
        <v>329</v>
      </c>
      <c r="C2334" s="493" t="s">
        <v>330</v>
      </c>
      <c r="D2334" s="105" t="s">
        <v>2758</v>
      </c>
      <c r="E2334" s="105" t="s">
        <v>2759</v>
      </c>
      <c r="F2334" s="493">
        <v>67085</v>
      </c>
      <c r="G2334" s="105" t="s">
        <v>33</v>
      </c>
      <c r="H2334" s="105" t="s">
        <v>342</v>
      </c>
      <c r="I2334" s="105" t="s">
        <v>334</v>
      </c>
      <c r="J2334" s="493">
        <v>611</v>
      </c>
      <c r="K2334" s="493">
        <v>4</v>
      </c>
      <c r="L2334" s="105" t="s">
        <v>766</v>
      </c>
      <c r="M2334" s="105" t="s">
        <v>403</v>
      </c>
      <c r="N2334" s="105" t="s">
        <v>404</v>
      </c>
      <c r="O2334" s="105" t="s">
        <v>232</v>
      </c>
      <c r="P2334" s="105" t="s">
        <v>346</v>
      </c>
      <c r="Q2334" s="494">
        <v>157</v>
      </c>
      <c r="R2334" s="494">
        <v>157</v>
      </c>
      <c r="S2334" s="494">
        <v>0</v>
      </c>
      <c r="T2334" s="494">
        <v>0</v>
      </c>
      <c r="U2334" s="494">
        <v>-54</v>
      </c>
      <c r="V2334" s="493">
        <v>2024</v>
      </c>
      <c r="W2334" s="495"/>
      <c r="X2334" s="496" t="str">
        <f t="shared" si="152"/>
        <v/>
      </c>
      <c r="Y2334" s="497" t="str">
        <f t="shared" si="153"/>
        <v/>
      </c>
      <c r="Z2334" s="497" t="str">
        <f t="shared" si="153"/>
        <v/>
      </c>
    </row>
    <row r="2335" spans="1:26" s="82" customFormat="1" ht="48" x14ac:dyDescent="0.4">
      <c r="A2335" s="493">
        <v>64980</v>
      </c>
      <c r="B2335" s="105" t="s">
        <v>329</v>
      </c>
      <c r="C2335" s="493" t="s">
        <v>330</v>
      </c>
      <c r="D2335" s="105" t="s">
        <v>2758</v>
      </c>
      <c r="E2335" s="105" t="s">
        <v>2759</v>
      </c>
      <c r="F2335" s="493">
        <v>67085</v>
      </c>
      <c r="G2335" s="105" t="s">
        <v>33</v>
      </c>
      <c r="H2335" s="105" t="s">
        <v>342</v>
      </c>
      <c r="I2335" s="105" t="s">
        <v>334</v>
      </c>
      <c r="J2335" s="493">
        <v>611</v>
      </c>
      <c r="K2335" s="493">
        <v>4</v>
      </c>
      <c r="L2335" s="105" t="s">
        <v>766</v>
      </c>
      <c r="M2335" s="105" t="s">
        <v>359</v>
      </c>
      <c r="N2335" s="105" t="s">
        <v>226</v>
      </c>
      <c r="O2335" s="105" t="s">
        <v>226</v>
      </c>
      <c r="P2335" s="105" t="s">
        <v>350</v>
      </c>
      <c r="Q2335" s="494">
        <v>0</v>
      </c>
      <c r="R2335" s="494">
        <v>0</v>
      </c>
      <c r="S2335" s="494">
        <v>0</v>
      </c>
      <c r="T2335" s="494">
        <v>0</v>
      </c>
      <c r="U2335" s="494">
        <v>0</v>
      </c>
      <c r="V2335" s="493">
        <v>2024</v>
      </c>
      <c r="W2335" s="495"/>
      <c r="X2335" s="496" t="str">
        <f t="shared" si="152"/>
        <v/>
      </c>
      <c r="Y2335" s="497" t="str">
        <f t="shared" si="153"/>
        <v/>
      </c>
      <c r="Z2335" s="497" t="str">
        <f t="shared" si="153"/>
        <v/>
      </c>
    </row>
    <row r="2336" spans="1:26" s="82" customFormat="1" ht="48" x14ac:dyDescent="0.4">
      <c r="A2336" s="493">
        <v>64980</v>
      </c>
      <c r="B2336" s="105" t="s">
        <v>329</v>
      </c>
      <c r="C2336" s="493" t="s">
        <v>330</v>
      </c>
      <c r="D2336" s="105" t="s">
        <v>2758</v>
      </c>
      <c r="E2336" s="105" t="s">
        <v>2759</v>
      </c>
      <c r="F2336" s="493">
        <v>67085</v>
      </c>
      <c r="G2336" s="105" t="s">
        <v>33</v>
      </c>
      <c r="H2336" s="105" t="s">
        <v>342</v>
      </c>
      <c r="I2336" s="105" t="s">
        <v>334</v>
      </c>
      <c r="J2336" s="493">
        <v>611</v>
      </c>
      <c r="K2336" s="493">
        <v>4</v>
      </c>
      <c r="L2336" s="105" t="s">
        <v>766</v>
      </c>
      <c r="M2336" s="105" t="s">
        <v>655</v>
      </c>
      <c r="N2336" s="105" t="s">
        <v>656</v>
      </c>
      <c r="O2336" s="105" t="s">
        <v>656</v>
      </c>
      <c r="P2336" s="105" t="s">
        <v>339</v>
      </c>
      <c r="Q2336" s="494">
        <v>0</v>
      </c>
      <c r="R2336" s="494">
        <v>0</v>
      </c>
      <c r="S2336" s="494">
        <v>3832</v>
      </c>
      <c r="T2336" s="494">
        <v>3832</v>
      </c>
      <c r="U2336" s="494">
        <v>1123</v>
      </c>
      <c r="V2336" s="493">
        <v>2024</v>
      </c>
      <c r="W2336" s="495"/>
      <c r="X2336" s="496" t="str">
        <f t="shared" si="152"/>
        <v/>
      </c>
      <c r="Y2336" s="497" t="str">
        <f t="shared" si="153"/>
        <v/>
      </c>
      <c r="Z2336" s="497" t="str">
        <f t="shared" si="153"/>
        <v/>
      </c>
    </row>
    <row r="2337" spans="1:26" s="82" customFormat="1" ht="32" x14ac:dyDescent="0.4">
      <c r="A2337" s="493">
        <v>65014</v>
      </c>
      <c r="B2337" s="105" t="s">
        <v>329</v>
      </c>
      <c r="C2337" s="493" t="s">
        <v>330</v>
      </c>
      <c r="D2337" s="105" t="s">
        <v>2760</v>
      </c>
      <c r="E2337" s="105" t="s">
        <v>2760</v>
      </c>
      <c r="F2337" s="493">
        <v>64446</v>
      </c>
      <c r="G2337" s="105" t="s">
        <v>33</v>
      </c>
      <c r="H2337" s="105" t="s">
        <v>342</v>
      </c>
      <c r="I2337" s="105" t="s">
        <v>334</v>
      </c>
      <c r="J2337" s="493">
        <v>22</v>
      </c>
      <c r="K2337" s="493">
        <v>2</v>
      </c>
      <c r="L2337" s="105" t="s">
        <v>343</v>
      </c>
      <c r="M2337" s="105" t="s">
        <v>403</v>
      </c>
      <c r="N2337" s="105" t="s">
        <v>404</v>
      </c>
      <c r="O2337" s="105" t="s">
        <v>232</v>
      </c>
      <c r="P2337" s="105" t="s">
        <v>346</v>
      </c>
      <c r="Q2337" s="494">
        <v>54</v>
      </c>
      <c r="R2337" s="494">
        <v>54</v>
      </c>
      <c r="S2337" s="494">
        <v>0</v>
      </c>
      <c r="T2337" s="494">
        <v>0</v>
      </c>
      <c r="U2337" s="494">
        <v>-46</v>
      </c>
      <c r="V2337" s="493">
        <v>2024</v>
      </c>
      <c r="W2337" s="495"/>
      <c r="X2337" s="496" t="str">
        <f t="shared" si="152"/>
        <v/>
      </c>
      <c r="Y2337" s="497" t="str">
        <f t="shared" si="153"/>
        <v/>
      </c>
      <c r="Z2337" s="497" t="str">
        <f t="shared" si="153"/>
        <v/>
      </c>
    </row>
    <row r="2338" spans="1:26" s="82" customFormat="1" ht="32" x14ac:dyDescent="0.4">
      <c r="A2338" s="493">
        <v>65014</v>
      </c>
      <c r="B2338" s="105" t="s">
        <v>329</v>
      </c>
      <c r="C2338" s="493" t="s">
        <v>330</v>
      </c>
      <c r="D2338" s="105" t="s">
        <v>2760</v>
      </c>
      <c r="E2338" s="105" t="s">
        <v>2760</v>
      </c>
      <c r="F2338" s="493">
        <v>64446</v>
      </c>
      <c r="G2338" s="105" t="s">
        <v>33</v>
      </c>
      <c r="H2338" s="105" t="s">
        <v>342</v>
      </c>
      <c r="I2338" s="105" t="s">
        <v>334</v>
      </c>
      <c r="J2338" s="493">
        <v>22</v>
      </c>
      <c r="K2338" s="493">
        <v>2</v>
      </c>
      <c r="L2338" s="105" t="s">
        <v>343</v>
      </c>
      <c r="M2338" s="105" t="s">
        <v>655</v>
      </c>
      <c r="N2338" s="105" t="s">
        <v>656</v>
      </c>
      <c r="O2338" s="105" t="s">
        <v>656</v>
      </c>
      <c r="P2338" s="105" t="s">
        <v>339</v>
      </c>
      <c r="Q2338" s="494">
        <v>0</v>
      </c>
      <c r="R2338" s="494">
        <v>0</v>
      </c>
      <c r="S2338" s="494">
        <v>7831</v>
      </c>
      <c r="T2338" s="494">
        <v>7831</v>
      </c>
      <c r="U2338" s="494">
        <v>2295</v>
      </c>
      <c r="V2338" s="493">
        <v>2024</v>
      </c>
      <c r="W2338" s="495"/>
      <c r="X2338" s="496">
        <f t="shared" si="152"/>
        <v>3.4122004357298477</v>
      </c>
      <c r="Y2338" s="497" t="str">
        <f t="shared" si="153"/>
        <v/>
      </c>
      <c r="Z2338" s="497" t="str">
        <f t="shared" si="153"/>
        <v/>
      </c>
    </row>
    <row r="2339" spans="1:26" s="82" customFormat="1" ht="32" x14ac:dyDescent="0.4">
      <c r="A2339" s="493">
        <v>65015</v>
      </c>
      <c r="B2339" s="105" t="s">
        <v>329</v>
      </c>
      <c r="C2339" s="493" t="s">
        <v>330</v>
      </c>
      <c r="D2339" s="105" t="s">
        <v>2761</v>
      </c>
      <c r="E2339" s="105" t="s">
        <v>2762</v>
      </c>
      <c r="F2339" s="493">
        <v>65500</v>
      </c>
      <c r="G2339" s="105" t="s">
        <v>33</v>
      </c>
      <c r="H2339" s="105" t="s">
        <v>342</v>
      </c>
      <c r="I2339" s="105" t="s">
        <v>334</v>
      </c>
      <c r="J2339" s="493">
        <v>22</v>
      </c>
      <c r="K2339" s="493">
        <v>2</v>
      </c>
      <c r="L2339" s="105" t="s">
        <v>343</v>
      </c>
      <c r="M2339" s="105" t="s">
        <v>403</v>
      </c>
      <c r="N2339" s="105" t="s">
        <v>404</v>
      </c>
      <c r="O2339" s="105" t="s">
        <v>232</v>
      </c>
      <c r="P2339" s="105" t="s">
        <v>346</v>
      </c>
      <c r="Q2339" s="494">
        <v>155</v>
      </c>
      <c r="R2339" s="494">
        <v>155</v>
      </c>
      <c r="S2339" s="494">
        <v>0</v>
      </c>
      <c r="T2339" s="494">
        <v>0</v>
      </c>
      <c r="U2339" s="494">
        <v>-90</v>
      </c>
      <c r="V2339" s="493">
        <v>2024</v>
      </c>
      <c r="W2339" s="495"/>
      <c r="X2339" s="496" t="str">
        <f t="shared" si="152"/>
        <v/>
      </c>
      <c r="Y2339" s="497" t="str">
        <f t="shared" si="153"/>
        <v/>
      </c>
      <c r="Z2339" s="497" t="str">
        <f t="shared" si="153"/>
        <v/>
      </c>
    </row>
    <row r="2340" spans="1:26" s="82" customFormat="1" ht="32" x14ac:dyDescent="0.4">
      <c r="A2340" s="493">
        <v>65015</v>
      </c>
      <c r="B2340" s="105" t="s">
        <v>329</v>
      </c>
      <c r="C2340" s="493" t="s">
        <v>330</v>
      </c>
      <c r="D2340" s="105" t="s">
        <v>2761</v>
      </c>
      <c r="E2340" s="105" t="s">
        <v>2762</v>
      </c>
      <c r="F2340" s="493">
        <v>65500</v>
      </c>
      <c r="G2340" s="105" t="s">
        <v>33</v>
      </c>
      <c r="H2340" s="105" t="s">
        <v>342</v>
      </c>
      <c r="I2340" s="105" t="s">
        <v>334</v>
      </c>
      <c r="J2340" s="493">
        <v>22</v>
      </c>
      <c r="K2340" s="493">
        <v>2</v>
      </c>
      <c r="L2340" s="105" t="s">
        <v>343</v>
      </c>
      <c r="M2340" s="105" t="s">
        <v>655</v>
      </c>
      <c r="N2340" s="105" t="s">
        <v>656</v>
      </c>
      <c r="O2340" s="105" t="s">
        <v>656</v>
      </c>
      <c r="P2340" s="105" t="s">
        <v>339</v>
      </c>
      <c r="Q2340" s="494">
        <v>0</v>
      </c>
      <c r="R2340" s="494">
        <v>0</v>
      </c>
      <c r="S2340" s="494">
        <v>32537</v>
      </c>
      <c r="T2340" s="494">
        <v>32537</v>
      </c>
      <c r="U2340" s="494">
        <v>9536</v>
      </c>
      <c r="V2340" s="493">
        <v>2024</v>
      </c>
      <c r="W2340" s="495"/>
      <c r="X2340" s="496">
        <f t="shared" si="152"/>
        <v>3.4120176174496644</v>
      </c>
      <c r="Y2340" s="497" t="str">
        <f t="shared" si="153"/>
        <v/>
      </c>
      <c r="Z2340" s="497" t="str">
        <f t="shared" si="153"/>
        <v/>
      </c>
    </row>
    <row r="2341" spans="1:26" s="82" customFormat="1" ht="32" x14ac:dyDescent="0.4">
      <c r="A2341" s="493">
        <v>65035</v>
      </c>
      <c r="B2341" s="105" t="s">
        <v>329</v>
      </c>
      <c r="C2341" s="493" t="s">
        <v>330</v>
      </c>
      <c r="D2341" s="105" t="s">
        <v>2763</v>
      </c>
      <c r="E2341" s="105" t="s">
        <v>494</v>
      </c>
      <c r="F2341" s="493">
        <v>4226</v>
      </c>
      <c r="G2341" s="105" t="s">
        <v>52</v>
      </c>
      <c r="H2341" s="105" t="s">
        <v>333</v>
      </c>
      <c r="I2341" s="105" t="s">
        <v>334</v>
      </c>
      <c r="J2341" s="493">
        <v>22</v>
      </c>
      <c r="K2341" s="493">
        <v>1</v>
      </c>
      <c r="L2341" s="105" t="s">
        <v>335</v>
      </c>
      <c r="M2341" s="105" t="s">
        <v>403</v>
      </c>
      <c r="N2341" s="105" t="s">
        <v>404</v>
      </c>
      <c r="O2341" s="105" t="s">
        <v>232</v>
      </c>
      <c r="P2341" s="105" t="s">
        <v>346</v>
      </c>
      <c r="Q2341" s="494">
        <v>2778</v>
      </c>
      <c r="R2341" s="494">
        <v>2778</v>
      </c>
      <c r="S2341" s="494">
        <v>0</v>
      </c>
      <c r="T2341" s="494">
        <v>0</v>
      </c>
      <c r="U2341" s="494">
        <v>-365</v>
      </c>
      <c r="V2341" s="493">
        <v>2024</v>
      </c>
      <c r="W2341" s="495"/>
      <c r="X2341" s="496" t="str">
        <f t="shared" si="152"/>
        <v/>
      </c>
      <c r="Y2341" s="497" t="str">
        <f t="shared" si="153"/>
        <v/>
      </c>
      <c r="Z2341" s="497" t="str">
        <f t="shared" si="153"/>
        <v/>
      </c>
    </row>
    <row r="2342" spans="1:26" s="82" customFormat="1" x14ac:dyDescent="0.4">
      <c r="A2342" s="493">
        <v>65046</v>
      </c>
      <c r="B2342" s="105" t="s">
        <v>329</v>
      </c>
      <c r="C2342" s="493" t="s">
        <v>330</v>
      </c>
      <c r="D2342" s="105" t="s">
        <v>2764</v>
      </c>
      <c r="E2342" s="105" t="s">
        <v>2765</v>
      </c>
      <c r="F2342" s="493">
        <v>64457</v>
      </c>
      <c r="G2342" s="105" t="s">
        <v>37</v>
      </c>
      <c r="H2342" s="105" t="s">
        <v>342</v>
      </c>
      <c r="I2342" s="105" t="s">
        <v>334</v>
      </c>
      <c r="J2342" s="493">
        <v>22</v>
      </c>
      <c r="K2342" s="493">
        <v>2</v>
      </c>
      <c r="L2342" s="105" t="s">
        <v>343</v>
      </c>
      <c r="M2342" s="105" t="s">
        <v>655</v>
      </c>
      <c r="N2342" s="105" t="s">
        <v>656</v>
      </c>
      <c r="O2342" s="105" t="s">
        <v>656</v>
      </c>
      <c r="P2342" s="105" t="s">
        <v>339</v>
      </c>
      <c r="Q2342" s="494">
        <v>0</v>
      </c>
      <c r="R2342" s="494">
        <v>0</v>
      </c>
      <c r="S2342" s="494">
        <v>516</v>
      </c>
      <c r="T2342" s="494">
        <v>516</v>
      </c>
      <c r="U2342" s="494">
        <v>151</v>
      </c>
      <c r="V2342" s="493">
        <v>2024</v>
      </c>
      <c r="W2342" s="495"/>
      <c r="X2342" s="496">
        <f t="shared" si="152"/>
        <v>3.4172185430463577</v>
      </c>
      <c r="Y2342" s="497" t="str">
        <f t="shared" si="153"/>
        <v/>
      </c>
      <c r="Z2342" s="497" t="str">
        <f t="shared" si="153"/>
        <v/>
      </c>
    </row>
    <row r="2343" spans="1:26" s="82" customFormat="1" x14ac:dyDescent="0.4">
      <c r="A2343" s="493">
        <v>65047</v>
      </c>
      <c r="B2343" s="105" t="s">
        <v>329</v>
      </c>
      <c r="C2343" s="493" t="s">
        <v>330</v>
      </c>
      <c r="D2343" s="105" t="s">
        <v>2766</v>
      </c>
      <c r="E2343" s="105" t="s">
        <v>2767</v>
      </c>
      <c r="F2343" s="493">
        <v>64458</v>
      </c>
      <c r="G2343" s="105" t="s">
        <v>37</v>
      </c>
      <c r="H2343" s="105" t="s">
        <v>342</v>
      </c>
      <c r="I2343" s="105" t="s">
        <v>334</v>
      </c>
      <c r="J2343" s="493">
        <v>22</v>
      </c>
      <c r="K2343" s="493">
        <v>2</v>
      </c>
      <c r="L2343" s="105" t="s">
        <v>343</v>
      </c>
      <c r="M2343" s="105" t="s">
        <v>655</v>
      </c>
      <c r="N2343" s="105" t="s">
        <v>656</v>
      </c>
      <c r="O2343" s="105" t="s">
        <v>656</v>
      </c>
      <c r="P2343" s="105" t="s">
        <v>339</v>
      </c>
      <c r="Q2343" s="494">
        <v>0</v>
      </c>
      <c r="R2343" s="494">
        <v>0</v>
      </c>
      <c r="S2343" s="494">
        <v>18710</v>
      </c>
      <c r="T2343" s="494">
        <v>18710</v>
      </c>
      <c r="U2343" s="494">
        <v>5484</v>
      </c>
      <c r="V2343" s="493">
        <v>2024</v>
      </c>
      <c r="W2343" s="495"/>
      <c r="X2343" s="496">
        <f t="shared" si="152"/>
        <v>3.4117432530999272</v>
      </c>
      <c r="Y2343" s="497" t="str">
        <f t="shared" si="153"/>
        <v/>
      </c>
      <c r="Z2343" s="497" t="str">
        <f t="shared" si="153"/>
        <v/>
      </c>
    </row>
    <row r="2344" spans="1:26" s="82" customFormat="1" ht="32" x14ac:dyDescent="0.4">
      <c r="A2344" s="493">
        <v>65054</v>
      </c>
      <c r="B2344" s="105" t="s">
        <v>329</v>
      </c>
      <c r="C2344" s="493" t="s">
        <v>330</v>
      </c>
      <c r="D2344" s="105" t="s">
        <v>2768</v>
      </c>
      <c r="E2344" s="105" t="s">
        <v>2769</v>
      </c>
      <c r="F2344" s="493">
        <v>64470</v>
      </c>
      <c r="G2344" s="105" t="s">
        <v>33</v>
      </c>
      <c r="H2344" s="105" t="s">
        <v>342</v>
      </c>
      <c r="I2344" s="105" t="s">
        <v>334</v>
      </c>
      <c r="J2344" s="493">
        <v>22</v>
      </c>
      <c r="K2344" s="493">
        <v>2</v>
      </c>
      <c r="L2344" s="105" t="s">
        <v>343</v>
      </c>
      <c r="M2344" s="105" t="s">
        <v>403</v>
      </c>
      <c r="N2344" s="105" t="s">
        <v>404</v>
      </c>
      <c r="O2344" s="105" t="s">
        <v>232</v>
      </c>
      <c r="P2344" s="105" t="s">
        <v>346</v>
      </c>
      <c r="Q2344" s="494">
        <v>518</v>
      </c>
      <c r="R2344" s="494">
        <v>518</v>
      </c>
      <c r="S2344" s="494">
        <v>0</v>
      </c>
      <c r="T2344" s="494">
        <v>0</v>
      </c>
      <c r="U2344" s="494">
        <v>-32</v>
      </c>
      <c r="V2344" s="493">
        <v>2024</v>
      </c>
      <c r="W2344" s="495"/>
      <c r="X2344" s="496" t="str">
        <f t="shared" si="152"/>
        <v/>
      </c>
      <c r="Y2344" s="497" t="str">
        <f t="shared" si="153"/>
        <v/>
      </c>
      <c r="Z2344" s="497" t="str">
        <f t="shared" si="153"/>
        <v/>
      </c>
    </row>
    <row r="2345" spans="1:26" s="82" customFormat="1" ht="32" x14ac:dyDescent="0.4">
      <c r="A2345" s="493">
        <v>65054</v>
      </c>
      <c r="B2345" s="105" t="s">
        <v>329</v>
      </c>
      <c r="C2345" s="493" t="s">
        <v>330</v>
      </c>
      <c r="D2345" s="105" t="s">
        <v>2768</v>
      </c>
      <c r="E2345" s="105" t="s">
        <v>2769</v>
      </c>
      <c r="F2345" s="493">
        <v>64470</v>
      </c>
      <c r="G2345" s="105" t="s">
        <v>33</v>
      </c>
      <c r="H2345" s="105" t="s">
        <v>342</v>
      </c>
      <c r="I2345" s="105" t="s">
        <v>334</v>
      </c>
      <c r="J2345" s="493">
        <v>22</v>
      </c>
      <c r="K2345" s="493">
        <v>2</v>
      </c>
      <c r="L2345" s="105" t="s">
        <v>343</v>
      </c>
      <c r="M2345" s="105" t="s">
        <v>655</v>
      </c>
      <c r="N2345" s="105" t="s">
        <v>656</v>
      </c>
      <c r="O2345" s="105" t="s">
        <v>656</v>
      </c>
      <c r="P2345" s="105" t="s">
        <v>339</v>
      </c>
      <c r="Q2345" s="494">
        <v>0</v>
      </c>
      <c r="R2345" s="494">
        <v>0</v>
      </c>
      <c r="S2345" s="494">
        <v>8630</v>
      </c>
      <c r="T2345" s="494">
        <v>8630</v>
      </c>
      <c r="U2345" s="494">
        <v>2529</v>
      </c>
      <c r="V2345" s="493">
        <v>2024</v>
      </c>
      <c r="W2345" s="495"/>
      <c r="X2345" s="496">
        <f t="shared" si="152"/>
        <v>3.412415974693555</v>
      </c>
      <c r="Y2345" s="497" t="str">
        <f t="shared" si="153"/>
        <v/>
      </c>
      <c r="Z2345" s="497" t="str">
        <f t="shared" si="153"/>
        <v/>
      </c>
    </row>
    <row r="2346" spans="1:26" s="82" customFormat="1" ht="32" x14ac:dyDescent="0.4">
      <c r="A2346" s="493">
        <v>65055</v>
      </c>
      <c r="B2346" s="105" t="s">
        <v>329</v>
      </c>
      <c r="C2346" s="493" t="s">
        <v>330</v>
      </c>
      <c r="D2346" s="105" t="s">
        <v>2770</v>
      </c>
      <c r="E2346" s="105" t="s">
        <v>2771</v>
      </c>
      <c r="F2346" s="493">
        <v>64471</v>
      </c>
      <c r="G2346" s="105" t="s">
        <v>33</v>
      </c>
      <c r="H2346" s="105" t="s">
        <v>342</v>
      </c>
      <c r="I2346" s="105" t="s">
        <v>334</v>
      </c>
      <c r="J2346" s="493">
        <v>22</v>
      </c>
      <c r="K2346" s="493">
        <v>2</v>
      </c>
      <c r="L2346" s="105" t="s">
        <v>343</v>
      </c>
      <c r="M2346" s="105" t="s">
        <v>403</v>
      </c>
      <c r="N2346" s="105" t="s">
        <v>404</v>
      </c>
      <c r="O2346" s="105" t="s">
        <v>232</v>
      </c>
      <c r="P2346" s="105" t="s">
        <v>346</v>
      </c>
      <c r="Q2346" s="494">
        <v>414</v>
      </c>
      <c r="R2346" s="494">
        <v>414</v>
      </c>
      <c r="S2346" s="494">
        <v>0</v>
      </c>
      <c r="T2346" s="494">
        <v>0</v>
      </c>
      <c r="U2346" s="494">
        <v>-47</v>
      </c>
      <c r="V2346" s="493">
        <v>2024</v>
      </c>
      <c r="W2346" s="495"/>
      <c r="X2346" s="496" t="str">
        <f t="shared" si="152"/>
        <v/>
      </c>
      <c r="Y2346" s="497" t="str">
        <f t="shared" si="153"/>
        <v/>
      </c>
      <c r="Z2346" s="497" t="str">
        <f t="shared" si="153"/>
        <v/>
      </c>
    </row>
    <row r="2347" spans="1:26" s="82" customFormat="1" ht="32" x14ac:dyDescent="0.4">
      <c r="A2347" s="493">
        <v>65055</v>
      </c>
      <c r="B2347" s="105" t="s">
        <v>329</v>
      </c>
      <c r="C2347" s="493" t="s">
        <v>330</v>
      </c>
      <c r="D2347" s="105" t="s">
        <v>2770</v>
      </c>
      <c r="E2347" s="105" t="s">
        <v>2771</v>
      </c>
      <c r="F2347" s="493">
        <v>64471</v>
      </c>
      <c r="G2347" s="105" t="s">
        <v>33</v>
      </c>
      <c r="H2347" s="105" t="s">
        <v>342</v>
      </c>
      <c r="I2347" s="105" t="s">
        <v>334</v>
      </c>
      <c r="J2347" s="493">
        <v>22</v>
      </c>
      <c r="K2347" s="493">
        <v>2</v>
      </c>
      <c r="L2347" s="105" t="s">
        <v>343</v>
      </c>
      <c r="M2347" s="105" t="s">
        <v>655</v>
      </c>
      <c r="N2347" s="105" t="s">
        <v>656</v>
      </c>
      <c r="O2347" s="105" t="s">
        <v>656</v>
      </c>
      <c r="P2347" s="105" t="s">
        <v>339</v>
      </c>
      <c r="Q2347" s="494">
        <v>0</v>
      </c>
      <c r="R2347" s="494">
        <v>0</v>
      </c>
      <c r="S2347" s="494">
        <v>32065</v>
      </c>
      <c r="T2347" s="494">
        <v>32065</v>
      </c>
      <c r="U2347" s="494">
        <v>9398</v>
      </c>
      <c r="V2347" s="493">
        <v>2024</v>
      </c>
      <c r="W2347" s="495"/>
      <c r="X2347" s="496">
        <f t="shared" si="152"/>
        <v>3.4118961481166203</v>
      </c>
      <c r="Y2347" s="497" t="str">
        <f t="shared" si="153"/>
        <v/>
      </c>
      <c r="Z2347" s="497" t="str">
        <f t="shared" si="153"/>
        <v/>
      </c>
    </row>
    <row r="2348" spans="1:26" s="82" customFormat="1" ht="32" x14ac:dyDescent="0.4">
      <c r="A2348" s="493">
        <v>65056</v>
      </c>
      <c r="B2348" s="105" t="s">
        <v>329</v>
      </c>
      <c r="C2348" s="493" t="s">
        <v>330</v>
      </c>
      <c r="D2348" s="105" t="s">
        <v>2772</v>
      </c>
      <c r="E2348" s="105" t="s">
        <v>2773</v>
      </c>
      <c r="F2348" s="493">
        <v>64472</v>
      </c>
      <c r="G2348" s="105" t="s">
        <v>33</v>
      </c>
      <c r="H2348" s="105" t="s">
        <v>342</v>
      </c>
      <c r="I2348" s="105" t="s">
        <v>334</v>
      </c>
      <c r="J2348" s="493">
        <v>22</v>
      </c>
      <c r="K2348" s="493">
        <v>2</v>
      </c>
      <c r="L2348" s="105" t="s">
        <v>343</v>
      </c>
      <c r="M2348" s="105" t="s">
        <v>403</v>
      </c>
      <c r="N2348" s="105" t="s">
        <v>404</v>
      </c>
      <c r="O2348" s="105" t="s">
        <v>232</v>
      </c>
      <c r="P2348" s="105" t="s">
        <v>346</v>
      </c>
      <c r="Q2348" s="494">
        <v>536</v>
      </c>
      <c r="R2348" s="494">
        <v>536</v>
      </c>
      <c r="S2348" s="494">
        <v>0</v>
      </c>
      <c r="T2348" s="494">
        <v>0</v>
      </c>
      <c r="U2348" s="494">
        <v>-46</v>
      </c>
      <c r="V2348" s="493">
        <v>2024</v>
      </c>
      <c r="W2348" s="495"/>
      <c r="X2348" s="496" t="str">
        <f t="shared" si="152"/>
        <v/>
      </c>
      <c r="Y2348" s="497" t="str">
        <f t="shared" ref="Y2348:Z2367" si="154">IF(AND($M2348=$Y$2,$N2348=$Y$3,NOT($Q2348=$R2348),NOT($U2348=0)),IF($K2348=5,$S2348/($U2348+(8/5)*$U2348),IF($K2348=7,$S2348/($U2348+(29/25)*$U2348),"")),"")</f>
        <v/>
      </c>
      <c r="Z2348" s="497" t="str">
        <f t="shared" si="154"/>
        <v/>
      </c>
    </row>
    <row r="2349" spans="1:26" s="82" customFormat="1" ht="32" x14ac:dyDescent="0.4">
      <c r="A2349" s="493">
        <v>65056</v>
      </c>
      <c r="B2349" s="105" t="s">
        <v>329</v>
      </c>
      <c r="C2349" s="493" t="s">
        <v>330</v>
      </c>
      <c r="D2349" s="105" t="s">
        <v>2772</v>
      </c>
      <c r="E2349" s="105" t="s">
        <v>2773</v>
      </c>
      <c r="F2349" s="493">
        <v>64472</v>
      </c>
      <c r="G2349" s="105" t="s">
        <v>33</v>
      </c>
      <c r="H2349" s="105" t="s">
        <v>342</v>
      </c>
      <c r="I2349" s="105" t="s">
        <v>334</v>
      </c>
      <c r="J2349" s="493">
        <v>22</v>
      </c>
      <c r="K2349" s="493">
        <v>2</v>
      </c>
      <c r="L2349" s="105" t="s">
        <v>343</v>
      </c>
      <c r="M2349" s="105" t="s">
        <v>655</v>
      </c>
      <c r="N2349" s="105" t="s">
        <v>656</v>
      </c>
      <c r="O2349" s="105" t="s">
        <v>656</v>
      </c>
      <c r="P2349" s="105" t="s">
        <v>339</v>
      </c>
      <c r="Q2349" s="494">
        <v>0</v>
      </c>
      <c r="R2349" s="494">
        <v>0</v>
      </c>
      <c r="S2349" s="494">
        <v>33511</v>
      </c>
      <c r="T2349" s="494">
        <v>33511</v>
      </c>
      <c r="U2349" s="494">
        <v>9821</v>
      </c>
      <c r="V2349" s="493">
        <v>2024</v>
      </c>
      <c r="W2349" s="495"/>
      <c r="X2349" s="496">
        <f t="shared" si="152"/>
        <v>3.4121779859484778</v>
      </c>
      <c r="Y2349" s="497" t="str">
        <f t="shared" si="154"/>
        <v/>
      </c>
      <c r="Z2349" s="497" t="str">
        <f t="shared" si="154"/>
        <v/>
      </c>
    </row>
    <row r="2350" spans="1:26" s="82" customFormat="1" ht="32" x14ac:dyDescent="0.4">
      <c r="A2350" s="493">
        <v>65057</v>
      </c>
      <c r="B2350" s="105" t="s">
        <v>329</v>
      </c>
      <c r="C2350" s="493" t="s">
        <v>330</v>
      </c>
      <c r="D2350" s="105" t="s">
        <v>2774</v>
      </c>
      <c r="E2350" s="105" t="s">
        <v>2775</v>
      </c>
      <c r="F2350" s="493">
        <v>64473</v>
      </c>
      <c r="G2350" s="105" t="s">
        <v>33</v>
      </c>
      <c r="H2350" s="105" t="s">
        <v>342</v>
      </c>
      <c r="I2350" s="105" t="s">
        <v>334</v>
      </c>
      <c r="J2350" s="493">
        <v>22</v>
      </c>
      <c r="K2350" s="493">
        <v>2</v>
      </c>
      <c r="L2350" s="105" t="s">
        <v>343</v>
      </c>
      <c r="M2350" s="105" t="s">
        <v>403</v>
      </c>
      <c r="N2350" s="105" t="s">
        <v>404</v>
      </c>
      <c r="O2350" s="105" t="s">
        <v>232</v>
      </c>
      <c r="P2350" s="105" t="s">
        <v>346</v>
      </c>
      <c r="Q2350" s="494">
        <v>400</v>
      </c>
      <c r="R2350" s="494">
        <v>400</v>
      </c>
      <c r="S2350" s="494">
        <v>0</v>
      </c>
      <c r="T2350" s="494">
        <v>0</v>
      </c>
      <c r="U2350" s="494">
        <v>-43</v>
      </c>
      <c r="V2350" s="493">
        <v>2024</v>
      </c>
      <c r="W2350" s="495"/>
      <c r="X2350" s="496" t="str">
        <f t="shared" si="152"/>
        <v/>
      </c>
      <c r="Y2350" s="497" t="str">
        <f t="shared" si="154"/>
        <v/>
      </c>
      <c r="Z2350" s="497" t="str">
        <f t="shared" si="154"/>
        <v/>
      </c>
    </row>
    <row r="2351" spans="1:26" s="82" customFormat="1" ht="32" x14ac:dyDescent="0.4">
      <c r="A2351" s="493">
        <v>65057</v>
      </c>
      <c r="B2351" s="105" t="s">
        <v>329</v>
      </c>
      <c r="C2351" s="493" t="s">
        <v>330</v>
      </c>
      <c r="D2351" s="105" t="s">
        <v>2774</v>
      </c>
      <c r="E2351" s="105" t="s">
        <v>2775</v>
      </c>
      <c r="F2351" s="493">
        <v>64473</v>
      </c>
      <c r="G2351" s="105" t="s">
        <v>33</v>
      </c>
      <c r="H2351" s="105" t="s">
        <v>342</v>
      </c>
      <c r="I2351" s="105" t="s">
        <v>334</v>
      </c>
      <c r="J2351" s="493">
        <v>22</v>
      </c>
      <c r="K2351" s="493">
        <v>2</v>
      </c>
      <c r="L2351" s="105" t="s">
        <v>343</v>
      </c>
      <c r="M2351" s="105" t="s">
        <v>655</v>
      </c>
      <c r="N2351" s="105" t="s">
        <v>656</v>
      </c>
      <c r="O2351" s="105" t="s">
        <v>656</v>
      </c>
      <c r="P2351" s="105" t="s">
        <v>339</v>
      </c>
      <c r="Q2351" s="494">
        <v>0</v>
      </c>
      <c r="R2351" s="494">
        <v>0</v>
      </c>
      <c r="S2351" s="494">
        <v>19380</v>
      </c>
      <c r="T2351" s="494">
        <v>19380</v>
      </c>
      <c r="U2351" s="494">
        <v>5680</v>
      </c>
      <c r="V2351" s="493">
        <v>2024</v>
      </c>
      <c r="W2351" s="495"/>
      <c r="X2351" s="496">
        <f t="shared" si="152"/>
        <v>3.4119718309859155</v>
      </c>
      <c r="Y2351" s="497" t="str">
        <f t="shared" si="154"/>
        <v/>
      </c>
      <c r="Z2351" s="497" t="str">
        <f t="shared" si="154"/>
        <v/>
      </c>
    </row>
    <row r="2352" spans="1:26" s="82" customFormat="1" ht="32" x14ac:dyDescent="0.4">
      <c r="A2352" s="493">
        <v>65067</v>
      </c>
      <c r="B2352" s="105" t="s">
        <v>329</v>
      </c>
      <c r="C2352" s="493" t="s">
        <v>330</v>
      </c>
      <c r="D2352" s="105" t="s">
        <v>2776</v>
      </c>
      <c r="E2352" s="105" t="s">
        <v>2776</v>
      </c>
      <c r="F2352" s="493">
        <v>64484</v>
      </c>
      <c r="G2352" s="105" t="s">
        <v>52</v>
      </c>
      <c r="H2352" s="105" t="s">
        <v>333</v>
      </c>
      <c r="I2352" s="105" t="s">
        <v>334</v>
      </c>
      <c r="J2352" s="493">
        <v>22</v>
      </c>
      <c r="K2352" s="493">
        <v>2</v>
      </c>
      <c r="L2352" s="105" t="s">
        <v>343</v>
      </c>
      <c r="M2352" s="105" t="s">
        <v>655</v>
      </c>
      <c r="N2352" s="105" t="s">
        <v>656</v>
      </c>
      <c r="O2352" s="105" t="s">
        <v>656</v>
      </c>
      <c r="P2352" s="105" t="s">
        <v>339</v>
      </c>
      <c r="Q2352" s="494">
        <v>0</v>
      </c>
      <c r="R2352" s="494">
        <v>0</v>
      </c>
      <c r="S2352" s="494">
        <v>9799</v>
      </c>
      <c r="T2352" s="494">
        <v>9799</v>
      </c>
      <c r="U2352" s="494">
        <v>2872</v>
      </c>
      <c r="V2352" s="493">
        <v>2024</v>
      </c>
      <c r="W2352" s="495"/>
      <c r="X2352" s="496">
        <f t="shared" si="152"/>
        <v>3.4119080779944291</v>
      </c>
      <c r="Y2352" s="497" t="str">
        <f t="shared" si="154"/>
        <v/>
      </c>
      <c r="Z2352" s="497" t="str">
        <f t="shared" si="154"/>
        <v/>
      </c>
    </row>
    <row r="2353" spans="1:26" s="82" customFormat="1" ht="32" x14ac:dyDescent="0.4">
      <c r="A2353" s="493">
        <v>65071</v>
      </c>
      <c r="B2353" s="105" t="s">
        <v>329</v>
      </c>
      <c r="C2353" s="493" t="s">
        <v>330</v>
      </c>
      <c r="D2353" s="105" t="s">
        <v>2777</v>
      </c>
      <c r="E2353" s="105" t="s">
        <v>1393</v>
      </c>
      <c r="F2353" s="493">
        <v>57313</v>
      </c>
      <c r="G2353" s="105" t="s">
        <v>52</v>
      </c>
      <c r="H2353" s="105" t="s">
        <v>333</v>
      </c>
      <c r="I2353" s="105" t="s">
        <v>334</v>
      </c>
      <c r="J2353" s="493">
        <v>335</v>
      </c>
      <c r="K2353" s="493">
        <v>6</v>
      </c>
      <c r="L2353" s="105" t="s">
        <v>729</v>
      </c>
      <c r="M2353" s="105" t="s">
        <v>655</v>
      </c>
      <c r="N2353" s="105" t="s">
        <v>656</v>
      </c>
      <c r="O2353" s="105" t="s">
        <v>656</v>
      </c>
      <c r="P2353" s="105" t="s">
        <v>339</v>
      </c>
      <c r="Q2353" s="494">
        <v>0</v>
      </c>
      <c r="R2353" s="494">
        <v>0</v>
      </c>
      <c r="S2353" s="494">
        <v>4947</v>
      </c>
      <c r="T2353" s="494">
        <v>4947</v>
      </c>
      <c r="U2353" s="494">
        <v>1450</v>
      </c>
      <c r="V2353" s="493">
        <v>2024</v>
      </c>
      <c r="W2353" s="495"/>
      <c r="X2353" s="496" t="str">
        <f t="shared" si="152"/>
        <v/>
      </c>
      <c r="Y2353" s="497" t="str">
        <f t="shared" si="154"/>
        <v/>
      </c>
      <c r="Z2353" s="497" t="str">
        <f t="shared" si="154"/>
        <v/>
      </c>
    </row>
    <row r="2354" spans="1:26" s="82" customFormat="1" ht="32" x14ac:dyDescent="0.4">
      <c r="A2354" s="493">
        <v>65083</v>
      </c>
      <c r="B2354" s="105" t="s">
        <v>329</v>
      </c>
      <c r="C2354" s="493" t="s">
        <v>330</v>
      </c>
      <c r="D2354" s="105" t="s">
        <v>2778</v>
      </c>
      <c r="E2354" s="105" t="s">
        <v>1441</v>
      </c>
      <c r="F2354" s="493">
        <v>59254</v>
      </c>
      <c r="G2354" s="105" t="s">
        <v>33</v>
      </c>
      <c r="H2354" s="105" t="s">
        <v>342</v>
      </c>
      <c r="I2354" s="105" t="s">
        <v>334</v>
      </c>
      <c r="J2354" s="493">
        <v>22</v>
      </c>
      <c r="K2354" s="493">
        <v>2</v>
      </c>
      <c r="L2354" s="105" t="s">
        <v>343</v>
      </c>
      <c r="M2354" s="105" t="s">
        <v>655</v>
      </c>
      <c r="N2354" s="105" t="s">
        <v>656</v>
      </c>
      <c r="O2354" s="105" t="s">
        <v>656</v>
      </c>
      <c r="P2354" s="105" t="s">
        <v>339</v>
      </c>
      <c r="Q2354" s="494">
        <v>0</v>
      </c>
      <c r="R2354" s="494">
        <v>0</v>
      </c>
      <c r="S2354" s="494">
        <v>13250</v>
      </c>
      <c r="T2354" s="494">
        <v>13250</v>
      </c>
      <c r="U2354" s="494">
        <v>3883</v>
      </c>
      <c r="V2354" s="493">
        <v>2024</v>
      </c>
      <c r="W2354" s="495"/>
      <c r="X2354" s="496">
        <f t="shared" si="152"/>
        <v>3.4123100695338655</v>
      </c>
      <c r="Y2354" s="497" t="str">
        <f t="shared" si="154"/>
        <v/>
      </c>
      <c r="Z2354" s="497" t="str">
        <f t="shared" si="154"/>
        <v/>
      </c>
    </row>
    <row r="2355" spans="1:26" s="82" customFormat="1" ht="32" x14ac:dyDescent="0.4">
      <c r="A2355" s="493">
        <v>65085</v>
      </c>
      <c r="B2355" s="105" t="s">
        <v>329</v>
      </c>
      <c r="C2355" s="493" t="s">
        <v>330</v>
      </c>
      <c r="D2355" s="105" t="s">
        <v>2779</v>
      </c>
      <c r="E2355" s="105" t="s">
        <v>1441</v>
      </c>
      <c r="F2355" s="493">
        <v>59254</v>
      </c>
      <c r="G2355" s="105" t="s">
        <v>33</v>
      </c>
      <c r="H2355" s="105" t="s">
        <v>342</v>
      </c>
      <c r="I2355" s="105" t="s">
        <v>334</v>
      </c>
      <c r="J2355" s="493">
        <v>22</v>
      </c>
      <c r="K2355" s="493">
        <v>2</v>
      </c>
      <c r="L2355" s="105" t="s">
        <v>343</v>
      </c>
      <c r="M2355" s="105" t="s">
        <v>655</v>
      </c>
      <c r="N2355" s="105" t="s">
        <v>656</v>
      </c>
      <c r="O2355" s="105" t="s">
        <v>656</v>
      </c>
      <c r="P2355" s="105" t="s">
        <v>339</v>
      </c>
      <c r="Q2355" s="494">
        <v>0</v>
      </c>
      <c r="R2355" s="494">
        <v>0</v>
      </c>
      <c r="S2355" s="494">
        <v>15913</v>
      </c>
      <c r="T2355" s="494">
        <v>15913</v>
      </c>
      <c r="U2355" s="494">
        <v>4664</v>
      </c>
      <c r="V2355" s="493">
        <v>2024</v>
      </c>
      <c r="W2355" s="495"/>
      <c r="X2355" s="496">
        <f t="shared" si="152"/>
        <v>3.4118782161234993</v>
      </c>
      <c r="Y2355" s="497" t="str">
        <f t="shared" si="154"/>
        <v/>
      </c>
      <c r="Z2355" s="497" t="str">
        <f t="shared" si="154"/>
        <v/>
      </c>
    </row>
    <row r="2356" spans="1:26" s="82" customFormat="1" x14ac:dyDescent="0.4">
      <c r="A2356" s="493">
        <v>65090</v>
      </c>
      <c r="B2356" s="105" t="s">
        <v>329</v>
      </c>
      <c r="C2356" s="493" t="s">
        <v>330</v>
      </c>
      <c r="D2356" s="105" t="s">
        <v>2780</v>
      </c>
      <c r="E2356" s="105" t="s">
        <v>2781</v>
      </c>
      <c r="F2356" s="493">
        <v>65752</v>
      </c>
      <c r="G2356" s="105" t="s">
        <v>52</v>
      </c>
      <c r="H2356" s="105" t="s">
        <v>333</v>
      </c>
      <c r="I2356" s="105" t="s">
        <v>334</v>
      </c>
      <c r="J2356" s="493">
        <v>22</v>
      </c>
      <c r="K2356" s="493">
        <v>2</v>
      </c>
      <c r="L2356" s="105" t="s">
        <v>343</v>
      </c>
      <c r="M2356" s="105" t="s">
        <v>655</v>
      </c>
      <c r="N2356" s="105" t="s">
        <v>656</v>
      </c>
      <c r="O2356" s="105" t="s">
        <v>656</v>
      </c>
      <c r="P2356" s="105" t="s">
        <v>339</v>
      </c>
      <c r="Q2356" s="494">
        <v>0</v>
      </c>
      <c r="R2356" s="494">
        <v>0</v>
      </c>
      <c r="S2356" s="494">
        <v>23564</v>
      </c>
      <c r="T2356" s="494">
        <v>23564</v>
      </c>
      <c r="U2356" s="494">
        <v>6906</v>
      </c>
      <c r="V2356" s="493">
        <v>2024</v>
      </c>
      <c r="W2356" s="495"/>
      <c r="X2356" s="496">
        <f t="shared" si="152"/>
        <v>3.4121054155806547</v>
      </c>
      <c r="Y2356" s="497" t="str">
        <f t="shared" si="154"/>
        <v/>
      </c>
      <c r="Z2356" s="497" t="str">
        <f t="shared" si="154"/>
        <v/>
      </c>
    </row>
    <row r="2357" spans="1:26" s="82" customFormat="1" ht="48" x14ac:dyDescent="0.4">
      <c r="A2357" s="493">
        <v>65092</v>
      </c>
      <c r="B2357" s="105" t="s">
        <v>329</v>
      </c>
      <c r="C2357" s="493" t="s">
        <v>330</v>
      </c>
      <c r="D2357" s="105" t="s">
        <v>2782</v>
      </c>
      <c r="E2357" s="105" t="s">
        <v>1354</v>
      </c>
      <c r="F2357" s="493">
        <v>60025</v>
      </c>
      <c r="G2357" s="105" t="s">
        <v>33</v>
      </c>
      <c r="H2357" s="105" t="s">
        <v>342</v>
      </c>
      <c r="I2357" s="105" t="s">
        <v>334</v>
      </c>
      <c r="J2357" s="493">
        <v>22</v>
      </c>
      <c r="K2357" s="493">
        <v>2</v>
      </c>
      <c r="L2357" s="105" t="s">
        <v>343</v>
      </c>
      <c r="M2357" s="105" t="s">
        <v>655</v>
      </c>
      <c r="N2357" s="105" t="s">
        <v>656</v>
      </c>
      <c r="O2357" s="105" t="s">
        <v>656</v>
      </c>
      <c r="P2357" s="105" t="s">
        <v>339</v>
      </c>
      <c r="Q2357" s="494">
        <v>0</v>
      </c>
      <c r="R2357" s="494">
        <v>0</v>
      </c>
      <c r="S2357" s="494">
        <v>5037</v>
      </c>
      <c r="T2357" s="494">
        <v>5037</v>
      </c>
      <c r="U2357" s="494">
        <v>1476</v>
      </c>
      <c r="V2357" s="493">
        <v>2024</v>
      </c>
      <c r="W2357" s="495"/>
      <c r="X2357" s="496">
        <f t="shared" si="152"/>
        <v>3.4126016260162602</v>
      </c>
      <c r="Y2357" s="497" t="str">
        <f t="shared" si="154"/>
        <v/>
      </c>
      <c r="Z2357" s="497" t="str">
        <f t="shared" si="154"/>
        <v/>
      </c>
    </row>
    <row r="2358" spans="1:26" s="82" customFormat="1" ht="48" x14ac:dyDescent="0.4">
      <c r="A2358" s="493">
        <v>65093</v>
      </c>
      <c r="B2358" s="105" t="s">
        <v>329</v>
      </c>
      <c r="C2358" s="493" t="s">
        <v>330</v>
      </c>
      <c r="D2358" s="105" t="s">
        <v>2783</v>
      </c>
      <c r="E2358" s="105" t="s">
        <v>1354</v>
      </c>
      <c r="F2358" s="493">
        <v>60025</v>
      </c>
      <c r="G2358" s="105" t="s">
        <v>33</v>
      </c>
      <c r="H2358" s="105" t="s">
        <v>342</v>
      </c>
      <c r="I2358" s="105" t="s">
        <v>334</v>
      </c>
      <c r="J2358" s="493">
        <v>22</v>
      </c>
      <c r="K2358" s="493">
        <v>2</v>
      </c>
      <c r="L2358" s="105" t="s">
        <v>343</v>
      </c>
      <c r="M2358" s="105" t="s">
        <v>655</v>
      </c>
      <c r="N2358" s="105" t="s">
        <v>656</v>
      </c>
      <c r="O2358" s="105" t="s">
        <v>656</v>
      </c>
      <c r="P2358" s="105" t="s">
        <v>339</v>
      </c>
      <c r="Q2358" s="494">
        <v>0</v>
      </c>
      <c r="R2358" s="494">
        <v>0</v>
      </c>
      <c r="S2358" s="494">
        <v>5279</v>
      </c>
      <c r="T2358" s="494">
        <v>5279</v>
      </c>
      <c r="U2358" s="494">
        <v>1547</v>
      </c>
      <c r="V2358" s="493">
        <v>2024</v>
      </c>
      <c r="W2358" s="495"/>
      <c r="X2358" s="496">
        <f t="shared" si="152"/>
        <v>3.4124111182934711</v>
      </c>
      <c r="Y2358" s="497" t="str">
        <f t="shared" si="154"/>
        <v/>
      </c>
      <c r="Z2358" s="497" t="str">
        <f t="shared" si="154"/>
        <v/>
      </c>
    </row>
    <row r="2359" spans="1:26" s="82" customFormat="1" ht="32" x14ac:dyDescent="0.4">
      <c r="A2359" s="493">
        <v>65109</v>
      </c>
      <c r="B2359" s="105" t="s">
        <v>329</v>
      </c>
      <c r="C2359" s="493" t="s">
        <v>330</v>
      </c>
      <c r="D2359" s="105" t="s">
        <v>2784</v>
      </c>
      <c r="E2359" s="105" t="s">
        <v>2785</v>
      </c>
      <c r="F2359" s="493">
        <v>64507</v>
      </c>
      <c r="G2359" s="105" t="s">
        <v>37</v>
      </c>
      <c r="H2359" s="105" t="s">
        <v>342</v>
      </c>
      <c r="I2359" s="105" t="s">
        <v>334</v>
      </c>
      <c r="J2359" s="493">
        <v>22</v>
      </c>
      <c r="K2359" s="493">
        <v>2</v>
      </c>
      <c r="L2359" s="105" t="s">
        <v>343</v>
      </c>
      <c r="M2359" s="105" t="s">
        <v>655</v>
      </c>
      <c r="N2359" s="105" t="s">
        <v>656</v>
      </c>
      <c r="O2359" s="105" t="s">
        <v>656</v>
      </c>
      <c r="P2359" s="105" t="s">
        <v>339</v>
      </c>
      <c r="Q2359" s="494">
        <v>0</v>
      </c>
      <c r="R2359" s="494">
        <v>0</v>
      </c>
      <c r="S2359" s="494">
        <v>8577</v>
      </c>
      <c r="T2359" s="494">
        <v>8577</v>
      </c>
      <c r="U2359" s="494">
        <v>2514</v>
      </c>
      <c r="V2359" s="493">
        <v>2024</v>
      </c>
      <c r="W2359" s="495"/>
      <c r="X2359" s="496">
        <f t="shared" si="152"/>
        <v>3.4116945107398569</v>
      </c>
      <c r="Y2359" s="497" t="str">
        <f t="shared" si="154"/>
        <v/>
      </c>
      <c r="Z2359" s="497" t="str">
        <f t="shared" si="154"/>
        <v/>
      </c>
    </row>
    <row r="2360" spans="1:26" s="82" customFormat="1" ht="32" x14ac:dyDescent="0.4">
      <c r="A2360" s="493">
        <v>65112</v>
      </c>
      <c r="B2360" s="105" t="s">
        <v>329</v>
      </c>
      <c r="C2360" s="493" t="s">
        <v>330</v>
      </c>
      <c r="D2360" s="105" t="s">
        <v>2786</v>
      </c>
      <c r="E2360" s="105" t="s">
        <v>2787</v>
      </c>
      <c r="F2360" s="493">
        <v>64500</v>
      </c>
      <c r="G2360" s="105" t="s">
        <v>34</v>
      </c>
      <c r="H2360" s="105" t="s">
        <v>342</v>
      </c>
      <c r="I2360" s="105" t="s">
        <v>334</v>
      </c>
      <c r="J2360" s="493">
        <v>22</v>
      </c>
      <c r="K2360" s="493">
        <v>2</v>
      </c>
      <c r="L2360" s="105" t="s">
        <v>343</v>
      </c>
      <c r="M2360" s="105" t="s">
        <v>655</v>
      </c>
      <c r="N2360" s="105" t="s">
        <v>656</v>
      </c>
      <c r="O2360" s="105" t="s">
        <v>656</v>
      </c>
      <c r="P2360" s="105" t="s">
        <v>339</v>
      </c>
      <c r="Q2360" s="494">
        <v>0</v>
      </c>
      <c r="R2360" s="494">
        <v>0</v>
      </c>
      <c r="S2360" s="494">
        <v>27827</v>
      </c>
      <c r="T2360" s="494">
        <v>27827</v>
      </c>
      <c r="U2360" s="494">
        <v>8155</v>
      </c>
      <c r="V2360" s="493">
        <v>2024</v>
      </c>
      <c r="W2360" s="495"/>
      <c r="X2360" s="496">
        <f t="shared" si="152"/>
        <v>3.4122624156958921</v>
      </c>
      <c r="Y2360" s="497" t="str">
        <f t="shared" si="154"/>
        <v/>
      </c>
      <c r="Z2360" s="497" t="str">
        <f t="shared" si="154"/>
        <v/>
      </c>
    </row>
    <row r="2361" spans="1:26" s="82" customFormat="1" ht="32" x14ac:dyDescent="0.4">
      <c r="A2361" s="493">
        <v>65114</v>
      </c>
      <c r="B2361" s="105" t="s">
        <v>329</v>
      </c>
      <c r="C2361" s="493" t="s">
        <v>330</v>
      </c>
      <c r="D2361" s="105" t="s">
        <v>2788</v>
      </c>
      <c r="E2361" s="105" t="s">
        <v>2789</v>
      </c>
      <c r="F2361" s="493">
        <v>64420</v>
      </c>
      <c r="G2361" s="105" t="s">
        <v>33</v>
      </c>
      <c r="H2361" s="105" t="s">
        <v>342</v>
      </c>
      <c r="I2361" s="105" t="s">
        <v>334</v>
      </c>
      <c r="J2361" s="493">
        <v>22</v>
      </c>
      <c r="K2361" s="493">
        <v>2</v>
      </c>
      <c r="L2361" s="105" t="s">
        <v>343</v>
      </c>
      <c r="M2361" s="105" t="s">
        <v>403</v>
      </c>
      <c r="N2361" s="105" t="s">
        <v>404</v>
      </c>
      <c r="O2361" s="105" t="s">
        <v>232</v>
      </c>
      <c r="P2361" s="105" t="s">
        <v>346</v>
      </c>
      <c r="Q2361" s="494">
        <v>537</v>
      </c>
      <c r="R2361" s="494">
        <v>537</v>
      </c>
      <c r="S2361" s="494">
        <v>0</v>
      </c>
      <c r="T2361" s="494">
        <v>0</v>
      </c>
      <c r="U2361" s="494">
        <v>-46</v>
      </c>
      <c r="V2361" s="493">
        <v>2024</v>
      </c>
      <c r="W2361" s="495"/>
      <c r="X2361" s="496" t="str">
        <f t="shared" si="152"/>
        <v/>
      </c>
      <c r="Y2361" s="497" t="str">
        <f t="shared" si="154"/>
        <v/>
      </c>
      <c r="Z2361" s="497" t="str">
        <f t="shared" si="154"/>
        <v/>
      </c>
    </row>
    <row r="2362" spans="1:26" s="82" customFormat="1" ht="32" x14ac:dyDescent="0.4">
      <c r="A2362" s="493">
        <v>65114</v>
      </c>
      <c r="B2362" s="105" t="s">
        <v>329</v>
      </c>
      <c r="C2362" s="493" t="s">
        <v>330</v>
      </c>
      <c r="D2362" s="105" t="s">
        <v>2788</v>
      </c>
      <c r="E2362" s="105" t="s">
        <v>2789</v>
      </c>
      <c r="F2362" s="493">
        <v>64420</v>
      </c>
      <c r="G2362" s="105" t="s">
        <v>33</v>
      </c>
      <c r="H2362" s="105" t="s">
        <v>342</v>
      </c>
      <c r="I2362" s="105" t="s">
        <v>334</v>
      </c>
      <c r="J2362" s="493">
        <v>22</v>
      </c>
      <c r="K2362" s="493">
        <v>2</v>
      </c>
      <c r="L2362" s="105" t="s">
        <v>343</v>
      </c>
      <c r="M2362" s="105" t="s">
        <v>655</v>
      </c>
      <c r="N2362" s="105" t="s">
        <v>656</v>
      </c>
      <c r="O2362" s="105" t="s">
        <v>656</v>
      </c>
      <c r="P2362" s="105" t="s">
        <v>339</v>
      </c>
      <c r="Q2362" s="494">
        <v>0</v>
      </c>
      <c r="R2362" s="494">
        <v>0</v>
      </c>
      <c r="S2362" s="494">
        <v>14397</v>
      </c>
      <c r="T2362" s="494">
        <v>14397</v>
      </c>
      <c r="U2362" s="494">
        <v>4219</v>
      </c>
      <c r="V2362" s="493">
        <v>2024</v>
      </c>
      <c r="W2362" s="495"/>
      <c r="X2362" s="496">
        <f t="shared" si="152"/>
        <v>3.41242000474046</v>
      </c>
      <c r="Y2362" s="497" t="str">
        <f t="shared" si="154"/>
        <v/>
      </c>
      <c r="Z2362" s="497" t="str">
        <f t="shared" si="154"/>
        <v/>
      </c>
    </row>
    <row r="2363" spans="1:26" s="82" customFormat="1" x14ac:dyDescent="0.4">
      <c r="A2363" s="493">
        <v>65121</v>
      </c>
      <c r="B2363" s="105" t="s">
        <v>329</v>
      </c>
      <c r="C2363" s="493" t="s">
        <v>330</v>
      </c>
      <c r="D2363" s="105" t="s">
        <v>2790</v>
      </c>
      <c r="E2363" s="105" t="s">
        <v>1383</v>
      </c>
      <c r="F2363" s="493">
        <v>61944</v>
      </c>
      <c r="G2363" s="105" t="s">
        <v>52</v>
      </c>
      <c r="H2363" s="105" t="s">
        <v>333</v>
      </c>
      <c r="I2363" s="105" t="s">
        <v>334</v>
      </c>
      <c r="J2363" s="493">
        <v>22</v>
      </c>
      <c r="K2363" s="493">
        <v>2</v>
      </c>
      <c r="L2363" s="105" t="s">
        <v>343</v>
      </c>
      <c r="M2363" s="105" t="s">
        <v>655</v>
      </c>
      <c r="N2363" s="105" t="s">
        <v>656</v>
      </c>
      <c r="O2363" s="105" t="s">
        <v>656</v>
      </c>
      <c r="P2363" s="105" t="s">
        <v>339</v>
      </c>
      <c r="Q2363" s="494">
        <v>0</v>
      </c>
      <c r="R2363" s="494">
        <v>0</v>
      </c>
      <c r="S2363" s="494">
        <v>83229</v>
      </c>
      <c r="T2363" s="494">
        <v>83229</v>
      </c>
      <c r="U2363" s="494">
        <v>24393</v>
      </c>
      <c r="V2363" s="493">
        <v>2024</v>
      </c>
      <c r="W2363" s="495"/>
      <c r="X2363" s="496">
        <f t="shared" si="152"/>
        <v>3.4120034436108719</v>
      </c>
      <c r="Y2363" s="497" t="str">
        <f t="shared" si="154"/>
        <v/>
      </c>
      <c r="Z2363" s="497" t="str">
        <f t="shared" si="154"/>
        <v/>
      </c>
    </row>
    <row r="2364" spans="1:26" s="82" customFormat="1" x14ac:dyDescent="0.4">
      <c r="A2364" s="493">
        <v>65122</v>
      </c>
      <c r="B2364" s="105" t="s">
        <v>329</v>
      </c>
      <c r="C2364" s="493" t="s">
        <v>330</v>
      </c>
      <c r="D2364" s="105" t="s">
        <v>2791</v>
      </c>
      <c r="E2364" s="105" t="s">
        <v>1383</v>
      </c>
      <c r="F2364" s="493">
        <v>61944</v>
      </c>
      <c r="G2364" s="105" t="s">
        <v>52</v>
      </c>
      <c r="H2364" s="105" t="s">
        <v>333</v>
      </c>
      <c r="I2364" s="105" t="s">
        <v>334</v>
      </c>
      <c r="J2364" s="493">
        <v>22</v>
      </c>
      <c r="K2364" s="493">
        <v>2</v>
      </c>
      <c r="L2364" s="105" t="s">
        <v>343</v>
      </c>
      <c r="M2364" s="105" t="s">
        <v>655</v>
      </c>
      <c r="N2364" s="105" t="s">
        <v>656</v>
      </c>
      <c r="O2364" s="105" t="s">
        <v>656</v>
      </c>
      <c r="P2364" s="105" t="s">
        <v>339</v>
      </c>
      <c r="Q2364" s="494">
        <v>0</v>
      </c>
      <c r="R2364" s="494">
        <v>0</v>
      </c>
      <c r="S2364" s="494">
        <v>108532</v>
      </c>
      <c r="T2364" s="494">
        <v>108532</v>
      </c>
      <c r="U2364" s="494">
        <v>31809</v>
      </c>
      <c r="V2364" s="493">
        <v>2024</v>
      </c>
      <c r="W2364" s="495"/>
      <c r="X2364" s="496">
        <f t="shared" si="152"/>
        <v>3.4119903172058224</v>
      </c>
      <c r="Y2364" s="497" t="str">
        <f t="shared" si="154"/>
        <v/>
      </c>
      <c r="Z2364" s="497" t="str">
        <f t="shared" si="154"/>
        <v/>
      </c>
    </row>
    <row r="2365" spans="1:26" s="82" customFormat="1" x14ac:dyDescent="0.4">
      <c r="A2365" s="493">
        <v>65123</v>
      </c>
      <c r="B2365" s="105" t="s">
        <v>329</v>
      </c>
      <c r="C2365" s="493" t="s">
        <v>330</v>
      </c>
      <c r="D2365" s="105" t="s">
        <v>2792</v>
      </c>
      <c r="E2365" s="105" t="s">
        <v>1383</v>
      </c>
      <c r="F2365" s="493">
        <v>61944</v>
      </c>
      <c r="G2365" s="105" t="s">
        <v>52</v>
      </c>
      <c r="H2365" s="105" t="s">
        <v>333</v>
      </c>
      <c r="I2365" s="105" t="s">
        <v>334</v>
      </c>
      <c r="J2365" s="493">
        <v>22</v>
      </c>
      <c r="K2365" s="493">
        <v>2</v>
      </c>
      <c r="L2365" s="105" t="s">
        <v>343</v>
      </c>
      <c r="M2365" s="105" t="s">
        <v>655</v>
      </c>
      <c r="N2365" s="105" t="s">
        <v>656</v>
      </c>
      <c r="O2365" s="105" t="s">
        <v>656</v>
      </c>
      <c r="P2365" s="105" t="s">
        <v>339</v>
      </c>
      <c r="Q2365" s="494">
        <v>0</v>
      </c>
      <c r="R2365" s="494">
        <v>0</v>
      </c>
      <c r="S2365" s="494">
        <v>109801</v>
      </c>
      <c r="T2365" s="494">
        <v>109801</v>
      </c>
      <c r="U2365" s="494">
        <v>32181</v>
      </c>
      <c r="V2365" s="493">
        <v>2024</v>
      </c>
      <c r="W2365" s="495"/>
      <c r="X2365" s="496">
        <f t="shared" si="152"/>
        <v>3.4119822255368075</v>
      </c>
      <c r="Y2365" s="497" t="str">
        <f t="shared" si="154"/>
        <v/>
      </c>
      <c r="Z2365" s="497" t="str">
        <f t="shared" si="154"/>
        <v/>
      </c>
    </row>
    <row r="2366" spans="1:26" s="82" customFormat="1" x14ac:dyDescent="0.4">
      <c r="A2366" s="493">
        <v>65124</v>
      </c>
      <c r="B2366" s="105" t="s">
        <v>329</v>
      </c>
      <c r="C2366" s="493" t="s">
        <v>330</v>
      </c>
      <c r="D2366" s="105" t="s">
        <v>2793</v>
      </c>
      <c r="E2366" s="105" t="s">
        <v>1383</v>
      </c>
      <c r="F2366" s="493">
        <v>61944</v>
      </c>
      <c r="G2366" s="105" t="s">
        <v>52</v>
      </c>
      <c r="H2366" s="105" t="s">
        <v>333</v>
      </c>
      <c r="I2366" s="105" t="s">
        <v>334</v>
      </c>
      <c r="J2366" s="493">
        <v>22</v>
      </c>
      <c r="K2366" s="493">
        <v>2</v>
      </c>
      <c r="L2366" s="105" t="s">
        <v>343</v>
      </c>
      <c r="M2366" s="105" t="s">
        <v>655</v>
      </c>
      <c r="N2366" s="105" t="s">
        <v>656</v>
      </c>
      <c r="O2366" s="105" t="s">
        <v>656</v>
      </c>
      <c r="P2366" s="105" t="s">
        <v>339</v>
      </c>
      <c r="Q2366" s="494">
        <v>0</v>
      </c>
      <c r="R2366" s="494">
        <v>0</v>
      </c>
      <c r="S2366" s="494">
        <v>106830</v>
      </c>
      <c r="T2366" s="494">
        <v>106830</v>
      </c>
      <c r="U2366" s="494">
        <v>31310</v>
      </c>
      <c r="V2366" s="493">
        <v>2024</v>
      </c>
      <c r="W2366" s="495"/>
      <c r="X2366" s="496">
        <f t="shared" si="152"/>
        <v>3.4120089428297669</v>
      </c>
      <c r="Y2366" s="497" t="str">
        <f t="shared" si="154"/>
        <v/>
      </c>
      <c r="Z2366" s="497" t="str">
        <f t="shared" si="154"/>
        <v/>
      </c>
    </row>
    <row r="2367" spans="1:26" s="82" customFormat="1" x14ac:dyDescent="0.4">
      <c r="A2367" s="493">
        <v>65125</v>
      </c>
      <c r="B2367" s="105" t="s">
        <v>329</v>
      </c>
      <c r="C2367" s="493" t="s">
        <v>330</v>
      </c>
      <c r="D2367" s="105" t="s">
        <v>2794</v>
      </c>
      <c r="E2367" s="105" t="s">
        <v>1383</v>
      </c>
      <c r="F2367" s="493">
        <v>61944</v>
      </c>
      <c r="G2367" s="105" t="s">
        <v>52</v>
      </c>
      <c r="H2367" s="105" t="s">
        <v>333</v>
      </c>
      <c r="I2367" s="105" t="s">
        <v>334</v>
      </c>
      <c r="J2367" s="493">
        <v>22</v>
      </c>
      <c r="K2367" s="493">
        <v>2</v>
      </c>
      <c r="L2367" s="105" t="s">
        <v>343</v>
      </c>
      <c r="M2367" s="105" t="s">
        <v>655</v>
      </c>
      <c r="N2367" s="105" t="s">
        <v>656</v>
      </c>
      <c r="O2367" s="105" t="s">
        <v>656</v>
      </c>
      <c r="P2367" s="105" t="s">
        <v>339</v>
      </c>
      <c r="Q2367" s="494">
        <v>0</v>
      </c>
      <c r="R2367" s="494">
        <v>0</v>
      </c>
      <c r="S2367" s="494">
        <v>107333</v>
      </c>
      <c r="T2367" s="494">
        <v>107333</v>
      </c>
      <c r="U2367" s="494">
        <v>31457</v>
      </c>
      <c r="V2367" s="493">
        <v>2024</v>
      </c>
      <c r="W2367" s="495"/>
      <c r="X2367" s="496">
        <f t="shared" si="152"/>
        <v>3.4120545506564515</v>
      </c>
      <c r="Y2367" s="497" t="str">
        <f t="shared" si="154"/>
        <v/>
      </c>
      <c r="Z2367" s="497" t="str">
        <f t="shared" si="154"/>
        <v/>
      </c>
    </row>
    <row r="2368" spans="1:26" s="82" customFormat="1" ht="48" x14ac:dyDescent="0.4">
      <c r="A2368" s="493">
        <v>65135</v>
      </c>
      <c r="B2368" s="105" t="s">
        <v>329</v>
      </c>
      <c r="C2368" s="493" t="s">
        <v>330</v>
      </c>
      <c r="D2368" s="105" t="s">
        <v>2795</v>
      </c>
      <c r="E2368" s="105" t="s">
        <v>1354</v>
      </c>
      <c r="F2368" s="493">
        <v>60025</v>
      </c>
      <c r="G2368" s="105" t="s">
        <v>36</v>
      </c>
      <c r="H2368" s="105" t="s">
        <v>342</v>
      </c>
      <c r="I2368" s="105" t="s">
        <v>334</v>
      </c>
      <c r="J2368" s="493">
        <v>22</v>
      </c>
      <c r="K2368" s="493">
        <v>2</v>
      </c>
      <c r="L2368" s="105" t="s">
        <v>343</v>
      </c>
      <c r="M2368" s="105" t="s">
        <v>655</v>
      </c>
      <c r="N2368" s="105" t="s">
        <v>656</v>
      </c>
      <c r="O2368" s="105" t="s">
        <v>656</v>
      </c>
      <c r="P2368" s="105" t="s">
        <v>339</v>
      </c>
      <c r="Q2368" s="494">
        <v>0</v>
      </c>
      <c r="R2368" s="494">
        <v>0</v>
      </c>
      <c r="S2368" s="494">
        <v>6551</v>
      </c>
      <c r="T2368" s="494">
        <v>6551</v>
      </c>
      <c r="U2368" s="494">
        <v>1920</v>
      </c>
      <c r="V2368" s="493">
        <v>2024</v>
      </c>
      <c r="W2368" s="495"/>
      <c r="X2368" s="496">
        <f t="shared" si="152"/>
        <v>3.4119791666666668</v>
      </c>
      <c r="Y2368" s="497" t="str">
        <f t="shared" ref="Y2368:Z2387" si="155">IF(AND($M2368=$Y$2,$N2368=$Y$3,NOT($Q2368=$R2368),NOT($U2368=0)),IF($K2368=5,$S2368/($U2368+(8/5)*$U2368),IF($K2368=7,$S2368/($U2368+(29/25)*$U2368),"")),"")</f>
        <v/>
      </c>
      <c r="Z2368" s="497" t="str">
        <f t="shared" si="155"/>
        <v/>
      </c>
    </row>
    <row r="2369" spans="1:26" s="82" customFormat="1" ht="32" x14ac:dyDescent="0.4">
      <c r="A2369" s="493">
        <v>65142</v>
      </c>
      <c r="B2369" s="105" t="s">
        <v>329</v>
      </c>
      <c r="C2369" s="493" t="s">
        <v>330</v>
      </c>
      <c r="D2369" s="105" t="s">
        <v>2796</v>
      </c>
      <c r="E2369" s="105" t="s">
        <v>1441</v>
      </c>
      <c r="F2369" s="493">
        <v>59254</v>
      </c>
      <c r="G2369" s="105" t="s">
        <v>38</v>
      </c>
      <c r="H2369" s="105" t="s">
        <v>342</v>
      </c>
      <c r="I2369" s="105" t="s">
        <v>334</v>
      </c>
      <c r="J2369" s="493">
        <v>22</v>
      </c>
      <c r="K2369" s="493">
        <v>2</v>
      </c>
      <c r="L2369" s="105" t="s">
        <v>343</v>
      </c>
      <c r="M2369" s="105" t="s">
        <v>655</v>
      </c>
      <c r="N2369" s="105" t="s">
        <v>656</v>
      </c>
      <c r="O2369" s="105" t="s">
        <v>656</v>
      </c>
      <c r="P2369" s="105" t="s">
        <v>339</v>
      </c>
      <c r="Q2369" s="494">
        <v>0</v>
      </c>
      <c r="R2369" s="494">
        <v>0</v>
      </c>
      <c r="S2369" s="494">
        <v>26900</v>
      </c>
      <c r="T2369" s="494">
        <v>26900</v>
      </c>
      <c r="U2369" s="494">
        <v>7884</v>
      </c>
      <c r="V2369" s="493">
        <v>2024</v>
      </c>
      <c r="W2369" s="495"/>
      <c r="X2369" s="496">
        <f t="shared" si="152"/>
        <v>3.4119736174530697</v>
      </c>
      <c r="Y2369" s="497" t="str">
        <f t="shared" si="155"/>
        <v/>
      </c>
      <c r="Z2369" s="497" t="str">
        <f t="shared" si="155"/>
        <v/>
      </c>
    </row>
    <row r="2370" spans="1:26" s="82" customFormat="1" x14ac:dyDescent="0.4">
      <c r="A2370" s="493">
        <v>65152</v>
      </c>
      <c r="B2370" s="105" t="s">
        <v>329</v>
      </c>
      <c r="C2370" s="493" t="s">
        <v>330</v>
      </c>
      <c r="D2370" s="105" t="s">
        <v>2797</v>
      </c>
      <c r="E2370" s="105" t="s">
        <v>1650</v>
      </c>
      <c r="F2370" s="493">
        <v>58135</v>
      </c>
      <c r="G2370" s="105" t="s">
        <v>37</v>
      </c>
      <c r="H2370" s="105" t="s">
        <v>342</v>
      </c>
      <c r="I2370" s="105" t="s">
        <v>334</v>
      </c>
      <c r="J2370" s="493">
        <v>22</v>
      </c>
      <c r="K2370" s="493">
        <v>2</v>
      </c>
      <c r="L2370" s="105" t="s">
        <v>343</v>
      </c>
      <c r="M2370" s="105" t="s">
        <v>655</v>
      </c>
      <c r="N2370" s="105" t="s">
        <v>656</v>
      </c>
      <c r="O2370" s="105" t="s">
        <v>656</v>
      </c>
      <c r="P2370" s="105" t="s">
        <v>339</v>
      </c>
      <c r="Q2370" s="494">
        <v>0</v>
      </c>
      <c r="R2370" s="494">
        <v>0</v>
      </c>
      <c r="S2370" s="494">
        <v>5660</v>
      </c>
      <c r="T2370" s="494">
        <v>5660</v>
      </c>
      <c r="U2370" s="494">
        <v>1659</v>
      </c>
      <c r="V2370" s="493">
        <v>2024</v>
      </c>
      <c r="W2370" s="495"/>
      <c r="X2370" s="496">
        <f t="shared" si="152"/>
        <v>3.4116937914406269</v>
      </c>
      <c r="Y2370" s="497" t="str">
        <f t="shared" si="155"/>
        <v/>
      </c>
      <c r="Z2370" s="497" t="str">
        <f t="shared" si="155"/>
        <v/>
      </c>
    </row>
    <row r="2371" spans="1:26" s="82" customFormat="1" ht="32" x14ac:dyDescent="0.4">
      <c r="A2371" s="493">
        <v>65154</v>
      </c>
      <c r="B2371" s="105" t="s">
        <v>329</v>
      </c>
      <c r="C2371" s="493" t="s">
        <v>330</v>
      </c>
      <c r="D2371" s="105" t="s">
        <v>2798</v>
      </c>
      <c r="E2371" s="105" t="s">
        <v>1243</v>
      </c>
      <c r="F2371" s="493">
        <v>56769</v>
      </c>
      <c r="G2371" s="105" t="s">
        <v>33</v>
      </c>
      <c r="H2371" s="105" t="s">
        <v>342</v>
      </c>
      <c r="I2371" s="105" t="s">
        <v>334</v>
      </c>
      <c r="J2371" s="493">
        <v>22</v>
      </c>
      <c r="K2371" s="493">
        <v>2</v>
      </c>
      <c r="L2371" s="105" t="s">
        <v>343</v>
      </c>
      <c r="M2371" s="105" t="s">
        <v>403</v>
      </c>
      <c r="N2371" s="105" t="s">
        <v>404</v>
      </c>
      <c r="O2371" s="105" t="s">
        <v>232</v>
      </c>
      <c r="P2371" s="105" t="s">
        <v>346</v>
      </c>
      <c r="Q2371" s="494">
        <v>0</v>
      </c>
      <c r="R2371" s="494">
        <v>0</v>
      </c>
      <c r="S2371" s="494">
        <v>0</v>
      </c>
      <c r="T2371" s="494">
        <v>0</v>
      </c>
      <c r="U2371" s="494">
        <v>0</v>
      </c>
      <c r="V2371" s="493">
        <v>2024</v>
      </c>
      <c r="W2371" s="495"/>
      <c r="X2371" s="496" t="str">
        <f t="shared" si="152"/>
        <v/>
      </c>
      <c r="Y2371" s="497" t="str">
        <f t="shared" si="155"/>
        <v/>
      </c>
      <c r="Z2371" s="497" t="str">
        <f t="shared" si="155"/>
        <v/>
      </c>
    </row>
    <row r="2372" spans="1:26" s="82" customFormat="1" ht="32" x14ac:dyDescent="0.4">
      <c r="A2372" s="493">
        <v>65154</v>
      </c>
      <c r="B2372" s="105" t="s">
        <v>329</v>
      </c>
      <c r="C2372" s="493" t="s">
        <v>330</v>
      </c>
      <c r="D2372" s="105" t="s">
        <v>2798</v>
      </c>
      <c r="E2372" s="105" t="s">
        <v>1243</v>
      </c>
      <c r="F2372" s="493">
        <v>56769</v>
      </c>
      <c r="G2372" s="105" t="s">
        <v>33</v>
      </c>
      <c r="H2372" s="105" t="s">
        <v>342</v>
      </c>
      <c r="I2372" s="105" t="s">
        <v>334</v>
      </c>
      <c r="J2372" s="493">
        <v>22</v>
      </c>
      <c r="K2372" s="493">
        <v>2</v>
      </c>
      <c r="L2372" s="105" t="s">
        <v>343</v>
      </c>
      <c r="M2372" s="105" t="s">
        <v>655</v>
      </c>
      <c r="N2372" s="105" t="s">
        <v>656</v>
      </c>
      <c r="O2372" s="105" t="s">
        <v>656</v>
      </c>
      <c r="P2372" s="105" t="s">
        <v>339</v>
      </c>
      <c r="Q2372" s="494">
        <v>0</v>
      </c>
      <c r="R2372" s="494">
        <v>0</v>
      </c>
      <c r="S2372" s="494">
        <v>11004</v>
      </c>
      <c r="T2372" s="494">
        <v>11004</v>
      </c>
      <c r="U2372" s="494">
        <v>3225</v>
      </c>
      <c r="V2372" s="493">
        <v>2024</v>
      </c>
      <c r="W2372" s="495"/>
      <c r="X2372" s="496">
        <f t="shared" si="152"/>
        <v>3.4120930232558138</v>
      </c>
      <c r="Y2372" s="497" t="str">
        <f t="shared" si="155"/>
        <v/>
      </c>
      <c r="Z2372" s="497" t="str">
        <f t="shared" si="155"/>
        <v/>
      </c>
    </row>
    <row r="2373" spans="1:26" s="82" customFormat="1" ht="32" x14ac:dyDescent="0.4">
      <c r="A2373" s="493">
        <v>65155</v>
      </c>
      <c r="B2373" s="105" t="s">
        <v>329</v>
      </c>
      <c r="C2373" s="493" t="s">
        <v>330</v>
      </c>
      <c r="D2373" s="105" t="s">
        <v>2799</v>
      </c>
      <c r="E2373" s="105" t="s">
        <v>2799</v>
      </c>
      <c r="F2373" s="493">
        <v>64526</v>
      </c>
      <c r="G2373" s="105" t="s">
        <v>52</v>
      </c>
      <c r="H2373" s="105" t="s">
        <v>333</v>
      </c>
      <c r="I2373" s="105" t="s">
        <v>334</v>
      </c>
      <c r="J2373" s="493">
        <v>22</v>
      </c>
      <c r="K2373" s="493">
        <v>2</v>
      </c>
      <c r="L2373" s="105" t="s">
        <v>343</v>
      </c>
      <c r="M2373" s="105" t="s">
        <v>655</v>
      </c>
      <c r="N2373" s="105" t="s">
        <v>656</v>
      </c>
      <c r="O2373" s="105" t="s">
        <v>656</v>
      </c>
      <c r="P2373" s="105" t="s">
        <v>339</v>
      </c>
      <c r="Q2373" s="494">
        <v>0</v>
      </c>
      <c r="R2373" s="494">
        <v>0</v>
      </c>
      <c r="S2373" s="494">
        <v>15888</v>
      </c>
      <c r="T2373" s="494">
        <v>15888</v>
      </c>
      <c r="U2373" s="494">
        <v>4656</v>
      </c>
      <c r="V2373" s="493">
        <v>2024</v>
      </c>
      <c r="W2373" s="495"/>
      <c r="X2373" s="496">
        <f t="shared" si="152"/>
        <v>3.4123711340206184</v>
      </c>
      <c r="Y2373" s="497" t="str">
        <f t="shared" si="155"/>
        <v/>
      </c>
      <c r="Z2373" s="497" t="str">
        <f t="shared" si="155"/>
        <v/>
      </c>
    </row>
    <row r="2374" spans="1:26" s="82" customFormat="1" ht="32" x14ac:dyDescent="0.4">
      <c r="A2374" s="493">
        <v>65156</v>
      </c>
      <c r="B2374" s="105" t="s">
        <v>329</v>
      </c>
      <c r="C2374" s="493" t="s">
        <v>330</v>
      </c>
      <c r="D2374" s="105" t="s">
        <v>2800</v>
      </c>
      <c r="E2374" s="105" t="s">
        <v>2800</v>
      </c>
      <c r="F2374" s="493">
        <v>64527</v>
      </c>
      <c r="G2374" s="105" t="s">
        <v>52</v>
      </c>
      <c r="H2374" s="105" t="s">
        <v>333</v>
      </c>
      <c r="I2374" s="105" t="s">
        <v>334</v>
      </c>
      <c r="J2374" s="493">
        <v>22</v>
      </c>
      <c r="K2374" s="493">
        <v>2</v>
      </c>
      <c r="L2374" s="105" t="s">
        <v>343</v>
      </c>
      <c r="M2374" s="105" t="s">
        <v>655</v>
      </c>
      <c r="N2374" s="105" t="s">
        <v>656</v>
      </c>
      <c r="O2374" s="105" t="s">
        <v>656</v>
      </c>
      <c r="P2374" s="105" t="s">
        <v>339</v>
      </c>
      <c r="Q2374" s="494">
        <v>0</v>
      </c>
      <c r="R2374" s="494">
        <v>0</v>
      </c>
      <c r="S2374" s="494">
        <v>22323</v>
      </c>
      <c r="T2374" s="494">
        <v>22323</v>
      </c>
      <c r="U2374" s="494">
        <v>6542</v>
      </c>
      <c r="V2374" s="493">
        <v>2024</v>
      </c>
      <c r="W2374" s="495"/>
      <c r="X2374" s="496">
        <f t="shared" si="152"/>
        <v>3.4122592479364107</v>
      </c>
      <c r="Y2374" s="497" t="str">
        <f t="shared" si="155"/>
        <v/>
      </c>
      <c r="Z2374" s="497" t="str">
        <f t="shared" si="155"/>
        <v/>
      </c>
    </row>
    <row r="2375" spans="1:26" s="82" customFormat="1" ht="32" x14ac:dyDescent="0.4">
      <c r="A2375" s="493">
        <v>65157</v>
      </c>
      <c r="B2375" s="105" t="s">
        <v>329</v>
      </c>
      <c r="C2375" s="493" t="s">
        <v>330</v>
      </c>
      <c r="D2375" s="105" t="s">
        <v>2801</v>
      </c>
      <c r="E2375" s="105" t="s">
        <v>2801</v>
      </c>
      <c r="F2375" s="493">
        <v>64529</v>
      </c>
      <c r="G2375" s="105" t="s">
        <v>52</v>
      </c>
      <c r="H2375" s="105" t="s">
        <v>333</v>
      </c>
      <c r="I2375" s="105" t="s">
        <v>334</v>
      </c>
      <c r="J2375" s="493">
        <v>22</v>
      </c>
      <c r="K2375" s="493">
        <v>2</v>
      </c>
      <c r="L2375" s="105" t="s">
        <v>343</v>
      </c>
      <c r="M2375" s="105" t="s">
        <v>655</v>
      </c>
      <c r="N2375" s="105" t="s">
        <v>656</v>
      </c>
      <c r="O2375" s="105" t="s">
        <v>656</v>
      </c>
      <c r="P2375" s="105" t="s">
        <v>339</v>
      </c>
      <c r="Q2375" s="494">
        <v>0</v>
      </c>
      <c r="R2375" s="494">
        <v>0</v>
      </c>
      <c r="S2375" s="494">
        <v>3966</v>
      </c>
      <c r="T2375" s="494">
        <v>3966</v>
      </c>
      <c r="U2375" s="494">
        <v>1162</v>
      </c>
      <c r="V2375" s="493">
        <v>2024</v>
      </c>
      <c r="W2375" s="495"/>
      <c r="X2375" s="496">
        <f t="shared" si="152"/>
        <v>3.4130808950086058</v>
      </c>
      <c r="Y2375" s="497" t="str">
        <f t="shared" si="155"/>
        <v/>
      </c>
      <c r="Z2375" s="497" t="str">
        <f t="shared" si="155"/>
        <v/>
      </c>
    </row>
    <row r="2376" spans="1:26" s="82" customFormat="1" ht="32" x14ac:dyDescent="0.4">
      <c r="A2376" s="493">
        <v>65158</v>
      </c>
      <c r="B2376" s="105" t="s">
        <v>329</v>
      </c>
      <c r="C2376" s="493" t="s">
        <v>330</v>
      </c>
      <c r="D2376" s="105" t="s">
        <v>2802</v>
      </c>
      <c r="E2376" s="105" t="s">
        <v>2802</v>
      </c>
      <c r="F2376" s="493">
        <v>64530</v>
      </c>
      <c r="G2376" s="105" t="s">
        <v>52</v>
      </c>
      <c r="H2376" s="105" t="s">
        <v>333</v>
      </c>
      <c r="I2376" s="105" t="s">
        <v>334</v>
      </c>
      <c r="J2376" s="493">
        <v>22</v>
      </c>
      <c r="K2376" s="493">
        <v>2</v>
      </c>
      <c r="L2376" s="105" t="s">
        <v>343</v>
      </c>
      <c r="M2376" s="105" t="s">
        <v>655</v>
      </c>
      <c r="N2376" s="105" t="s">
        <v>656</v>
      </c>
      <c r="O2376" s="105" t="s">
        <v>656</v>
      </c>
      <c r="P2376" s="105" t="s">
        <v>339</v>
      </c>
      <c r="Q2376" s="494">
        <v>0</v>
      </c>
      <c r="R2376" s="494">
        <v>0</v>
      </c>
      <c r="S2376" s="494">
        <v>9641</v>
      </c>
      <c r="T2376" s="494">
        <v>9641</v>
      </c>
      <c r="U2376" s="494">
        <v>2826</v>
      </c>
      <c r="V2376" s="493">
        <v>2024</v>
      </c>
      <c r="W2376" s="495"/>
      <c r="X2376" s="496">
        <f t="shared" si="152"/>
        <v>3.4115357395612174</v>
      </c>
      <c r="Y2376" s="497" t="str">
        <f t="shared" si="155"/>
        <v/>
      </c>
      <c r="Z2376" s="497" t="str">
        <f t="shared" si="155"/>
        <v/>
      </c>
    </row>
    <row r="2377" spans="1:26" s="82" customFormat="1" ht="32" x14ac:dyDescent="0.4">
      <c r="A2377" s="493">
        <v>65159</v>
      </c>
      <c r="B2377" s="105" t="s">
        <v>329</v>
      </c>
      <c r="C2377" s="493" t="s">
        <v>330</v>
      </c>
      <c r="D2377" s="105" t="s">
        <v>2803</v>
      </c>
      <c r="E2377" s="105" t="s">
        <v>2803</v>
      </c>
      <c r="F2377" s="493">
        <v>64531</v>
      </c>
      <c r="G2377" s="105" t="s">
        <v>52</v>
      </c>
      <c r="H2377" s="105" t="s">
        <v>333</v>
      </c>
      <c r="I2377" s="105" t="s">
        <v>334</v>
      </c>
      <c r="J2377" s="493">
        <v>22</v>
      </c>
      <c r="K2377" s="493">
        <v>2</v>
      </c>
      <c r="L2377" s="105" t="s">
        <v>343</v>
      </c>
      <c r="M2377" s="105" t="s">
        <v>655</v>
      </c>
      <c r="N2377" s="105" t="s">
        <v>656</v>
      </c>
      <c r="O2377" s="105" t="s">
        <v>656</v>
      </c>
      <c r="P2377" s="105" t="s">
        <v>339</v>
      </c>
      <c r="Q2377" s="494">
        <v>0</v>
      </c>
      <c r="R2377" s="494">
        <v>0</v>
      </c>
      <c r="S2377" s="494">
        <v>22006</v>
      </c>
      <c r="T2377" s="494">
        <v>22006</v>
      </c>
      <c r="U2377" s="494">
        <v>6450</v>
      </c>
      <c r="V2377" s="493">
        <v>2024</v>
      </c>
      <c r="W2377" s="495"/>
      <c r="X2377" s="496">
        <f t="shared" ref="X2377:X2440" si="156">IF(OR(K2377&gt;3,T2377=0,NOT(U2377&gt;0)),"",T2377/U2377)</f>
        <v>3.4117829457364341</v>
      </c>
      <c r="Y2377" s="497" t="str">
        <f t="shared" si="155"/>
        <v/>
      </c>
      <c r="Z2377" s="497" t="str">
        <f t="shared" si="155"/>
        <v/>
      </c>
    </row>
    <row r="2378" spans="1:26" s="82" customFormat="1" ht="32" x14ac:dyDescent="0.4">
      <c r="A2378" s="493">
        <v>65161</v>
      </c>
      <c r="B2378" s="105" t="s">
        <v>329</v>
      </c>
      <c r="C2378" s="493" t="s">
        <v>330</v>
      </c>
      <c r="D2378" s="105" t="s">
        <v>2804</v>
      </c>
      <c r="E2378" s="105" t="s">
        <v>2804</v>
      </c>
      <c r="F2378" s="493">
        <v>64532</v>
      </c>
      <c r="G2378" s="105" t="s">
        <v>52</v>
      </c>
      <c r="H2378" s="105" t="s">
        <v>333</v>
      </c>
      <c r="I2378" s="105" t="s">
        <v>334</v>
      </c>
      <c r="J2378" s="493">
        <v>22</v>
      </c>
      <c r="K2378" s="493">
        <v>2</v>
      </c>
      <c r="L2378" s="105" t="s">
        <v>343</v>
      </c>
      <c r="M2378" s="105" t="s">
        <v>655</v>
      </c>
      <c r="N2378" s="105" t="s">
        <v>656</v>
      </c>
      <c r="O2378" s="105" t="s">
        <v>656</v>
      </c>
      <c r="P2378" s="105" t="s">
        <v>339</v>
      </c>
      <c r="Q2378" s="494">
        <v>0</v>
      </c>
      <c r="R2378" s="494">
        <v>0</v>
      </c>
      <c r="S2378" s="494">
        <v>2518</v>
      </c>
      <c r="T2378" s="494">
        <v>2518</v>
      </c>
      <c r="U2378" s="494">
        <v>738</v>
      </c>
      <c r="V2378" s="493">
        <v>2024</v>
      </c>
      <c r="W2378" s="495"/>
      <c r="X2378" s="496">
        <f t="shared" si="156"/>
        <v>3.4119241192411924</v>
      </c>
      <c r="Y2378" s="497" t="str">
        <f t="shared" si="155"/>
        <v/>
      </c>
      <c r="Z2378" s="497" t="str">
        <f t="shared" si="155"/>
        <v/>
      </c>
    </row>
    <row r="2379" spans="1:26" s="82" customFormat="1" ht="32" x14ac:dyDescent="0.4">
      <c r="A2379" s="493">
        <v>65163</v>
      </c>
      <c r="B2379" s="105" t="s">
        <v>329</v>
      </c>
      <c r="C2379" s="493" t="s">
        <v>330</v>
      </c>
      <c r="D2379" s="105" t="s">
        <v>2805</v>
      </c>
      <c r="E2379" s="105" t="s">
        <v>2806</v>
      </c>
      <c r="F2379" s="493">
        <v>64516</v>
      </c>
      <c r="G2379" s="105" t="s">
        <v>52</v>
      </c>
      <c r="H2379" s="105" t="s">
        <v>333</v>
      </c>
      <c r="I2379" s="105" t="s">
        <v>334</v>
      </c>
      <c r="J2379" s="493">
        <v>22</v>
      </c>
      <c r="K2379" s="493">
        <v>2</v>
      </c>
      <c r="L2379" s="105" t="s">
        <v>343</v>
      </c>
      <c r="M2379" s="105" t="s">
        <v>655</v>
      </c>
      <c r="N2379" s="105" t="s">
        <v>656</v>
      </c>
      <c r="O2379" s="105" t="s">
        <v>656</v>
      </c>
      <c r="P2379" s="105" t="s">
        <v>339</v>
      </c>
      <c r="Q2379" s="494">
        <v>0</v>
      </c>
      <c r="R2379" s="494">
        <v>0</v>
      </c>
      <c r="S2379" s="494">
        <v>25979</v>
      </c>
      <c r="T2379" s="494">
        <v>25979</v>
      </c>
      <c r="U2379" s="494">
        <v>7614</v>
      </c>
      <c r="V2379" s="493">
        <v>2024</v>
      </c>
      <c r="W2379" s="495"/>
      <c r="X2379" s="496">
        <f t="shared" si="156"/>
        <v>3.4120042027843445</v>
      </c>
      <c r="Y2379" s="497" t="str">
        <f t="shared" si="155"/>
        <v/>
      </c>
      <c r="Z2379" s="497" t="str">
        <f t="shared" si="155"/>
        <v/>
      </c>
    </row>
    <row r="2380" spans="1:26" s="82" customFormat="1" ht="32" x14ac:dyDescent="0.4">
      <c r="A2380" s="493">
        <v>65165</v>
      </c>
      <c r="B2380" s="105" t="s">
        <v>329</v>
      </c>
      <c r="C2380" s="493" t="s">
        <v>330</v>
      </c>
      <c r="D2380" s="105" t="s">
        <v>2807</v>
      </c>
      <c r="E2380" s="105" t="s">
        <v>2806</v>
      </c>
      <c r="F2380" s="493">
        <v>64516</v>
      </c>
      <c r="G2380" s="105" t="s">
        <v>52</v>
      </c>
      <c r="H2380" s="105" t="s">
        <v>333</v>
      </c>
      <c r="I2380" s="105" t="s">
        <v>334</v>
      </c>
      <c r="J2380" s="493">
        <v>22</v>
      </c>
      <c r="K2380" s="493">
        <v>2</v>
      </c>
      <c r="L2380" s="105" t="s">
        <v>343</v>
      </c>
      <c r="M2380" s="105" t="s">
        <v>655</v>
      </c>
      <c r="N2380" s="105" t="s">
        <v>656</v>
      </c>
      <c r="O2380" s="105" t="s">
        <v>656</v>
      </c>
      <c r="P2380" s="105" t="s">
        <v>339</v>
      </c>
      <c r="Q2380" s="494">
        <v>0</v>
      </c>
      <c r="R2380" s="494">
        <v>0</v>
      </c>
      <c r="S2380" s="494">
        <v>12372</v>
      </c>
      <c r="T2380" s="494">
        <v>12372</v>
      </c>
      <c r="U2380" s="494">
        <v>3626</v>
      </c>
      <c r="V2380" s="493">
        <v>2024</v>
      </c>
      <c r="W2380" s="495"/>
      <c r="X2380" s="496">
        <f t="shared" si="156"/>
        <v>3.4120242691671261</v>
      </c>
      <c r="Y2380" s="497" t="str">
        <f t="shared" si="155"/>
        <v/>
      </c>
      <c r="Z2380" s="497" t="str">
        <f t="shared" si="155"/>
        <v/>
      </c>
    </row>
    <row r="2381" spans="1:26" s="82" customFormat="1" ht="48" x14ac:dyDescent="0.4">
      <c r="A2381" s="493">
        <v>65166</v>
      </c>
      <c r="B2381" s="105" t="s">
        <v>329</v>
      </c>
      <c r="C2381" s="493" t="s">
        <v>330</v>
      </c>
      <c r="D2381" s="105" t="s">
        <v>2808</v>
      </c>
      <c r="E2381" s="105" t="s">
        <v>1354</v>
      </c>
      <c r="F2381" s="493">
        <v>60025</v>
      </c>
      <c r="G2381" s="105" t="s">
        <v>36</v>
      </c>
      <c r="H2381" s="105" t="s">
        <v>342</v>
      </c>
      <c r="I2381" s="105" t="s">
        <v>334</v>
      </c>
      <c r="J2381" s="493">
        <v>22</v>
      </c>
      <c r="K2381" s="493">
        <v>2</v>
      </c>
      <c r="L2381" s="105" t="s">
        <v>343</v>
      </c>
      <c r="M2381" s="105" t="s">
        <v>655</v>
      </c>
      <c r="N2381" s="105" t="s">
        <v>656</v>
      </c>
      <c r="O2381" s="105" t="s">
        <v>656</v>
      </c>
      <c r="P2381" s="105" t="s">
        <v>339</v>
      </c>
      <c r="Q2381" s="494">
        <v>0</v>
      </c>
      <c r="R2381" s="494">
        <v>0</v>
      </c>
      <c r="S2381" s="494">
        <v>10784</v>
      </c>
      <c r="T2381" s="494">
        <v>10784</v>
      </c>
      <c r="U2381" s="494">
        <v>3161</v>
      </c>
      <c r="V2381" s="493">
        <v>2024</v>
      </c>
      <c r="W2381" s="495"/>
      <c r="X2381" s="496">
        <f t="shared" si="156"/>
        <v>3.4115786143625435</v>
      </c>
      <c r="Y2381" s="497" t="str">
        <f t="shared" si="155"/>
        <v/>
      </c>
      <c r="Z2381" s="497" t="str">
        <f t="shared" si="155"/>
        <v/>
      </c>
    </row>
    <row r="2382" spans="1:26" s="82" customFormat="1" ht="32" x14ac:dyDescent="0.4">
      <c r="A2382" s="493">
        <v>65174</v>
      </c>
      <c r="B2382" s="105" t="s">
        <v>329</v>
      </c>
      <c r="C2382" s="493" t="s">
        <v>330</v>
      </c>
      <c r="D2382" s="105" t="s">
        <v>2809</v>
      </c>
      <c r="E2382" s="105" t="s">
        <v>2810</v>
      </c>
      <c r="F2382" s="493">
        <v>64534</v>
      </c>
      <c r="G2382" s="105" t="s">
        <v>33</v>
      </c>
      <c r="H2382" s="105" t="s">
        <v>342</v>
      </c>
      <c r="I2382" s="105" t="s">
        <v>334</v>
      </c>
      <c r="J2382" s="493">
        <v>22</v>
      </c>
      <c r="K2382" s="493">
        <v>2</v>
      </c>
      <c r="L2382" s="105" t="s">
        <v>343</v>
      </c>
      <c r="M2382" s="105" t="s">
        <v>403</v>
      </c>
      <c r="N2382" s="105" t="s">
        <v>404</v>
      </c>
      <c r="O2382" s="105" t="s">
        <v>232</v>
      </c>
      <c r="P2382" s="105" t="s">
        <v>346</v>
      </c>
      <c r="Q2382" s="494">
        <v>445</v>
      </c>
      <c r="R2382" s="494">
        <v>445</v>
      </c>
      <c r="S2382" s="494">
        <v>0</v>
      </c>
      <c r="T2382" s="494">
        <v>0</v>
      </c>
      <c r="U2382" s="494">
        <v>-11</v>
      </c>
      <c r="V2382" s="493">
        <v>2024</v>
      </c>
      <c r="W2382" s="495"/>
      <c r="X2382" s="496" t="str">
        <f t="shared" si="156"/>
        <v/>
      </c>
      <c r="Y2382" s="497" t="str">
        <f t="shared" si="155"/>
        <v/>
      </c>
      <c r="Z2382" s="497" t="str">
        <f t="shared" si="155"/>
        <v/>
      </c>
    </row>
    <row r="2383" spans="1:26" s="82" customFormat="1" ht="32" x14ac:dyDescent="0.4">
      <c r="A2383" s="493">
        <v>65174</v>
      </c>
      <c r="B2383" s="105" t="s">
        <v>329</v>
      </c>
      <c r="C2383" s="493" t="s">
        <v>330</v>
      </c>
      <c r="D2383" s="105" t="s">
        <v>2809</v>
      </c>
      <c r="E2383" s="105" t="s">
        <v>2810</v>
      </c>
      <c r="F2383" s="493">
        <v>64534</v>
      </c>
      <c r="G2383" s="105" t="s">
        <v>33</v>
      </c>
      <c r="H2383" s="105" t="s">
        <v>342</v>
      </c>
      <c r="I2383" s="105" t="s">
        <v>334</v>
      </c>
      <c r="J2383" s="493">
        <v>22</v>
      </c>
      <c r="K2383" s="493">
        <v>2</v>
      </c>
      <c r="L2383" s="105" t="s">
        <v>343</v>
      </c>
      <c r="M2383" s="105" t="s">
        <v>655</v>
      </c>
      <c r="N2383" s="105" t="s">
        <v>656</v>
      </c>
      <c r="O2383" s="105" t="s">
        <v>656</v>
      </c>
      <c r="P2383" s="105" t="s">
        <v>339</v>
      </c>
      <c r="Q2383" s="494">
        <v>0</v>
      </c>
      <c r="R2383" s="494">
        <v>0</v>
      </c>
      <c r="S2383" s="494">
        <v>7585</v>
      </c>
      <c r="T2383" s="494">
        <v>7585</v>
      </c>
      <c r="U2383" s="494">
        <v>2223</v>
      </c>
      <c r="V2383" s="493">
        <v>2024</v>
      </c>
      <c r="W2383" s="495"/>
      <c r="X2383" s="496">
        <f t="shared" si="156"/>
        <v>3.412055780476833</v>
      </c>
      <c r="Y2383" s="497" t="str">
        <f t="shared" si="155"/>
        <v/>
      </c>
      <c r="Z2383" s="497" t="str">
        <f t="shared" si="155"/>
        <v/>
      </c>
    </row>
    <row r="2384" spans="1:26" s="82" customFormat="1" ht="32" x14ac:dyDescent="0.4">
      <c r="A2384" s="493">
        <v>65175</v>
      </c>
      <c r="B2384" s="105" t="s">
        <v>329</v>
      </c>
      <c r="C2384" s="493" t="s">
        <v>330</v>
      </c>
      <c r="D2384" s="105" t="s">
        <v>2811</v>
      </c>
      <c r="E2384" s="105" t="s">
        <v>2812</v>
      </c>
      <c r="F2384" s="493">
        <v>64535</v>
      </c>
      <c r="G2384" s="105" t="s">
        <v>33</v>
      </c>
      <c r="H2384" s="105" t="s">
        <v>342</v>
      </c>
      <c r="I2384" s="105" t="s">
        <v>334</v>
      </c>
      <c r="J2384" s="493">
        <v>22</v>
      </c>
      <c r="K2384" s="493">
        <v>2</v>
      </c>
      <c r="L2384" s="105" t="s">
        <v>343</v>
      </c>
      <c r="M2384" s="105" t="s">
        <v>655</v>
      </c>
      <c r="N2384" s="105" t="s">
        <v>656</v>
      </c>
      <c r="O2384" s="105" t="s">
        <v>656</v>
      </c>
      <c r="P2384" s="105" t="s">
        <v>339</v>
      </c>
      <c r="Q2384" s="494">
        <v>0</v>
      </c>
      <c r="R2384" s="494">
        <v>0</v>
      </c>
      <c r="S2384" s="494">
        <v>21727</v>
      </c>
      <c r="T2384" s="494">
        <v>21727</v>
      </c>
      <c r="U2384" s="494">
        <v>6368</v>
      </c>
      <c r="V2384" s="493">
        <v>2024</v>
      </c>
      <c r="W2384" s="495"/>
      <c r="X2384" s="496">
        <f t="shared" si="156"/>
        <v>3.4119032663316582</v>
      </c>
      <c r="Y2384" s="497" t="str">
        <f t="shared" si="155"/>
        <v/>
      </c>
      <c r="Z2384" s="497" t="str">
        <f t="shared" si="155"/>
        <v/>
      </c>
    </row>
    <row r="2385" spans="1:26" s="82" customFormat="1" ht="48" x14ac:dyDescent="0.4">
      <c r="A2385" s="493">
        <v>65183</v>
      </c>
      <c r="B2385" s="105" t="s">
        <v>329</v>
      </c>
      <c r="C2385" s="493" t="s">
        <v>330</v>
      </c>
      <c r="D2385" s="105" t="s">
        <v>2813</v>
      </c>
      <c r="E2385" s="105" t="s">
        <v>1354</v>
      </c>
      <c r="F2385" s="493">
        <v>60025</v>
      </c>
      <c r="G2385" s="105" t="s">
        <v>33</v>
      </c>
      <c r="H2385" s="105" t="s">
        <v>342</v>
      </c>
      <c r="I2385" s="105" t="s">
        <v>334</v>
      </c>
      <c r="J2385" s="493">
        <v>22</v>
      </c>
      <c r="K2385" s="493">
        <v>2</v>
      </c>
      <c r="L2385" s="105" t="s">
        <v>343</v>
      </c>
      <c r="M2385" s="105" t="s">
        <v>655</v>
      </c>
      <c r="N2385" s="105" t="s">
        <v>656</v>
      </c>
      <c r="O2385" s="105" t="s">
        <v>656</v>
      </c>
      <c r="P2385" s="105" t="s">
        <v>339</v>
      </c>
      <c r="Q2385" s="494">
        <v>0</v>
      </c>
      <c r="R2385" s="494">
        <v>0</v>
      </c>
      <c r="S2385" s="494">
        <v>2282</v>
      </c>
      <c r="T2385" s="494">
        <v>2282</v>
      </c>
      <c r="U2385" s="494">
        <v>669</v>
      </c>
      <c r="V2385" s="493">
        <v>2024</v>
      </c>
      <c r="W2385" s="495"/>
      <c r="X2385" s="496">
        <f t="shared" si="156"/>
        <v>3.4110612855007472</v>
      </c>
      <c r="Y2385" s="497" t="str">
        <f t="shared" si="155"/>
        <v/>
      </c>
      <c r="Z2385" s="497" t="str">
        <f t="shared" si="155"/>
        <v/>
      </c>
    </row>
    <row r="2386" spans="1:26" s="82" customFormat="1" ht="48" x14ac:dyDescent="0.4">
      <c r="A2386" s="493">
        <v>65184</v>
      </c>
      <c r="B2386" s="105" t="s">
        <v>329</v>
      </c>
      <c r="C2386" s="493" t="s">
        <v>330</v>
      </c>
      <c r="D2386" s="105" t="s">
        <v>2814</v>
      </c>
      <c r="E2386" s="105" t="s">
        <v>1354</v>
      </c>
      <c r="F2386" s="493">
        <v>60025</v>
      </c>
      <c r="G2386" s="105" t="s">
        <v>33</v>
      </c>
      <c r="H2386" s="105" t="s">
        <v>342</v>
      </c>
      <c r="I2386" s="105" t="s">
        <v>334</v>
      </c>
      <c r="J2386" s="493">
        <v>22</v>
      </c>
      <c r="K2386" s="493">
        <v>2</v>
      </c>
      <c r="L2386" s="105" t="s">
        <v>343</v>
      </c>
      <c r="M2386" s="105" t="s">
        <v>655</v>
      </c>
      <c r="N2386" s="105" t="s">
        <v>656</v>
      </c>
      <c r="O2386" s="105" t="s">
        <v>656</v>
      </c>
      <c r="P2386" s="105" t="s">
        <v>339</v>
      </c>
      <c r="Q2386" s="494">
        <v>0</v>
      </c>
      <c r="R2386" s="494">
        <v>0</v>
      </c>
      <c r="S2386" s="494">
        <v>6820</v>
      </c>
      <c r="T2386" s="494">
        <v>6820</v>
      </c>
      <c r="U2386" s="494">
        <v>1999</v>
      </c>
      <c r="V2386" s="493">
        <v>2024</v>
      </c>
      <c r="W2386" s="495"/>
      <c r="X2386" s="496">
        <f t="shared" si="156"/>
        <v>3.4117058529264632</v>
      </c>
      <c r="Y2386" s="497" t="str">
        <f t="shared" si="155"/>
        <v/>
      </c>
      <c r="Z2386" s="497" t="str">
        <f t="shared" si="155"/>
        <v/>
      </c>
    </row>
    <row r="2387" spans="1:26" s="82" customFormat="1" x14ac:dyDescent="0.4">
      <c r="A2387" s="493">
        <v>65197</v>
      </c>
      <c r="B2387" s="105" t="s">
        <v>329</v>
      </c>
      <c r="C2387" s="493" t="s">
        <v>330</v>
      </c>
      <c r="D2387" s="105" t="s">
        <v>2815</v>
      </c>
      <c r="E2387" s="105" t="s">
        <v>2116</v>
      </c>
      <c r="F2387" s="493">
        <v>57128</v>
      </c>
      <c r="G2387" s="105" t="s">
        <v>37</v>
      </c>
      <c r="H2387" s="105" t="s">
        <v>342</v>
      </c>
      <c r="I2387" s="105" t="s">
        <v>334</v>
      </c>
      <c r="J2387" s="493">
        <v>22</v>
      </c>
      <c r="K2387" s="493">
        <v>2</v>
      </c>
      <c r="L2387" s="105" t="s">
        <v>343</v>
      </c>
      <c r="M2387" s="105" t="s">
        <v>990</v>
      </c>
      <c r="N2387" s="105" t="s">
        <v>228</v>
      </c>
      <c r="O2387" s="105" t="s">
        <v>228</v>
      </c>
      <c r="P2387" s="105" t="s">
        <v>356</v>
      </c>
      <c r="Q2387" s="494">
        <v>102886</v>
      </c>
      <c r="R2387" s="494">
        <v>102886</v>
      </c>
      <c r="S2387" s="494">
        <v>105018</v>
      </c>
      <c r="T2387" s="494">
        <v>105018</v>
      </c>
      <c r="U2387" s="494">
        <v>15673</v>
      </c>
      <c r="V2387" s="493">
        <v>2024</v>
      </c>
      <c r="W2387" s="495"/>
      <c r="X2387" s="496">
        <f t="shared" si="156"/>
        <v>6.7005678555477575</v>
      </c>
      <c r="Y2387" s="497" t="str">
        <f t="shared" si="155"/>
        <v/>
      </c>
      <c r="Z2387" s="497" t="str">
        <f t="shared" si="155"/>
        <v/>
      </c>
    </row>
    <row r="2388" spans="1:26" s="82" customFormat="1" x14ac:dyDescent="0.4">
      <c r="A2388" s="493">
        <v>65198</v>
      </c>
      <c r="B2388" s="105" t="s">
        <v>329</v>
      </c>
      <c r="C2388" s="493" t="s">
        <v>330</v>
      </c>
      <c r="D2388" s="105" t="s">
        <v>2816</v>
      </c>
      <c r="E2388" s="105" t="s">
        <v>2116</v>
      </c>
      <c r="F2388" s="493">
        <v>57128</v>
      </c>
      <c r="G2388" s="105" t="s">
        <v>37</v>
      </c>
      <c r="H2388" s="105" t="s">
        <v>342</v>
      </c>
      <c r="I2388" s="105" t="s">
        <v>334</v>
      </c>
      <c r="J2388" s="493">
        <v>22</v>
      </c>
      <c r="K2388" s="493">
        <v>2</v>
      </c>
      <c r="L2388" s="105" t="s">
        <v>343</v>
      </c>
      <c r="M2388" s="105" t="s">
        <v>990</v>
      </c>
      <c r="N2388" s="105" t="s">
        <v>228</v>
      </c>
      <c r="O2388" s="105" t="s">
        <v>228</v>
      </c>
      <c r="P2388" s="105" t="s">
        <v>356</v>
      </c>
      <c r="Q2388" s="494">
        <v>15014</v>
      </c>
      <c r="R2388" s="494">
        <v>15014</v>
      </c>
      <c r="S2388" s="494">
        <v>15316</v>
      </c>
      <c r="T2388" s="494">
        <v>15316</v>
      </c>
      <c r="U2388" s="494">
        <v>2182</v>
      </c>
      <c r="V2388" s="493">
        <v>2024</v>
      </c>
      <c r="W2388" s="495"/>
      <c r="X2388" s="496">
        <f t="shared" si="156"/>
        <v>7.0192483959670025</v>
      </c>
      <c r="Y2388" s="497" t="str">
        <f t="shared" ref="Y2388:Z2407" si="157">IF(AND($M2388=$Y$2,$N2388=$Y$3,NOT($Q2388=$R2388),NOT($U2388=0)),IF($K2388=5,$S2388/($U2388+(8/5)*$U2388),IF($K2388=7,$S2388/($U2388+(29/25)*$U2388),"")),"")</f>
        <v/>
      </c>
      <c r="Z2388" s="497" t="str">
        <f t="shared" si="157"/>
        <v/>
      </c>
    </row>
    <row r="2389" spans="1:26" s="82" customFormat="1" x14ac:dyDescent="0.4">
      <c r="A2389" s="493">
        <v>65201</v>
      </c>
      <c r="B2389" s="105" t="s">
        <v>329</v>
      </c>
      <c r="C2389" s="493" t="s">
        <v>330</v>
      </c>
      <c r="D2389" s="105" t="s">
        <v>2817</v>
      </c>
      <c r="E2389" s="105" t="s">
        <v>2116</v>
      </c>
      <c r="F2389" s="493">
        <v>57128</v>
      </c>
      <c r="G2389" s="105" t="s">
        <v>52</v>
      </c>
      <c r="H2389" s="105" t="s">
        <v>333</v>
      </c>
      <c r="I2389" s="105" t="s">
        <v>334</v>
      </c>
      <c r="J2389" s="493">
        <v>22</v>
      </c>
      <c r="K2389" s="493">
        <v>2</v>
      </c>
      <c r="L2389" s="105" t="s">
        <v>343</v>
      </c>
      <c r="M2389" s="105" t="s">
        <v>990</v>
      </c>
      <c r="N2389" s="105" t="s">
        <v>228</v>
      </c>
      <c r="O2389" s="105" t="s">
        <v>228</v>
      </c>
      <c r="P2389" s="105" t="s">
        <v>356</v>
      </c>
      <c r="Q2389" s="494">
        <v>111318</v>
      </c>
      <c r="R2389" s="494">
        <v>111318</v>
      </c>
      <c r="S2389" s="494">
        <v>113639</v>
      </c>
      <c r="T2389" s="494">
        <v>113639</v>
      </c>
      <c r="U2389" s="494">
        <v>16417</v>
      </c>
      <c r="V2389" s="493">
        <v>2024</v>
      </c>
      <c r="W2389" s="495"/>
      <c r="X2389" s="496">
        <f t="shared" si="156"/>
        <v>6.9220320399585793</v>
      </c>
      <c r="Y2389" s="497" t="str">
        <f t="shared" si="157"/>
        <v/>
      </c>
      <c r="Z2389" s="497" t="str">
        <f t="shared" si="157"/>
        <v/>
      </c>
    </row>
    <row r="2390" spans="1:26" s="82" customFormat="1" x14ac:dyDescent="0.4">
      <c r="A2390" s="493">
        <v>65209</v>
      </c>
      <c r="B2390" s="105" t="s">
        <v>329</v>
      </c>
      <c r="C2390" s="493" t="s">
        <v>330</v>
      </c>
      <c r="D2390" s="105" t="s">
        <v>2818</v>
      </c>
      <c r="E2390" s="105" t="s">
        <v>2116</v>
      </c>
      <c r="F2390" s="493">
        <v>57128</v>
      </c>
      <c r="G2390" s="105" t="s">
        <v>33</v>
      </c>
      <c r="H2390" s="105" t="s">
        <v>342</v>
      </c>
      <c r="I2390" s="105" t="s">
        <v>334</v>
      </c>
      <c r="J2390" s="493">
        <v>22</v>
      </c>
      <c r="K2390" s="493">
        <v>2</v>
      </c>
      <c r="L2390" s="105" t="s">
        <v>343</v>
      </c>
      <c r="M2390" s="105" t="s">
        <v>990</v>
      </c>
      <c r="N2390" s="105" t="s">
        <v>228</v>
      </c>
      <c r="O2390" s="105" t="s">
        <v>228</v>
      </c>
      <c r="P2390" s="105" t="s">
        <v>356</v>
      </c>
      <c r="Q2390" s="494">
        <v>103248</v>
      </c>
      <c r="R2390" s="494">
        <v>103248</v>
      </c>
      <c r="S2390" s="494">
        <v>105507</v>
      </c>
      <c r="T2390" s="494">
        <v>105507</v>
      </c>
      <c r="U2390" s="494">
        <v>14995</v>
      </c>
      <c r="V2390" s="493">
        <v>2024</v>
      </c>
      <c r="W2390" s="495"/>
      <c r="X2390" s="496">
        <f t="shared" si="156"/>
        <v>7.036145381793931</v>
      </c>
      <c r="Y2390" s="497" t="str">
        <f t="shared" si="157"/>
        <v/>
      </c>
      <c r="Z2390" s="497" t="str">
        <f t="shared" si="157"/>
        <v/>
      </c>
    </row>
    <row r="2391" spans="1:26" s="82" customFormat="1" x14ac:dyDescent="0.4">
      <c r="A2391" s="493">
        <v>65212</v>
      </c>
      <c r="B2391" s="105" t="s">
        <v>329</v>
      </c>
      <c r="C2391" s="493" t="s">
        <v>330</v>
      </c>
      <c r="D2391" s="105" t="s">
        <v>2819</v>
      </c>
      <c r="E2391" s="105" t="s">
        <v>2116</v>
      </c>
      <c r="F2391" s="493">
        <v>57128</v>
      </c>
      <c r="G2391" s="105" t="s">
        <v>52</v>
      </c>
      <c r="H2391" s="105" t="s">
        <v>333</v>
      </c>
      <c r="I2391" s="105" t="s">
        <v>334</v>
      </c>
      <c r="J2391" s="493">
        <v>22</v>
      </c>
      <c r="K2391" s="493">
        <v>2</v>
      </c>
      <c r="L2391" s="105" t="s">
        <v>343</v>
      </c>
      <c r="M2391" s="105" t="s">
        <v>990</v>
      </c>
      <c r="N2391" s="105" t="s">
        <v>228</v>
      </c>
      <c r="O2391" s="105" t="s">
        <v>228</v>
      </c>
      <c r="P2391" s="105" t="s">
        <v>356</v>
      </c>
      <c r="Q2391" s="494">
        <v>111312</v>
      </c>
      <c r="R2391" s="494">
        <v>111312</v>
      </c>
      <c r="S2391" s="494">
        <v>113634</v>
      </c>
      <c r="T2391" s="494">
        <v>113634</v>
      </c>
      <c r="U2391" s="494">
        <v>15982</v>
      </c>
      <c r="V2391" s="493">
        <v>2024</v>
      </c>
      <c r="W2391" s="495"/>
      <c r="X2391" s="496">
        <f t="shared" si="156"/>
        <v>7.1101238893755472</v>
      </c>
      <c r="Y2391" s="497" t="str">
        <f t="shared" si="157"/>
        <v/>
      </c>
      <c r="Z2391" s="497" t="str">
        <f t="shared" si="157"/>
        <v/>
      </c>
    </row>
    <row r="2392" spans="1:26" s="82" customFormat="1" ht="48" x14ac:dyDescent="0.4">
      <c r="A2392" s="493">
        <v>65216</v>
      </c>
      <c r="B2392" s="105" t="s">
        <v>329</v>
      </c>
      <c r="C2392" s="493" t="s">
        <v>330</v>
      </c>
      <c r="D2392" s="105" t="s">
        <v>2820</v>
      </c>
      <c r="E2392" s="105" t="s">
        <v>1354</v>
      </c>
      <c r="F2392" s="493">
        <v>60025</v>
      </c>
      <c r="G2392" s="105" t="s">
        <v>33</v>
      </c>
      <c r="H2392" s="105" t="s">
        <v>342</v>
      </c>
      <c r="I2392" s="105" t="s">
        <v>334</v>
      </c>
      <c r="J2392" s="493">
        <v>22</v>
      </c>
      <c r="K2392" s="493">
        <v>2</v>
      </c>
      <c r="L2392" s="105" t="s">
        <v>343</v>
      </c>
      <c r="M2392" s="105" t="s">
        <v>655</v>
      </c>
      <c r="N2392" s="105" t="s">
        <v>656</v>
      </c>
      <c r="O2392" s="105" t="s">
        <v>656</v>
      </c>
      <c r="P2392" s="105" t="s">
        <v>339</v>
      </c>
      <c r="Q2392" s="494">
        <v>0</v>
      </c>
      <c r="R2392" s="494">
        <v>0</v>
      </c>
      <c r="S2392" s="494">
        <v>7049</v>
      </c>
      <c r="T2392" s="494">
        <v>7049</v>
      </c>
      <c r="U2392" s="494">
        <v>2066</v>
      </c>
      <c r="V2392" s="493">
        <v>2024</v>
      </c>
      <c r="W2392" s="495"/>
      <c r="X2392" s="496">
        <f t="shared" si="156"/>
        <v>3.4119070667957407</v>
      </c>
      <c r="Y2392" s="497" t="str">
        <f t="shared" si="157"/>
        <v/>
      </c>
      <c r="Z2392" s="497" t="str">
        <f t="shared" si="157"/>
        <v/>
      </c>
    </row>
    <row r="2393" spans="1:26" s="82" customFormat="1" x14ac:dyDescent="0.4">
      <c r="A2393" s="493">
        <v>65217</v>
      </c>
      <c r="B2393" s="105" t="s">
        <v>329</v>
      </c>
      <c r="C2393" s="493" t="s">
        <v>330</v>
      </c>
      <c r="D2393" s="105" t="s">
        <v>2821</v>
      </c>
      <c r="E2393" s="105" t="s">
        <v>1448</v>
      </c>
      <c r="F2393" s="493">
        <v>61012</v>
      </c>
      <c r="G2393" s="105" t="s">
        <v>52</v>
      </c>
      <c r="H2393" s="105" t="s">
        <v>333</v>
      </c>
      <c r="I2393" s="105" t="s">
        <v>334</v>
      </c>
      <c r="J2393" s="493">
        <v>22</v>
      </c>
      <c r="K2393" s="493">
        <v>2</v>
      </c>
      <c r="L2393" s="105" t="s">
        <v>343</v>
      </c>
      <c r="M2393" s="105" t="s">
        <v>403</v>
      </c>
      <c r="N2393" s="105" t="s">
        <v>404</v>
      </c>
      <c r="O2393" s="105" t="s">
        <v>232</v>
      </c>
      <c r="P2393" s="105" t="s">
        <v>346</v>
      </c>
      <c r="Q2393" s="494">
        <v>537</v>
      </c>
      <c r="R2393" s="494">
        <v>537</v>
      </c>
      <c r="S2393" s="494">
        <v>0</v>
      </c>
      <c r="T2393" s="494">
        <v>0</v>
      </c>
      <c r="U2393" s="494">
        <v>-100</v>
      </c>
      <c r="V2393" s="493">
        <v>2024</v>
      </c>
      <c r="W2393" s="495"/>
      <c r="X2393" s="496" t="str">
        <f t="shared" si="156"/>
        <v/>
      </c>
      <c r="Y2393" s="497" t="str">
        <f t="shared" si="157"/>
        <v/>
      </c>
      <c r="Z2393" s="497" t="str">
        <f t="shared" si="157"/>
        <v/>
      </c>
    </row>
    <row r="2394" spans="1:26" s="82" customFormat="1" x14ac:dyDescent="0.4">
      <c r="A2394" s="493">
        <v>65217</v>
      </c>
      <c r="B2394" s="105" t="s">
        <v>329</v>
      </c>
      <c r="C2394" s="493" t="s">
        <v>330</v>
      </c>
      <c r="D2394" s="105" t="s">
        <v>2821</v>
      </c>
      <c r="E2394" s="105" t="s">
        <v>1448</v>
      </c>
      <c r="F2394" s="493">
        <v>61012</v>
      </c>
      <c r="G2394" s="105" t="s">
        <v>52</v>
      </c>
      <c r="H2394" s="105" t="s">
        <v>333</v>
      </c>
      <c r="I2394" s="105" t="s">
        <v>334</v>
      </c>
      <c r="J2394" s="493">
        <v>22</v>
      </c>
      <c r="K2394" s="493">
        <v>2</v>
      </c>
      <c r="L2394" s="105" t="s">
        <v>343</v>
      </c>
      <c r="M2394" s="105" t="s">
        <v>655</v>
      </c>
      <c r="N2394" s="105" t="s">
        <v>656</v>
      </c>
      <c r="O2394" s="105" t="s">
        <v>656</v>
      </c>
      <c r="P2394" s="105" t="s">
        <v>339</v>
      </c>
      <c r="Q2394" s="494">
        <v>0</v>
      </c>
      <c r="R2394" s="494">
        <v>0</v>
      </c>
      <c r="S2394" s="494">
        <v>21053</v>
      </c>
      <c r="T2394" s="494">
        <v>21053</v>
      </c>
      <c r="U2394" s="494">
        <v>6170</v>
      </c>
      <c r="V2394" s="493">
        <v>2024</v>
      </c>
      <c r="W2394" s="495"/>
      <c r="X2394" s="496">
        <f t="shared" si="156"/>
        <v>3.4121555915721231</v>
      </c>
      <c r="Y2394" s="497" t="str">
        <f t="shared" si="157"/>
        <v/>
      </c>
      <c r="Z2394" s="497" t="str">
        <f t="shared" si="157"/>
        <v/>
      </c>
    </row>
    <row r="2395" spans="1:26" s="82" customFormat="1" x14ac:dyDescent="0.4">
      <c r="A2395" s="493">
        <v>65222</v>
      </c>
      <c r="B2395" s="105" t="s">
        <v>329</v>
      </c>
      <c r="C2395" s="493" t="s">
        <v>330</v>
      </c>
      <c r="D2395" s="105" t="s">
        <v>2822</v>
      </c>
      <c r="E2395" s="105" t="s">
        <v>2135</v>
      </c>
      <c r="F2395" s="493">
        <v>63244</v>
      </c>
      <c r="G2395" s="105" t="s">
        <v>52</v>
      </c>
      <c r="H2395" s="105" t="s">
        <v>333</v>
      </c>
      <c r="I2395" s="105" t="s">
        <v>334</v>
      </c>
      <c r="J2395" s="493">
        <v>22</v>
      </c>
      <c r="K2395" s="493">
        <v>2</v>
      </c>
      <c r="L2395" s="105" t="s">
        <v>343</v>
      </c>
      <c r="M2395" s="105" t="s">
        <v>655</v>
      </c>
      <c r="N2395" s="105" t="s">
        <v>656</v>
      </c>
      <c r="O2395" s="105" t="s">
        <v>656</v>
      </c>
      <c r="P2395" s="105" t="s">
        <v>339</v>
      </c>
      <c r="Q2395" s="494">
        <v>0</v>
      </c>
      <c r="R2395" s="494">
        <v>0</v>
      </c>
      <c r="S2395" s="494">
        <v>17856</v>
      </c>
      <c r="T2395" s="494">
        <v>17856</v>
      </c>
      <c r="U2395" s="494">
        <v>5232</v>
      </c>
      <c r="V2395" s="493">
        <v>2024</v>
      </c>
      <c r="W2395" s="495"/>
      <c r="X2395" s="496">
        <f t="shared" si="156"/>
        <v>3.4128440366972477</v>
      </c>
      <c r="Y2395" s="497" t="str">
        <f t="shared" si="157"/>
        <v/>
      </c>
      <c r="Z2395" s="497" t="str">
        <f t="shared" si="157"/>
        <v/>
      </c>
    </row>
    <row r="2396" spans="1:26" s="82" customFormat="1" x14ac:dyDescent="0.4">
      <c r="A2396" s="493">
        <v>65232</v>
      </c>
      <c r="B2396" s="105" t="s">
        <v>329</v>
      </c>
      <c r="C2396" s="493" t="s">
        <v>330</v>
      </c>
      <c r="D2396" s="105" t="s">
        <v>2823</v>
      </c>
      <c r="E2396" s="105" t="s">
        <v>1383</v>
      </c>
      <c r="F2396" s="493">
        <v>61944</v>
      </c>
      <c r="G2396" s="105" t="s">
        <v>52</v>
      </c>
      <c r="H2396" s="105" t="s">
        <v>333</v>
      </c>
      <c r="I2396" s="105" t="s">
        <v>334</v>
      </c>
      <c r="J2396" s="493">
        <v>22</v>
      </c>
      <c r="K2396" s="493">
        <v>2</v>
      </c>
      <c r="L2396" s="105" t="s">
        <v>343</v>
      </c>
      <c r="M2396" s="105" t="s">
        <v>655</v>
      </c>
      <c r="N2396" s="105" t="s">
        <v>656</v>
      </c>
      <c r="O2396" s="105" t="s">
        <v>656</v>
      </c>
      <c r="P2396" s="105" t="s">
        <v>339</v>
      </c>
      <c r="Q2396" s="494">
        <v>0</v>
      </c>
      <c r="R2396" s="494">
        <v>0</v>
      </c>
      <c r="S2396" s="494">
        <v>9916</v>
      </c>
      <c r="T2396" s="494">
        <v>9916</v>
      </c>
      <c r="U2396" s="494">
        <v>2906</v>
      </c>
      <c r="V2396" s="493">
        <v>2024</v>
      </c>
      <c r="W2396" s="495"/>
      <c r="X2396" s="496">
        <f t="shared" si="156"/>
        <v>3.4122505161734344</v>
      </c>
      <c r="Y2396" s="497" t="str">
        <f t="shared" si="157"/>
        <v/>
      </c>
      <c r="Z2396" s="497" t="str">
        <f t="shared" si="157"/>
        <v/>
      </c>
    </row>
    <row r="2397" spans="1:26" s="82" customFormat="1" x14ac:dyDescent="0.4">
      <c r="A2397" s="493">
        <v>65233</v>
      </c>
      <c r="B2397" s="105" t="s">
        <v>329</v>
      </c>
      <c r="C2397" s="493" t="s">
        <v>330</v>
      </c>
      <c r="D2397" s="105" t="s">
        <v>2824</v>
      </c>
      <c r="E2397" s="105" t="s">
        <v>1383</v>
      </c>
      <c r="F2397" s="493">
        <v>61944</v>
      </c>
      <c r="G2397" s="105" t="s">
        <v>52</v>
      </c>
      <c r="H2397" s="105" t="s">
        <v>333</v>
      </c>
      <c r="I2397" s="105" t="s">
        <v>334</v>
      </c>
      <c r="J2397" s="493">
        <v>22</v>
      </c>
      <c r="K2397" s="493">
        <v>2</v>
      </c>
      <c r="L2397" s="105" t="s">
        <v>343</v>
      </c>
      <c r="M2397" s="105" t="s">
        <v>655</v>
      </c>
      <c r="N2397" s="105" t="s">
        <v>656</v>
      </c>
      <c r="O2397" s="105" t="s">
        <v>656</v>
      </c>
      <c r="P2397" s="105" t="s">
        <v>339</v>
      </c>
      <c r="Q2397" s="494">
        <v>0</v>
      </c>
      <c r="R2397" s="494">
        <v>0</v>
      </c>
      <c r="S2397" s="494">
        <v>9185</v>
      </c>
      <c r="T2397" s="494">
        <v>9185</v>
      </c>
      <c r="U2397" s="494">
        <v>2692</v>
      </c>
      <c r="V2397" s="493">
        <v>2024</v>
      </c>
      <c r="W2397" s="495"/>
      <c r="X2397" s="496">
        <f t="shared" si="156"/>
        <v>3.4119613670133728</v>
      </c>
      <c r="Y2397" s="497" t="str">
        <f t="shared" si="157"/>
        <v/>
      </c>
      <c r="Z2397" s="497" t="str">
        <f t="shared" si="157"/>
        <v/>
      </c>
    </row>
    <row r="2398" spans="1:26" s="82" customFormat="1" x14ac:dyDescent="0.4">
      <c r="A2398" s="493">
        <v>65242</v>
      </c>
      <c r="B2398" s="105" t="s">
        <v>329</v>
      </c>
      <c r="C2398" s="493" t="s">
        <v>330</v>
      </c>
      <c r="D2398" s="105" t="s">
        <v>2825</v>
      </c>
      <c r="E2398" s="105" t="s">
        <v>2826</v>
      </c>
      <c r="F2398" s="493">
        <v>64560</v>
      </c>
      <c r="G2398" s="105" t="s">
        <v>33</v>
      </c>
      <c r="H2398" s="105" t="s">
        <v>342</v>
      </c>
      <c r="I2398" s="105" t="s">
        <v>334</v>
      </c>
      <c r="J2398" s="493">
        <v>22</v>
      </c>
      <c r="K2398" s="493">
        <v>2</v>
      </c>
      <c r="L2398" s="105" t="s">
        <v>343</v>
      </c>
      <c r="M2398" s="105" t="s">
        <v>403</v>
      </c>
      <c r="N2398" s="105" t="s">
        <v>404</v>
      </c>
      <c r="O2398" s="105" t="s">
        <v>232</v>
      </c>
      <c r="P2398" s="105" t="s">
        <v>346</v>
      </c>
      <c r="Q2398" s="494">
        <v>258</v>
      </c>
      <c r="R2398" s="494">
        <v>258</v>
      </c>
      <c r="S2398" s="494">
        <v>0</v>
      </c>
      <c r="T2398" s="494">
        <v>0</v>
      </c>
      <c r="U2398" s="494">
        <v>-15</v>
      </c>
      <c r="V2398" s="493">
        <v>2024</v>
      </c>
      <c r="W2398" s="495"/>
      <c r="X2398" s="496" t="str">
        <f t="shared" si="156"/>
        <v/>
      </c>
      <c r="Y2398" s="497" t="str">
        <f t="shared" si="157"/>
        <v/>
      </c>
      <c r="Z2398" s="497" t="str">
        <f t="shared" si="157"/>
        <v/>
      </c>
    </row>
    <row r="2399" spans="1:26" s="82" customFormat="1" x14ac:dyDescent="0.4">
      <c r="A2399" s="493">
        <v>65242</v>
      </c>
      <c r="B2399" s="105" t="s">
        <v>329</v>
      </c>
      <c r="C2399" s="493" t="s">
        <v>330</v>
      </c>
      <c r="D2399" s="105" t="s">
        <v>2825</v>
      </c>
      <c r="E2399" s="105" t="s">
        <v>2826</v>
      </c>
      <c r="F2399" s="493">
        <v>64560</v>
      </c>
      <c r="G2399" s="105" t="s">
        <v>33</v>
      </c>
      <c r="H2399" s="105" t="s">
        <v>342</v>
      </c>
      <c r="I2399" s="105" t="s">
        <v>334</v>
      </c>
      <c r="J2399" s="493">
        <v>22</v>
      </c>
      <c r="K2399" s="493">
        <v>2</v>
      </c>
      <c r="L2399" s="105" t="s">
        <v>343</v>
      </c>
      <c r="M2399" s="105" t="s">
        <v>655</v>
      </c>
      <c r="N2399" s="105" t="s">
        <v>656</v>
      </c>
      <c r="O2399" s="105" t="s">
        <v>656</v>
      </c>
      <c r="P2399" s="105" t="s">
        <v>339</v>
      </c>
      <c r="Q2399" s="494">
        <v>0</v>
      </c>
      <c r="R2399" s="494">
        <v>0</v>
      </c>
      <c r="S2399" s="494">
        <v>11780</v>
      </c>
      <c r="T2399" s="494">
        <v>11780</v>
      </c>
      <c r="U2399" s="494">
        <v>3452</v>
      </c>
      <c r="V2399" s="493">
        <v>2024</v>
      </c>
      <c r="W2399" s="495"/>
      <c r="X2399" s="496">
        <f t="shared" si="156"/>
        <v>3.4125144843568944</v>
      </c>
      <c r="Y2399" s="497" t="str">
        <f t="shared" si="157"/>
        <v/>
      </c>
      <c r="Z2399" s="497" t="str">
        <f t="shared" si="157"/>
        <v/>
      </c>
    </row>
    <row r="2400" spans="1:26" s="82" customFormat="1" x14ac:dyDescent="0.4">
      <c r="A2400" s="493">
        <v>65279</v>
      </c>
      <c r="B2400" s="105" t="s">
        <v>329</v>
      </c>
      <c r="C2400" s="493" t="s">
        <v>330</v>
      </c>
      <c r="D2400" s="105" t="s">
        <v>2827</v>
      </c>
      <c r="E2400" s="105" t="s">
        <v>2828</v>
      </c>
      <c r="F2400" s="493">
        <v>64561</v>
      </c>
      <c r="G2400" s="105" t="s">
        <v>33</v>
      </c>
      <c r="H2400" s="105" t="s">
        <v>342</v>
      </c>
      <c r="I2400" s="105" t="s">
        <v>334</v>
      </c>
      <c r="J2400" s="493">
        <v>22</v>
      </c>
      <c r="K2400" s="493">
        <v>2</v>
      </c>
      <c r="L2400" s="105" t="s">
        <v>343</v>
      </c>
      <c r="M2400" s="105" t="s">
        <v>655</v>
      </c>
      <c r="N2400" s="105" t="s">
        <v>656</v>
      </c>
      <c r="O2400" s="105" t="s">
        <v>656</v>
      </c>
      <c r="P2400" s="105" t="s">
        <v>339</v>
      </c>
      <c r="Q2400" s="494">
        <v>0</v>
      </c>
      <c r="R2400" s="494">
        <v>0</v>
      </c>
      <c r="S2400" s="494">
        <v>11690</v>
      </c>
      <c r="T2400" s="494">
        <v>11690</v>
      </c>
      <c r="U2400" s="494">
        <v>3426</v>
      </c>
      <c r="V2400" s="493">
        <v>2024</v>
      </c>
      <c r="W2400" s="495"/>
      <c r="X2400" s="496">
        <f t="shared" si="156"/>
        <v>3.4121424401634561</v>
      </c>
      <c r="Y2400" s="497" t="str">
        <f t="shared" si="157"/>
        <v/>
      </c>
      <c r="Z2400" s="497" t="str">
        <f t="shared" si="157"/>
        <v/>
      </c>
    </row>
    <row r="2401" spans="1:26" s="82" customFormat="1" x14ac:dyDescent="0.4">
      <c r="A2401" s="493">
        <v>65287</v>
      </c>
      <c r="B2401" s="105" t="s">
        <v>329</v>
      </c>
      <c r="C2401" s="493" t="s">
        <v>330</v>
      </c>
      <c r="D2401" s="105" t="s">
        <v>2829</v>
      </c>
      <c r="E2401" s="105" t="s">
        <v>1650</v>
      </c>
      <c r="F2401" s="493">
        <v>58135</v>
      </c>
      <c r="G2401" s="105" t="s">
        <v>37</v>
      </c>
      <c r="H2401" s="105" t="s">
        <v>342</v>
      </c>
      <c r="I2401" s="105" t="s">
        <v>334</v>
      </c>
      <c r="J2401" s="493">
        <v>22</v>
      </c>
      <c r="K2401" s="493">
        <v>2</v>
      </c>
      <c r="L2401" s="105" t="s">
        <v>343</v>
      </c>
      <c r="M2401" s="105" t="s">
        <v>655</v>
      </c>
      <c r="N2401" s="105" t="s">
        <v>656</v>
      </c>
      <c r="O2401" s="105" t="s">
        <v>656</v>
      </c>
      <c r="P2401" s="105" t="s">
        <v>339</v>
      </c>
      <c r="Q2401" s="494">
        <v>0</v>
      </c>
      <c r="R2401" s="494">
        <v>0</v>
      </c>
      <c r="S2401" s="494">
        <v>11277</v>
      </c>
      <c r="T2401" s="494">
        <v>11277</v>
      </c>
      <c r="U2401" s="494">
        <v>3305</v>
      </c>
      <c r="V2401" s="493">
        <v>2024</v>
      </c>
      <c r="W2401" s="495"/>
      <c r="X2401" s="496">
        <f t="shared" si="156"/>
        <v>3.4121028744326778</v>
      </c>
      <c r="Y2401" s="497" t="str">
        <f t="shared" si="157"/>
        <v/>
      </c>
      <c r="Z2401" s="497" t="str">
        <f t="shared" si="157"/>
        <v/>
      </c>
    </row>
    <row r="2402" spans="1:26" s="82" customFormat="1" ht="32" x14ac:dyDescent="0.4">
      <c r="A2402" s="493">
        <v>65294</v>
      </c>
      <c r="B2402" s="105" t="s">
        <v>329</v>
      </c>
      <c r="C2402" s="493" t="s">
        <v>330</v>
      </c>
      <c r="D2402" s="105" t="s">
        <v>2830</v>
      </c>
      <c r="E2402" s="105" t="s">
        <v>592</v>
      </c>
      <c r="F2402" s="493">
        <v>57280</v>
      </c>
      <c r="G2402" s="105" t="s">
        <v>33</v>
      </c>
      <c r="H2402" s="105" t="s">
        <v>342</v>
      </c>
      <c r="I2402" s="105" t="s">
        <v>334</v>
      </c>
      <c r="J2402" s="493">
        <v>22</v>
      </c>
      <c r="K2402" s="493">
        <v>2</v>
      </c>
      <c r="L2402" s="105" t="s">
        <v>343</v>
      </c>
      <c r="M2402" s="105" t="s">
        <v>336</v>
      </c>
      <c r="N2402" s="105" t="s">
        <v>337</v>
      </c>
      <c r="O2402" s="105" t="s">
        <v>338</v>
      </c>
      <c r="P2402" s="105" t="s">
        <v>339</v>
      </c>
      <c r="Q2402" s="494">
        <v>0</v>
      </c>
      <c r="R2402" s="494">
        <v>0</v>
      </c>
      <c r="S2402" s="494">
        <v>4343</v>
      </c>
      <c r="T2402" s="494">
        <v>4343</v>
      </c>
      <c r="U2402" s="494">
        <v>1273</v>
      </c>
      <c r="V2402" s="493">
        <v>2024</v>
      </c>
      <c r="W2402" s="495"/>
      <c r="X2402" s="496">
        <f t="shared" si="156"/>
        <v>3.4116260801256875</v>
      </c>
      <c r="Y2402" s="497" t="str">
        <f t="shared" si="157"/>
        <v/>
      </c>
      <c r="Z2402" s="497" t="str">
        <f t="shared" si="157"/>
        <v/>
      </c>
    </row>
    <row r="2403" spans="1:26" s="82" customFormat="1" x14ac:dyDescent="0.4">
      <c r="A2403" s="493">
        <v>65297</v>
      </c>
      <c r="B2403" s="105" t="s">
        <v>329</v>
      </c>
      <c r="C2403" s="493" t="s">
        <v>330</v>
      </c>
      <c r="D2403" s="105" t="s">
        <v>2831</v>
      </c>
      <c r="E2403" s="105" t="s">
        <v>2831</v>
      </c>
      <c r="F2403" s="493">
        <v>64602</v>
      </c>
      <c r="G2403" s="105" t="s">
        <v>52</v>
      </c>
      <c r="H2403" s="105" t="s">
        <v>333</v>
      </c>
      <c r="I2403" s="105" t="s">
        <v>334</v>
      </c>
      <c r="J2403" s="493">
        <v>22</v>
      </c>
      <c r="K2403" s="493">
        <v>2</v>
      </c>
      <c r="L2403" s="105" t="s">
        <v>343</v>
      </c>
      <c r="M2403" s="105" t="s">
        <v>655</v>
      </c>
      <c r="N2403" s="105" t="s">
        <v>656</v>
      </c>
      <c r="O2403" s="105" t="s">
        <v>656</v>
      </c>
      <c r="P2403" s="105" t="s">
        <v>339</v>
      </c>
      <c r="Q2403" s="494">
        <v>0</v>
      </c>
      <c r="R2403" s="494">
        <v>0</v>
      </c>
      <c r="S2403" s="494">
        <v>18926</v>
      </c>
      <c r="T2403" s="494">
        <v>18926</v>
      </c>
      <c r="U2403" s="494">
        <v>5547</v>
      </c>
      <c r="V2403" s="493">
        <v>2024</v>
      </c>
      <c r="W2403" s="495"/>
      <c r="X2403" s="496">
        <f t="shared" si="156"/>
        <v>3.411934378943573</v>
      </c>
      <c r="Y2403" s="497" t="str">
        <f t="shared" si="157"/>
        <v/>
      </c>
      <c r="Z2403" s="497" t="str">
        <f t="shared" si="157"/>
        <v/>
      </c>
    </row>
    <row r="2404" spans="1:26" s="82" customFormat="1" x14ac:dyDescent="0.4">
      <c r="A2404" s="493">
        <v>65298</v>
      </c>
      <c r="B2404" s="105" t="s">
        <v>329</v>
      </c>
      <c r="C2404" s="493" t="s">
        <v>330</v>
      </c>
      <c r="D2404" s="105" t="s">
        <v>2832</v>
      </c>
      <c r="E2404" s="105" t="s">
        <v>2832</v>
      </c>
      <c r="F2404" s="493">
        <v>64603</v>
      </c>
      <c r="G2404" s="105" t="s">
        <v>52</v>
      </c>
      <c r="H2404" s="105" t="s">
        <v>333</v>
      </c>
      <c r="I2404" s="105" t="s">
        <v>334</v>
      </c>
      <c r="J2404" s="493">
        <v>22</v>
      </c>
      <c r="K2404" s="493">
        <v>2</v>
      </c>
      <c r="L2404" s="105" t="s">
        <v>343</v>
      </c>
      <c r="M2404" s="105" t="s">
        <v>655</v>
      </c>
      <c r="N2404" s="105" t="s">
        <v>656</v>
      </c>
      <c r="O2404" s="105" t="s">
        <v>656</v>
      </c>
      <c r="P2404" s="105" t="s">
        <v>339</v>
      </c>
      <c r="Q2404" s="494">
        <v>0</v>
      </c>
      <c r="R2404" s="494">
        <v>0</v>
      </c>
      <c r="S2404" s="494">
        <v>29832</v>
      </c>
      <c r="T2404" s="494">
        <v>29832</v>
      </c>
      <c r="U2404" s="494">
        <v>8743</v>
      </c>
      <c r="V2404" s="493">
        <v>2024</v>
      </c>
      <c r="W2404" s="495"/>
      <c r="X2404" s="496">
        <f t="shared" si="156"/>
        <v>3.4121011094589959</v>
      </c>
      <c r="Y2404" s="497" t="str">
        <f t="shared" si="157"/>
        <v/>
      </c>
      <c r="Z2404" s="497" t="str">
        <f t="shared" si="157"/>
        <v/>
      </c>
    </row>
    <row r="2405" spans="1:26" s="82" customFormat="1" x14ac:dyDescent="0.4">
      <c r="A2405" s="493">
        <v>65299</v>
      </c>
      <c r="B2405" s="105" t="s">
        <v>329</v>
      </c>
      <c r="C2405" s="493" t="s">
        <v>330</v>
      </c>
      <c r="D2405" s="105" t="s">
        <v>2833</v>
      </c>
      <c r="E2405" s="105" t="s">
        <v>2833</v>
      </c>
      <c r="F2405" s="493">
        <v>64604</v>
      </c>
      <c r="G2405" s="105" t="s">
        <v>52</v>
      </c>
      <c r="H2405" s="105" t="s">
        <v>333</v>
      </c>
      <c r="I2405" s="105" t="s">
        <v>334</v>
      </c>
      <c r="J2405" s="493">
        <v>22</v>
      </c>
      <c r="K2405" s="493">
        <v>2</v>
      </c>
      <c r="L2405" s="105" t="s">
        <v>343</v>
      </c>
      <c r="M2405" s="105" t="s">
        <v>655</v>
      </c>
      <c r="N2405" s="105" t="s">
        <v>656</v>
      </c>
      <c r="O2405" s="105" t="s">
        <v>656</v>
      </c>
      <c r="P2405" s="105" t="s">
        <v>339</v>
      </c>
      <c r="Q2405" s="494">
        <v>0</v>
      </c>
      <c r="R2405" s="494">
        <v>0</v>
      </c>
      <c r="S2405" s="494">
        <v>26760</v>
      </c>
      <c r="T2405" s="494">
        <v>26760</v>
      </c>
      <c r="U2405" s="494">
        <v>7843</v>
      </c>
      <c r="V2405" s="493">
        <v>2024</v>
      </c>
      <c r="W2405" s="495"/>
      <c r="X2405" s="496">
        <f t="shared" si="156"/>
        <v>3.4119597092949125</v>
      </c>
      <c r="Y2405" s="497" t="str">
        <f t="shared" si="157"/>
        <v/>
      </c>
      <c r="Z2405" s="497" t="str">
        <f t="shared" si="157"/>
        <v/>
      </c>
    </row>
    <row r="2406" spans="1:26" s="82" customFormat="1" x14ac:dyDescent="0.4">
      <c r="A2406" s="493">
        <v>65300</v>
      </c>
      <c r="B2406" s="105" t="s">
        <v>329</v>
      </c>
      <c r="C2406" s="493" t="s">
        <v>330</v>
      </c>
      <c r="D2406" s="105" t="s">
        <v>2834</v>
      </c>
      <c r="E2406" s="105" t="s">
        <v>2834</v>
      </c>
      <c r="F2406" s="493">
        <v>64605</v>
      </c>
      <c r="G2406" s="105" t="s">
        <v>52</v>
      </c>
      <c r="H2406" s="105" t="s">
        <v>333</v>
      </c>
      <c r="I2406" s="105" t="s">
        <v>334</v>
      </c>
      <c r="J2406" s="493">
        <v>22</v>
      </c>
      <c r="K2406" s="493">
        <v>2</v>
      </c>
      <c r="L2406" s="105" t="s">
        <v>343</v>
      </c>
      <c r="M2406" s="105" t="s">
        <v>655</v>
      </c>
      <c r="N2406" s="105" t="s">
        <v>656</v>
      </c>
      <c r="O2406" s="105" t="s">
        <v>656</v>
      </c>
      <c r="P2406" s="105" t="s">
        <v>339</v>
      </c>
      <c r="Q2406" s="494">
        <v>0</v>
      </c>
      <c r="R2406" s="494">
        <v>0</v>
      </c>
      <c r="S2406" s="494">
        <v>21468</v>
      </c>
      <c r="T2406" s="494">
        <v>21468</v>
      </c>
      <c r="U2406" s="494">
        <v>6292</v>
      </c>
      <c r="V2406" s="493">
        <v>2024</v>
      </c>
      <c r="W2406" s="495"/>
      <c r="X2406" s="496">
        <f t="shared" si="156"/>
        <v>3.4119516846789573</v>
      </c>
      <c r="Y2406" s="497" t="str">
        <f t="shared" si="157"/>
        <v/>
      </c>
      <c r="Z2406" s="497" t="str">
        <f t="shared" si="157"/>
        <v/>
      </c>
    </row>
    <row r="2407" spans="1:26" s="82" customFormat="1" ht="48" x14ac:dyDescent="0.4">
      <c r="A2407" s="493">
        <v>65309</v>
      </c>
      <c r="B2407" s="105" t="s">
        <v>329</v>
      </c>
      <c r="C2407" s="493" t="s">
        <v>330</v>
      </c>
      <c r="D2407" s="105" t="s">
        <v>2835</v>
      </c>
      <c r="E2407" s="105" t="s">
        <v>1354</v>
      </c>
      <c r="F2407" s="493">
        <v>60025</v>
      </c>
      <c r="G2407" s="105" t="s">
        <v>52</v>
      </c>
      <c r="H2407" s="105" t="s">
        <v>333</v>
      </c>
      <c r="I2407" s="105" t="s">
        <v>334</v>
      </c>
      <c r="J2407" s="493">
        <v>22</v>
      </c>
      <c r="K2407" s="493">
        <v>2</v>
      </c>
      <c r="L2407" s="105" t="s">
        <v>343</v>
      </c>
      <c r="M2407" s="105" t="s">
        <v>655</v>
      </c>
      <c r="N2407" s="105" t="s">
        <v>656</v>
      </c>
      <c r="O2407" s="105" t="s">
        <v>656</v>
      </c>
      <c r="P2407" s="105" t="s">
        <v>339</v>
      </c>
      <c r="Q2407" s="494">
        <v>0</v>
      </c>
      <c r="R2407" s="494">
        <v>0</v>
      </c>
      <c r="S2407" s="494">
        <v>23152</v>
      </c>
      <c r="T2407" s="494">
        <v>23152</v>
      </c>
      <c r="U2407" s="494">
        <v>6785</v>
      </c>
      <c r="V2407" s="493">
        <v>2024</v>
      </c>
      <c r="W2407" s="495"/>
      <c r="X2407" s="496">
        <f t="shared" si="156"/>
        <v>3.4122328666175386</v>
      </c>
      <c r="Y2407" s="497" t="str">
        <f t="shared" si="157"/>
        <v/>
      </c>
      <c r="Z2407" s="497" t="str">
        <f t="shared" si="157"/>
        <v/>
      </c>
    </row>
    <row r="2408" spans="1:26" s="82" customFormat="1" ht="32" x14ac:dyDescent="0.4">
      <c r="A2408" s="493">
        <v>65337</v>
      </c>
      <c r="B2408" s="105" t="s">
        <v>329</v>
      </c>
      <c r="C2408" s="493" t="s">
        <v>330</v>
      </c>
      <c r="D2408" s="105" t="s">
        <v>2836</v>
      </c>
      <c r="E2408" s="105" t="s">
        <v>2837</v>
      </c>
      <c r="F2408" s="493">
        <v>56990</v>
      </c>
      <c r="G2408" s="105" t="s">
        <v>52</v>
      </c>
      <c r="H2408" s="105" t="s">
        <v>333</v>
      </c>
      <c r="I2408" s="105" t="s">
        <v>334</v>
      </c>
      <c r="J2408" s="493">
        <v>22</v>
      </c>
      <c r="K2408" s="493">
        <v>2</v>
      </c>
      <c r="L2408" s="105" t="s">
        <v>343</v>
      </c>
      <c r="M2408" s="105" t="s">
        <v>655</v>
      </c>
      <c r="N2408" s="105" t="s">
        <v>656</v>
      </c>
      <c r="O2408" s="105" t="s">
        <v>656</v>
      </c>
      <c r="P2408" s="105" t="s">
        <v>339</v>
      </c>
      <c r="Q2408" s="494">
        <v>0</v>
      </c>
      <c r="R2408" s="494">
        <v>0</v>
      </c>
      <c r="S2408" s="494">
        <v>30864</v>
      </c>
      <c r="T2408" s="494">
        <v>30864</v>
      </c>
      <c r="U2408" s="494">
        <v>9046</v>
      </c>
      <c r="V2408" s="493">
        <v>2024</v>
      </c>
      <c r="W2408" s="495"/>
      <c r="X2408" s="496">
        <f t="shared" si="156"/>
        <v>3.4118947601149681</v>
      </c>
      <c r="Y2408" s="497" t="str">
        <f t="shared" ref="Y2408:Z2427" si="158">IF(AND($M2408=$Y$2,$N2408=$Y$3,NOT($Q2408=$R2408),NOT($U2408=0)),IF($K2408=5,$S2408/($U2408+(8/5)*$U2408),IF($K2408=7,$S2408/($U2408+(29/25)*$U2408),"")),"")</f>
        <v/>
      </c>
      <c r="Z2408" s="497" t="str">
        <f t="shared" si="158"/>
        <v/>
      </c>
    </row>
    <row r="2409" spans="1:26" s="82" customFormat="1" x14ac:dyDescent="0.4">
      <c r="A2409" s="493">
        <v>65342</v>
      </c>
      <c r="B2409" s="105" t="s">
        <v>329</v>
      </c>
      <c r="C2409" s="493" t="s">
        <v>330</v>
      </c>
      <c r="D2409" s="105" t="s">
        <v>2838</v>
      </c>
      <c r="E2409" s="105" t="s">
        <v>1356</v>
      </c>
      <c r="F2409" s="493">
        <v>65164</v>
      </c>
      <c r="G2409" s="105" t="s">
        <v>34</v>
      </c>
      <c r="H2409" s="105" t="s">
        <v>342</v>
      </c>
      <c r="I2409" s="105" t="s">
        <v>334</v>
      </c>
      <c r="J2409" s="493">
        <v>22</v>
      </c>
      <c r="K2409" s="493">
        <v>2</v>
      </c>
      <c r="L2409" s="105" t="s">
        <v>343</v>
      </c>
      <c r="M2409" s="105" t="s">
        <v>655</v>
      </c>
      <c r="N2409" s="105" t="s">
        <v>656</v>
      </c>
      <c r="O2409" s="105" t="s">
        <v>656</v>
      </c>
      <c r="P2409" s="105" t="s">
        <v>339</v>
      </c>
      <c r="Q2409" s="494">
        <v>0</v>
      </c>
      <c r="R2409" s="494">
        <v>0</v>
      </c>
      <c r="S2409" s="494">
        <v>26604</v>
      </c>
      <c r="T2409" s="494">
        <v>26604</v>
      </c>
      <c r="U2409" s="494">
        <v>7797</v>
      </c>
      <c r="V2409" s="493">
        <v>2024</v>
      </c>
      <c r="W2409" s="495"/>
      <c r="X2409" s="496">
        <f t="shared" si="156"/>
        <v>3.4120815698345517</v>
      </c>
      <c r="Y2409" s="497" t="str">
        <f t="shared" si="158"/>
        <v/>
      </c>
      <c r="Z2409" s="497" t="str">
        <f t="shared" si="158"/>
        <v/>
      </c>
    </row>
    <row r="2410" spans="1:26" s="82" customFormat="1" x14ac:dyDescent="0.4">
      <c r="A2410" s="493">
        <v>65352</v>
      </c>
      <c r="B2410" s="105" t="s">
        <v>329</v>
      </c>
      <c r="C2410" s="493" t="s">
        <v>330</v>
      </c>
      <c r="D2410" s="105" t="s">
        <v>2839</v>
      </c>
      <c r="E2410" s="105" t="s">
        <v>1650</v>
      </c>
      <c r="F2410" s="493">
        <v>58135</v>
      </c>
      <c r="G2410" s="105" t="s">
        <v>36</v>
      </c>
      <c r="H2410" s="105" t="s">
        <v>342</v>
      </c>
      <c r="I2410" s="105" t="s">
        <v>334</v>
      </c>
      <c r="J2410" s="493">
        <v>22</v>
      </c>
      <c r="K2410" s="493">
        <v>2</v>
      </c>
      <c r="L2410" s="105" t="s">
        <v>343</v>
      </c>
      <c r="M2410" s="105" t="s">
        <v>655</v>
      </c>
      <c r="N2410" s="105" t="s">
        <v>656</v>
      </c>
      <c r="O2410" s="105" t="s">
        <v>656</v>
      </c>
      <c r="P2410" s="105" t="s">
        <v>339</v>
      </c>
      <c r="Q2410" s="494">
        <v>0</v>
      </c>
      <c r="R2410" s="494">
        <v>0</v>
      </c>
      <c r="S2410" s="494">
        <v>11622</v>
      </c>
      <c r="T2410" s="494">
        <v>11622</v>
      </c>
      <c r="U2410" s="494">
        <v>3406</v>
      </c>
      <c r="V2410" s="493">
        <v>2024</v>
      </c>
      <c r="W2410" s="495"/>
      <c r="X2410" s="496">
        <f t="shared" si="156"/>
        <v>3.4122137404580153</v>
      </c>
      <c r="Y2410" s="497" t="str">
        <f t="shared" si="158"/>
        <v/>
      </c>
      <c r="Z2410" s="497" t="str">
        <f t="shared" si="158"/>
        <v/>
      </c>
    </row>
    <row r="2411" spans="1:26" s="82" customFormat="1" x14ac:dyDescent="0.4">
      <c r="A2411" s="493">
        <v>65353</v>
      </c>
      <c r="B2411" s="105" t="s">
        <v>329</v>
      </c>
      <c r="C2411" s="493" t="s">
        <v>330</v>
      </c>
      <c r="D2411" s="105" t="s">
        <v>2840</v>
      </c>
      <c r="E2411" s="105" t="s">
        <v>1650</v>
      </c>
      <c r="F2411" s="493">
        <v>58135</v>
      </c>
      <c r="G2411" s="105" t="s">
        <v>37</v>
      </c>
      <c r="H2411" s="105" t="s">
        <v>342</v>
      </c>
      <c r="I2411" s="105" t="s">
        <v>334</v>
      </c>
      <c r="J2411" s="493">
        <v>22</v>
      </c>
      <c r="K2411" s="493">
        <v>2</v>
      </c>
      <c r="L2411" s="105" t="s">
        <v>343</v>
      </c>
      <c r="M2411" s="105" t="s">
        <v>655</v>
      </c>
      <c r="N2411" s="105" t="s">
        <v>656</v>
      </c>
      <c r="O2411" s="105" t="s">
        <v>656</v>
      </c>
      <c r="P2411" s="105" t="s">
        <v>339</v>
      </c>
      <c r="Q2411" s="494">
        <v>0</v>
      </c>
      <c r="R2411" s="494">
        <v>0</v>
      </c>
      <c r="S2411" s="494">
        <v>5404</v>
      </c>
      <c r="T2411" s="494">
        <v>5404</v>
      </c>
      <c r="U2411" s="494">
        <v>1584</v>
      </c>
      <c r="V2411" s="493">
        <v>2024</v>
      </c>
      <c r="W2411" s="495"/>
      <c r="X2411" s="496">
        <f t="shared" si="156"/>
        <v>3.4116161616161618</v>
      </c>
      <c r="Y2411" s="497" t="str">
        <f t="shared" si="158"/>
        <v/>
      </c>
      <c r="Z2411" s="497" t="str">
        <f t="shared" si="158"/>
        <v/>
      </c>
    </row>
    <row r="2412" spans="1:26" s="82" customFormat="1" x14ac:dyDescent="0.4">
      <c r="A2412" s="493">
        <v>65362</v>
      </c>
      <c r="B2412" s="105" t="s">
        <v>329</v>
      </c>
      <c r="C2412" s="493" t="s">
        <v>330</v>
      </c>
      <c r="D2412" s="105" t="s">
        <v>2841</v>
      </c>
      <c r="E2412" s="105" t="s">
        <v>2842</v>
      </c>
      <c r="F2412" s="493">
        <v>64625</v>
      </c>
      <c r="G2412" s="105" t="s">
        <v>33</v>
      </c>
      <c r="H2412" s="105" t="s">
        <v>342</v>
      </c>
      <c r="I2412" s="105" t="s">
        <v>334</v>
      </c>
      <c r="J2412" s="493">
        <v>22</v>
      </c>
      <c r="K2412" s="493">
        <v>2</v>
      </c>
      <c r="L2412" s="105" t="s">
        <v>343</v>
      </c>
      <c r="M2412" s="105" t="s">
        <v>655</v>
      </c>
      <c r="N2412" s="105" t="s">
        <v>656</v>
      </c>
      <c r="O2412" s="105" t="s">
        <v>656</v>
      </c>
      <c r="P2412" s="105" t="s">
        <v>339</v>
      </c>
      <c r="Q2412" s="494">
        <v>0</v>
      </c>
      <c r="R2412" s="494">
        <v>0</v>
      </c>
      <c r="S2412" s="494">
        <v>24597</v>
      </c>
      <c r="T2412" s="494">
        <v>24597</v>
      </c>
      <c r="U2412" s="494">
        <v>7209</v>
      </c>
      <c r="V2412" s="493">
        <v>2024</v>
      </c>
      <c r="W2412" s="495"/>
      <c r="X2412" s="496">
        <f t="shared" si="156"/>
        <v>3.4119850187265919</v>
      </c>
      <c r="Y2412" s="497" t="str">
        <f t="shared" si="158"/>
        <v/>
      </c>
      <c r="Z2412" s="497" t="str">
        <f t="shared" si="158"/>
        <v/>
      </c>
    </row>
    <row r="2413" spans="1:26" s="82" customFormat="1" x14ac:dyDescent="0.4">
      <c r="A2413" s="493">
        <v>65370</v>
      </c>
      <c r="B2413" s="105" t="s">
        <v>329</v>
      </c>
      <c r="C2413" s="493" t="s">
        <v>330</v>
      </c>
      <c r="D2413" s="105" t="s">
        <v>2843</v>
      </c>
      <c r="E2413" s="105" t="s">
        <v>1666</v>
      </c>
      <c r="F2413" s="493">
        <v>62836</v>
      </c>
      <c r="G2413" s="105" t="s">
        <v>34</v>
      </c>
      <c r="H2413" s="105" t="s">
        <v>342</v>
      </c>
      <c r="I2413" s="105" t="s">
        <v>334</v>
      </c>
      <c r="J2413" s="493">
        <v>22</v>
      </c>
      <c r="K2413" s="493">
        <v>2</v>
      </c>
      <c r="L2413" s="105" t="s">
        <v>343</v>
      </c>
      <c r="M2413" s="105" t="s">
        <v>655</v>
      </c>
      <c r="N2413" s="105" t="s">
        <v>656</v>
      </c>
      <c r="O2413" s="105" t="s">
        <v>656</v>
      </c>
      <c r="P2413" s="105" t="s">
        <v>339</v>
      </c>
      <c r="Q2413" s="494">
        <v>0</v>
      </c>
      <c r="R2413" s="494">
        <v>0</v>
      </c>
      <c r="S2413" s="494">
        <v>17138</v>
      </c>
      <c r="T2413" s="494">
        <v>17138</v>
      </c>
      <c r="U2413" s="494">
        <v>5023</v>
      </c>
      <c r="V2413" s="493">
        <v>2024</v>
      </c>
      <c r="W2413" s="495"/>
      <c r="X2413" s="496">
        <f t="shared" si="156"/>
        <v>3.4119052359147921</v>
      </c>
      <c r="Y2413" s="497" t="str">
        <f t="shared" si="158"/>
        <v/>
      </c>
      <c r="Z2413" s="497" t="str">
        <f t="shared" si="158"/>
        <v/>
      </c>
    </row>
    <row r="2414" spans="1:26" s="82" customFormat="1" ht="32" x14ac:dyDescent="0.4">
      <c r="A2414" s="493">
        <v>65378</v>
      </c>
      <c r="B2414" s="105" t="s">
        <v>329</v>
      </c>
      <c r="C2414" s="493" t="s">
        <v>330</v>
      </c>
      <c r="D2414" s="105" t="s">
        <v>2844</v>
      </c>
      <c r="E2414" s="105" t="s">
        <v>2845</v>
      </c>
      <c r="F2414" s="493">
        <v>64700</v>
      </c>
      <c r="G2414" s="105" t="s">
        <v>52</v>
      </c>
      <c r="H2414" s="105" t="s">
        <v>333</v>
      </c>
      <c r="I2414" s="105" t="s">
        <v>334</v>
      </c>
      <c r="J2414" s="493">
        <v>22</v>
      </c>
      <c r="K2414" s="493">
        <v>2</v>
      </c>
      <c r="L2414" s="105" t="s">
        <v>343</v>
      </c>
      <c r="M2414" s="105" t="s">
        <v>655</v>
      </c>
      <c r="N2414" s="105" t="s">
        <v>656</v>
      </c>
      <c r="O2414" s="105" t="s">
        <v>656</v>
      </c>
      <c r="P2414" s="105" t="s">
        <v>339</v>
      </c>
      <c r="Q2414" s="494">
        <v>0</v>
      </c>
      <c r="R2414" s="494">
        <v>0</v>
      </c>
      <c r="S2414" s="494">
        <v>33045</v>
      </c>
      <c r="T2414" s="494">
        <v>33045</v>
      </c>
      <c r="U2414" s="494">
        <v>9685</v>
      </c>
      <c r="V2414" s="493">
        <v>2024</v>
      </c>
      <c r="W2414" s="495"/>
      <c r="X2414" s="496">
        <f t="shared" si="156"/>
        <v>3.4119772844605061</v>
      </c>
      <c r="Y2414" s="497" t="str">
        <f t="shared" si="158"/>
        <v/>
      </c>
      <c r="Z2414" s="497" t="str">
        <f t="shared" si="158"/>
        <v/>
      </c>
    </row>
    <row r="2415" spans="1:26" s="82" customFormat="1" ht="32" x14ac:dyDescent="0.4">
      <c r="A2415" s="493">
        <v>65379</v>
      </c>
      <c r="B2415" s="105" t="s">
        <v>329</v>
      </c>
      <c r="C2415" s="493" t="s">
        <v>330</v>
      </c>
      <c r="D2415" s="105" t="s">
        <v>2846</v>
      </c>
      <c r="E2415" s="105" t="s">
        <v>2847</v>
      </c>
      <c r="F2415" s="493">
        <v>64699</v>
      </c>
      <c r="G2415" s="105" t="s">
        <v>52</v>
      </c>
      <c r="H2415" s="105" t="s">
        <v>333</v>
      </c>
      <c r="I2415" s="105" t="s">
        <v>334</v>
      </c>
      <c r="J2415" s="493">
        <v>22</v>
      </c>
      <c r="K2415" s="493">
        <v>2</v>
      </c>
      <c r="L2415" s="105" t="s">
        <v>343</v>
      </c>
      <c r="M2415" s="105" t="s">
        <v>655</v>
      </c>
      <c r="N2415" s="105" t="s">
        <v>656</v>
      </c>
      <c r="O2415" s="105" t="s">
        <v>656</v>
      </c>
      <c r="P2415" s="105" t="s">
        <v>339</v>
      </c>
      <c r="Q2415" s="494">
        <v>0</v>
      </c>
      <c r="R2415" s="494">
        <v>0</v>
      </c>
      <c r="S2415" s="494">
        <v>23624</v>
      </c>
      <c r="T2415" s="494">
        <v>23624</v>
      </c>
      <c r="U2415" s="494">
        <v>6924</v>
      </c>
      <c r="V2415" s="493">
        <v>2024</v>
      </c>
      <c r="W2415" s="495"/>
      <c r="X2415" s="496">
        <f t="shared" si="156"/>
        <v>3.4119006354708259</v>
      </c>
      <c r="Y2415" s="497" t="str">
        <f t="shared" si="158"/>
        <v/>
      </c>
      <c r="Z2415" s="497" t="str">
        <f t="shared" si="158"/>
        <v/>
      </c>
    </row>
    <row r="2416" spans="1:26" s="82" customFormat="1" ht="32" x14ac:dyDescent="0.4">
      <c r="A2416" s="493">
        <v>65385</v>
      </c>
      <c r="B2416" s="105" t="s">
        <v>329</v>
      </c>
      <c r="C2416" s="493" t="s">
        <v>330</v>
      </c>
      <c r="D2416" s="105" t="s">
        <v>2848</v>
      </c>
      <c r="E2416" s="105" t="s">
        <v>2837</v>
      </c>
      <c r="F2416" s="493">
        <v>56990</v>
      </c>
      <c r="G2416" s="105" t="s">
        <v>52</v>
      </c>
      <c r="H2416" s="105" t="s">
        <v>333</v>
      </c>
      <c r="I2416" s="105" t="s">
        <v>334</v>
      </c>
      <c r="J2416" s="493">
        <v>22</v>
      </c>
      <c r="K2416" s="493">
        <v>2</v>
      </c>
      <c r="L2416" s="105" t="s">
        <v>343</v>
      </c>
      <c r="M2416" s="105" t="s">
        <v>655</v>
      </c>
      <c r="N2416" s="105" t="s">
        <v>656</v>
      </c>
      <c r="O2416" s="105" t="s">
        <v>656</v>
      </c>
      <c r="P2416" s="105" t="s">
        <v>339</v>
      </c>
      <c r="Q2416" s="494">
        <v>0</v>
      </c>
      <c r="R2416" s="494">
        <v>0</v>
      </c>
      <c r="S2416" s="494">
        <v>30374</v>
      </c>
      <c r="T2416" s="494">
        <v>30374</v>
      </c>
      <c r="U2416" s="494">
        <v>8902</v>
      </c>
      <c r="V2416" s="493">
        <v>2024</v>
      </c>
      <c r="W2416" s="495"/>
      <c r="X2416" s="496">
        <f t="shared" si="156"/>
        <v>3.4120422376993935</v>
      </c>
      <c r="Y2416" s="497" t="str">
        <f t="shared" si="158"/>
        <v/>
      </c>
      <c r="Z2416" s="497" t="str">
        <f t="shared" si="158"/>
        <v/>
      </c>
    </row>
    <row r="2417" spans="1:26" s="82" customFormat="1" ht="32" x14ac:dyDescent="0.4">
      <c r="A2417" s="493">
        <v>65386</v>
      </c>
      <c r="B2417" s="105" t="s">
        <v>329</v>
      </c>
      <c r="C2417" s="493" t="s">
        <v>330</v>
      </c>
      <c r="D2417" s="105" t="s">
        <v>2849</v>
      </c>
      <c r="E2417" s="105" t="s">
        <v>2837</v>
      </c>
      <c r="F2417" s="493">
        <v>56990</v>
      </c>
      <c r="G2417" s="105" t="s">
        <v>38</v>
      </c>
      <c r="H2417" s="105" t="s">
        <v>342</v>
      </c>
      <c r="I2417" s="105" t="s">
        <v>2117</v>
      </c>
      <c r="J2417" s="493">
        <v>22</v>
      </c>
      <c r="K2417" s="493">
        <v>2</v>
      </c>
      <c r="L2417" s="105" t="s">
        <v>343</v>
      </c>
      <c r="M2417" s="105" t="s">
        <v>655</v>
      </c>
      <c r="N2417" s="105" t="s">
        <v>656</v>
      </c>
      <c r="O2417" s="105" t="s">
        <v>656</v>
      </c>
      <c r="P2417" s="105" t="s">
        <v>339</v>
      </c>
      <c r="Q2417" s="494">
        <v>0</v>
      </c>
      <c r="R2417" s="494">
        <v>0</v>
      </c>
      <c r="S2417" s="494">
        <v>11682</v>
      </c>
      <c r="T2417" s="494">
        <v>11682</v>
      </c>
      <c r="U2417" s="494">
        <v>3424</v>
      </c>
      <c r="V2417" s="493">
        <v>2024</v>
      </c>
      <c r="W2417" s="495"/>
      <c r="X2417" s="496">
        <f t="shared" si="156"/>
        <v>3.4117990654205608</v>
      </c>
      <c r="Y2417" s="497" t="str">
        <f t="shared" si="158"/>
        <v/>
      </c>
      <c r="Z2417" s="497" t="str">
        <f t="shared" si="158"/>
        <v/>
      </c>
    </row>
    <row r="2418" spans="1:26" s="82" customFormat="1" x14ac:dyDescent="0.4">
      <c r="A2418" s="493">
        <v>65434</v>
      </c>
      <c r="B2418" s="105" t="s">
        <v>329</v>
      </c>
      <c r="C2418" s="493" t="s">
        <v>330</v>
      </c>
      <c r="D2418" s="105" t="s">
        <v>2850</v>
      </c>
      <c r="E2418" s="105" t="s">
        <v>2851</v>
      </c>
      <c r="F2418" s="493">
        <v>64765</v>
      </c>
      <c r="G2418" s="105" t="s">
        <v>52</v>
      </c>
      <c r="H2418" s="105" t="s">
        <v>333</v>
      </c>
      <c r="I2418" s="105" t="s">
        <v>334</v>
      </c>
      <c r="J2418" s="493">
        <v>22</v>
      </c>
      <c r="K2418" s="493">
        <v>2</v>
      </c>
      <c r="L2418" s="105" t="s">
        <v>343</v>
      </c>
      <c r="M2418" s="105" t="s">
        <v>655</v>
      </c>
      <c r="N2418" s="105" t="s">
        <v>656</v>
      </c>
      <c r="O2418" s="105" t="s">
        <v>656</v>
      </c>
      <c r="P2418" s="105" t="s">
        <v>339</v>
      </c>
      <c r="Q2418" s="494">
        <v>0</v>
      </c>
      <c r="R2418" s="494">
        <v>0</v>
      </c>
      <c r="S2418" s="494">
        <v>27277</v>
      </c>
      <c r="T2418" s="494">
        <v>27277</v>
      </c>
      <c r="U2418" s="494">
        <v>7994</v>
      </c>
      <c r="V2418" s="493">
        <v>2024</v>
      </c>
      <c r="W2418" s="495"/>
      <c r="X2418" s="496">
        <f t="shared" si="156"/>
        <v>3.4121841381035778</v>
      </c>
      <c r="Y2418" s="497" t="str">
        <f t="shared" si="158"/>
        <v/>
      </c>
      <c r="Z2418" s="497" t="str">
        <f t="shared" si="158"/>
        <v/>
      </c>
    </row>
    <row r="2419" spans="1:26" s="82" customFormat="1" x14ac:dyDescent="0.4">
      <c r="A2419" s="493">
        <v>65435</v>
      </c>
      <c r="B2419" s="105" t="s">
        <v>329</v>
      </c>
      <c r="C2419" s="493" t="s">
        <v>330</v>
      </c>
      <c r="D2419" s="105" t="s">
        <v>2852</v>
      </c>
      <c r="E2419" s="105" t="s">
        <v>2853</v>
      </c>
      <c r="F2419" s="493">
        <v>64766</v>
      </c>
      <c r="G2419" s="105" t="s">
        <v>52</v>
      </c>
      <c r="H2419" s="105" t="s">
        <v>333</v>
      </c>
      <c r="I2419" s="105" t="s">
        <v>334</v>
      </c>
      <c r="J2419" s="493">
        <v>22</v>
      </c>
      <c r="K2419" s="493">
        <v>2</v>
      </c>
      <c r="L2419" s="105" t="s">
        <v>343</v>
      </c>
      <c r="M2419" s="105" t="s">
        <v>655</v>
      </c>
      <c r="N2419" s="105" t="s">
        <v>656</v>
      </c>
      <c r="O2419" s="105" t="s">
        <v>656</v>
      </c>
      <c r="P2419" s="105" t="s">
        <v>339</v>
      </c>
      <c r="Q2419" s="494">
        <v>0</v>
      </c>
      <c r="R2419" s="494">
        <v>0</v>
      </c>
      <c r="S2419" s="494">
        <v>19794</v>
      </c>
      <c r="T2419" s="494">
        <v>19794</v>
      </c>
      <c r="U2419" s="494">
        <v>5801</v>
      </c>
      <c r="V2419" s="493">
        <v>2024</v>
      </c>
      <c r="W2419" s="495"/>
      <c r="X2419" s="496">
        <f t="shared" si="156"/>
        <v>3.4121703154628511</v>
      </c>
      <c r="Y2419" s="497" t="str">
        <f t="shared" si="158"/>
        <v/>
      </c>
      <c r="Z2419" s="497" t="str">
        <f t="shared" si="158"/>
        <v/>
      </c>
    </row>
    <row r="2420" spans="1:26" s="82" customFormat="1" x14ac:dyDescent="0.4">
      <c r="A2420" s="493">
        <v>65436</v>
      </c>
      <c r="B2420" s="105" t="s">
        <v>329</v>
      </c>
      <c r="C2420" s="493" t="s">
        <v>330</v>
      </c>
      <c r="D2420" s="105" t="s">
        <v>2854</v>
      </c>
      <c r="E2420" s="105" t="s">
        <v>2855</v>
      </c>
      <c r="F2420" s="493">
        <v>64767</v>
      </c>
      <c r="G2420" s="105" t="s">
        <v>52</v>
      </c>
      <c r="H2420" s="105" t="s">
        <v>333</v>
      </c>
      <c r="I2420" s="105" t="s">
        <v>334</v>
      </c>
      <c r="J2420" s="493">
        <v>22</v>
      </c>
      <c r="K2420" s="493">
        <v>2</v>
      </c>
      <c r="L2420" s="105" t="s">
        <v>343</v>
      </c>
      <c r="M2420" s="105" t="s">
        <v>655</v>
      </c>
      <c r="N2420" s="105" t="s">
        <v>656</v>
      </c>
      <c r="O2420" s="105" t="s">
        <v>656</v>
      </c>
      <c r="P2420" s="105" t="s">
        <v>339</v>
      </c>
      <c r="Q2420" s="494">
        <v>0</v>
      </c>
      <c r="R2420" s="494">
        <v>0</v>
      </c>
      <c r="S2420" s="494">
        <v>27684</v>
      </c>
      <c r="T2420" s="494">
        <v>27684</v>
      </c>
      <c r="U2420" s="494">
        <v>8114</v>
      </c>
      <c r="V2420" s="493">
        <v>2024</v>
      </c>
      <c r="W2420" s="495"/>
      <c r="X2420" s="496">
        <f t="shared" si="156"/>
        <v>3.4118807000246489</v>
      </c>
      <c r="Y2420" s="497" t="str">
        <f t="shared" si="158"/>
        <v/>
      </c>
      <c r="Z2420" s="497" t="str">
        <f t="shared" si="158"/>
        <v/>
      </c>
    </row>
    <row r="2421" spans="1:26" s="82" customFormat="1" x14ac:dyDescent="0.4">
      <c r="A2421" s="493">
        <v>65450</v>
      </c>
      <c r="B2421" s="105" t="s">
        <v>329</v>
      </c>
      <c r="C2421" s="493" t="s">
        <v>330</v>
      </c>
      <c r="D2421" s="105" t="s">
        <v>2856</v>
      </c>
      <c r="E2421" s="105" t="s">
        <v>2857</v>
      </c>
      <c r="F2421" s="493">
        <v>62856</v>
      </c>
      <c r="G2421" s="105" t="s">
        <v>52</v>
      </c>
      <c r="H2421" s="105" t="s">
        <v>333</v>
      </c>
      <c r="I2421" s="105" t="s">
        <v>334</v>
      </c>
      <c r="J2421" s="493">
        <v>22</v>
      </c>
      <c r="K2421" s="493">
        <v>2</v>
      </c>
      <c r="L2421" s="105" t="s">
        <v>343</v>
      </c>
      <c r="M2421" s="105" t="s">
        <v>655</v>
      </c>
      <c r="N2421" s="105" t="s">
        <v>656</v>
      </c>
      <c r="O2421" s="105" t="s">
        <v>656</v>
      </c>
      <c r="P2421" s="105" t="s">
        <v>339</v>
      </c>
      <c r="Q2421" s="494">
        <v>0</v>
      </c>
      <c r="R2421" s="494">
        <v>0</v>
      </c>
      <c r="S2421" s="494">
        <v>3408</v>
      </c>
      <c r="T2421" s="494">
        <v>3408</v>
      </c>
      <c r="U2421" s="494">
        <v>999</v>
      </c>
      <c r="V2421" s="493">
        <v>2024</v>
      </c>
      <c r="W2421" s="495"/>
      <c r="X2421" s="496">
        <f t="shared" si="156"/>
        <v>3.4114114114114114</v>
      </c>
      <c r="Y2421" s="497" t="str">
        <f t="shared" si="158"/>
        <v/>
      </c>
      <c r="Z2421" s="497" t="str">
        <f t="shared" si="158"/>
        <v/>
      </c>
    </row>
    <row r="2422" spans="1:26" s="82" customFormat="1" x14ac:dyDescent="0.4">
      <c r="A2422" s="493">
        <v>65459</v>
      </c>
      <c r="B2422" s="105" t="s">
        <v>329</v>
      </c>
      <c r="C2422" s="493" t="s">
        <v>330</v>
      </c>
      <c r="D2422" s="105" t="s">
        <v>2858</v>
      </c>
      <c r="E2422" s="105" t="s">
        <v>2859</v>
      </c>
      <c r="F2422" s="493">
        <v>64768</v>
      </c>
      <c r="G2422" s="105" t="s">
        <v>52</v>
      </c>
      <c r="H2422" s="105" t="s">
        <v>333</v>
      </c>
      <c r="I2422" s="105" t="s">
        <v>334</v>
      </c>
      <c r="J2422" s="493">
        <v>22</v>
      </c>
      <c r="K2422" s="493">
        <v>2</v>
      </c>
      <c r="L2422" s="105" t="s">
        <v>343</v>
      </c>
      <c r="M2422" s="105" t="s">
        <v>655</v>
      </c>
      <c r="N2422" s="105" t="s">
        <v>656</v>
      </c>
      <c r="O2422" s="105" t="s">
        <v>656</v>
      </c>
      <c r="P2422" s="105" t="s">
        <v>339</v>
      </c>
      <c r="Q2422" s="494">
        <v>0</v>
      </c>
      <c r="R2422" s="494">
        <v>0</v>
      </c>
      <c r="S2422" s="494">
        <v>28140</v>
      </c>
      <c r="T2422" s="494">
        <v>28140</v>
      </c>
      <c r="U2422" s="494">
        <v>8247</v>
      </c>
      <c r="V2422" s="493">
        <v>2024</v>
      </c>
      <c r="W2422" s="495"/>
      <c r="X2422" s="496">
        <f t="shared" si="156"/>
        <v>3.4121498726809749</v>
      </c>
      <c r="Y2422" s="497" t="str">
        <f t="shared" si="158"/>
        <v/>
      </c>
      <c r="Z2422" s="497" t="str">
        <f t="shared" si="158"/>
        <v/>
      </c>
    </row>
    <row r="2423" spans="1:26" s="82" customFormat="1" ht="32" x14ac:dyDescent="0.4">
      <c r="A2423" s="493">
        <v>65460</v>
      </c>
      <c r="B2423" s="105" t="s">
        <v>329</v>
      </c>
      <c r="C2423" s="493" t="s">
        <v>330</v>
      </c>
      <c r="D2423" s="105" t="s">
        <v>2860</v>
      </c>
      <c r="E2423" s="105" t="s">
        <v>1875</v>
      </c>
      <c r="F2423" s="493">
        <v>62915</v>
      </c>
      <c r="G2423" s="105" t="s">
        <v>34</v>
      </c>
      <c r="H2423" s="105" t="s">
        <v>342</v>
      </c>
      <c r="I2423" s="105" t="s">
        <v>334</v>
      </c>
      <c r="J2423" s="493">
        <v>22</v>
      </c>
      <c r="K2423" s="493">
        <v>2</v>
      </c>
      <c r="L2423" s="105" t="s">
        <v>343</v>
      </c>
      <c r="M2423" s="105" t="s">
        <v>655</v>
      </c>
      <c r="N2423" s="105" t="s">
        <v>656</v>
      </c>
      <c r="O2423" s="105" t="s">
        <v>656</v>
      </c>
      <c r="P2423" s="105" t="s">
        <v>339</v>
      </c>
      <c r="Q2423" s="494">
        <v>0</v>
      </c>
      <c r="R2423" s="494">
        <v>0</v>
      </c>
      <c r="S2423" s="494">
        <v>23621</v>
      </c>
      <c r="T2423" s="494">
        <v>23621</v>
      </c>
      <c r="U2423" s="494">
        <v>6923</v>
      </c>
      <c r="V2423" s="493">
        <v>2024</v>
      </c>
      <c r="W2423" s="495"/>
      <c r="X2423" s="496">
        <f t="shared" si="156"/>
        <v>3.4119601328903655</v>
      </c>
      <c r="Y2423" s="497" t="str">
        <f t="shared" si="158"/>
        <v/>
      </c>
      <c r="Z2423" s="497" t="str">
        <f t="shared" si="158"/>
        <v/>
      </c>
    </row>
    <row r="2424" spans="1:26" s="82" customFormat="1" ht="32" x14ac:dyDescent="0.4">
      <c r="A2424" s="493">
        <v>65461</v>
      </c>
      <c r="B2424" s="105" t="s">
        <v>329</v>
      </c>
      <c r="C2424" s="493" t="s">
        <v>330</v>
      </c>
      <c r="D2424" s="105" t="s">
        <v>2861</v>
      </c>
      <c r="E2424" s="105" t="s">
        <v>1875</v>
      </c>
      <c r="F2424" s="493">
        <v>62915</v>
      </c>
      <c r="G2424" s="105" t="s">
        <v>34</v>
      </c>
      <c r="H2424" s="105" t="s">
        <v>342</v>
      </c>
      <c r="I2424" s="105" t="s">
        <v>334</v>
      </c>
      <c r="J2424" s="493">
        <v>22</v>
      </c>
      <c r="K2424" s="493">
        <v>2</v>
      </c>
      <c r="L2424" s="105" t="s">
        <v>343</v>
      </c>
      <c r="M2424" s="105" t="s">
        <v>655</v>
      </c>
      <c r="N2424" s="105" t="s">
        <v>656</v>
      </c>
      <c r="O2424" s="105" t="s">
        <v>656</v>
      </c>
      <c r="P2424" s="105" t="s">
        <v>339</v>
      </c>
      <c r="Q2424" s="494">
        <v>0</v>
      </c>
      <c r="R2424" s="494">
        <v>0</v>
      </c>
      <c r="S2424" s="494">
        <v>26101</v>
      </c>
      <c r="T2424" s="494">
        <v>26101</v>
      </c>
      <c r="U2424" s="494">
        <v>7650.54</v>
      </c>
      <c r="V2424" s="493">
        <v>2024</v>
      </c>
      <c r="W2424" s="495"/>
      <c r="X2424" s="496">
        <f t="shared" si="156"/>
        <v>3.4116546021588019</v>
      </c>
      <c r="Y2424" s="497" t="str">
        <f t="shared" si="158"/>
        <v/>
      </c>
      <c r="Z2424" s="497" t="str">
        <f t="shared" si="158"/>
        <v/>
      </c>
    </row>
    <row r="2425" spans="1:26" s="82" customFormat="1" ht="32" x14ac:dyDescent="0.4">
      <c r="A2425" s="493">
        <v>65473</v>
      </c>
      <c r="B2425" s="105" t="s">
        <v>329</v>
      </c>
      <c r="C2425" s="493" t="s">
        <v>330</v>
      </c>
      <c r="D2425" s="105" t="s">
        <v>2862</v>
      </c>
      <c r="E2425" s="105" t="s">
        <v>2862</v>
      </c>
      <c r="F2425" s="493">
        <v>64790</v>
      </c>
      <c r="G2425" s="105" t="s">
        <v>38</v>
      </c>
      <c r="H2425" s="105" t="s">
        <v>342</v>
      </c>
      <c r="I2425" s="105" t="s">
        <v>334</v>
      </c>
      <c r="J2425" s="493">
        <v>22</v>
      </c>
      <c r="K2425" s="493">
        <v>2</v>
      </c>
      <c r="L2425" s="105" t="s">
        <v>343</v>
      </c>
      <c r="M2425" s="105" t="s">
        <v>655</v>
      </c>
      <c r="N2425" s="105" t="s">
        <v>656</v>
      </c>
      <c r="O2425" s="105" t="s">
        <v>656</v>
      </c>
      <c r="P2425" s="105" t="s">
        <v>339</v>
      </c>
      <c r="Q2425" s="494">
        <v>0</v>
      </c>
      <c r="R2425" s="494">
        <v>0</v>
      </c>
      <c r="S2425" s="494">
        <v>19502</v>
      </c>
      <c r="T2425" s="494">
        <v>19502</v>
      </c>
      <c r="U2425" s="494">
        <v>5716</v>
      </c>
      <c r="V2425" s="493">
        <v>2024</v>
      </c>
      <c r="W2425" s="495"/>
      <c r="X2425" s="496">
        <f t="shared" si="156"/>
        <v>3.4118264520643806</v>
      </c>
      <c r="Y2425" s="497" t="str">
        <f t="shared" si="158"/>
        <v/>
      </c>
      <c r="Z2425" s="497" t="str">
        <f t="shared" si="158"/>
        <v/>
      </c>
    </row>
    <row r="2426" spans="1:26" s="82" customFormat="1" x14ac:dyDescent="0.4">
      <c r="A2426" s="493">
        <v>65474</v>
      </c>
      <c r="B2426" s="105" t="s">
        <v>329</v>
      </c>
      <c r="C2426" s="493" t="s">
        <v>330</v>
      </c>
      <c r="D2426" s="105" t="s">
        <v>2863</v>
      </c>
      <c r="E2426" s="105" t="s">
        <v>2863</v>
      </c>
      <c r="F2426" s="493">
        <v>64791</v>
      </c>
      <c r="G2426" s="105" t="s">
        <v>38</v>
      </c>
      <c r="H2426" s="105" t="s">
        <v>342</v>
      </c>
      <c r="I2426" s="105" t="s">
        <v>334</v>
      </c>
      <c r="J2426" s="493">
        <v>22</v>
      </c>
      <c r="K2426" s="493">
        <v>2</v>
      </c>
      <c r="L2426" s="105" t="s">
        <v>343</v>
      </c>
      <c r="M2426" s="105" t="s">
        <v>655</v>
      </c>
      <c r="N2426" s="105" t="s">
        <v>656</v>
      </c>
      <c r="O2426" s="105" t="s">
        <v>656</v>
      </c>
      <c r="P2426" s="105" t="s">
        <v>339</v>
      </c>
      <c r="Q2426" s="494">
        <v>0</v>
      </c>
      <c r="R2426" s="494">
        <v>0</v>
      </c>
      <c r="S2426" s="494">
        <v>48360</v>
      </c>
      <c r="T2426" s="494">
        <v>48360</v>
      </c>
      <c r="U2426" s="494">
        <v>14173</v>
      </c>
      <c r="V2426" s="493">
        <v>2024</v>
      </c>
      <c r="W2426" s="495"/>
      <c r="X2426" s="496">
        <f t="shared" si="156"/>
        <v>3.4121216397375291</v>
      </c>
      <c r="Y2426" s="497" t="str">
        <f t="shared" si="158"/>
        <v/>
      </c>
      <c r="Z2426" s="497" t="str">
        <f t="shared" si="158"/>
        <v/>
      </c>
    </row>
    <row r="2427" spans="1:26" s="82" customFormat="1" x14ac:dyDescent="0.4">
      <c r="A2427" s="493">
        <v>65475</v>
      </c>
      <c r="B2427" s="105" t="s">
        <v>329</v>
      </c>
      <c r="C2427" s="493" t="s">
        <v>330</v>
      </c>
      <c r="D2427" s="105" t="s">
        <v>2864</v>
      </c>
      <c r="E2427" s="105" t="s">
        <v>2864</v>
      </c>
      <c r="F2427" s="493">
        <v>64792</v>
      </c>
      <c r="G2427" s="105" t="s">
        <v>38</v>
      </c>
      <c r="H2427" s="105" t="s">
        <v>342</v>
      </c>
      <c r="I2427" s="105" t="s">
        <v>334</v>
      </c>
      <c r="J2427" s="493">
        <v>22</v>
      </c>
      <c r="K2427" s="493">
        <v>2</v>
      </c>
      <c r="L2427" s="105" t="s">
        <v>343</v>
      </c>
      <c r="M2427" s="105" t="s">
        <v>655</v>
      </c>
      <c r="N2427" s="105" t="s">
        <v>656</v>
      </c>
      <c r="O2427" s="105" t="s">
        <v>656</v>
      </c>
      <c r="P2427" s="105" t="s">
        <v>339</v>
      </c>
      <c r="Q2427" s="494">
        <v>0</v>
      </c>
      <c r="R2427" s="494">
        <v>0</v>
      </c>
      <c r="S2427" s="494">
        <v>43134</v>
      </c>
      <c r="T2427" s="494">
        <v>43134</v>
      </c>
      <c r="U2427" s="494">
        <v>12641</v>
      </c>
      <c r="V2427" s="493">
        <v>2024</v>
      </c>
      <c r="W2427" s="495"/>
      <c r="X2427" s="496">
        <f t="shared" si="156"/>
        <v>3.4122300450913694</v>
      </c>
      <c r="Y2427" s="497" t="str">
        <f t="shared" si="158"/>
        <v/>
      </c>
      <c r="Z2427" s="497" t="str">
        <f t="shared" si="158"/>
        <v/>
      </c>
    </row>
    <row r="2428" spans="1:26" s="82" customFormat="1" x14ac:dyDescent="0.4">
      <c r="A2428" s="493">
        <v>65476</v>
      </c>
      <c r="B2428" s="105" t="s">
        <v>329</v>
      </c>
      <c r="C2428" s="493" t="s">
        <v>330</v>
      </c>
      <c r="D2428" s="105" t="s">
        <v>2865</v>
      </c>
      <c r="E2428" s="105" t="s">
        <v>2865</v>
      </c>
      <c r="F2428" s="493">
        <v>64793</v>
      </c>
      <c r="G2428" s="105" t="s">
        <v>38</v>
      </c>
      <c r="H2428" s="105" t="s">
        <v>342</v>
      </c>
      <c r="I2428" s="105" t="s">
        <v>334</v>
      </c>
      <c r="J2428" s="493">
        <v>22</v>
      </c>
      <c r="K2428" s="493">
        <v>2</v>
      </c>
      <c r="L2428" s="105" t="s">
        <v>343</v>
      </c>
      <c r="M2428" s="105" t="s">
        <v>655</v>
      </c>
      <c r="N2428" s="105" t="s">
        <v>656</v>
      </c>
      <c r="O2428" s="105" t="s">
        <v>656</v>
      </c>
      <c r="P2428" s="105" t="s">
        <v>339</v>
      </c>
      <c r="Q2428" s="494">
        <v>0</v>
      </c>
      <c r="R2428" s="494">
        <v>0</v>
      </c>
      <c r="S2428" s="494">
        <v>50211</v>
      </c>
      <c r="T2428" s="494">
        <v>50211</v>
      </c>
      <c r="U2428" s="494">
        <v>14716</v>
      </c>
      <c r="V2428" s="493">
        <v>2024</v>
      </c>
      <c r="W2428" s="495"/>
      <c r="X2428" s="496">
        <f t="shared" si="156"/>
        <v>3.4120005436259855</v>
      </c>
      <c r="Y2428" s="497" t="str">
        <f t="shared" ref="Y2428:Z2447" si="159">IF(AND($M2428=$Y$2,$N2428=$Y$3,NOT($Q2428=$R2428),NOT($U2428=0)),IF($K2428=5,$S2428/($U2428+(8/5)*$U2428),IF($K2428=7,$S2428/($U2428+(29/25)*$U2428),"")),"")</f>
        <v/>
      </c>
      <c r="Z2428" s="497" t="str">
        <f t="shared" si="159"/>
        <v/>
      </c>
    </row>
    <row r="2429" spans="1:26" s="82" customFormat="1" x14ac:dyDescent="0.4">
      <c r="A2429" s="493">
        <v>65477</v>
      </c>
      <c r="B2429" s="105" t="s">
        <v>329</v>
      </c>
      <c r="C2429" s="493" t="s">
        <v>330</v>
      </c>
      <c r="D2429" s="105" t="s">
        <v>2866</v>
      </c>
      <c r="E2429" s="105" t="s">
        <v>2866</v>
      </c>
      <c r="F2429" s="493">
        <v>64794</v>
      </c>
      <c r="G2429" s="105" t="s">
        <v>38</v>
      </c>
      <c r="H2429" s="105" t="s">
        <v>342</v>
      </c>
      <c r="I2429" s="105" t="s">
        <v>334</v>
      </c>
      <c r="J2429" s="493">
        <v>22</v>
      </c>
      <c r="K2429" s="493">
        <v>2</v>
      </c>
      <c r="L2429" s="105" t="s">
        <v>343</v>
      </c>
      <c r="M2429" s="105" t="s">
        <v>655</v>
      </c>
      <c r="N2429" s="105" t="s">
        <v>656</v>
      </c>
      <c r="O2429" s="105" t="s">
        <v>656</v>
      </c>
      <c r="P2429" s="105" t="s">
        <v>339</v>
      </c>
      <c r="Q2429" s="494">
        <v>0</v>
      </c>
      <c r="R2429" s="494">
        <v>0</v>
      </c>
      <c r="S2429" s="494">
        <v>48584</v>
      </c>
      <c r="T2429" s="494">
        <v>48584</v>
      </c>
      <c r="U2429" s="494">
        <v>14239</v>
      </c>
      <c r="V2429" s="493">
        <v>2024</v>
      </c>
      <c r="W2429" s="495"/>
      <c r="X2429" s="496">
        <f t="shared" si="156"/>
        <v>3.4120373621743099</v>
      </c>
      <c r="Y2429" s="497" t="str">
        <f t="shared" si="159"/>
        <v/>
      </c>
      <c r="Z2429" s="497" t="str">
        <f t="shared" si="159"/>
        <v/>
      </c>
    </row>
    <row r="2430" spans="1:26" s="82" customFormat="1" ht="32" x14ac:dyDescent="0.4">
      <c r="A2430" s="493">
        <v>65478</v>
      </c>
      <c r="B2430" s="105" t="s">
        <v>329</v>
      </c>
      <c r="C2430" s="493" t="s">
        <v>330</v>
      </c>
      <c r="D2430" s="105" t="s">
        <v>2867</v>
      </c>
      <c r="E2430" s="105" t="s">
        <v>2867</v>
      </c>
      <c r="F2430" s="493">
        <v>64795</v>
      </c>
      <c r="G2430" s="105" t="s">
        <v>38</v>
      </c>
      <c r="H2430" s="105" t="s">
        <v>342</v>
      </c>
      <c r="I2430" s="105" t="s">
        <v>334</v>
      </c>
      <c r="J2430" s="493">
        <v>22</v>
      </c>
      <c r="K2430" s="493">
        <v>2</v>
      </c>
      <c r="L2430" s="105" t="s">
        <v>343</v>
      </c>
      <c r="M2430" s="105" t="s">
        <v>695</v>
      </c>
      <c r="N2430" s="105" t="s">
        <v>696</v>
      </c>
      <c r="O2430" s="105" t="s">
        <v>696</v>
      </c>
      <c r="P2430" s="105" t="s">
        <v>339</v>
      </c>
      <c r="Q2430" s="494">
        <v>0</v>
      </c>
      <c r="R2430" s="494">
        <v>0</v>
      </c>
      <c r="S2430" s="494">
        <v>5338</v>
      </c>
      <c r="T2430" s="494">
        <v>5338</v>
      </c>
      <c r="U2430" s="494">
        <v>1565</v>
      </c>
      <c r="V2430" s="493">
        <v>2024</v>
      </c>
      <c r="W2430" s="495"/>
      <c r="X2430" s="496">
        <f t="shared" si="156"/>
        <v>3.4108626198083067</v>
      </c>
      <c r="Y2430" s="497" t="str">
        <f t="shared" si="159"/>
        <v/>
      </c>
      <c r="Z2430" s="497" t="str">
        <f t="shared" si="159"/>
        <v/>
      </c>
    </row>
    <row r="2431" spans="1:26" s="82" customFormat="1" ht="32" x14ac:dyDescent="0.4">
      <c r="A2431" s="493">
        <v>65479</v>
      </c>
      <c r="B2431" s="105" t="s">
        <v>329</v>
      </c>
      <c r="C2431" s="493" t="s">
        <v>330</v>
      </c>
      <c r="D2431" s="105" t="s">
        <v>2868</v>
      </c>
      <c r="E2431" s="105" t="s">
        <v>2868</v>
      </c>
      <c r="F2431" s="493">
        <v>64796</v>
      </c>
      <c r="G2431" s="105" t="s">
        <v>38</v>
      </c>
      <c r="H2431" s="105" t="s">
        <v>342</v>
      </c>
      <c r="I2431" s="105" t="s">
        <v>334</v>
      </c>
      <c r="J2431" s="493">
        <v>22</v>
      </c>
      <c r="K2431" s="493">
        <v>2</v>
      </c>
      <c r="L2431" s="105" t="s">
        <v>343</v>
      </c>
      <c r="M2431" s="105" t="s">
        <v>695</v>
      </c>
      <c r="N2431" s="105" t="s">
        <v>696</v>
      </c>
      <c r="O2431" s="105" t="s">
        <v>696</v>
      </c>
      <c r="P2431" s="105" t="s">
        <v>339</v>
      </c>
      <c r="Q2431" s="494">
        <v>0</v>
      </c>
      <c r="R2431" s="494">
        <v>0</v>
      </c>
      <c r="S2431" s="494">
        <v>12987</v>
      </c>
      <c r="T2431" s="494">
        <v>12987</v>
      </c>
      <c r="U2431" s="494">
        <v>3806</v>
      </c>
      <c r="V2431" s="493">
        <v>2024</v>
      </c>
      <c r="W2431" s="495"/>
      <c r="X2431" s="496">
        <f t="shared" si="156"/>
        <v>3.4122438255386234</v>
      </c>
      <c r="Y2431" s="497" t="str">
        <f t="shared" si="159"/>
        <v/>
      </c>
      <c r="Z2431" s="497" t="str">
        <f t="shared" si="159"/>
        <v/>
      </c>
    </row>
    <row r="2432" spans="1:26" s="82" customFormat="1" ht="32" x14ac:dyDescent="0.4">
      <c r="A2432" s="493">
        <v>65487</v>
      </c>
      <c r="B2432" s="105" t="s">
        <v>329</v>
      </c>
      <c r="C2432" s="493" t="s">
        <v>330</v>
      </c>
      <c r="D2432" s="105" t="s">
        <v>2869</v>
      </c>
      <c r="E2432" s="105" t="s">
        <v>2234</v>
      </c>
      <c r="F2432" s="493">
        <v>62719</v>
      </c>
      <c r="G2432" s="105" t="s">
        <v>52</v>
      </c>
      <c r="H2432" s="105" t="s">
        <v>333</v>
      </c>
      <c r="I2432" s="105" t="s">
        <v>334</v>
      </c>
      <c r="J2432" s="493">
        <v>22</v>
      </c>
      <c r="K2432" s="493">
        <v>2</v>
      </c>
      <c r="L2432" s="105" t="s">
        <v>343</v>
      </c>
      <c r="M2432" s="105" t="s">
        <v>655</v>
      </c>
      <c r="N2432" s="105" t="s">
        <v>656</v>
      </c>
      <c r="O2432" s="105" t="s">
        <v>656</v>
      </c>
      <c r="P2432" s="105" t="s">
        <v>339</v>
      </c>
      <c r="Q2432" s="494">
        <v>0</v>
      </c>
      <c r="R2432" s="494">
        <v>0</v>
      </c>
      <c r="S2432" s="494">
        <v>14488</v>
      </c>
      <c r="T2432" s="494">
        <v>14488</v>
      </c>
      <c r="U2432" s="494">
        <v>4246</v>
      </c>
      <c r="V2432" s="493">
        <v>2024</v>
      </c>
      <c r="W2432" s="495"/>
      <c r="X2432" s="496">
        <f t="shared" si="156"/>
        <v>3.4121526142251533</v>
      </c>
      <c r="Y2432" s="497" t="str">
        <f t="shared" si="159"/>
        <v/>
      </c>
      <c r="Z2432" s="497" t="str">
        <f t="shared" si="159"/>
        <v/>
      </c>
    </row>
    <row r="2433" spans="1:26" s="82" customFormat="1" ht="32" x14ac:dyDescent="0.4">
      <c r="A2433" s="493">
        <v>65495</v>
      </c>
      <c r="B2433" s="105" t="s">
        <v>329</v>
      </c>
      <c r="C2433" s="493" t="s">
        <v>330</v>
      </c>
      <c r="D2433" s="105" t="s">
        <v>2870</v>
      </c>
      <c r="E2433" s="105" t="s">
        <v>2870</v>
      </c>
      <c r="F2433" s="493">
        <v>64804</v>
      </c>
      <c r="G2433" s="105" t="s">
        <v>52</v>
      </c>
      <c r="H2433" s="105" t="s">
        <v>333</v>
      </c>
      <c r="I2433" s="105" t="s">
        <v>334</v>
      </c>
      <c r="J2433" s="493">
        <v>22</v>
      </c>
      <c r="K2433" s="493">
        <v>2</v>
      </c>
      <c r="L2433" s="105" t="s">
        <v>343</v>
      </c>
      <c r="M2433" s="105" t="s">
        <v>695</v>
      </c>
      <c r="N2433" s="105" t="s">
        <v>696</v>
      </c>
      <c r="O2433" s="105" t="s">
        <v>696</v>
      </c>
      <c r="P2433" s="105" t="s">
        <v>339</v>
      </c>
      <c r="Q2433" s="494">
        <v>0</v>
      </c>
      <c r="R2433" s="494">
        <v>0</v>
      </c>
      <c r="S2433" s="494">
        <v>828316</v>
      </c>
      <c r="T2433" s="494">
        <v>828316</v>
      </c>
      <c r="U2433" s="494">
        <v>242766</v>
      </c>
      <c r="V2433" s="493">
        <v>2024</v>
      </c>
      <c r="W2433" s="495"/>
      <c r="X2433" s="496">
        <f t="shared" si="156"/>
        <v>3.4119934422447953</v>
      </c>
      <c r="Y2433" s="497" t="str">
        <f t="shared" si="159"/>
        <v/>
      </c>
      <c r="Z2433" s="497" t="str">
        <f t="shared" si="159"/>
        <v/>
      </c>
    </row>
    <row r="2434" spans="1:26" s="82" customFormat="1" x14ac:dyDescent="0.4">
      <c r="A2434" s="493">
        <v>65496</v>
      </c>
      <c r="B2434" s="105" t="s">
        <v>329</v>
      </c>
      <c r="C2434" s="493" t="s">
        <v>330</v>
      </c>
      <c r="D2434" s="105" t="s">
        <v>2871</v>
      </c>
      <c r="E2434" s="105" t="s">
        <v>2871</v>
      </c>
      <c r="F2434" s="493">
        <v>64805</v>
      </c>
      <c r="G2434" s="105" t="s">
        <v>52</v>
      </c>
      <c r="H2434" s="105" t="s">
        <v>333</v>
      </c>
      <c r="I2434" s="105" t="s">
        <v>334</v>
      </c>
      <c r="J2434" s="493">
        <v>22</v>
      </c>
      <c r="K2434" s="493">
        <v>2</v>
      </c>
      <c r="L2434" s="105" t="s">
        <v>343</v>
      </c>
      <c r="M2434" s="105" t="s">
        <v>695</v>
      </c>
      <c r="N2434" s="105" t="s">
        <v>696</v>
      </c>
      <c r="O2434" s="105" t="s">
        <v>696</v>
      </c>
      <c r="P2434" s="105" t="s">
        <v>339</v>
      </c>
      <c r="Q2434" s="494">
        <v>0</v>
      </c>
      <c r="R2434" s="494">
        <v>0</v>
      </c>
      <c r="S2434" s="494">
        <v>998170</v>
      </c>
      <c r="T2434" s="494">
        <v>998170</v>
      </c>
      <c r="U2434" s="494">
        <v>292547</v>
      </c>
      <c r="V2434" s="493">
        <v>2024</v>
      </c>
      <c r="W2434" s="495"/>
      <c r="X2434" s="496">
        <f t="shared" si="156"/>
        <v>3.4119987557554854</v>
      </c>
      <c r="Y2434" s="497" t="str">
        <f t="shared" si="159"/>
        <v/>
      </c>
      <c r="Z2434" s="497" t="str">
        <f t="shared" si="159"/>
        <v/>
      </c>
    </row>
    <row r="2435" spans="1:26" s="82" customFormat="1" x14ac:dyDescent="0.4">
      <c r="A2435" s="493">
        <v>65522</v>
      </c>
      <c r="B2435" s="105" t="s">
        <v>329</v>
      </c>
      <c r="C2435" s="493" t="s">
        <v>330</v>
      </c>
      <c r="D2435" s="105" t="s">
        <v>2872</v>
      </c>
      <c r="E2435" s="105" t="s">
        <v>1206</v>
      </c>
      <c r="F2435" s="493">
        <v>49893</v>
      </c>
      <c r="G2435" s="105" t="s">
        <v>52</v>
      </c>
      <c r="H2435" s="105" t="s">
        <v>333</v>
      </c>
      <c r="I2435" s="105" t="s">
        <v>334</v>
      </c>
      <c r="J2435" s="493">
        <v>22</v>
      </c>
      <c r="K2435" s="493">
        <v>2</v>
      </c>
      <c r="L2435" s="105" t="s">
        <v>343</v>
      </c>
      <c r="M2435" s="105" t="s">
        <v>695</v>
      </c>
      <c r="N2435" s="105" t="s">
        <v>696</v>
      </c>
      <c r="O2435" s="105" t="s">
        <v>696</v>
      </c>
      <c r="P2435" s="105" t="s">
        <v>339</v>
      </c>
      <c r="Q2435" s="494">
        <v>0</v>
      </c>
      <c r="R2435" s="494">
        <v>0</v>
      </c>
      <c r="S2435" s="494">
        <v>930114</v>
      </c>
      <c r="T2435" s="494">
        <v>930114</v>
      </c>
      <c r="U2435" s="494">
        <v>272600.76</v>
      </c>
      <c r="V2435" s="493">
        <v>2024</v>
      </c>
      <c r="W2435" s="495"/>
      <c r="X2435" s="496">
        <f t="shared" si="156"/>
        <v>3.4120007589120438</v>
      </c>
      <c r="Y2435" s="497" t="str">
        <f t="shared" si="159"/>
        <v/>
      </c>
      <c r="Z2435" s="497" t="str">
        <f t="shared" si="159"/>
        <v/>
      </c>
    </row>
    <row r="2436" spans="1:26" s="82" customFormat="1" ht="32" x14ac:dyDescent="0.4">
      <c r="A2436" s="493">
        <v>65532</v>
      </c>
      <c r="B2436" s="105" t="s">
        <v>329</v>
      </c>
      <c r="C2436" s="493" t="s">
        <v>330</v>
      </c>
      <c r="D2436" s="105" t="s">
        <v>2873</v>
      </c>
      <c r="E2436" s="105" t="s">
        <v>2874</v>
      </c>
      <c r="F2436" s="493">
        <v>64848</v>
      </c>
      <c r="G2436" s="105" t="s">
        <v>34</v>
      </c>
      <c r="H2436" s="105" t="s">
        <v>342</v>
      </c>
      <c r="I2436" s="105" t="s">
        <v>334</v>
      </c>
      <c r="J2436" s="493">
        <v>22</v>
      </c>
      <c r="K2436" s="493">
        <v>2</v>
      </c>
      <c r="L2436" s="105" t="s">
        <v>343</v>
      </c>
      <c r="M2436" s="105" t="s">
        <v>655</v>
      </c>
      <c r="N2436" s="105" t="s">
        <v>656</v>
      </c>
      <c r="O2436" s="105" t="s">
        <v>656</v>
      </c>
      <c r="P2436" s="105" t="s">
        <v>339</v>
      </c>
      <c r="Q2436" s="494">
        <v>0</v>
      </c>
      <c r="R2436" s="494">
        <v>0</v>
      </c>
      <c r="S2436" s="494">
        <v>33624</v>
      </c>
      <c r="T2436" s="494">
        <v>33624</v>
      </c>
      <c r="U2436" s="494">
        <v>9855</v>
      </c>
      <c r="V2436" s="493">
        <v>2024</v>
      </c>
      <c r="W2436" s="495"/>
      <c r="X2436" s="496">
        <f t="shared" si="156"/>
        <v>3.4118721461187214</v>
      </c>
      <c r="Y2436" s="497" t="str">
        <f t="shared" si="159"/>
        <v/>
      </c>
      <c r="Z2436" s="497" t="str">
        <f t="shared" si="159"/>
        <v/>
      </c>
    </row>
    <row r="2437" spans="1:26" s="82" customFormat="1" ht="32" x14ac:dyDescent="0.4">
      <c r="A2437" s="493">
        <v>65533</v>
      </c>
      <c r="B2437" s="105" t="s">
        <v>329</v>
      </c>
      <c r="C2437" s="493" t="s">
        <v>330</v>
      </c>
      <c r="D2437" s="105" t="s">
        <v>2875</v>
      </c>
      <c r="E2437" s="105" t="s">
        <v>2876</v>
      </c>
      <c r="F2437" s="493">
        <v>64849</v>
      </c>
      <c r="G2437" s="105" t="s">
        <v>34</v>
      </c>
      <c r="H2437" s="105" t="s">
        <v>342</v>
      </c>
      <c r="I2437" s="105" t="s">
        <v>334</v>
      </c>
      <c r="J2437" s="493">
        <v>22</v>
      </c>
      <c r="K2437" s="493">
        <v>2</v>
      </c>
      <c r="L2437" s="105" t="s">
        <v>343</v>
      </c>
      <c r="M2437" s="105" t="s">
        <v>655</v>
      </c>
      <c r="N2437" s="105" t="s">
        <v>656</v>
      </c>
      <c r="O2437" s="105" t="s">
        <v>656</v>
      </c>
      <c r="P2437" s="105" t="s">
        <v>339</v>
      </c>
      <c r="Q2437" s="494">
        <v>0</v>
      </c>
      <c r="R2437" s="494">
        <v>0</v>
      </c>
      <c r="S2437" s="494">
        <v>15936</v>
      </c>
      <c r="T2437" s="494">
        <v>15936</v>
      </c>
      <c r="U2437" s="494">
        <v>4671</v>
      </c>
      <c r="V2437" s="493">
        <v>2024</v>
      </c>
      <c r="W2437" s="495"/>
      <c r="X2437" s="496">
        <f t="shared" si="156"/>
        <v>3.4116891457931922</v>
      </c>
      <c r="Y2437" s="497" t="str">
        <f t="shared" si="159"/>
        <v/>
      </c>
      <c r="Z2437" s="497" t="str">
        <f t="shared" si="159"/>
        <v/>
      </c>
    </row>
    <row r="2438" spans="1:26" s="82" customFormat="1" ht="32" x14ac:dyDescent="0.4">
      <c r="A2438" s="493">
        <v>65534</v>
      </c>
      <c r="B2438" s="105" t="s">
        <v>329</v>
      </c>
      <c r="C2438" s="493" t="s">
        <v>330</v>
      </c>
      <c r="D2438" s="105" t="s">
        <v>2877</v>
      </c>
      <c r="E2438" s="105" t="s">
        <v>2878</v>
      </c>
      <c r="F2438" s="493">
        <v>64850</v>
      </c>
      <c r="G2438" s="105" t="s">
        <v>34</v>
      </c>
      <c r="H2438" s="105" t="s">
        <v>342</v>
      </c>
      <c r="I2438" s="105" t="s">
        <v>334</v>
      </c>
      <c r="J2438" s="493">
        <v>22</v>
      </c>
      <c r="K2438" s="493">
        <v>2</v>
      </c>
      <c r="L2438" s="105" t="s">
        <v>343</v>
      </c>
      <c r="M2438" s="105" t="s">
        <v>655</v>
      </c>
      <c r="N2438" s="105" t="s">
        <v>656</v>
      </c>
      <c r="O2438" s="105" t="s">
        <v>656</v>
      </c>
      <c r="P2438" s="105" t="s">
        <v>339</v>
      </c>
      <c r="Q2438" s="494">
        <v>0</v>
      </c>
      <c r="R2438" s="494">
        <v>0</v>
      </c>
      <c r="S2438" s="494">
        <v>31987</v>
      </c>
      <c r="T2438" s="494">
        <v>31987</v>
      </c>
      <c r="U2438" s="494">
        <v>9375</v>
      </c>
      <c r="V2438" s="493">
        <v>2024</v>
      </c>
      <c r="W2438" s="495"/>
      <c r="X2438" s="496">
        <f t="shared" si="156"/>
        <v>3.4119466666666667</v>
      </c>
      <c r="Y2438" s="497" t="str">
        <f t="shared" si="159"/>
        <v/>
      </c>
      <c r="Z2438" s="497" t="str">
        <f t="shared" si="159"/>
        <v/>
      </c>
    </row>
    <row r="2439" spans="1:26" s="82" customFormat="1" x14ac:dyDescent="0.4">
      <c r="A2439" s="493">
        <v>65559</v>
      </c>
      <c r="B2439" s="105" t="s">
        <v>329</v>
      </c>
      <c r="C2439" s="493" t="s">
        <v>330</v>
      </c>
      <c r="D2439" s="105" t="s">
        <v>2879</v>
      </c>
      <c r="E2439" s="105" t="s">
        <v>2880</v>
      </c>
      <c r="F2439" s="493">
        <v>66802</v>
      </c>
      <c r="G2439" s="105" t="s">
        <v>33</v>
      </c>
      <c r="H2439" s="105" t="s">
        <v>342</v>
      </c>
      <c r="I2439" s="105" t="s">
        <v>334</v>
      </c>
      <c r="J2439" s="493">
        <v>22</v>
      </c>
      <c r="K2439" s="493">
        <v>2</v>
      </c>
      <c r="L2439" s="105" t="s">
        <v>343</v>
      </c>
      <c r="M2439" s="105" t="s">
        <v>655</v>
      </c>
      <c r="N2439" s="105" t="s">
        <v>656</v>
      </c>
      <c r="O2439" s="105" t="s">
        <v>656</v>
      </c>
      <c r="P2439" s="105" t="s">
        <v>339</v>
      </c>
      <c r="Q2439" s="494">
        <v>0</v>
      </c>
      <c r="R2439" s="494">
        <v>0</v>
      </c>
      <c r="S2439" s="494">
        <v>5187</v>
      </c>
      <c r="T2439" s="494">
        <v>5187</v>
      </c>
      <c r="U2439" s="494">
        <v>1520</v>
      </c>
      <c r="V2439" s="493">
        <v>2024</v>
      </c>
      <c r="W2439" s="495"/>
      <c r="X2439" s="496">
        <f t="shared" si="156"/>
        <v>3.4125000000000001</v>
      </c>
      <c r="Y2439" s="497" t="str">
        <f t="shared" si="159"/>
        <v/>
      </c>
      <c r="Z2439" s="497" t="str">
        <f t="shared" si="159"/>
        <v/>
      </c>
    </row>
    <row r="2440" spans="1:26" s="82" customFormat="1" ht="32" x14ac:dyDescent="0.4">
      <c r="A2440" s="493">
        <v>65560</v>
      </c>
      <c r="B2440" s="105" t="s">
        <v>329</v>
      </c>
      <c r="C2440" s="493" t="s">
        <v>330</v>
      </c>
      <c r="D2440" s="105" t="s">
        <v>2881</v>
      </c>
      <c r="E2440" s="105" t="s">
        <v>2882</v>
      </c>
      <c r="F2440" s="493">
        <v>66804</v>
      </c>
      <c r="G2440" s="105" t="s">
        <v>33</v>
      </c>
      <c r="H2440" s="105" t="s">
        <v>342</v>
      </c>
      <c r="I2440" s="105" t="s">
        <v>334</v>
      </c>
      <c r="J2440" s="493">
        <v>22</v>
      </c>
      <c r="K2440" s="493">
        <v>2</v>
      </c>
      <c r="L2440" s="105" t="s">
        <v>343</v>
      </c>
      <c r="M2440" s="105" t="s">
        <v>655</v>
      </c>
      <c r="N2440" s="105" t="s">
        <v>656</v>
      </c>
      <c r="O2440" s="105" t="s">
        <v>656</v>
      </c>
      <c r="P2440" s="105" t="s">
        <v>339</v>
      </c>
      <c r="Q2440" s="494">
        <v>0</v>
      </c>
      <c r="R2440" s="494">
        <v>0</v>
      </c>
      <c r="S2440" s="494">
        <v>9520</v>
      </c>
      <c r="T2440" s="494">
        <v>9520</v>
      </c>
      <c r="U2440" s="494">
        <v>2790</v>
      </c>
      <c r="V2440" s="493">
        <v>2024</v>
      </c>
      <c r="W2440" s="495"/>
      <c r="X2440" s="496">
        <f t="shared" si="156"/>
        <v>3.4121863799283152</v>
      </c>
      <c r="Y2440" s="497" t="str">
        <f t="shared" si="159"/>
        <v/>
      </c>
      <c r="Z2440" s="497" t="str">
        <f t="shared" si="159"/>
        <v/>
      </c>
    </row>
    <row r="2441" spans="1:26" s="82" customFormat="1" ht="32" x14ac:dyDescent="0.4">
      <c r="A2441" s="493">
        <v>65561</v>
      </c>
      <c r="B2441" s="105" t="s">
        <v>329</v>
      </c>
      <c r="C2441" s="493" t="s">
        <v>330</v>
      </c>
      <c r="D2441" s="105" t="s">
        <v>2883</v>
      </c>
      <c r="E2441" s="105" t="s">
        <v>2884</v>
      </c>
      <c r="F2441" s="493">
        <v>66027</v>
      </c>
      <c r="G2441" s="105" t="s">
        <v>52</v>
      </c>
      <c r="H2441" s="105" t="s">
        <v>333</v>
      </c>
      <c r="I2441" s="105" t="s">
        <v>334</v>
      </c>
      <c r="J2441" s="493">
        <v>22</v>
      </c>
      <c r="K2441" s="493">
        <v>2</v>
      </c>
      <c r="L2441" s="105" t="s">
        <v>343</v>
      </c>
      <c r="M2441" s="105" t="s">
        <v>1304</v>
      </c>
      <c r="N2441" s="105" t="s">
        <v>696</v>
      </c>
      <c r="O2441" s="105" t="s">
        <v>696</v>
      </c>
      <c r="P2441" s="105" t="s">
        <v>339</v>
      </c>
      <c r="Q2441" s="494">
        <v>0</v>
      </c>
      <c r="R2441" s="494">
        <v>0</v>
      </c>
      <c r="S2441" s="494">
        <v>782513</v>
      </c>
      <c r="T2441" s="494">
        <v>782513</v>
      </c>
      <c r="U2441" s="494">
        <v>229341</v>
      </c>
      <c r="V2441" s="493">
        <v>2024</v>
      </c>
      <c r="W2441" s="495"/>
      <c r="X2441" s="496">
        <f t="shared" ref="X2441:X2504" si="160">IF(OR(K2441&gt;3,T2441=0,NOT(U2441&gt;0)),"",T2441/U2441)</f>
        <v>3.4120065753615796</v>
      </c>
      <c r="Y2441" s="497" t="str">
        <f t="shared" si="159"/>
        <v/>
      </c>
      <c r="Z2441" s="497" t="str">
        <f t="shared" si="159"/>
        <v/>
      </c>
    </row>
    <row r="2442" spans="1:26" s="82" customFormat="1" x14ac:dyDescent="0.4">
      <c r="A2442" s="493">
        <v>65566</v>
      </c>
      <c r="B2442" s="105" t="s">
        <v>329</v>
      </c>
      <c r="C2442" s="493" t="s">
        <v>330</v>
      </c>
      <c r="D2442" s="105" t="s">
        <v>2885</v>
      </c>
      <c r="E2442" s="105" t="s">
        <v>2886</v>
      </c>
      <c r="F2442" s="493">
        <v>66803</v>
      </c>
      <c r="G2442" s="105" t="s">
        <v>33</v>
      </c>
      <c r="H2442" s="105" t="s">
        <v>342</v>
      </c>
      <c r="I2442" s="105" t="s">
        <v>334</v>
      </c>
      <c r="J2442" s="493">
        <v>22</v>
      </c>
      <c r="K2442" s="493">
        <v>2</v>
      </c>
      <c r="L2442" s="105" t="s">
        <v>343</v>
      </c>
      <c r="M2442" s="105" t="s">
        <v>655</v>
      </c>
      <c r="N2442" s="105" t="s">
        <v>656</v>
      </c>
      <c r="O2442" s="105" t="s">
        <v>656</v>
      </c>
      <c r="P2442" s="105" t="s">
        <v>339</v>
      </c>
      <c r="Q2442" s="494">
        <v>0</v>
      </c>
      <c r="R2442" s="494">
        <v>0</v>
      </c>
      <c r="S2442" s="494">
        <v>25862</v>
      </c>
      <c r="T2442" s="494">
        <v>25862</v>
      </c>
      <c r="U2442" s="494">
        <v>7580</v>
      </c>
      <c r="V2442" s="493">
        <v>2024</v>
      </c>
      <c r="W2442" s="495"/>
      <c r="X2442" s="496">
        <f t="shared" si="160"/>
        <v>3.4118733509234827</v>
      </c>
      <c r="Y2442" s="497" t="str">
        <f t="shared" si="159"/>
        <v/>
      </c>
      <c r="Z2442" s="497" t="str">
        <f t="shared" si="159"/>
        <v/>
      </c>
    </row>
    <row r="2443" spans="1:26" s="82" customFormat="1" ht="32" x14ac:dyDescent="0.4">
      <c r="A2443" s="493">
        <v>65585</v>
      </c>
      <c r="B2443" s="105" t="s">
        <v>329</v>
      </c>
      <c r="C2443" s="493" t="s">
        <v>330</v>
      </c>
      <c r="D2443" s="105" t="s">
        <v>2887</v>
      </c>
      <c r="E2443" s="105" t="s">
        <v>2888</v>
      </c>
      <c r="F2443" s="493">
        <v>64883</v>
      </c>
      <c r="G2443" s="105" t="s">
        <v>33</v>
      </c>
      <c r="H2443" s="105" t="s">
        <v>342</v>
      </c>
      <c r="I2443" s="105" t="s">
        <v>334</v>
      </c>
      <c r="J2443" s="493">
        <v>22</v>
      </c>
      <c r="K2443" s="493">
        <v>2</v>
      </c>
      <c r="L2443" s="105" t="s">
        <v>343</v>
      </c>
      <c r="M2443" s="105" t="s">
        <v>655</v>
      </c>
      <c r="N2443" s="105" t="s">
        <v>656</v>
      </c>
      <c r="O2443" s="105" t="s">
        <v>656</v>
      </c>
      <c r="P2443" s="105" t="s">
        <v>339</v>
      </c>
      <c r="Q2443" s="494">
        <v>0</v>
      </c>
      <c r="R2443" s="494">
        <v>0</v>
      </c>
      <c r="S2443" s="494">
        <v>6011</v>
      </c>
      <c r="T2443" s="494">
        <v>6011</v>
      </c>
      <c r="U2443" s="494">
        <v>1762</v>
      </c>
      <c r="V2443" s="493">
        <v>2024</v>
      </c>
      <c r="W2443" s="495"/>
      <c r="X2443" s="496">
        <f t="shared" si="160"/>
        <v>3.4114642451759365</v>
      </c>
      <c r="Y2443" s="497" t="str">
        <f t="shared" si="159"/>
        <v/>
      </c>
      <c r="Z2443" s="497" t="str">
        <f t="shared" si="159"/>
        <v/>
      </c>
    </row>
    <row r="2444" spans="1:26" s="82" customFormat="1" x14ac:dyDescent="0.4">
      <c r="A2444" s="493">
        <v>65586</v>
      </c>
      <c r="B2444" s="105" t="s">
        <v>329</v>
      </c>
      <c r="C2444" s="493" t="s">
        <v>330</v>
      </c>
      <c r="D2444" s="105" t="s">
        <v>2889</v>
      </c>
      <c r="E2444" s="105" t="s">
        <v>2890</v>
      </c>
      <c r="F2444" s="493">
        <v>64884</v>
      </c>
      <c r="G2444" s="105" t="s">
        <v>33</v>
      </c>
      <c r="H2444" s="105" t="s">
        <v>342</v>
      </c>
      <c r="I2444" s="105" t="s">
        <v>334</v>
      </c>
      <c r="J2444" s="493">
        <v>22</v>
      </c>
      <c r="K2444" s="493">
        <v>2</v>
      </c>
      <c r="L2444" s="105" t="s">
        <v>343</v>
      </c>
      <c r="M2444" s="105" t="s">
        <v>655</v>
      </c>
      <c r="N2444" s="105" t="s">
        <v>656</v>
      </c>
      <c r="O2444" s="105" t="s">
        <v>656</v>
      </c>
      <c r="P2444" s="105" t="s">
        <v>339</v>
      </c>
      <c r="Q2444" s="494">
        <v>0</v>
      </c>
      <c r="R2444" s="494">
        <v>0</v>
      </c>
      <c r="S2444" s="494">
        <v>12124</v>
      </c>
      <c r="T2444" s="494">
        <v>12124</v>
      </c>
      <c r="U2444" s="494">
        <v>3553</v>
      </c>
      <c r="V2444" s="493">
        <v>2024</v>
      </c>
      <c r="W2444" s="495"/>
      <c r="X2444" s="496">
        <f t="shared" si="160"/>
        <v>3.4123276104700255</v>
      </c>
      <c r="Y2444" s="497" t="str">
        <f t="shared" si="159"/>
        <v/>
      </c>
      <c r="Z2444" s="497" t="str">
        <f t="shared" si="159"/>
        <v/>
      </c>
    </row>
    <row r="2445" spans="1:26" s="82" customFormat="1" ht="32" x14ac:dyDescent="0.4">
      <c r="A2445" s="493">
        <v>65587</v>
      </c>
      <c r="B2445" s="105" t="s">
        <v>329</v>
      </c>
      <c r="C2445" s="493" t="s">
        <v>330</v>
      </c>
      <c r="D2445" s="105" t="s">
        <v>2891</v>
      </c>
      <c r="E2445" s="105" t="s">
        <v>2892</v>
      </c>
      <c r="F2445" s="493">
        <v>64888</v>
      </c>
      <c r="G2445" s="105" t="s">
        <v>52</v>
      </c>
      <c r="H2445" s="105" t="s">
        <v>333</v>
      </c>
      <c r="I2445" s="105" t="s">
        <v>334</v>
      </c>
      <c r="J2445" s="493">
        <v>22</v>
      </c>
      <c r="K2445" s="493">
        <v>2</v>
      </c>
      <c r="L2445" s="105" t="s">
        <v>343</v>
      </c>
      <c r="M2445" s="105" t="s">
        <v>655</v>
      </c>
      <c r="N2445" s="105" t="s">
        <v>656</v>
      </c>
      <c r="O2445" s="105" t="s">
        <v>656</v>
      </c>
      <c r="P2445" s="105" t="s">
        <v>339</v>
      </c>
      <c r="Q2445" s="494">
        <v>0</v>
      </c>
      <c r="R2445" s="494">
        <v>0</v>
      </c>
      <c r="S2445" s="494">
        <v>28429</v>
      </c>
      <c r="T2445" s="494">
        <v>28429</v>
      </c>
      <c r="U2445" s="494">
        <v>8332</v>
      </c>
      <c r="V2445" s="493">
        <v>2024</v>
      </c>
      <c r="W2445" s="495"/>
      <c r="X2445" s="496">
        <f t="shared" si="160"/>
        <v>3.4120259241478639</v>
      </c>
      <c r="Y2445" s="497" t="str">
        <f t="shared" si="159"/>
        <v/>
      </c>
      <c r="Z2445" s="497" t="str">
        <f t="shared" si="159"/>
        <v/>
      </c>
    </row>
    <row r="2446" spans="1:26" s="82" customFormat="1" x14ac:dyDescent="0.4">
      <c r="A2446" s="493">
        <v>65613</v>
      </c>
      <c r="B2446" s="105" t="s">
        <v>329</v>
      </c>
      <c r="C2446" s="493" t="s">
        <v>330</v>
      </c>
      <c r="D2446" s="105" t="s">
        <v>2893</v>
      </c>
      <c r="E2446" s="105" t="s">
        <v>2894</v>
      </c>
      <c r="F2446" s="493">
        <v>64904</v>
      </c>
      <c r="G2446" s="105" t="s">
        <v>52</v>
      </c>
      <c r="H2446" s="105" t="s">
        <v>333</v>
      </c>
      <c r="I2446" s="105" t="s">
        <v>334</v>
      </c>
      <c r="J2446" s="493">
        <v>22</v>
      </c>
      <c r="K2446" s="493">
        <v>2</v>
      </c>
      <c r="L2446" s="105" t="s">
        <v>343</v>
      </c>
      <c r="M2446" s="105" t="s">
        <v>655</v>
      </c>
      <c r="N2446" s="105" t="s">
        <v>656</v>
      </c>
      <c r="O2446" s="105" t="s">
        <v>656</v>
      </c>
      <c r="P2446" s="105" t="s">
        <v>339</v>
      </c>
      <c r="Q2446" s="494">
        <v>0</v>
      </c>
      <c r="R2446" s="494">
        <v>0</v>
      </c>
      <c r="S2446" s="494">
        <v>6627</v>
      </c>
      <c r="T2446" s="494">
        <v>6627</v>
      </c>
      <c r="U2446" s="494">
        <v>1943</v>
      </c>
      <c r="V2446" s="493">
        <v>2024</v>
      </c>
      <c r="W2446" s="495"/>
      <c r="X2446" s="496">
        <f t="shared" si="160"/>
        <v>3.4107050952135873</v>
      </c>
      <c r="Y2446" s="497" t="str">
        <f t="shared" si="159"/>
        <v/>
      </c>
      <c r="Z2446" s="497" t="str">
        <f t="shared" si="159"/>
        <v/>
      </c>
    </row>
    <row r="2447" spans="1:26" s="82" customFormat="1" ht="48" x14ac:dyDescent="0.4">
      <c r="A2447" s="493">
        <v>65619</v>
      </c>
      <c r="B2447" s="105" t="s">
        <v>329</v>
      </c>
      <c r="C2447" s="493" t="s">
        <v>330</v>
      </c>
      <c r="D2447" s="105" t="s">
        <v>2895</v>
      </c>
      <c r="E2447" s="105" t="s">
        <v>1354</v>
      </c>
      <c r="F2447" s="493">
        <v>60025</v>
      </c>
      <c r="G2447" s="105" t="s">
        <v>36</v>
      </c>
      <c r="H2447" s="105" t="s">
        <v>342</v>
      </c>
      <c r="I2447" s="105" t="s">
        <v>334</v>
      </c>
      <c r="J2447" s="493">
        <v>22</v>
      </c>
      <c r="K2447" s="493">
        <v>2</v>
      </c>
      <c r="L2447" s="105" t="s">
        <v>343</v>
      </c>
      <c r="M2447" s="105" t="s">
        <v>655</v>
      </c>
      <c r="N2447" s="105" t="s">
        <v>656</v>
      </c>
      <c r="O2447" s="105" t="s">
        <v>656</v>
      </c>
      <c r="P2447" s="105" t="s">
        <v>339</v>
      </c>
      <c r="Q2447" s="494">
        <v>0</v>
      </c>
      <c r="R2447" s="494">
        <v>0</v>
      </c>
      <c r="S2447" s="494">
        <v>12221</v>
      </c>
      <c r="T2447" s="494">
        <v>12221</v>
      </c>
      <c r="U2447" s="494">
        <v>3582</v>
      </c>
      <c r="V2447" s="493">
        <v>2024</v>
      </c>
      <c r="W2447" s="495"/>
      <c r="X2447" s="496">
        <f t="shared" si="160"/>
        <v>3.4117811278615298</v>
      </c>
      <c r="Y2447" s="497" t="str">
        <f t="shared" si="159"/>
        <v/>
      </c>
      <c r="Z2447" s="497" t="str">
        <f t="shared" si="159"/>
        <v/>
      </c>
    </row>
    <row r="2448" spans="1:26" s="82" customFormat="1" ht="32" x14ac:dyDescent="0.4">
      <c r="A2448" s="493">
        <v>65620</v>
      </c>
      <c r="B2448" s="105" t="s">
        <v>329</v>
      </c>
      <c r="C2448" s="493" t="s">
        <v>330</v>
      </c>
      <c r="D2448" s="105" t="s">
        <v>2896</v>
      </c>
      <c r="E2448" s="105" t="s">
        <v>1313</v>
      </c>
      <c r="F2448" s="493">
        <v>60281</v>
      </c>
      <c r="G2448" s="105" t="s">
        <v>52</v>
      </c>
      <c r="H2448" s="105" t="s">
        <v>333</v>
      </c>
      <c r="I2448" s="105" t="s">
        <v>334</v>
      </c>
      <c r="J2448" s="493">
        <v>22</v>
      </c>
      <c r="K2448" s="493">
        <v>2</v>
      </c>
      <c r="L2448" s="105" t="s">
        <v>343</v>
      </c>
      <c r="M2448" s="105" t="s">
        <v>655</v>
      </c>
      <c r="N2448" s="105" t="s">
        <v>656</v>
      </c>
      <c r="O2448" s="105" t="s">
        <v>656</v>
      </c>
      <c r="P2448" s="105" t="s">
        <v>339</v>
      </c>
      <c r="Q2448" s="494">
        <v>0</v>
      </c>
      <c r="R2448" s="494">
        <v>0</v>
      </c>
      <c r="S2448" s="494">
        <v>11610</v>
      </c>
      <c r="T2448" s="494">
        <v>11610</v>
      </c>
      <c r="U2448" s="494">
        <v>3403</v>
      </c>
      <c r="V2448" s="493">
        <v>2024</v>
      </c>
      <c r="W2448" s="495"/>
      <c r="X2448" s="496">
        <f t="shared" si="160"/>
        <v>3.41169556273876</v>
      </c>
      <c r="Y2448" s="497" t="str">
        <f t="shared" ref="Y2448:Z2467" si="161">IF(AND($M2448=$Y$2,$N2448=$Y$3,NOT($Q2448=$R2448),NOT($U2448=0)),IF($K2448=5,$S2448/($U2448+(8/5)*$U2448),IF($K2448=7,$S2448/($U2448+(29/25)*$U2448),"")),"")</f>
        <v/>
      </c>
      <c r="Z2448" s="497" t="str">
        <f t="shared" si="161"/>
        <v/>
      </c>
    </row>
    <row r="2449" spans="1:26" s="82" customFormat="1" ht="32" x14ac:dyDescent="0.4">
      <c r="A2449" s="493">
        <v>65621</v>
      </c>
      <c r="B2449" s="105" t="s">
        <v>329</v>
      </c>
      <c r="C2449" s="493" t="s">
        <v>330</v>
      </c>
      <c r="D2449" s="105" t="s">
        <v>2897</v>
      </c>
      <c r="E2449" s="105" t="s">
        <v>1313</v>
      </c>
      <c r="F2449" s="493">
        <v>60281</v>
      </c>
      <c r="G2449" s="105" t="s">
        <v>52</v>
      </c>
      <c r="H2449" s="105" t="s">
        <v>333</v>
      </c>
      <c r="I2449" s="105" t="s">
        <v>334</v>
      </c>
      <c r="J2449" s="493">
        <v>22</v>
      </c>
      <c r="K2449" s="493">
        <v>2</v>
      </c>
      <c r="L2449" s="105" t="s">
        <v>343</v>
      </c>
      <c r="M2449" s="105" t="s">
        <v>655</v>
      </c>
      <c r="N2449" s="105" t="s">
        <v>656</v>
      </c>
      <c r="O2449" s="105" t="s">
        <v>656</v>
      </c>
      <c r="P2449" s="105" t="s">
        <v>339</v>
      </c>
      <c r="Q2449" s="494">
        <v>0</v>
      </c>
      <c r="R2449" s="494">
        <v>0</v>
      </c>
      <c r="S2449" s="494">
        <v>7904</v>
      </c>
      <c r="T2449" s="494">
        <v>7904</v>
      </c>
      <c r="U2449" s="494">
        <v>2317</v>
      </c>
      <c r="V2449" s="493">
        <v>2024</v>
      </c>
      <c r="W2449" s="495"/>
      <c r="X2449" s="496">
        <f t="shared" si="160"/>
        <v>3.4113077255071214</v>
      </c>
      <c r="Y2449" s="497" t="str">
        <f t="shared" si="161"/>
        <v/>
      </c>
      <c r="Z2449" s="497" t="str">
        <f t="shared" si="161"/>
        <v/>
      </c>
    </row>
    <row r="2450" spans="1:26" s="82" customFormat="1" x14ac:dyDescent="0.4">
      <c r="A2450" s="493">
        <v>65624</v>
      </c>
      <c r="B2450" s="105" t="s">
        <v>329</v>
      </c>
      <c r="C2450" s="493" t="s">
        <v>330</v>
      </c>
      <c r="D2450" s="105" t="s">
        <v>2898</v>
      </c>
      <c r="E2450" s="105" t="s">
        <v>2899</v>
      </c>
      <c r="F2450" s="493">
        <v>64918</v>
      </c>
      <c r="G2450" s="105" t="s">
        <v>52</v>
      </c>
      <c r="H2450" s="105" t="s">
        <v>333</v>
      </c>
      <c r="I2450" s="105" t="s">
        <v>334</v>
      </c>
      <c r="J2450" s="493">
        <v>22</v>
      </c>
      <c r="K2450" s="493">
        <v>2</v>
      </c>
      <c r="L2450" s="105" t="s">
        <v>343</v>
      </c>
      <c r="M2450" s="105" t="s">
        <v>655</v>
      </c>
      <c r="N2450" s="105" t="s">
        <v>656</v>
      </c>
      <c r="O2450" s="105" t="s">
        <v>656</v>
      </c>
      <c r="P2450" s="105" t="s">
        <v>339</v>
      </c>
      <c r="Q2450" s="494">
        <v>0</v>
      </c>
      <c r="R2450" s="494">
        <v>0</v>
      </c>
      <c r="S2450" s="494">
        <v>29945</v>
      </c>
      <c r="T2450" s="494">
        <v>29945</v>
      </c>
      <c r="U2450" s="494">
        <v>8776</v>
      </c>
      <c r="V2450" s="493">
        <v>2024</v>
      </c>
      <c r="W2450" s="495"/>
      <c r="X2450" s="496">
        <f t="shared" si="160"/>
        <v>3.4121467639015495</v>
      </c>
      <c r="Y2450" s="497" t="str">
        <f t="shared" si="161"/>
        <v/>
      </c>
      <c r="Z2450" s="497" t="str">
        <f t="shared" si="161"/>
        <v/>
      </c>
    </row>
    <row r="2451" spans="1:26" s="82" customFormat="1" x14ac:dyDescent="0.4">
      <c r="A2451" s="493">
        <v>65625</v>
      </c>
      <c r="B2451" s="105" t="s">
        <v>329</v>
      </c>
      <c r="C2451" s="493" t="s">
        <v>330</v>
      </c>
      <c r="D2451" s="105" t="s">
        <v>2900</v>
      </c>
      <c r="E2451" s="105" t="s">
        <v>2901</v>
      </c>
      <c r="F2451" s="493">
        <v>64919</v>
      </c>
      <c r="G2451" s="105" t="s">
        <v>52</v>
      </c>
      <c r="H2451" s="105" t="s">
        <v>333</v>
      </c>
      <c r="I2451" s="105" t="s">
        <v>334</v>
      </c>
      <c r="J2451" s="493">
        <v>22</v>
      </c>
      <c r="K2451" s="493">
        <v>2</v>
      </c>
      <c r="L2451" s="105" t="s">
        <v>343</v>
      </c>
      <c r="M2451" s="105" t="s">
        <v>655</v>
      </c>
      <c r="N2451" s="105" t="s">
        <v>656</v>
      </c>
      <c r="O2451" s="105" t="s">
        <v>656</v>
      </c>
      <c r="P2451" s="105" t="s">
        <v>339</v>
      </c>
      <c r="Q2451" s="494">
        <v>0</v>
      </c>
      <c r="R2451" s="494">
        <v>0</v>
      </c>
      <c r="S2451" s="494">
        <v>28546</v>
      </c>
      <c r="T2451" s="494">
        <v>28546</v>
      </c>
      <c r="U2451" s="494">
        <v>8367</v>
      </c>
      <c r="V2451" s="493">
        <v>2024</v>
      </c>
      <c r="W2451" s="495"/>
      <c r="X2451" s="496">
        <f t="shared" si="160"/>
        <v>3.4117365841998328</v>
      </c>
      <c r="Y2451" s="497" t="str">
        <f t="shared" si="161"/>
        <v/>
      </c>
      <c r="Z2451" s="497" t="str">
        <f t="shared" si="161"/>
        <v/>
      </c>
    </row>
    <row r="2452" spans="1:26" s="82" customFormat="1" x14ac:dyDescent="0.4">
      <c r="A2452" s="493">
        <v>65626</v>
      </c>
      <c r="B2452" s="105" t="s">
        <v>329</v>
      </c>
      <c r="C2452" s="493" t="s">
        <v>330</v>
      </c>
      <c r="D2452" s="105" t="s">
        <v>2902</v>
      </c>
      <c r="E2452" s="105" t="s">
        <v>2903</v>
      </c>
      <c r="F2452" s="493">
        <v>64920</v>
      </c>
      <c r="G2452" s="105" t="s">
        <v>52</v>
      </c>
      <c r="H2452" s="105" t="s">
        <v>333</v>
      </c>
      <c r="I2452" s="105" t="s">
        <v>334</v>
      </c>
      <c r="J2452" s="493">
        <v>22</v>
      </c>
      <c r="K2452" s="493">
        <v>2</v>
      </c>
      <c r="L2452" s="105" t="s">
        <v>343</v>
      </c>
      <c r="M2452" s="105" t="s">
        <v>655</v>
      </c>
      <c r="N2452" s="105" t="s">
        <v>656</v>
      </c>
      <c r="O2452" s="105" t="s">
        <v>656</v>
      </c>
      <c r="P2452" s="105" t="s">
        <v>339</v>
      </c>
      <c r="Q2452" s="494">
        <v>0</v>
      </c>
      <c r="R2452" s="494">
        <v>0</v>
      </c>
      <c r="S2452" s="494">
        <v>27379</v>
      </c>
      <c r="T2452" s="494">
        <v>27379</v>
      </c>
      <c r="U2452" s="494">
        <v>8024</v>
      </c>
      <c r="V2452" s="493">
        <v>2024</v>
      </c>
      <c r="W2452" s="495"/>
      <c r="X2452" s="496">
        <f t="shared" si="160"/>
        <v>3.4121385842472582</v>
      </c>
      <c r="Y2452" s="497" t="str">
        <f t="shared" si="161"/>
        <v/>
      </c>
      <c r="Z2452" s="497" t="str">
        <f t="shared" si="161"/>
        <v/>
      </c>
    </row>
    <row r="2453" spans="1:26" s="82" customFormat="1" x14ac:dyDescent="0.4">
      <c r="A2453" s="493">
        <v>65627</v>
      </c>
      <c r="B2453" s="105" t="s">
        <v>329</v>
      </c>
      <c r="C2453" s="493" t="s">
        <v>330</v>
      </c>
      <c r="D2453" s="105" t="s">
        <v>2904</v>
      </c>
      <c r="E2453" s="105" t="s">
        <v>2905</v>
      </c>
      <c r="F2453" s="493">
        <v>64921</v>
      </c>
      <c r="G2453" s="105" t="s">
        <v>52</v>
      </c>
      <c r="H2453" s="105" t="s">
        <v>333</v>
      </c>
      <c r="I2453" s="105" t="s">
        <v>334</v>
      </c>
      <c r="J2453" s="493">
        <v>22</v>
      </c>
      <c r="K2453" s="493">
        <v>2</v>
      </c>
      <c r="L2453" s="105" t="s">
        <v>343</v>
      </c>
      <c r="M2453" s="105" t="s">
        <v>655</v>
      </c>
      <c r="N2453" s="105" t="s">
        <v>656</v>
      </c>
      <c r="O2453" s="105" t="s">
        <v>656</v>
      </c>
      <c r="P2453" s="105" t="s">
        <v>339</v>
      </c>
      <c r="Q2453" s="494">
        <v>0</v>
      </c>
      <c r="R2453" s="494">
        <v>0</v>
      </c>
      <c r="S2453" s="494">
        <v>21269</v>
      </c>
      <c r="T2453" s="494">
        <v>21269</v>
      </c>
      <c r="U2453" s="494">
        <v>6234</v>
      </c>
      <c r="V2453" s="493">
        <v>2024</v>
      </c>
      <c r="W2453" s="495"/>
      <c r="X2453" s="496">
        <f t="shared" si="160"/>
        <v>3.4117741418030159</v>
      </c>
      <c r="Y2453" s="497" t="str">
        <f t="shared" si="161"/>
        <v/>
      </c>
      <c r="Z2453" s="497" t="str">
        <f t="shared" si="161"/>
        <v/>
      </c>
    </row>
    <row r="2454" spans="1:26" s="82" customFormat="1" x14ac:dyDescent="0.4">
      <c r="A2454" s="493">
        <v>65628</v>
      </c>
      <c r="B2454" s="105" t="s">
        <v>329</v>
      </c>
      <c r="C2454" s="493" t="s">
        <v>330</v>
      </c>
      <c r="D2454" s="105" t="s">
        <v>2906</v>
      </c>
      <c r="E2454" s="105" t="s">
        <v>2907</v>
      </c>
      <c r="F2454" s="493">
        <v>64922</v>
      </c>
      <c r="G2454" s="105" t="s">
        <v>52</v>
      </c>
      <c r="H2454" s="105" t="s">
        <v>333</v>
      </c>
      <c r="I2454" s="105" t="s">
        <v>334</v>
      </c>
      <c r="J2454" s="493">
        <v>22</v>
      </c>
      <c r="K2454" s="493">
        <v>2</v>
      </c>
      <c r="L2454" s="105" t="s">
        <v>343</v>
      </c>
      <c r="M2454" s="105" t="s">
        <v>655</v>
      </c>
      <c r="N2454" s="105" t="s">
        <v>656</v>
      </c>
      <c r="O2454" s="105" t="s">
        <v>656</v>
      </c>
      <c r="P2454" s="105" t="s">
        <v>339</v>
      </c>
      <c r="Q2454" s="494">
        <v>0</v>
      </c>
      <c r="R2454" s="494">
        <v>0</v>
      </c>
      <c r="S2454" s="494">
        <v>29318</v>
      </c>
      <c r="T2454" s="494">
        <v>29318</v>
      </c>
      <c r="U2454" s="494">
        <v>8593</v>
      </c>
      <c r="V2454" s="493">
        <v>2024</v>
      </c>
      <c r="W2454" s="495"/>
      <c r="X2454" s="496">
        <f t="shared" si="160"/>
        <v>3.4118468520889094</v>
      </c>
      <c r="Y2454" s="497" t="str">
        <f t="shared" si="161"/>
        <v/>
      </c>
      <c r="Z2454" s="497" t="str">
        <f t="shared" si="161"/>
        <v/>
      </c>
    </row>
    <row r="2455" spans="1:26" s="82" customFormat="1" ht="32" x14ac:dyDescent="0.4">
      <c r="A2455" s="493">
        <v>65636</v>
      </c>
      <c r="B2455" s="105" t="s">
        <v>329</v>
      </c>
      <c r="C2455" s="493" t="s">
        <v>330</v>
      </c>
      <c r="D2455" s="105" t="s">
        <v>2908</v>
      </c>
      <c r="E2455" s="105" t="s">
        <v>2909</v>
      </c>
      <c r="F2455" s="493">
        <v>64880</v>
      </c>
      <c r="G2455" s="105" t="s">
        <v>33</v>
      </c>
      <c r="H2455" s="105" t="s">
        <v>342</v>
      </c>
      <c r="I2455" s="105" t="s">
        <v>334</v>
      </c>
      <c r="J2455" s="493">
        <v>22</v>
      </c>
      <c r="K2455" s="493">
        <v>2</v>
      </c>
      <c r="L2455" s="105" t="s">
        <v>343</v>
      </c>
      <c r="M2455" s="105" t="s">
        <v>655</v>
      </c>
      <c r="N2455" s="105" t="s">
        <v>656</v>
      </c>
      <c r="O2455" s="105" t="s">
        <v>656</v>
      </c>
      <c r="P2455" s="105" t="s">
        <v>339</v>
      </c>
      <c r="Q2455" s="494">
        <v>0</v>
      </c>
      <c r="R2455" s="494">
        <v>0</v>
      </c>
      <c r="S2455" s="494">
        <v>12381</v>
      </c>
      <c r="T2455" s="494">
        <v>12381</v>
      </c>
      <c r="U2455" s="494">
        <v>3629</v>
      </c>
      <c r="V2455" s="493">
        <v>2024</v>
      </c>
      <c r="W2455" s="495"/>
      <c r="X2455" s="496">
        <f t="shared" si="160"/>
        <v>3.4116836594103059</v>
      </c>
      <c r="Y2455" s="497" t="str">
        <f t="shared" si="161"/>
        <v/>
      </c>
      <c r="Z2455" s="497" t="str">
        <f t="shared" si="161"/>
        <v/>
      </c>
    </row>
    <row r="2456" spans="1:26" s="82" customFormat="1" x14ac:dyDescent="0.4">
      <c r="A2456" s="493">
        <v>65637</v>
      </c>
      <c r="B2456" s="105" t="s">
        <v>329</v>
      </c>
      <c r="C2456" s="493" t="s">
        <v>330</v>
      </c>
      <c r="D2456" s="105" t="s">
        <v>2910</v>
      </c>
      <c r="E2456" s="105" t="s">
        <v>2911</v>
      </c>
      <c r="F2456" s="493">
        <v>64881</v>
      </c>
      <c r="G2456" s="105" t="s">
        <v>38</v>
      </c>
      <c r="H2456" s="105" t="s">
        <v>342</v>
      </c>
      <c r="I2456" s="105" t="s">
        <v>2117</v>
      </c>
      <c r="J2456" s="493">
        <v>22</v>
      </c>
      <c r="K2456" s="493">
        <v>2</v>
      </c>
      <c r="L2456" s="105" t="s">
        <v>343</v>
      </c>
      <c r="M2456" s="105" t="s">
        <v>655</v>
      </c>
      <c r="N2456" s="105" t="s">
        <v>656</v>
      </c>
      <c r="O2456" s="105" t="s">
        <v>656</v>
      </c>
      <c r="P2456" s="105" t="s">
        <v>339</v>
      </c>
      <c r="Q2456" s="494">
        <v>0</v>
      </c>
      <c r="R2456" s="494">
        <v>0</v>
      </c>
      <c r="S2456" s="494">
        <v>5219</v>
      </c>
      <c r="T2456" s="494">
        <v>5219</v>
      </c>
      <c r="U2456" s="494">
        <v>1529</v>
      </c>
      <c r="V2456" s="493">
        <v>2024</v>
      </c>
      <c r="W2456" s="495"/>
      <c r="X2456" s="496">
        <f t="shared" si="160"/>
        <v>3.4133420536298233</v>
      </c>
      <c r="Y2456" s="497" t="str">
        <f t="shared" si="161"/>
        <v/>
      </c>
      <c r="Z2456" s="497" t="str">
        <f t="shared" si="161"/>
        <v/>
      </c>
    </row>
    <row r="2457" spans="1:26" s="82" customFormat="1" ht="32" x14ac:dyDescent="0.4">
      <c r="A2457" s="493">
        <v>65643</v>
      </c>
      <c r="B2457" s="105" t="s">
        <v>329</v>
      </c>
      <c r="C2457" s="493" t="s">
        <v>330</v>
      </c>
      <c r="D2457" s="105" t="s">
        <v>2912</v>
      </c>
      <c r="E2457" s="105" t="s">
        <v>1313</v>
      </c>
      <c r="F2457" s="493">
        <v>60281</v>
      </c>
      <c r="G2457" s="105" t="s">
        <v>52</v>
      </c>
      <c r="H2457" s="105" t="s">
        <v>333</v>
      </c>
      <c r="I2457" s="105" t="s">
        <v>334</v>
      </c>
      <c r="J2457" s="493">
        <v>22</v>
      </c>
      <c r="K2457" s="493">
        <v>2</v>
      </c>
      <c r="L2457" s="105" t="s">
        <v>343</v>
      </c>
      <c r="M2457" s="105" t="s">
        <v>655</v>
      </c>
      <c r="N2457" s="105" t="s">
        <v>656</v>
      </c>
      <c r="O2457" s="105" t="s">
        <v>656</v>
      </c>
      <c r="P2457" s="105" t="s">
        <v>339</v>
      </c>
      <c r="Q2457" s="494">
        <v>0</v>
      </c>
      <c r="R2457" s="494">
        <v>0</v>
      </c>
      <c r="S2457" s="494">
        <v>27470</v>
      </c>
      <c r="T2457" s="494">
        <v>27470</v>
      </c>
      <c r="U2457" s="494">
        <v>8051</v>
      </c>
      <c r="V2457" s="493">
        <v>2024</v>
      </c>
      <c r="W2457" s="495"/>
      <c r="X2457" s="496">
        <f t="shared" si="160"/>
        <v>3.4119985095019252</v>
      </c>
      <c r="Y2457" s="497" t="str">
        <f t="shared" si="161"/>
        <v/>
      </c>
      <c r="Z2457" s="497" t="str">
        <f t="shared" si="161"/>
        <v/>
      </c>
    </row>
    <row r="2458" spans="1:26" s="82" customFormat="1" x14ac:dyDescent="0.4">
      <c r="A2458" s="493">
        <v>65646</v>
      </c>
      <c r="B2458" s="105" t="s">
        <v>329</v>
      </c>
      <c r="C2458" s="493" t="s">
        <v>330</v>
      </c>
      <c r="D2458" s="105" t="s">
        <v>2913</v>
      </c>
      <c r="E2458" s="105" t="s">
        <v>2914</v>
      </c>
      <c r="F2458" s="493">
        <v>64925</v>
      </c>
      <c r="G2458" s="105" t="s">
        <v>33</v>
      </c>
      <c r="H2458" s="105" t="s">
        <v>342</v>
      </c>
      <c r="I2458" s="105" t="s">
        <v>334</v>
      </c>
      <c r="J2458" s="493">
        <v>22</v>
      </c>
      <c r="K2458" s="493">
        <v>2</v>
      </c>
      <c r="L2458" s="105" t="s">
        <v>343</v>
      </c>
      <c r="M2458" s="105" t="s">
        <v>655</v>
      </c>
      <c r="N2458" s="105" t="s">
        <v>656</v>
      </c>
      <c r="O2458" s="105" t="s">
        <v>656</v>
      </c>
      <c r="P2458" s="105" t="s">
        <v>339</v>
      </c>
      <c r="Q2458" s="494">
        <v>0</v>
      </c>
      <c r="R2458" s="494">
        <v>0</v>
      </c>
      <c r="S2458" s="494">
        <v>8121</v>
      </c>
      <c r="T2458" s="494">
        <v>8121</v>
      </c>
      <c r="U2458" s="494">
        <v>2380</v>
      </c>
      <c r="V2458" s="493">
        <v>2024</v>
      </c>
      <c r="W2458" s="495"/>
      <c r="X2458" s="496">
        <f t="shared" si="160"/>
        <v>3.4121848739495797</v>
      </c>
      <c r="Y2458" s="497" t="str">
        <f t="shared" si="161"/>
        <v/>
      </c>
      <c r="Z2458" s="497" t="str">
        <f t="shared" si="161"/>
        <v/>
      </c>
    </row>
    <row r="2459" spans="1:26" s="82" customFormat="1" x14ac:dyDescent="0.4">
      <c r="A2459" s="493">
        <v>65647</v>
      </c>
      <c r="B2459" s="105" t="s">
        <v>329</v>
      </c>
      <c r="C2459" s="493" t="s">
        <v>330</v>
      </c>
      <c r="D2459" s="105" t="s">
        <v>2915</v>
      </c>
      <c r="E2459" s="105" t="s">
        <v>2916</v>
      </c>
      <c r="F2459" s="493">
        <v>64926</v>
      </c>
      <c r="G2459" s="105" t="s">
        <v>52</v>
      </c>
      <c r="H2459" s="105" t="s">
        <v>333</v>
      </c>
      <c r="I2459" s="105" t="s">
        <v>334</v>
      </c>
      <c r="J2459" s="493">
        <v>22</v>
      </c>
      <c r="K2459" s="493">
        <v>2</v>
      </c>
      <c r="L2459" s="105" t="s">
        <v>343</v>
      </c>
      <c r="M2459" s="105" t="s">
        <v>655</v>
      </c>
      <c r="N2459" s="105" t="s">
        <v>656</v>
      </c>
      <c r="O2459" s="105" t="s">
        <v>656</v>
      </c>
      <c r="P2459" s="105" t="s">
        <v>339</v>
      </c>
      <c r="Q2459" s="494">
        <v>0</v>
      </c>
      <c r="R2459" s="494">
        <v>0</v>
      </c>
      <c r="S2459" s="494">
        <v>17168</v>
      </c>
      <c r="T2459" s="494">
        <v>17168</v>
      </c>
      <c r="U2459" s="494">
        <v>5032</v>
      </c>
      <c r="V2459" s="493">
        <v>2024</v>
      </c>
      <c r="W2459" s="495"/>
      <c r="X2459" s="496">
        <f t="shared" si="160"/>
        <v>3.4117647058823528</v>
      </c>
      <c r="Y2459" s="497" t="str">
        <f t="shared" si="161"/>
        <v/>
      </c>
      <c r="Z2459" s="497" t="str">
        <f t="shared" si="161"/>
        <v/>
      </c>
    </row>
    <row r="2460" spans="1:26" s="82" customFormat="1" ht="32" x14ac:dyDescent="0.4">
      <c r="A2460" s="493">
        <v>65650</v>
      </c>
      <c r="B2460" s="105" t="s">
        <v>329</v>
      </c>
      <c r="C2460" s="493" t="s">
        <v>330</v>
      </c>
      <c r="D2460" s="105" t="s">
        <v>2917</v>
      </c>
      <c r="E2460" s="105" t="s">
        <v>2918</v>
      </c>
      <c r="F2460" s="493">
        <v>64889</v>
      </c>
      <c r="G2460" s="105" t="s">
        <v>33</v>
      </c>
      <c r="H2460" s="105" t="s">
        <v>342</v>
      </c>
      <c r="I2460" s="105" t="s">
        <v>334</v>
      </c>
      <c r="J2460" s="493">
        <v>22</v>
      </c>
      <c r="K2460" s="493">
        <v>2</v>
      </c>
      <c r="L2460" s="105" t="s">
        <v>343</v>
      </c>
      <c r="M2460" s="105" t="s">
        <v>403</v>
      </c>
      <c r="N2460" s="105" t="s">
        <v>404</v>
      </c>
      <c r="O2460" s="105" t="s">
        <v>232</v>
      </c>
      <c r="P2460" s="105" t="s">
        <v>346</v>
      </c>
      <c r="Q2460" s="494">
        <v>518</v>
      </c>
      <c r="R2460" s="494">
        <v>518</v>
      </c>
      <c r="S2460" s="494">
        <v>0</v>
      </c>
      <c r="T2460" s="494">
        <v>0</v>
      </c>
      <c r="U2460" s="494">
        <v>-52</v>
      </c>
      <c r="V2460" s="493">
        <v>2024</v>
      </c>
      <c r="W2460" s="495"/>
      <c r="X2460" s="496" t="str">
        <f t="shared" si="160"/>
        <v/>
      </c>
      <c r="Y2460" s="497" t="str">
        <f t="shared" si="161"/>
        <v/>
      </c>
      <c r="Z2460" s="497" t="str">
        <f t="shared" si="161"/>
        <v/>
      </c>
    </row>
    <row r="2461" spans="1:26" s="82" customFormat="1" ht="32" x14ac:dyDescent="0.4">
      <c r="A2461" s="493">
        <v>65650</v>
      </c>
      <c r="B2461" s="105" t="s">
        <v>329</v>
      </c>
      <c r="C2461" s="493" t="s">
        <v>330</v>
      </c>
      <c r="D2461" s="105" t="s">
        <v>2917</v>
      </c>
      <c r="E2461" s="105" t="s">
        <v>2918</v>
      </c>
      <c r="F2461" s="493">
        <v>64889</v>
      </c>
      <c r="G2461" s="105" t="s">
        <v>33</v>
      </c>
      <c r="H2461" s="105" t="s">
        <v>342</v>
      </c>
      <c r="I2461" s="105" t="s">
        <v>334</v>
      </c>
      <c r="J2461" s="493">
        <v>22</v>
      </c>
      <c r="K2461" s="493">
        <v>2</v>
      </c>
      <c r="L2461" s="105" t="s">
        <v>343</v>
      </c>
      <c r="M2461" s="105" t="s">
        <v>655</v>
      </c>
      <c r="N2461" s="105" t="s">
        <v>656</v>
      </c>
      <c r="O2461" s="105" t="s">
        <v>656</v>
      </c>
      <c r="P2461" s="105" t="s">
        <v>339</v>
      </c>
      <c r="Q2461" s="494">
        <v>0</v>
      </c>
      <c r="R2461" s="494">
        <v>0</v>
      </c>
      <c r="S2461" s="494">
        <v>6937</v>
      </c>
      <c r="T2461" s="494">
        <v>6937</v>
      </c>
      <c r="U2461" s="494">
        <v>2033</v>
      </c>
      <c r="V2461" s="493">
        <v>2024</v>
      </c>
      <c r="W2461" s="495"/>
      <c r="X2461" s="496">
        <f t="shared" si="160"/>
        <v>3.4121987211018201</v>
      </c>
      <c r="Y2461" s="497" t="str">
        <f t="shared" si="161"/>
        <v/>
      </c>
      <c r="Z2461" s="497" t="str">
        <f t="shared" si="161"/>
        <v/>
      </c>
    </row>
    <row r="2462" spans="1:26" s="82" customFormat="1" x14ac:dyDescent="0.4">
      <c r="A2462" s="493">
        <v>65653</v>
      </c>
      <c r="B2462" s="105" t="s">
        <v>329</v>
      </c>
      <c r="C2462" s="493" t="s">
        <v>330</v>
      </c>
      <c r="D2462" s="105" t="s">
        <v>2919</v>
      </c>
      <c r="E2462" s="105" t="s">
        <v>2920</v>
      </c>
      <c r="F2462" s="493">
        <v>63432</v>
      </c>
      <c r="G2462" s="105" t="s">
        <v>33</v>
      </c>
      <c r="H2462" s="105" t="s">
        <v>342</v>
      </c>
      <c r="I2462" s="105" t="s">
        <v>334</v>
      </c>
      <c r="J2462" s="493">
        <v>22</v>
      </c>
      <c r="K2462" s="493">
        <v>2</v>
      </c>
      <c r="L2462" s="105" t="s">
        <v>343</v>
      </c>
      <c r="M2462" s="105" t="s">
        <v>655</v>
      </c>
      <c r="N2462" s="105" t="s">
        <v>656</v>
      </c>
      <c r="O2462" s="105" t="s">
        <v>656</v>
      </c>
      <c r="P2462" s="105" t="s">
        <v>339</v>
      </c>
      <c r="Q2462" s="494">
        <v>0</v>
      </c>
      <c r="R2462" s="494">
        <v>0</v>
      </c>
      <c r="S2462" s="494">
        <v>17261</v>
      </c>
      <c r="T2462" s="494">
        <v>17261</v>
      </c>
      <c r="U2462" s="494">
        <v>5059</v>
      </c>
      <c r="V2462" s="493">
        <v>2024</v>
      </c>
      <c r="W2462" s="495"/>
      <c r="X2462" s="496">
        <f t="shared" si="160"/>
        <v>3.4119391184028465</v>
      </c>
      <c r="Y2462" s="497" t="str">
        <f t="shared" si="161"/>
        <v/>
      </c>
      <c r="Z2462" s="497" t="str">
        <f t="shared" si="161"/>
        <v/>
      </c>
    </row>
    <row r="2463" spans="1:26" s="82" customFormat="1" x14ac:dyDescent="0.4">
      <c r="A2463" s="493">
        <v>65667</v>
      </c>
      <c r="B2463" s="105" t="s">
        <v>329</v>
      </c>
      <c r="C2463" s="493" t="s">
        <v>330</v>
      </c>
      <c r="D2463" s="105" t="s">
        <v>2921</v>
      </c>
      <c r="E2463" s="105" t="s">
        <v>2755</v>
      </c>
      <c r="F2463" s="493">
        <v>64426</v>
      </c>
      <c r="G2463" s="105" t="s">
        <v>37</v>
      </c>
      <c r="H2463" s="105" t="s">
        <v>342</v>
      </c>
      <c r="I2463" s="105" t="s">
        <v>334</v>
      </c>
      <c r="J2463" s="493">
        <v>22</v>
      </c>
      <c r="K2463" s="493">
        <v>2</v>
      </c>
      <c r="L2463" s="105" t="s">
        <v>343</v>
      </c>
      <c r="M2463" s="105" t="s">
        <v>655</v>
      </c>
      <c r="N2463" s="105" t="s">
        <v>656</v>
      </c>
      <c r="O2463" s="105" t="s">
        <v>656</v>
      </c>
      <c r="P2463" s="105" t="s">
        <v>339</v>
      </c>
      <c r="Q2463" s="494">
        <v>0</v>
      </c>
      <c r="R2463" s="494">
        <v>0</v>
      </c>
      <c r="S2463" s="494">
        <v>29036</v>
      </c>
      <c r="T2463" s="494">
        <v>29036</v>
      </c>
      <c r="U2463" s="494">
        <v>8510</v>
      </c>
      <c r="V2463" s="493">
        <v>2024</v>
      </c>
      <c r="W2463" s="495"/>
      <c r="X2463" s="496">
        <f t="shared" si="160"/>
        <v>3.4119858989424205</v>
      </c>
      <c r="Y2463" s="497" t="str">
        <f t="shared" si="161"/>
        <v/>
      </c>
      <c r="Z2463" s="497" t="str">
        <f t="shared" si="161"/>
        <v/>
      </c>
    </row>
    <row r="2464" spans="1:26" s="82" customFormat="1" x14ac:dyDescent="0.4">
      <c r="A2464" s="493">
        <v>65668</v>
      </c>
      <c r="B2464" s="105" t="s">
        <v>329</v>
      </c>
      <c r="C2464" s="493" t="s">
        <v>330</v>
      </c>
      <c r="D2464" s="105" t="s">
        <v>2922</v>
      </c>
      <c r="E2464" s="105" t="s">
        <v>2755</v>
      </c>
      <c r="F2464" s="493">
        <v>64426</v>
      </c>
      <c r="G2464" s="105" t="s">
        <v>37</v>
      </c>
      <c r="H2464" s="105" t="s">
        <v>342</v>
      </c>
      <c r="I2464" s="105" t="s">
        <v>334</v>
      </c>
      <c r="J2464" s="493">
        <v>22</v>
      </c>
      <c r="K2464" s="493">
        <v>2</v>
      </c>
      <c r="L2464" s="105" t="s">
        <v>343</v>
      </c>
      <c r="M2464" s="105" t="s">
        <v>655</v>
      </c>
      <c r="N2464" s="105" t="s">
        <v>656</v>
      </c>
      <c r="O2464" s="105" t="s">
        <v>656</v>
      </c>
      <c r="P2464" s="105" t="s">
        <v>339</v>
      </c>
      <c r="Q2464" s="494">
        <v>0</v>
      </c>
      <c r="R2464" s="494">
        <v>0</v>
      </c>
      <c r="S2464" s="494">
        <v>30132</v>
      </c>
      <c r="T2464" s="494">
        <v>30132</v>
      </c>
      <c r="U2464" s="494">
        <v>8831</v>
      </c>
      <c r="V2464" s="493">
        <v>2024</v>
      </c>
      <c r="W2464" s="495"/>
      <c r="X2464" s="496">
        <f t="shared" si="160"/>
        <v>3.4120711131242216</v>
      </c>
      <c r="Y2464" s="497" t="str">
        <f t="shared" si="161"/>
        <v/>
      </c>
      <c r="Z2464" s="497" t="str">
        <f t="shared" si="161"/>
        <v/>
      </c>
    </row>
    <row r="2465" spans="1:26" s="82" customFormat="1" ht="32" x14ac:dyDescent="0.4">
      <c r="A2465" s="493">
        <v>65669</v>
      </c>
      <c r="B2465" s="105" t="s">
        <v>329</v>
      </c>
      <c r="C2465" s="493" t="s">
        <v>330</v>
      </c>
      <c r="D2465" s="105" t="s">
        <v>2923</v>
      </c>
      <c r="E2465" s="105" t="s">
        <v>2924</v>
      </c>
      <c r="F2465" s="493">
        <v>64938</v>
      </c>
      <c r="G2465" s="105" t="s">
        <v>33</v>
      </c>
      <c r="H2465" s="105" t="s">
        <v>342</v>
      </c>
      <c r="I2465" s="105" t="s">
        <v>334</v>
      </c>
      <c r="J2465" s="493">
        <v>22</v>
      </c>
      <c r="K2465" s="493">
        <v>2</v>
      </c>
      <c r="L2465" s="105" t="s">
        <v>343</v>
      </c>
      <c r="M2465" s="105" t="s">
        <v>403</v>
      </c>
      <c r="N2465" s="105" t="s">
        <v>404</v>
      </c>
      <c r="O2465" s="105" t="s">
        <v>232</v>
      </c>
      <c r="P2465" s="105" t="s">
        <v>346</v>
      </c>
      <c r="Q2465" s="494">
        <v>695</v>
      </c>
      <c r="R2465" s="494">
        <v>695</v>
      </c>
      <c r="S2465" s="494">
        <v>0</v>
      </c>
      <c r="T2465" s="494">
        <v>0</v>
      </c>
      <c r="U2465" s="494">
        <v>-183</v>
      </c>
      <c r="V2465" s="493">
        <v>2024</v>
      </c>
      <c r="W2465" s="495"/>
      <c r="X2465" s="496" t="str">
        <f t="shared" si="160"/>
        <v/>
      </c>
      <c r="Y2465" s="497" t="str">
        <f t="shared" si="161"/>
        <v/>
      </c>
      <c r="Z2465" s="497" t="str">
        <f t="shared" si="161"/>
        <v/>
      </c>
    </row>
    <row r="2466" spans="1:26" s="82" customFormat="1" ht="32" x14ac:dyDescent="0.4">
      <c r="A2466" s="493">
        <v>65669</v>
      </c>
      <c r="B2466" s="105" t="s">
        <v>329</v>
      </c>
      <c r="C2466" s="493" t="s">
        <v>330</v>
      </c>
      <c r="D2466" s="105" t="s">
        <v>2923</v>
      </c>
      <c r="E2466" s="105" t="s">
        <v>2924</v>
      </c>
      <c r="F2466" s="493">
        <v>64938</v>
      </c>
      <c r="G2466" s="105" t="s">
        <v>33</v>
      </c>
      <c r="H2466" s="105" t="s">
        <v>342</v>
      </c>
      <c r="I2466" s="105" t="s">
        <v>334</v>
      </c>
      <c r="J2466" s="493">
        <v>22</v>
      </c>
      <c r="K2466" s="493">
        <v>2</v>
      </c>
      <c r="L2466" s="105" t="s">
        <v>343</v>
      </c>
      <c r="M2466" s="105" t="s">
        <v>655</v>
      </c>
      <c r="N2466" s="105" t="s">
        <v>656</v>
      </c>
      <c r="O2466" s="105" t="s">
        <v>656</v>
      </c>
      <c r="P2466" s="105" t="s">
        <v>339</v>
      </c>
      <c r="Q2466" s="494">
        <v>0</v>
      </c>
      <c r="R2466" s="494">
        <v>0</v>
      </c>
      <c r="S2466" s="494">
        <v>7993</v>
      </c>
      <c r="T2466" s="494">
        <v>7993</v>
      </c>
      <c r="U2466" s="494">
        <v>2343</v>
      </c>
      <c r="V2466" s="493">
        <v>2024</v>
      </c>
      <c r="W2466" s="495"/>
      <c r="X2466" s="496">
        <f t="shared" si="160"/>
        <v>3.4114383269312847</v>
      </c>
      <c r="Y2466" s="497" t="str">
        <f t="shared" si="161"/>
        <v/>
      </c>
      <c r="Z2466" s="497" t="str">
        <f t="shared" si="161"/>
        <v/>
      </c>
    </row>
    <row r="2467" spans="1:26" s="82" customFormat="1" ht="32" x14ac:dyDescent="0.4">
      <c r="A2467" s="493">
        <v>65670</v>
      </c>
      <c r="B2467" s="105" t="s">
        <v>329</v>
      </c>
      <c r="C2467" s="493" t="s">
        <v>330</v>
      </c>
      <c r="D2467" s="105" t="s">
        <v>2925</v>
      </c>
      <c r="E2467" s="105" t="s">
        <v>2926</v>
      </c>
      <c r="F2467" s="493">
        <v>64939</v>
      </c>
      <c r="G2467" s="105" t="s">
        <v>33</v>
      </c>
      <c r="H2467" s="105" t="s">
        <v>342</v>
      </c>
      <c r="I2467" s="105" t="s">
        <v>334</v>
      </c>
      <c r="J2467" s="493">
        <v>22</v>
      </c>
      <c r="K2467" s="493">
        <v>2</v>
      </c>
      <c r="L2467" s="105" t="s">
        <v>343</v>
      </c>
      <c r="M2467" s="105" t="s">
        <v>403</v>
      </c>
      <c r="N2467" s="105" t="s">
        <v>404</v>
      </c>
      <c r="O2467" s="105" t="s">
        <v>232</v>
      </c>
      <c r="P2467" s="105" t="s">
        <v>346</v>
      </c>
      <c r="Q2467" s="494">
        <v>496</v>
      </c>
      <c r="R2467" s="494">
        <v>496</v>
      </c>
      <c r="S2467" s="494">
        <v>0</v>
      </c>
      <c r="T2467" s="494">
        <v>0</v>
      </c>
      <c r="U2467" s="494">
        <v>-152</v>
      </c>
      <c r="V2467" s="493">
        <v>2024</v>
      </c>
      <c r="W2467" s="495"/>
      <c r="X2467" s="496" t="str">
        <f t="shared" si="160"/>
        <v/>
      </c>
      <c r="Y2467" s="497" t="str">
        <f t="shared" si="161"/>
        <v/>
      </c>
      <c r="Z2467" s="497" t="str">
        <f t="shared" si="161"/>
        <v/>
      </c>
    </row>
    <row r="2468" spans="1:26" s="82" customFormat="1" ht="32" x14ac:dyDescent="0.4">
      <c r="A2468" s="493">
        <v>65670</v>
      </c>
      <c r="B2468" s="105" t="s">
        <v>329</v>
      </c>
      <c r="C2468" s="493" t="s">
        <v>330</v>
      </c>
      <c r="D2468" s="105" t="s">
        <v>2925</v>
      </c>
      <c r="E2468" s="105" t="s">
        <v>2926</v>
      </c>
      <c r="F2468" s="493">
        <v>64939</v>
      </c>
      <c r="G2468" s="105" t="s">
        <v>33</v>
      </c>
      <c r="H2468" s="105" t="s">
        <v>342</v>
      </c>
      <c r="I2468" s="105" t="s">
        <v>334</v>
      </c>
      <c r="J2468" s="493">
        <v>22</v>
      </c>
      <c r="K2468" s="493">
        <v>2</v>
      </c>
      <c r="L2468" s="105" t="s">
        <v>343</v>
      </c>
      <c r="M2468" s="105" t="s">
        <v>655</v>
      </c>
      <c r="N2468" s="105" t="s">
        <v>656</v>
      </c>
      <c r="O2468" s="105" t="s">
        <v>656</v>
      </c>
      <c r="P2468" s="105" t="s">
        <v>339</v>
      </c>
      <c r="Q2468" s="494">
        <v>0</v>
      </c>
      <c r="R2468" s="494">
        <v>0</v>
      </c>
      <c r="S2468" s="494">
        <v>5565</v>
      </c>
      <c r="T2468" s="494">
        <v>5565</v>
      </c>
      <c r="U2468" s="494">
        <v>1631</v>
      </c>
      <c r="V2468" s="493">
        <v>2024</v>
      </c>
      <c r="W2468" s="495"/>
      <c r="X2468" s="496">
        <f t="shared" si="160"/>
        <v>3.4120171673819741</v>
      </c>
      <c r="Y2468" s="497" t="str">
        <f t="shared" ref="Y2468:Z2487" si="162">IF(AND($M2468=$Y$2,$N2468=$Y$3,NOT($Q2468=$R2468),NOT($U2468=0)),IF($K2468=5,$S2468/($U2468+(8/5)*$U2468),IF($K2468=7,$S2468/($U2468+(29/25)*$U2468),"")),"")</f>
        <v/>
      </c>
      <c r="Z2468" s="497" t="str">
        <f t="shared" si="162"/>
        <v/>
      </c>
    </row>
    <row r="2469" spans="1:26" s="82" customFormat="1" x14ac:dyDescent="0.4">
      <c r="A2469" s="493">
        <v>65679</v>
      </c>
      <c r="B2469" s="105" t="s">
        <v>329</v>
      </c>
      <c r="C2469" s="493" t="s">
        <v>330</v>
      </c>
      <c r="D2469" s="105" t="s">
        <v>2927</v>
      </c>
      <c r="E2469" s="105" t="s">
        <v>2928</v>
      </c>
      <c r="F2469" s="493">
        <v>64950</v>
      </c>
      <c r="G2469" s="105" t="s">
        <v>52</v>
      </c>
      <c r="H2469" s="105" t="s">
        <v>333</v>
      </c>
      <c r="I2469" s="105" t="s">
        <v>334</v>
      </c>
      <c r="J2469" s="493">
        <v>22</v>
      </c>
      <c r="K2469" s="493">
        <v>2</v>
      </c>
      <c r="L2469" s="105" t="s">
        <v>343</v>
      </c>
      <c r="M2469" s="105" t="s">
        <v>655</v>
      </c>
      <c r="N2469" s="105" t="s">
        <v>656</v>
      </c>
      <c r="O2469" s="105" t="s">
        <v>656</v>
      </c>
      <c r="P2469" s="105" t="s">
        <v>339</v>
      </c>
      <c r="Q2469" s="494">
        <v>0</v>
      </c>
      <c r="R2469" s="494">
        <v>0</v>
      </c>
      <c r="S2469" s="494">
        <v>149197</v>
      </c>
      <c r="T2469" s="494">
        <v>149197</v>
      </c>
      <c r="U2469" s="494">
        <v>43727</v>
      </c>
      <c r="V2469" s="493">
        <v>2024</v>
      </c>
      <c r="W2469" s="495"/>
      <c r="X2469" s="496">
        <f t="shared" si="160"/>
        <v>3.41201088572278</v>
      </c>
      <c r="Y2469" s="497" t="str">
        <f t="shared" si="162"/>
        <v/>
      </c>
      <c r="Z2469" s="497" t="str">
        <f t="shared" si="162"/>
        <v/>
      </c>
    </row>
    <row r="2470" spans="1:26" s="82" customFormat="1" x14ac:dyDescent="0.4">
      <c r="A2470" s="493">
        <v>65688</v>
      </c>
      <c r="B2470" s="105" t="s">
        <v>329</v>
      </c>
      <c r="C2470" s="493" t="s">
        <v>330</v>
      </c>
      <c r="D2470" s="105" t="s">
        <v>2929</v>
      </c>
      <c r="E2470" s="105" t="s">
        <v>2929</v>
      </c>
      <c r="F2470" s="493">
        <v>64819</v>
      </c>
      <c r="G2470" s="105" t="s">
        <v>33</v>
      </c>
      <c r="H2470" s="105" t="s">
        <v>342</v>
      </c>
      <c r="I2470" s="105" t="s">
        <v>334</v>
      </c>
      <c r="J2470" s="493">
        <v>22</v>
      </c>
      <c r="K2470" s="493">
        <v>2</v>
      </c>
      <c r="L2470" s="105" t="s">
        <v>343</v>
      </c>
      <c r="M2470" s="105" t="s">
        <v>655</v>
      </c>
      <c r="N2470" s="105" t="s">
        <v>656</v>
      </c>
      <c r="O2470" s="105" t="s">
        <v>656</v>
      </c>
      <c r="P2470" s="105" t="s">
        <v>339</v>
      </c>
      <c r="Q2470" s="494">
        <v>0</v>
      </c>
      <c r="R2470" s="494">
        <v>0</v>
      </c>
      <c r="S2470" s="494">
        <v>19949</v>
      </c>
      <c r="T2470" s="494">
        <v>19949</v>
      </c>
      <c r="U2470" s="494">
        <v>5847</v>
      </c>
      <c r="V2470" s="493">
        <v>2024</v>
      </c>
      <c r="W2470" s="495"/>
      <c r="X2470" s="496">
        <f t="shared" si="160"/>
        <v>3.4118351291260476</v>
      </c>
      <c r="Y2470" s="497" t="str">
        <f t="shared" si="162"/>
        <v/>
      </c>
      <c r="Z2470" s="497" t="str">
        <f t="shared" si="162"/>
        <v/>
      </c>
    </row>
    <row r="2471" spans="1:26" s="82" customFormat="1" ht="32" x14ac:dyDescent="0.4">
      <c r="A2471" s="493">
        <v>65690</v>
      </c>
      <c r="B2471" s="105" t="s">
        <v>329</v>
      </c>
      <c r="C2471" s="493" t="s">
        <v>330</v>
      </c>
      <c r="D2471" s="105" t="s">
        <v>2930</v>
      </c>
      <c r="E2471" s="105" t="s">
        <v>2931</v>
      </c>
      <c r="F2471" s="493">
        <v>64818</v>
      </c>
      <c r="G2471" s="105" t="s">
        <v>33</v>
      </c>
      <c r="H2471" s="105" t="s">
        <v>342</v>
      </c>
      <c r="I2471" s="105" t="s">
        <v>334</v>
      </c>
      <c r="J2471" s="493">
        <v>22</v>
      </c>
      <c r="K2471" s="493">
        <v>2</v>
      </c>
      <c r="L2471" s="105" t="s">
        <v>343</v>
      </c>
      <c r="M2471" s="105" t="s">
        <v>655</v>
      </c>
      <c r="N2471" s="105" t="s">
        <v>656</v>
      </c>
      <c r="O2471" s="105" t="s">
        <v>656</v>
      </c>
      <c r="P2471" s="105" t="s">
        <v>339</v>
      </c>
      <c r="Q2471" s="494">
        <v>0</v>
      </c>
      <c r="R2471" s="494">
        <v>0</v>
      </c>
      <c r="S2471" s="494">
        <v>9422</v>
      </c>
      <c r="T2471" s="494">
        <v>9422</v>
      </c>
      <c r="U2471" s="494">
        <v>2761</v>
      </c>
      <c r="V2471" s="493">
        <v>2024</v>
      </c>
      <c r="W2471" s="495"/>
      <c r="X2471" s="496">
        <f t="shared" si="160"/>
        <v>3.4125316914161536</v>
      </c>
      <c r="Y2471" s="497" t="str">
        <f t="shared" si="162"/>
        <v/>
      </c>
      <c r="Z2471" s="497" t="str">
        <f t="shared" si="162"/>
        <v/>
      </c>
    </row>
    <row r="2472" spans="1:26" s="82" customFormat="1" x14ac:dyDescent="0.4">
      <c r="A2472" s="493">
        <v>65692</v>
      </c>
      <c r="B2472" s="105" t="s">
        <v>329</v>
      </c>
      <c r="C2472" s="493" t="s">
        <v>330</v>
      </c>
      <c r="D2472" s="105" t="s">
        <v>2932</v>
      </c>
      <c r="E2472" s="105" t="s">
        <v>2933</v>
      </c>
      <c r="F2472" s="493">
        <v>63289</v>
      </c>
      <c r="G2472" s="105" t="s">
        <v>52</v>
      </c>
      <c r="H2472" s="105" t="s">
        <v>333</v>
      </c>
      <c r="I2472" s="105" t="s">
        <v>334</v>
      </c>
      <c r="J2472" s="493">
        <v>22</v>
      </c>
      <c r="K2472" s="493">
        <v>2</v>
      </c>
      <c r="L2472" s="105" t="s">
        <v>343</v>
      </c>
      <c r="M2472" s="105" t="s">
        <v>403</v>
      </c>
      <c r="N2472" s="105" t="s">
        <v>404</v>
      </c>
      <c r="O2472" s="105" t="s">
        <v>232</v>
      </c>
      <c r="P2472" s="105" t="s">
        <v>346</v>
      </c>
      <c r="Q2472" s="494">
        <v>33904</v>
      </c>
      <c r="R2472" s="494">
        <v>33904</v>
      </c>
      <c r="S2472" s="494">
        <v>0</v>
      </c>
      <c r="T2472" s="494">
        <v>0</v>
      </c>
      <c r="U2472" s="494">
        <v>-4528</v>
      </c>
      <c r="V2472" s="493">
        <v>2024</v>
      </c>
      <c r="W2472" s="495"/>
      <c r="X2472" s="496" t="str">
        <f t="shared" si="160"/>
        <v/>
      </c>
      <c r="Y2472" s="497" t="str">
        <f t="shared" si="162"/>
        <v/>
      </c>
      <c r="Z2472" s="497" t="str">
        <f t="shared" si="162"/>
        <v/>
      </c>
    </row>
    <row r="2473" spans="1:26" s="82" customFormat="1" x14ac:dyDescent="0.4">
      <c r="A2473" s="493">
        <v>65716</v>
      </c>
      <c r="B2473" s="105" t="s">
        <v>329</v>
      </c>
      <c r="C2473" s="493" t="s">
        <v>330</v>
      </c>
      <c r="D2473" s="105" t="s">
        <v>2934</v>
      </c>
      <c r="E2473" s="105" t="s">
        <v>2935</v>
      </c>
      <c r="F2473" s="493">
        <v>64980</v>
      </c>
      <c r="G2473" s="105" t="s">
        <v>33</v>
      </c>
      <c r="H2473" s="105" t="s">
        <v>342</v>
      </c>
      <c r="I2473" s="105" t="s">
        <v>334</v>
      </c>
      <c r="J2473" s="493">
        <v>22</v>
      </c>
      <c r="K2473" s="493">
        <v>2</v>
      </c>
      <c r="L2473" s="105" t="s">
        <v>343</v>
      </c>
      <c r="M2473" s="105" t="s">
        <v>655</v>
      </c>
      <c r="N2473" s="105" t="s">
        <v>656</v>
      </c>
      <c r="O2473" s="105" t="s">
        <v>656</v>
      </c>
      <c r="P2473" s="105" t="s">
        <v>339</v>
      </c>
      <c r="Q2473" s="494">
        <v>0</v>
      </c>
      <c r="R2473" s="494">
        <v>0</v>
      </c>
      <c r="S2473" s="494">
        <v>12168</v>
      </c>
      <c r="T2473" s="494">
        <v>12168</v>
      </c>
      <c r="U2473" s="494">
        <v>3566</v>
      </c>
      <c r="V2473" s="493">
        <v>2024</v>
      </c>
      <c r="W2473" s="495"/>
      <c r="X2473" s="496">
        <f t="shared" si="160"/>
        <v>3.4122265844083004</v>
      </c>
      <c r="Y2473" s="497" t="str">
        <f t="shared" si="162"/>
        <v/>
      </c>
      <c r="Z2473" s="497" t="str">
        <f t="shared" si="162"/>
        <v/>
      </c>
    </row>
    <row r="2474" spans="1:26" s="82" customFormat="1" x14ac:dyDescent="0.4">
      <c r="A2474" s="493">
        <v>65717</v>
      </c>
      <c r="B2474" s="105" t="s">
        <v>329</v>
      </c>
      <c r="C2474" s="493" t="s">
        <v>330</v>
      </c>
      <c r="D2474" s="105" t="s">
        <v>2936</v>
      </c>
      <c r="E2474" s="105" t="s">
        <v>2937</v>
      </c>
      <c r="F2474" s="493">
        <v>64981</v>
      </c>
      <c r="G2474" s="105" t="s">
        <v>33</v>
      </c>
      <c r="H2474" s="105" t="s">
        <v>342</v>
      </c>
      <c r="I2474" s="105" t="s">
        <v>334</v>
      </c>
      <c r="J2474" s="493">
        <v>22</v>
      </c>
      <c r="K2474" s="493">
        <v>2</v>
      </c>
      <c r="L2474" s="105" t="s">
        <v>343</v>
      </c>
      <c r="M2474" s="105" t="s">
        <v>655</v>
      </c>
      <c r="N2474" s="105" t="s">
        <v>656</v>
      </c>
      <c r="O2474" s="105" t="s">
        <v>656</v>
      </c>
      <c r="P2474" s="105" t="s">
        <v>339</v>
      </c>
      <c r="Q2474" s="494">
        <v>0</v>
      </c>
      <c r="R2474" s="494">
        <v>0</v>
      </c>
      <c r="S2474" s="494">
        <v>26762</v>
      </c>
      <c r="T2474" s="494">
        <v>26762</v>
      </c>
      <c r="U2474" s="494">
        <v>7844</v>
      </c>
      <c r="V2474" s="493">
        <v>2024</v>
      </c>
      <c r="W2474" s="495"/>
      <c r="X2474" s="496">
        <f t="shared" si="160"/>
        <v>3.4117797042325346</v>
      </c>
      <c r="Y2474" s="497" t="str">
        <f t="shared" si="162"/>
        <v/>
      </c>
      <c r="Z2474" s="497" t="str">
        <f t="shared" si="162"/>
        <v/>
      </c>
    </row>
    <row r="2475" spans="1:26" s="82" customFormat="1" x14ac:dyDescent="0.4">
      <c r="A2475" s="493">
        <v>65719</v>
      </c>
      <c r="B2475" s="105" t="s">
        <v>329</v>
      </c>
      <c r="C2475" s="493" t="s">
        <v>330</v>
      </c>
      <c r="D2475" s="105" t="s">
        <v>2938</v>
      </c>
      <c r="E2475" s="105" t="s">
        <v>2939</v>
      </c>
      <c r="F2475" s="493">
        <v>64982</v>
      </c>
      <c r="G2475" s="105" t="s">
        <v>33</v>
      </c>
      <c r="H2475" s="105" t="s">
        <v>342</v>
      </c>
      <c r="I2475" s="105" t="s">
        <v>334</v>
      </c>
      <c r="J2475" s="493">
        <v>22</v>
      </c>
      <c r="K2475" s="493">
        <v>2</v>
      </c>
      <c r="L2475" s="105" t="s">
        <v>343</v>
      </c>
      <c r="M2475" s="105" t="s">
        <v>655</v>
      </c>
      <c r="N2475" s="105" t="s">
        <v>656</v>
      </c>
      <c r="O2475" s="105" t="s">
        <v>656</v>
      </c>
      <c r="P2475" s="105" t="s">
        <v>339</v>
      </c>
      <c r="Q2475" s="494">
        <v>0</v>
      </c>
      <c r="R2475" s="494">
        <v>0</v>
      </c>
      <c r="S2475" s="494">
        <v>7786</v>
      </c>
      <c r="T2475" s="494">
        <v>7786</v>
      </c>
      <c r="U2475" s="494">
        <v>2282</v>
      </c>
      <c r="V2475" s="493">
        <v>2024</v>
      </c>
      <c r="W2475" s="495"/>
      <c r="X2475" s="496">
        <f t="shared" si="160"/>
        <v>3.4119193689745835</v>
      </c>
      <c r="Y2475" s="497" t="str">
        <f t="shared" si="162"/>
        <v/>
      </c>
      <c r="Z2475" s="497" t="str">
        <f t="shared" si="162"/>
        <v/>
      </c>
    </row>
    <row r="2476" spans="1:26" s="82" customFormat="1" ht="32" x14ac:dyDescent="0.4">
      <c r="A2476" s="493">
        <v>65720</v>
      </c>
      <c r="B2476" s="105" t="s">
        <v>329</v>
      </c>
      <c r="C2476" s="493" t="s">
        <v>330</v>
      </c>
      <c r="D2476" s="105" t="s">
        <v>2940</v>
      </c>
      <c r="E2476" s="105" t="s">
        <v>2941</v>
      </c>
      <c r="F2476" s="493">
        <v>64984</v>
      </c>
      <c r="G2476" s="105" t="s">
        <v>33</v>
      </c>
      <c r="H2476" s="105" t="s">
        <v>342</v>
      </c>
      <c r="I2476" s="105" t="s">
        <v>334</v>
      </c>
      <c r="J2476" s="493">
        <v>22</v>
      </c>
      <c r="K2476" s="493">
        <v>2</v>
      </c>
      <c r="L2476" s="105" t="s">
        <v>343</v>
      </c>
      <c r="M2476" s="105" t="s">
        <v>655</v>
      </c>
      <c r="N2476" s="105" t="s">
        <v>656</v>
      </c>
      <c r="O2476" s="105" t="s">
        <v>656</v>
      </c>
      <c r="P2476" s="105" t="s">
        <v>339</v>
      </c>
      <c r="Q2476" s="494">
        <v>0</v>
      </c>
      <c r="R2476" s="494">
        <v>0</v>
      </c>
      <c r="S2476" s="494">
        <v>28189</v>
      </c>
      <c r="T2476" s="494">
        <v>28189</v>
      </c>
      <c r="U2476" s="494">
        <v>8262</v>
      </c>
      <c r="V2476" s="493">
        <v>2024</v>
      </c>
      <c r="W2476" s="495"/>
      <c r="X2476" s="496">
        <f t="shared" si="160"/>
        <v>3.4118857419511013</v>
      </c>
      <c r="Y2476" s="497" t="str">
        <f t="shared" si="162"/>
        <v/>
      </c>
      <c r="Z2476" s="497" t="str">
        <f t="shared" si="162"/>
        <v/>
      </c>
    </row>
    <row r="2477" spans="1:26" s="82" customFormat="1" ht="32" x14ac:dyDescent="0.4">
      <c r="A2477" s="493">
        <v>65721</v>
      </c>
      <c r="B2477" s="105" t="s">
        <v>329</v>
      </c>
      <c r="C2477" s="493" t="s">
        <v>330</v>
      </c>
      <c r="D2477" s="105" t="s">
        <v>2942</v>
      </c>
      <c r="E2477" s="105" t="s">
        <v>2943</v>
      </c>
      <c r="F2477" s="493">
        <v>64985</v>
      </c>
      <c r="G2477" s="105" t="s">
        <v>52</v>
      </c>
      <c r="H2477" s="105" t="s">
        <v>333</v>
      </c>
      <c r="I2477" s="105" t="s">
        <v>334</v>
      </c>
      <c r="J2477" s="493">
        <v>22</v>
      </c>
      <c r="K2477" s="493">
        <v>2</v>
      </c>
      <c r="L2477" s="105" t="s">
        <v>343</v>
      </c>
      <c r="M2477" s="105" t="s">
        <v>655</v>
      </c>
      <c r="N2477" s="105" t="s">
        <v>656</v>
      </c>
      <c r="O2477" s="105" t="s">
        <v>656</v>
      </c>
      <c r="P2477" s="105" t="s">
        <v>339</v>
      </c>
      <c r="Q2477" s="494">
        <v>0</v>
      </c>
      <c r="R2477" s="494">
        <v>0</v>
      </c>
      <c r="S2477" s="494">
        <v>27954</v>
      </c>
      <c r="T2477" s="494">
        <v>27954</v>
      </c>
      <c r="U2477" s="494">
        <v>8193</v>
      </c>
      <c r="V2477" s="493">
        <v>2024</v>
      </c>
      <c r="W2477" s="495"/>
      <c r="X2477" s="496">
        <f t="shared" si="160"/>
        <v>3.4119370194068108</v>
      </c>
      <c r="Y2477" s="497" t="str">
        <f t="shared" si="162"/>
        <v/>
      </c>
      <c r="Z2477" s="497" t="str">
        <f t="shared" si="162"/>
        <v/>
      </c>
    </row>
    <row r="2478" spans="1:26" s="82" customFormat="1" x14ac:dyDescent="0.4">
      <c r="A2478" s="493">
        <v>65722</v>
      </c>
      <c r="B2478" s="105" t="s">
        <v>329</v>
      </c>
      <c r="C2478" s="493" t="s">
        <v>330</v>
      </c>
      <c r="D2478" s="105" t="s">
        <v>2944</v>
      </c>
      <c r="E2478" s="105" t="s">
        <v>2945</v>
      </c>
      <c r="F2478" s="493">
        <v>64882</v>
      </c>
      <c r="G2478" s="105" t="s">
        <v>33</v>
      </c>
      <c r="H2478" s="105" t="s">
        <v>342</v>
      </c>
      <c r="I2478" s="105" t="s">
        <v>334</v>
      </c>
      <c r="J2478" s="493">
        <v>22</v>
      </c>
      <c r="K2478" s="493">
        <v>2</v>
      </c>
      <c r="L2478" s="105" t="s">
        <v>343</v>
      </c>
      <c r="M2478" s="105" t="s">
        <v>655</v>
      </c>
      <c r="N2478" s="105" t="s">
        <v>656</v>
      </c>
      <c r="O2478" s="105" t="s">
        <v>656</v>
      </c>
      <c r="P2478" s="105" t="s">
        <v>339</v>
      </c>
      <c r="Q2478" s="494">
        <v>0</v>
      </c>
      <c r="R2478" s="494">
        <v>0</v>
      </c>
      <c r="S2478" s="494">
        <v>4341</v>
      </c>
      <c r="T2478" s="494">
        <v>4341</v>
      </c>
      <c r="U2478" s="494">
        <v>1272</v>
      </c>
      <c r="V2478" s="493">
        <v>2024</v>
      </c>
      <c r="W2478" s="495"/>
      <c r="X2478" s="496">
        <f t="shared" si="160"/>
        <v>3.4127358490566038</v>
      </c>
      <c r="Y2478" s="497" t="str">
        <f t="shared" si="162"/>
        <v/>
      </c>
      <c r="Z2478" s="497" t="str">
        <f t="shared" si="162"/>
        <v/>
      </c>
    </row>
    <row r="2479" spans="1:26" s="82" customFormat="1" ht="32" x14ac:dyDescent="0.4">
      <c r="A2479" s="493">
        <v>65723</v>
      </c>
      <c r="B2479" s="105" t="s">
        <v>329</v>
      </c>
      <c r="C2479" s="493" t="s">
        <v>330</v>
      </c>
      <c r="D2479" s="105" t="s">
        <v>2946</v>
      </c>
      <c r="E2479" s="105" t="s">
        <v>2947</v>
      </c>
      <c r="F2479" s="493">
        <v>64986</v>
      </c>
      <c r="G2479" s="105" t="s">
        <v>52</v>
      </c>
      <c r="H2479" s="105" t="s">
        <v>333</v>
      </c>
      <c r="I2479" s="105" t="s">
        <v>334</v>
      </c>
      <c r="J2479" s="493">
        <v>22</v>
      </c>
      <c r="K2479" s="493">
        <v>2</v>
      </c>
      <c r="L2479" s="105" t="s">
        <v>343</v>
      </c>
      <c r="M2479" s="105" t="s">
        <v>655</v>
      </c>
      <c r="N2479" s="105" t="s">
        <v>656</v>
      </c>
      <c r="O2479" s="105" t="s">
        <v>656</v>
      </c>
      <c r="P2479" s="105" t="s">
        <v>339</v>
      </c>
      <c r="Q2479" s="494">
        <v>0</v>
      </c>
      <c r="R2479" s="494">
        <v>0</v>
      </c>
      <c r="S2479" s="494">
        <v>28776</v>
      </c>
      <c r="T2479" s="494">
        <v>28776</v>
      </c>
      <c r="U2479" s="494">
        <v>8434</v>
      </c>
      <c r="V2479" s="493">
        <v>2024</v>
      </c>
      <c r="W2479" s="495"/>
      <c r="X2479" s="496">
        <f t="shared" si="160"/>
        <v>3.4119041972966562</v>
      </c>
      <c r="Y2479" s="497" t="str">
        <f t="shared" si="162"/>
        <v/>
      </c>
      <c r="Z2479" s="497" t="str">
        <f t="shared" si="162"/>
        <v/>
      </c>
    </row>
    <row r="2480" spans="1:26" s="82" customFormat="1" x14ac:dyDescent="0.4">
      <c r="A2480" s="493">
        <v>65724</v>
      </c>
      <c r="B2480" s="105" t="s">
        <v>329</v>
      </c>
      <c r="C2480" s="493" t="s">
        <v>330</v>
      </c>
      <c r="D2480" s="105" t="s">
        <v>2948</v>
      </c>
      <c r="E2480" s="105" t="s">
        <v>2949</v>
      </c>
      <c r="F2480" s="493">
        <v>64987</v>
      </c>
      <c r="G2480" s="105" t="s">
        <v>52</v>
      </c>
      <c r="H2480" s="105" t="s">
        <v>333</v>
      </c>
      <c r="I2480" s="105" t="s">
        <v>334</v>
      </c>
      <c r="J2480" s="493">
        <v>22</v>
      </c>
      <c r="K2480" s="493">
        <v>2</v>
      </c>
      <c r="L2480" s="105" t="s">
        <v>343</v>
      </c>
      <c r="M2480" s="105" t="s">
        <v>655</v>
      </c>
      <c r="N2480" s="105" t="s">
        <v>656</v>
      </c>
      <c r="O2480" s="105" t="s">
        <v>656</v>
      </c>
      <c r="P2480" s="105" t="s">
        <v>339</v>
      </c>
      <c r="Q2480" s="494">
        <v>0</v>
      </c>
      <c r="R2480" s="494">
        <v>0</v>
      </c>
      <c r="S2480" s="494">
        <v>25618</v>
      </c>
      <c r="T2480" s="494">
        <v>25618</v>
      </c>
      <c r="U2480" s="494">
        <v>7508</v>
      </c>
      <c r="V2480" s="493">
        <v>2024</v>
      </c>
      <c r="W2480" s="495"/>
      <c r="X2480" s="496">
        <f t="shared" si="160"/>
        <v>3.412093766648908</v>
      </c>
      <c r="Y2480" s="497" t="str">
        <f t="shared" si="162"/>
        <v/>
      </c>
      <c r="Z2480" s="497" t="str">
        <f t="shared" si="162"/>
        <v/>
      </c>
    </row>
    <row r="2481" spans="1:26" s="82" customFormat="1" ht="32" x14ac:dyDescent="0.4">
      <c r="A2481" s="493">
        <v>65752</v>
      </c>
      <c r="B2481" s="105" t="s">
        <v>329</v>
      </c>
      <c r="C2481" s="493" t="s">
        <v>330</v>
      </c>
      <c r="D2481" s="105" t="s">
        <v>2950</v>
      </c>
      <c r="E2481" s="105" t="s">
        <v>1313</v>
      </c>
      <c r="F2481" s="493">
        <v>60281</v>
      </c>
      <c r="G2481" s="105" t="s">
        <v>52</v>
      </c>
      <c r="H2481" s="105" t="s">
        <v>333</v>
      </c>
      <c r="I2481" s="105" t="s">
        <v>334</v>
      </c>
      <c r="J2481" s="493">
        <v>22</v>
      </c>
      <c r="K2481" s="493">
        <v>2</v>
      </c>
      <c r="L2481" s="105" t="s">
        <v>343</v>
      </c>
      <c r="M2481" s="105" t="s">
        <v>655</v>
      </c>
      <c r="N2481" s="105" t="s">
        <v>656</v>
      </c>
      <c r="O2481" s="105" t="s">
        <v>656</v>
      </c>
      <c r="P2481" s="105" t="s">
        <v>339</v>
      </c>
      <c r="Q2481" s="494">
        <v>0</v>
      </c>
      <c r="R2481" s="494">
        <v>0</v>
      </c>
      <c r="S2481" s="494">
        <v>11557</v>
      </c>
      <c r="T2481" s="494">
        <v>11557</v>
      </c>
      <c r="U2481" s="494">
        <v>3387</v>
      </c>
      <c r="V2481" s="493">
        <v>2024</v>
      </c>
      <c r="W2481" s="495"/>
      <c r="X2481" s="496">
        <f t="shared" si="160"/>
        <v>3.4121641570711545</v>
      </c>
      <c r="Y2481" s="497" t="str">
        <f t="shared" si="162"/>
        <v/>
      </c>
      <c r="Z2481" s="497" t="str">
        <f t="shared" si="162"/>
        <v/>
      </c>
    </row>
    <row r="2482" spans="1:26" s="82" customFormat="1" ht="32" x14ac:dyDescent="0.4">
      <c r="A2482" s="493">
        <v>65753</v>
      </c>
      <c r="B2482" s="105" t="s">
        <v>329</v>
      </c>
      <c r="C2482" s="493" t="s">
        <v>330</v>
      </c>
      <c r="D2482" s="105" t="s">
        <v>2951</v>
      </c>
      <c r="E2482" s="105" t="s">
        <v>1313</v>
      </c>
      <c r="F2482" s="493">
        <v>60281</v>
      </c>
      <c r="G2482" s="105" t="s">
        <v>52</v>
      </c>
      <c r="H2482" s="105" t="s">
        <v>333</v>
      </c>
      <c r="I2482" s="105" t="s">
        <v>334</v>
      </c>
      <c r="J2482" s="493">
        <v>22</v>
      </c>
      <c r="K2482" s="493">
        <v>2</v>
      </c>
      <c r="L2482" s="105" t="s">
        <v>343</v>
      </c>
      <c r="M2482" s="105" t="s">
        <v>655</v>
      </c>
      <c r="N2482" s="105" t="s">
        <v>656</v>
      </c>
      <c r="O2482" s="105" t="s">
        <v>656</v>
      </c>
      <c r="P2482" s="105" t="s">
        <v>339</v>
      </c>
      <c r="Q2482" s="494">
        <v>0</v>
      </c>
      <c r="R2482" s="494">
        <v>0</v>
      </c>
      <c r="S2482" s="494">
        <v>26255</v>
      </c>
      <c r="T2482" s="494">
        <v>26255</v>
      </c>
      <c r="U2482" s="494">
        <v>7695</v>
      </c>
      <c r="V2482" s="493">
        <v>2024</v>
      </c>
      <c r="W2482" s="495"/>
      <c r="X2482" s="496">
        <f t="shared" si="160"/>
        <v>3.4119558154645873</v>
      </c>
      <c r="Y2482" s="497" t="str">
        <f t="shared" si="162"/>
        <v/>
      </c>
      <c r="Z2482" s="497" t="str">
        <f t="shared" si="162"/>
        <v/>
      </c>
    </row>
    <row r="2483" spans="1:26" s="82" customFormat="1" ht="32" x14ac:dyDescent="0.4">
      <c r="A2483" s="493">
        <v>65754</v>
      </c>
      <c r="B2483" s="105" t="s">
        <v>329</v>
      </c>
      <c r="C2483" s="493" t="s">
        <v>330</v>
      </c>
      <c r="D2483" s="105" t="s">
        <v>2952</v>
      </c>
      <c r="E2483" s="105" t="s">
        <v>1313</v>
      </c>
      <c r="F2483" s="493">
        <v>60281</v>
      </c>
      <c r="G2483" s="105" t="s">
        <v>52</v>
      </c>
      <c r="H2483" s="105" t="s">
        <v>333</v>
      </c>
      <c r="I2483" s="105" t="s">
        <v>334</v>
      </c>
      <c r="J2483" s="493">
        <v>22</v>
      </c>
      <c r="K2483" s="493">
        <v>2</v>
      </c>
      <c r="L2483" s="105" t="s">
        <v>343</v>
      </c>
      <c r="M2483" s="105" t="s">
        <v>655</v>
      </c>
      <c r="N2483" s="105" t="s">
        <v>656</v>
      </c>
      <c r="O2483" s="105" t="s">
        <v>656</v>
      </c>
      <c r="P2483" s="105" t="s">
        <v>339</v>
      </c>
      <c r="Q2483" s="494">
        <v>0</v>
      </c>
      <c r="R2483" s="494">
        <v>0</v>
      </c>
      <c r="S2483" s="494">
        <v>28753</v>
      </c>
      <c r="T2483" s="494">
        <v>28753</v>
      </c>
      <c r="U2483" s="494">
        <v>8427</v>
      </c>
      <c r="V2483" s="493">
        <v>2024</v>
      </c>
      <c r="W2483" s="495"/>
      <c r="X2483" s="496">
        <f t="shared" si="160"/>
        <v>3.412009018630592</v>
      </c>
      <c r="Y2483" s="497" t="str">
        <f t="shared" si="162"/>
        <v/>
      </c>
      <c r="Z2483" s="497" t="str">
        <f t="shared" si="162"/>
        <v/>
      </c>
    </row>
    <row r="2484" spans="1:26" s="82" customFormat="1" ht="32" x14ac:dyDescent="0.4">
      <c r="A2484" s="493">
        <v>65755</v>
      </c>
      <c r="B2484" s="105" t="s">
        <v>329</v>
      </c>
      <c r="C2484" s="493" t="s">
        <v>330</v>
      </c>
      <c r="D2484" s="105" t="s">
        <v>2953</v>
      </c>
      <c r="E2484" s="105" t="s">
        <v>1313</v>
      </c>
      <c r="F2484" s="493">
        <v>60281</v>
      </c>
      <c r="G2484" s="105" t="s">
        <v>52</v>
      </c>
      <c r="H2484" s="105" t="s">
        <v>333</v>
      </c>
      <c r="I2484" s="105" t="s">
        <v>334</v>
      </c>
      <c r="J2484" s="493">
        <v>22</v>
      </c>
      <c r="K2484" s="493">
        <v>2</v>
      </c>
      <c r="L2484" s="105" t="s">
        <v>343</v>
      </c>
      <c r="M2484" s="105" t="s">
        <v>655</v>
      </c>
      <c r="N2484" s="105" t="s">
        <v>656</v>
      </c>
      <c r="O2484" s="105" t="s">
        <v>656</v>
      </c>
      <c r="P2484" s="105" t="s">
        <v>339</v>
      </c>
      <c r="Q2484" s="494">
        <v>0</v>
      </c>
      <c r="R2484" s="494">
        <v>0</v>
      </c>
      <c r="S2484" s="494">
        <v>12056</v>
      </c>
      <c r="T2484" s="494">
        <v>12056</v>
      </c>
      <c r="U2484" s="494">
        <v>3533</v>
      </c>
      <c r="V2484" s="493">
        <v>2024</v>
      </c>
      <c r="W2484" s="495"/>
      <c r="X2484" s="496">
        <f t="shared" si="160"/>
        <v>3.412397395980753</v>
      </c>
      <c r="Y2484" s="497" t="str">
        <f t="shared" si="162"/>
        <v/>
      </c>
      <c r="Z2484" s="497" t="str">
        <f t="shared" si="162"/>
        <v/>
      </c>
    </row>
    <row r="2485" spans="1:26" s="82" customFormat="1" ht="32" x14ac:dyDescent="0.4">
      <c r="A2485" s="493">
        <v>65757</v>
      </c>
      <c r="B2485" s="105" t="s">
        <v>329</v>
      </c>
      <c r="C2485" s="493" t="s">
        <v>330</v>
      </c>
      <c r="D2485" s="105" t="s">
        <v>2954</v>
      </c>
      <c r="E2485" s="105" t="s">
        <v>1313</v>
      </c>
      <c r="F2485" s="493">
        <v>60281</v>
      </c>
      <c r="G2485" s="105" t="s">
        <v>52</v>
      </c>
      <c r="H2485" s="105" t="s">
        <v>333</v>
      </c>
      <c r="I2485" s="105" t="s">
        <v>334</v>
      </c>
      <c r="J2485" s="493">
        <v>22</v>
      </c>
      <c r="K2485" s="493">
        <v>2</v>
      </c>
      <c r="L2485" s="105" t="s">
        <v>343</v>
      </c>
      <c r="M2485" s="105" t="s">
        <v>655</v>
      </c>
      <c r="N2485" s="105" t="s">
        <v>656</v>
      </c>
      <c r="O2485" s="105" t="s">
        <v>656</v>
      </c>
      <c r="P2485" s="105" t="s">
        <v>339</v>
      </c>
      <c r="Q2485" s="494">
        <v>0</v>
      </c>
      <c r="R2485" s="494">
        <v>0</v>
      </c>
      <c r="S2485" s="494">
        <v>11335</v>
      </c>
      <c r="T2485" s="494">
        <v>11335</v>
      </c>
      <c r="U2485" s="494">
        <v>3322</v>
      </c>
      <c r="V2485" s="493">
        <v>2024</v>
      </c>
      <c r="W2485" s="495"/>
      <c r="X2485" s="496">
        <f t="shared" si="160"/>
        <v>3.4121011438892235</v>
      </c>
      <c r="Y2485" s="497" t="str">
        <f t="shared" si="162"/>
        <v/>
      </c>
      <c r="Z2485" s="497" t="str">
        <f t="shared" si="162"/>
        <v/>
      </c>
    </row>
    <row r="2486" spans="1:26" s="82" customFormat="1" ht="32" x14ac:dyDescent="0.4">
      <c r="A2486" s="493">
        <v>65765</v>
      </c>
      <c r="B2486" s="105" t="s">
        <v>329</v>
      </c>
      <c r="C2486" s="493" t="s">
        <v>330</v>
      </c>
      <c r="D2486" s="105" t="s">
        <v>2955</v>
      </c>
      <c r="E2486" s="105" t="s">
        <v>2955</v>
      </c>
      <c r="F2486" s="493">
        <v>65016</v>
      </c>
      <c r="G2486" s="105" t="s">
        <v>52</v>
      </c>
      <c r="H2486" s="105" t="s">
        <v>333</v>
      </c>
      <c r="I2486" s="105" t="s">
        <v>334</v>
      </c>
      <c r="J2486" s="493">
        <v>22</v>
      </c>
      <c r="K2486" s="493">
        <v>2</v>
      </c>
      <c r="L2486" s="105" t="s">
        <v>343</v>
      </c>
      <c r="M2486" s="105" t="s">
        <v>655</v>
      </c>
      <c r="N2486" s="105" t="s">
        <v>656</v>
      </c>
      <c r="O2486" s="105" t="s">
        <v>656</v>
      </c>
      <c r="P2486" s="105" t="s">
        <v>339</v>
      </c>
      <c r="Q2486" s="494">
        <v>0</v>
      </c>
      <c r="R2486" s="494">
        <v>0</v>
      </c>
      <c r="S2486" s="494">
        <v>231176</v>
      </c>
      <c r="T2486" s="494">
        <v>231176</v>
      </c>
      <c r="U2486" s="494">
        <v>67754</v>
      </c>
      <c r="V2486" s="493">
        <v>2024</v>
      </c>
      <c r="W2486" s="495"/>
      <c r="X2486" s="496">
        <f t="shared" si="160"/>
        <v>3.411990435989019</v>
      </c>
      <c r="Y2486" s="497" t="str">
        <f t="shared" si="162"/>
        <v/>
      </c>
      <c r="Z2486" s="497" t="str">
        <f t="shared" si="162"/>
        <v/>
      </c>
    </row>
    <row r="2487" spans="1:26" s="82" customFormat="1" ht="32" x14ac:dyDescent="0.4">
      <c r="A2487" s="493">
        <v>65768</v>
      </c>
      <c r="B2487" s="105" t="s">
        <v>329</v>
      </c>
      <c r="C2487" s="493" t="s">
        <v>330</v>
      </c>
      <c r="D2487" s="105" t="s">
        <v>2956</v>
      </c>
      <c r="E2487" s="105" t="s">
        <v>664</v>
      </c>
      <c r="F2487" s="493">
        <v>17127</v>
      </c>
      <c r="G2487" s="105" t="s">
        <v>33</v>
      </c>
      <c r="H2487" s="105" t="s">
        <v>342</v>
      </c>
      <c r="I2487" s="105" t="s">
        <v>334</v>
      </c>
      <c r="J2487" s="493">
        <v>22</v>
      </c>
      <c r="K2487" s="493">
        <v>1</v>
      </c>
      <c r="L2487" s="105" t="s">
        <v>335</v>
      </c>
      <c r="M2487" s="105" t="s">
        <v>359</v>
      </c>
      <c r="N2487" s="105" t="s">
        <v>228</v>
      </c>
      <c r="O2487" s="105" t="s">
        <v>228</v>
      </c>
      <c r="P2487" s="105" t="s">
        <v>356</v>
      </c>
      <c r="Q2487" s="494">
        <v>5457</v>
      </c>
      <c r="R2487" s="494">
        <v>5457</v>
      </c>
      <c r="S2487" s="494">
        <v>5632</v>
      </c>
      <c r="T2487" s="494">
        <v>5632</v>
      </c>
      <c r="U2487" s="494">
        <v>537</v>
      </c>
      <c r="V2487" s="493">
        <v>2024</v>
      </c>
      <c r="W2487" s="495"/>
      <c r="X2487" s="496">
        <f t="shared" si="160"/>
        <v>10.487895716945996</v>
      </c>
      <c r="Y2487" s="497" t="str">
        <f t="shared" si="162"/>
        <v/>
      </c>
      <c r="Z2487" s="497" t="str">
        <f t="shared" si="162"/>
        <v/>
      </c>
    </row>
    <row r="2488" spans="1:26" s="82" customFormat="1" x14ac:dyDescent="0.4">
      <c r="A2488" s="493">
        <v>65775</v>
      </c>
      <c r="B2488" s="105" t="s">
        <v>329</v>
      </c>
      <c r="C2488" s="493" t="s">
        <v>330</v>
      </c>
      <c r="D2488" s="105" t="s">
        <v>2957</v>
      </c>
      <c r="E2488" s="105" t="s">
        <v>2958</v>
      </c>
      <c r="F2488" s="493">
        <v>65030</v>
      </c>
      <c r="G2488" s="105" t="s">
        <v>52</v>
      </c>
      <c r="H2488" s="105" t="s">
        <v>333</v>
      </c>
      <c r="I2488" s="105" t="s">
        <v>334</v>
      </c>
      <c r="J2488" s="493">
        <v>22</v>
      </c>
      <c r="K2488" s="493">
        <v>2</v>
      </c>
      <c r="L2488" s="105" t="s">
        <v>343</v>
      </c>
      <c r="M2488" s="105" t="s">
        <v>655</v>
      </c>
      <c r="N2488" s="105" t="s">
        <v>656</v>
      </c>
      <c r="O2488" s="105" t="s">
        <v>656</v>
      </c>
      <c r="P2488" s="105" t="s">
        <v>339</v>
      </c>
      <c r="Q2488" s="494">
        <v>0</v>
      </c>
      <c r="R2488" s="494">
        <v>0</v>
      </c>
      <c r="S2488" s="494">
        <v>12662</v>
      </c>
      <c r="T2488" s="494">
        <v>12662</v>
      </c>
      <c r="U2488" s="494">
        <v>3711</v>
      </c>
      <c r="V2488" s="493">
        <v>2024</v>
      </c>
      <c r="W2488" s="495"/>
      <c r="X2488" s="496">
        <f t="shared" si="160"/>
        <v>3.4120183239019131</v>
      </c>
      <c r="Y2488" s="497" t="str">
        <f t="shared" ref="Y2488:Z2507" si="163">IF(AND($M2488=$Y$2,$N2488=$Y$3,NOT($Q2488=$R2488),NOT($U2488=0)),IF($K2488=5,$S2488/($U2488+(8/5)*$U2488),IF($K2488=7,$S2488/($U2488+(29/25)*$U2488),"")),"")</f>
        <v/>
      </c>
      <c r="Z2488" s="497" t="str">
        <f t="shared" si="163"/>
        <v/>
      </c>
    </row>
    <row r="2489" spans="1:26" s="82" customFormat="1" x14ac:dyDescent="0.4">
      <c r="A2489" s="493">
        <v>65776</v>
      </c>
      <c r="B2489" s="105" t="s">
        <v>329</v>
      </c>
      <c r="C2489" s="493" t="s">
        <v>330</v>
      </c>
      <c r="D2489" s="105" t="s">
        <v>2959</v>
      </c>
      <c r="E2489" s="105" t="s">
        <v>2959</v>
      </c>
      <c r="F2489" s="493">
        <v>65028</v>
      </c>
      <c r="G2489" s="105" t="s">
        <v>52</v>
      </c>
      <c r="H2489" s="105" t="s">
        <v>333</v>
      </c>
      <c r="I2489" s="105" t="s">
        <v>334</v>
      </c>
      <c r="J2489" s="493">
        <v>22</v>
      </c>
      <c r="K2489" s="493">
        <v>2</v>
      </c>
      <c r="L2489" s="105" t="s">
        <v>343</v>
      </c>
      <c r="M2489" s="105" t="s">
        <v>655</v>
      </c>
      <c r="N2489" s="105" t="s">
        <v>656</v>
      </c>
      <c r="O2489" s="105" t="s">
        <v>656</v>
      </c>
      <c r="P2489" s="105" t="s">
        <v>339</v>
      </c>
      <c r="Q2489" s="494">
        <v>0</v>
      </c>
      <c r="R2489" s="494">
        <v>0</v>
      </c>
      <c r="S2489" s="494">
        <v>11988</v>
      </c>
      <c r="T2489" s="494">
        <v>11988</v>
      </c>
      <c r="U2489" s="494">
        <v>3513</v>
      </c>
      <c r="V2489" s="493">
        <v>2024</v>
      </c>
      <c r="W2489" s="495"/>
      <c r="X2489" s="496">
        <f t="shared" si="160"/>
        <v>3.4124679760888128</v>
      </c>
      <c r="Y2489" s="497" t="str">
        <f t="shared" si="163"/>
        <v/>
      </c>
      <c r="Z2489" s="497" t="str">
        <f t="shared" si="163"/>
        <v/>
      </c>
    </row>
    <row r="2490" spans="1:26" s="82" customFormat="1" x14ac:dyDescent="0.4">
      <c r="A2490" s="493">
        <v>65777</v>
      </c>
      <c r="B2490" s="105" t="s">
        <v>329</v>
      </c>
      <c r="C2490" s="493" t="s">
        <v>330</v>
      </c>
      <c r="D2490" s="105" t="s">
        <v>2960</v>
      </c>
      <c r="E2490" s="105" t="s">
        <v>2961</v>
      </c>
      <c r="F2490" s="493">
        <v>65029</v>
      </c>
      <c r="G2490" s="105" t="s">
        <v>52</v>
      </c>
      <c r="H2490" s="105" t="s">
        <v>333</v>
      </c>
      <c r="I2490" s="105" t="s">
        <v>334</v>
      </c>
      <c r="J2490" s="493">
        <v>22</v>
      </c>
      <c r="K2490" s="493">
        <v>2</v>
      </c>
      <c r="L2490" s="105" t="s">
        <v>343</v>
      </c>
      <c r="M2490" s="105" t="s">
        <v>655</v>
      </c>
      <c r="N2490" s="105" t="s">
        <v>656</v>
      </c>
      <c r="O2490" s="105" t="s">
        <v>656</v>
      </c>
      <c r="P2490" s="105" t="s">
        <v>339</v>
      </c>
      <c r="Q2490" s="494">
        <v>0</v>
      </c>
      <c r="R2490" s="494">
        <v>0</v>
      </c>
      <c r="S2490" s="494">
        <v>11845</v>
      </c>
      <c r="T2490" s="494">
        <v>11845</v>
      </c>
      <c r="U2490" s="494">
        <v>3471</v>
      </c>
      <c r="V2490" s="493">
        <v>2024</v>
      </c>
      <c r="W2490" s="495"/>
      <c r="X2490" s="496">
        <f t="shared" si="160"/>
        <v>3.4125612215499856</v>
      </c>
      <c r="Y2490" s="497" t="str">
        <f t="shared" si="163"/>
        <v/>
      </c>
      <c r="Z2490" s="497" t="str">
        <f t="shared" si="163"/>
        <v/>
      </c>
    </row>
    <row r="2491" spans="1:26" s="82" customFormat="1" x14ac:dyDescent="0.4">
      <c r="A2491" s="493">
        <v>65784</v>
      </c>
      <c r="B2491" s="105" t="s">
        <v>329</v>
      </c>
      <c r="C2491" s="493" t="s">
        <v>330</v>
      </c>
      <c r="D2491" s="105" t="s">
        <v>2962</v>
      </c>
      <c r="E2491" s="105" t="s">
        <v>2755</v>
      </c>
      <c r="F2491" s="493">
        <v>64426</v>
      </c>
      <c r="G2491" s="105" t="s">
        <v>37</v>
      </c>
      <c r="H2491" s="105" t="s">
        <v>342</v>
      </c>
      <c r="I2491" s="105" t="s">
        <v>334</v>
      </c>
      <c r="J2491" s="493">
        <v>22</v>
      </c>
      <c r="K2491" s="493">
        <v>2</v>
      </c>
      <c r="L2491" s="105" t="s">
        <v>343</v>
      </c>
      <c r="M2491" s="105" t="s">
        <v>655</v>
      </c>
      <c r="N2491" s="105" t="s">
        <v>656</v>
      </c>
      <c r="O2491" s="105" t="s">
        <v>656</v>
      </c>
      <c r="P2491" s="105" t="s">
        <v>339</v>
      </c>
      <c r="Q2491" s="494">
        <v>0</v>
      </c>
      <c r="R2491" s="494">
        <v>0</v>
      </c>
      <c r="S2491" s="494">
        <v>18989</v>
      </c>
      <c r="T2491" s="494">
        <v>18989</v>
      </c>
      <c r="U2491" s="494">
        <v>5566</v>
      </c>
      <c r="V2491" s="493">
        <v>2024</v>
      </c>
      <c r="W2491" s="495"/>
      <c r="X2491" s="496">
        <f t="shared" si="160"/>
        <v>3.4116061803808839</v>
      </c>
      <c r="Y2491" s="497" t="str">
        <f t="shared" si="163"/>
        <v/>
      </c>
      <c r="Z2491" s="497" t="str">
        <f t="shared" si="163"/>
        <v/>
      </c>
    </row>
    <row r="2492" spans="1:26" s="82" customFormat="1" x14ac:dyDescent="0.4">
      <c r="A2492" s="493">
        <v>65785</v>
      </c>
      <c r="B2492" s="105" t="s">
        <v>329</v>
      </c>
      <c r="C2492" s="493" t="s">
        <v>330</v>
      </c>
      <c r="D2492" s="105" t="s">
        <v>2963</v>
      </c>
      <c r="E2492" s="105" t="s">
        <v>2964</v>
      </c>
      <c r="F2492" s="493">
        <v>65032</v>
      </c>
      <c r="G2492" s="105" t="s">
        <v>52</v>
      </c>
      <c r="H2492" s="105" t="s">
        <v>333</v>
      </c>
      <c r="I2492" s="105" t="s">
        <v>334</v>
      </c>
      <c r="J2492" s="493">
        <v>22</v>
      </c>
      <c r="K2492" s="493">
        <v>2</v>
      </c>
      <c r="L2492" s="105" t="s">
        <v>343</v>
      </c>
      <c r="M2492" s="105" t="s">
        <v>655</v>
      </c>
      <c r="N2492" s="105" t="s">
        <v>656</v>
      </c>
      <c r="O2492" s="105" t="s">
        <v>656</v>
      </c>
      <c r="P2492" s="105" t="s">
        <v>339</v>
      </c>
      <c r="Q2492" s="494">
        <v>0</v>
      </c>
      <c r="R2492" s="494">
        <v>0</v>
      </c>
      <c r="S2492" s="494">
        <v>25594</v>
      </c>
      <c r="T2492" s="494">
        <v>25594</v>
      </c>
      <c r="U2492" s="494">
        <v>7501</v>
      </c>
      <c r="V2492" s="493">
        <v>2024</v>
      </c>
      <c r="W2492" s="495"/>
      <c r="X2492" s="496">
        <f t="shared" si="160"/>
        <v>3.4120783895480602</v>
      </c>
      <c r="Y2492" s="497" t="str">
        <f t="shared" si="163"/>
        <v/>
      </c>
      <c r="Z2492" s="497" t="str">
        <f t="shared" si="163"/>
        <v/>
      </c>
    </row>
    <row r="2493" spans="1:26" s="82" customFormat="1" x14ac:dyDescent="0.4">
      <c r="A2493" s="493">
        <v>65786</v>
      </c>
      <c r="B2493" s="105" t="s">
        <v>329</v>
      </c>
      <c r="C2493" s="493" t="s">
        <v>330</v>
      </c>
      <c r="D2493" s="105" t="s">
        <v>2965</v>
      </c>
      <c r="E2493" s="105" t="s">
        <v>2966</v>
      </c>
      <c r="F2493" s="493">
        <v>65033</v>
      </c>
      <c r="G2493" s="105" t="s">
        <v>52</v>
      </c>
      <c r="H2493" s="105" t="s">
        <v>333</v>
      </c>
      <c r="I2493" s="105" t="s">
        <v>334</v>
      </c>
      <c r="J2493" s="493">
        <v>22</v>
      </c>
      <c r="K2493" s="493">
        <v>2</v>
      </c>
      <c r="L2493" s="105" t="s">
        <v>343</v>
      </c>
      <c r="M2493" s="105" t="s">
        <v>655</v>
      </c>
      <c r="N2493" s="105" t="s">
        <v>656</v>
      </c>
      <c r="O2493" s="105" t="s">
        <v>656</v>
      </c>
      <c r="P2493" s="105" t="s">
        <v>339</v>
      </c>
      <c r="Q2493" s="494">
        <v>0</v>
      </c>
      <c r="R2493" s="494">
        <v>0</v>
      </c>
      <c r="S2493" s="494">
        <v>16091</v>
      </c>
      <c r="T2493" s="494">
        <v>16091</v>
      </c>
      <c r="U2493" s="494">
        <v>4716</v>
      </c>
      <c r="V2493" s="493">
        <v>2024</v>
      </c>
      <c r="W2493" s="495"/>
      <c r="X2493" s="496">
        <f t="shared" si="160"/>
        <v>3.4120016963528412</v>
      </c>
      <c r="Y2493" s="497" t="str">
        <f t="shared" si="163"/>
        <v/>
      </c>
      <c r="Z2493" s="497" t="str">
        <f t="shared" si="163"/>
        <v/>
      </c>
    </row>
    <row r="2494" spans="1:26" s="82" customFormat="1" x14ac:dyDescent="0.4">
      <c r="A2494" s="493">
        <v>65798</v>
      </c>
      <c r="B2494" s="105" t="s">
        <v>329</v>
      </c>
      <c r="C2494" s="493" t="s">
        <v>330</v>
      </c>
      <c r="D2494" s="105" t="s">
        <v>2967</v>
      </c>
      <c r="E2494" s="105" t="s">
        <v>2967</v>
      </c>
      <c r="F2494" s="493">
        <v>65054</v>
      </c>
      <c r="G2494" s="105" t="s">
        <v>34</v>
      </c>
      <c r="H2494" s="105" t="s">
        <v>342</v>
      </c>
      <c r="I2494" s="105" t="s">
        <v>334</v>
      </c>
      <c r="J2494" s="493">
        <v>22</v>
      </c>
      <c r="K2494" s="493">
        <v>2</v>
      </c>
      <c r="L2494" s="105" t="s">
        <v>343</v>
      </c>
      <c r="M2494" s="105" t="s">
        <v>655</v>
      </c>
      <c r="N2494" s="105" t="s">
        <v>656</v>
      </c>
      <c r="O2494" s="105" t="s">
        <v>656</v>
      </c>
      <c r="P2494" s="105" t="s">
        <v>339</v>
      </c>
      <c r="Q2494" s="494">
        <v>0</v>
      </c>
      <c r="R2494" s="494">
        <v>0</v>
      </c>
      <c r="S2494" s="494">
        <v>17869</v>
      </c>
      <c r="T2494" s="494">
        <v>17869</v>
      </c>
      <c r="U2494" s="494">
        <v>5237</v>
      </c>
      <c r="V2494" s="493">
        <v>2024</v>
      </c>
      <c r="W2494" s="495"/>
      <c r="X2494" s="496">
        <f t="shared" si="160"/>
        <v>3.4120679778499139</v>
      </c>
      <c r="Y2494" s="497" t="str">
        <f t="shared" si="163"/>
        <v/>
      </c>
      <c r="Z2494" s="497" t="str">
        <f t="shared" si="163"/>
        <v/>
      </c>
    </row>
    <row r="2495" spans="1:26" s="82" customFormat="1" x14ac:dyDescent="0.4">
      <c r="A2495" s="493">
        <v>65801</v>
      </c>
      <c r="B2495" s="105" t="s">
        <v>329</v>
      </c>
      <c r="C2495" s="493" t="s">
        <v>330</v>
      </c>
      <c r="D2495" s="105" t="s">
        <v>2968</v>
      </c>
      <c r="E2495" s="105" t="s">
        <v>2968</v>
      </c>
      <c r="F2495" s="493">
        <v>65052</v>
      </c>
      <c r="G2495" s="105" t="s">
        <v>34</v>
      </c>
      <c r="H2495" s="105" t="s">
        <v>342</v>
      </c>
      <c r="I2495" s="105" t="s">
        <v>334</v>
      </c>
      <c r="J2495" s="493">
        <v>22</v>
      </c>
      <c r="K2495" s="493">
        <v>2</v>
      </c>
      <c r="L2495" s="105" t="s">
        <v>343</v>
      </c>
      <c r="M2495" s="105" t="s">
        <v>655</v>
      </c>
      <c r="N2495" s="105" t="s">
        <v>656</v>
      </c>
      <c r="O2495" s="105" t="s">
        <v>656</v>
      </c>
      <c r="P2495" s="105" t="s">
        <v>339</v>
      </c>
      <c r="Q2495" s="494">
        <v>0</v>
      </c>
      <c r="R2495" s="494">
        <v>0</v>
      </c>
      <c r="S2495" s="494">
        <v>17</v>
      </c>
      <c r="T2495" s="494">
        <v>17</v>
      </c>
      <c r="U2495" s="494">
        <v>5</v>
      </c>
      <c r="V2495" s="493">
        <v>2024</v>
      </c>
      <c r="W2495" s="495"/>
      <c r="X2495" s="496">
        <f t="shared" si="160"/>
        <v>3.4</v>
      </c>
      <c r="Y2495" s="497" t="str">
        <f t="shared" si="163"/>
        <v/>
      </c>
      <c r="Z2495" s="497" t="str">
        <f t="shared" si="163"/>
        <v/>
      </c>
    </row>
    <row r="2496" spans="1:26" s="82" customFormat="1" x14ac:dyDescent="0.4">
      <c r="A2496" s="493">
        <v>65802</v>
      </c>
      <c r="B2496" s="105" t="s">
        <v>329</v>
      </c>
      <c r="C2496" s="493" t="s">
        <v>330</v>
      </c>
      <c r="D2496" s="105" t="s">
        <v>2969</v>
      </c>
      <c r="E2496" s="105" t="s">
        <v>2969</v>
      </c>
      <c r="F2496" s="493">
        <v>65053</v>
      </c>
      <c r="G2496" s="105" t="s">
        <v>34</v>
      </c>
      <c r="H2496" s="105" t="s">
        <v>342</v>
      </c>
      <c r="I2496" s="105" t="s">
        <v>334</v>
      </c>
      <c r="J2496" s="493">
        <v>22</v>
      </c>
      <c r="K2496" s="493">
        <v>2</v>
      </c>
      <c r="L2496" s="105" t="s">
        <v>343</v>
      </c>
      <c r="M2496" s="105" t="s">
        <v>655</v>
      </c>
      <c r="N2496" s="105" t="s">
        <v>656</v>
      </c>
      <c r="O2496" s="105" t="s">
        <v>656</v>
      </c>
      <c r="P2496" s="105" t="s">
        <v>339</v>
      </c>
      <c r="Q2496" s="494">
        <v>0</v>
      </c>
      <c r="R2496" s="494">
        <v>0</v>
      </c>
      <c r="S2496" s="494">
        <v>212</v>
      </c>
      <c r="T2496" s="494">
        <v>212</v>
      </c>
      <c r="U2496" s="494">
        <v>62</v>
      </c>
      <c r="V2496" s="493">
        <v>2024</v>
      </c>
      <c r="W2496" s="495"/>
      <c r="X2496" s="496">
        <f t="shared" si="160"/>
        <v>3.4193548387096775</v>
      </c>
      <c r="Y2496" s="497" t="str">
        <f t="shared" si="163"/>
        <v/>
      </c>
      <c r="Z2496" s="497" t="str">
        <f t="shared" si="163"/>
        <v/>
      </c>
    </row>
    <row r="2497" spans="1:26" s="82" customFormat="1" ht="32" x14ac:dyDescent="0.4">
      <c r="A2497" s="493">
        <v>65805</v>
      </c>
      <c r="B2497" s="105" t="s">
        <v>329</v>
      </c>
      <c r="C2497" s="493" t="s">
        <v>330</v>
      </c>
      <c r="D2497" s="105" t="s">
        <v>2970</v>
      </c>
      <c r="E2497" s="105" t="s">
        <v>2971</v>
      </c>
      <c r="F2497" s="493">
        <v>65018</v>
      </c>
      <c r="G2497" s="105" t="s">
        <v>52</v>
      </c>
      <c r="H2497" s="105" t="s">
        <v>333</v>
      </c>
      <c r="I2497" s="105" t="s">
        <v>334</v>
      </c>
      <c r="J2497" s="493">
        <v>22</v>
      </c>
      <c r="K2497" s="493">
        <v>2</v>
      </c>
      <c r="L2497" s="105" t="s">
        <v>343</v>
      </c>
      <c r="M2497" s="105" t="s">
        <v>655</v>
      </c>
      <c r="N2497" s="105" t="s">
        <v>656</v>
      </c>
      <c r="O2497" s="105" t="s">
        <v>656</v>
      </c>
      <c r="P2497" s="105" t="s">
        <v>339</v>
      </c>
      <c r="Q2497" s="494">
        <v>0</v>
      </c>
      <c r="R2497" s="494">
        <v>0</v>
      </c>
      <c r="S2497" s="494">
        <v>202294</v>
      </c>
      <c r="T2497" s="494">
        <v>202294</v>
      </c>
      <c r="U2497" s="494">
        <v>59289</v>
      </c>
      <c r="V2497" s="493">
        <v>2024</v>
      </c>
      <c r="W2497" s="495"/>
      <c r="X2497" s="496">
        <f t="shared" si="160"/>
        <v>3.4119988530756125</v>
      </c>
      <c r="Y2497" s="497" t="str">
        <f t="shared" si="163"/>
        <v/>
      </c>
      <c r="Z2497" s="497" t="str">
        <f t="shared" si="163"/>
        <v/>
      </c>
    </row>
    <row r="2498" spans="1:26" s="82" customFormat="1" x14ac:dyDescent="0.4">
      <c r="A2498" s="493">
        <v>65815</v>
      </c>
      <c r="B2498" s="105" t="s">
        <v>329</v>
      </c>
      <c r="C2498" s="493" t="s">
        <v>330</v>
      </c>
      <c r="D2498" s="105" t="s">
        <v>2972</v>
      </c>
      <c r="E2498" s="105" t="s">
        <v>2972</v>
      </c>
      <c r="F2498" s="493">
        <v>65056</v>
      </c>
      <c r="G2498" s="105" t="s">
        <v>52</v>
      </c>
      <c r="H2498" s="105" t="s">
        <v>333</v>
      </c>
      <c r="I2498" s="105" t="s">
        <v>334</v>
      </c>
      <c r="J2498" s="493">
        <v>22</v>
      </c>
      <c r="K2498" s="493">
        <v>2</v>
      </c>
      <c r="L2498" s="105" t="s">
        <v>343</v>
      </c>
      <c r="M2498" s="105" t="s">
        <v>403</v>
      </c>
      <c r="N2498" s="105" t="s">
        <v>404</v>
      </c>
      <c r="O2498" s="105" t="s">
        <v>232</v>
      </c>
      <c r="P2498" s="105" t="s">
        <v>346</v>
      </c>
      <c r="Q2498" s="494">
        <v>1296</v>
      </c>
      <c r="R2498" s="494">
        <v>1296</v>
      </c>
      <c r="S2498" s="494">
        <v>0</v>
      </c>
      <c r="T2498" s="494">
        <v>0</v>
      </c>
      <c r="U2498" s="494">
        <v>-1268</v>
      </c>
      <c r="V2498" s="493">
        <v>2024</v>
      </c>
      <c r="W2498" s="495"/>
      <c r="X2498" s="496" t="str">
        <f t="shared" si="160"/>
        <v/>
      </c>
      <c r="Y2498" s="497" t="str">
        <f t="shared" si="163"/>
        <v/>
      </c>
      <c r="Z2498" s="497" t="str">
        <f t="shared" si="163"/>
        <v/>
      </c>
    </row>
    <row r="2499" spans="1:26" s="82" customFormat="1" x14ac:dyDescent="0.4">
      <c r="A2499" s="493">
        <v>65815</v>
      </c>
      <c r="B2499" s="105" t="s">
        <v>329</v>
      </c>
      <c r="C2499" s="493" t="s">
        <v>330</v>
      </c>
      <c r="D2499" s="105" t="s">
        <v>2972</v>
      </c>
      <c r="E2499" s="105" t="s">
        <v>2972</v>
      </c>
      <c r="F2499" s="493">
        <v>65056</v>
      </c>
      <c r="G2499" s="105" t="s">
        <v>52</v>
      </c>
      <c r="H2499" s="105" t="s">
        <v>333</v>
      </c>
      <c r="I2499" s="105" t="s">
        <v>334</v>
      </c>
      <c r="J2499" s="493">
        <v>22</v>
      </c>
      <c r="K2499" s="493">
        <v>2</v>
      </c>
      <c r="L2499" s="105" t="s">
        <v>343</v>
      </c>
      <c r="M2499" s="105" t="s">
        <v>655</v>
      </c>
      <c r="N2499" s="105" t="s">
        <v>656</v>
      </c>
      <c r="O2499" s="105" t="s">
        <v>656</v>
      </c>
      <c r="P2499" s="105" t="s">
        <v>339</v>
      </c>
      <c r="Q2499" s="494">
        <v>0</v>
      </c>
      <c r="R2499" s="494">
        <v>0</v>
      </c>
      <c r="S2499" s="494">
        <v>4419</v>
      </c>
      <c r="T2499" s="494">
        <v>4419</v>
      </c>
      <c r="U2499" s="494">
        <v>1295</v>
      </c>
      <c r="V2499" s="493">
        <v>2024</v>
      </c>
      <c r="W2499" s="495"/>
      <c r="X2499" s="496">
        <f t="shared" si="160"/>
        <v>3.4123552123552123</v>
      </c>
      <c r="Y2499" s="497" t="str">
        <f t="shared" si="163"/>
        <v/>
      </c>
      <c r="Z2499" s="497" t="str">
        <f t="shared" si="163"/>
        <v/>
      </c>
    </row>
    <row r="2500" spans="1:26" s="82" customFormat="1" ht="32" x14ac:dyDescent="0.4">
      <c r="A2500" s="493">
        <v>65826</v>
      </c>
      <c r="B2500" s="105" t="s">
        <v>329</v>
      </c>
      <c r="C2500" s="493" t="s">
        <v>330</v>
      </c>
      <c r="D2500" s="105" t="s">
        <v>2973</v>
      </c>
      <c r="E2500" s="105" t="s">
        <v>2974</v>
      </c>
      <c r="F2500" s="493">
        <v>61610</v>
      </c>
      <c r="G2500" s="105" t="s">
        <v>52</v>
      </c>
      <c r="H2500" s="105" t="s">
        <v>333</v>
      </c>
      <c r="I2500" s="105" t="s">
        <v>334</v>
      </c>
      <c r="J2500" s="493">
        <v>22</v>
      </c>
      <c r="K2500" s="493">
        <v>2</v>
      </c>
      <c r="L2500" s="105" t="s">
        <v>343</v>
      </c>
      <c r="M2500" s="105" t="s">
        <v>655</v>
      </c>
      <c r="N2500" s="105" t="s">
        <v>656</v>
      </c>
      <c r="O2500" s="105" t="s">
        <v>656</v>
      </c>
      <c r="P2500" s="105" t="s">
        <v>339</v>
      </c>
      <c r="Q2500" s="494">
        <v>0</v>
      </c>
      <c r="R2500" s="494">
        <v>0</v>
      </c>
      <c r="S2500" s="494">
        <v>21750</v>
      </c>
      <c r="T2500" s="494">
        <v>21750</v>
      </c>
      <c r="U2500" s="494">
        <v>6374</v>
      </c>
      <c r="V2500" s="493">
        <v>2024</v>
      </c>
      <c r="W2500" s="495"/>
      <c r="X2500" s="496">
        <f t="shared" si="160"/>
        <v>3.4122999686225288</v>
      </c>
      <c r="Y2500" s="497" t="str">
        <f t="shared" si="163"/>
        <v/>
      </c>
      <c r="Z2500" s="497" t="str">
        <f t="shared" si="163"/>
        <v/>
      </c>
    </row>
    <row r="2501" spans="1:26" s="82" customFormat="1" x14ac:dyDescent="0.4">
      <c r="A2501" s="493">
        <v>65839</v>
      </c>
      <c r="B2501" s="105" t="s">
        <v>329</v>
      </c>
      <c r="C2501" s="493" t="s">
        <v>330</v>
      </c>
      <c r="D2501" s="105" t="s">
        <v>2975</v>
      </c>
      <c r="E2501" s="105" t="s">
        <v>1383</v>
      </c>
      <c r="F2501" s="493">
        <v>61944</v>
      </c>
      <c r="G2501" s="105" t="s">
        <v>52</v>
      </c>
      <c r="H2501" s="105" t="s">
        <v>333</v>
      </c>
      <c r="I2501" s="105" t="s">
        <v>334</v>
      </c>
      <c r="J2501" s="493">
        <v>22</v>
      </c>
      <c r="K2501" s="493">
        <v>2</v>
      </c>
      <c r="L2501" s="105" t="s">
        <v>343</v>
      </c>
      <c r="M2501" s="105" t="s">
        <v>655</v>
      </c>
      <c r="N2501" s="105" t="s">
        <v>656</v>
      </c>
      <c r="O2501" s="105" t="s">
        <v>656</v>
      </c>
      <c r="P2501" s="105" t="s">
        <v>339</v>
      </c>
      <c r="Q2501" s="494">
        <v>0</v>
      </c>
      <c r="R2501" s="494">
        <v>0</v>
      </c>
      <c r="S2501" s="494">
        <v>110393</v>
      </c>
      <c r="T2501" s="494">
        <v>110393</v>
      </c>
      <c r="U2501" s="494">
        <v>32354</v>
      </c>
      <c r="V2501" s="493">
        <v>2024</v>
      </c>
      <c r="W2501" s="495"/>
      <c r="X2501" s="496">
        <f t="shared" si="160"/>
        <v>3.4120356061074366</v>
      </c>
      <c r="Y2501" s="497" t="str">
        <f t="shared" si="163"/>
        <v/>
      </c>
      <c r="Z2501" s="497" t="str">
        <f t="shared" si="163"/>
        <v/>
      </c>
    </row>
    <row r="2502" spans="1:26" s="82" customFormat="1" x14ac:dyDescent="0.4">
      <c r="A2502" s="493">
        <v>65840</v>
      </c>
      <c r="B2502" s="105" t="s">
        <v>329</v>
      </c>
      <c r="C2502" s="493" t="s">
        <v>330</v>
      </c>
      <c r="D2502" s="105" t="s">
        <v>2976</v>
      </c>
      <c r="E2502" s="105" t="s">
        <v>1383</v>
      </c>
      <c r="F2502" s="493">
        <v>61944</v>
      </c>
      <c r="G2502" s="105" t="s">
        <v>52</v>
      </c>
      <c r="H2502" s="105" t="s">
        <v>333</v>
      </c>
      <c r="I2502" s="105" t="s">
        <v>334</v>
      </c>
      <c r="J2502" s="493">
        <v>22</v>
      </c>
      <c r="K2502" s="493">
        <v>2</v>
      </c>
      <c r="L2502" s="105" t="s">
        <v>343</v>
      </c>
      <c r="M2502" s="105" t="s">
        <v>655</v>
      </c>
      <c r="N2502" s="105" t="s">
        <v>656</v>
      </c>
      <c r="O2502" s="105" t="s">
        <v>656</v>
      </c>
      <c r="P2502" s="105" t="s">
        <v>339</v>
      </c>
      <c r="Q2502" s="494">
        <v>0</v>
      </c>
      <c r="R2502" s="494">
        <v>0</v>
      </c>
      <c r="S2502" s="494">
        <v>114827</v>
      </c>
      <c r="T2502" s="494">
        <v>114827</v>
      </c>
      <c r="U2502" s="494">
        <v>33654</v>
      </c>
      <c r="V2502" s="493">
        <v>2024</v>
      </c>
      <c r="W2502" s="495"/>
      <c r="X2502" s="496">
        <f t="shared" si="160"/>
        <v>3.4119866880608547</v>
      </c>
      <c r="Y2502" s="497" t="str">
        <f t="shared" si="163"/>
        <v/>
      </c>
      <c r="Z2502" s="497" t="str">
        <f t="shared" si="163"/>
        <v/>
      </c>
    </row>
    <row r="2503" spans="1:26" s="82" customFormat="1" x14ac:dyDescent="0.4">
      <c r="A2503" s="493">
        <v>65841</v>
      </c>
      <c r="B2503" s="105" t="s">
        <v>329</v>
      </c>
      <c r="C2503" s="493" t="s">
        <v>330</v>
      </c>
      <c r="D2503" s="105" t="s">
        <v>2977</v>
      </c>
      <c r="E2503" s="105" t="s">
        <v>1383</v>
      </c>
      <c r="F2503" s="493">
        <v>61944</v>
      </c>
      <c r="G2503" s="105" t="s">
        <v>52</v>
      </c>
      <c r="H2503" s="105" t="s">
        <v>333</v>
      </c>
      <c r="I2503" s="105" t="s">
        <v>334</v>
      </c>
      <c r="J2503" s="493">
        <v>22</v>
      </c>
      <c r="K2503" s="493">
        <v>2</v>
      </c>
      <c r="L2503" s="105" t="s">
        <v>343</v>
      </c>
      <c r="M2503" s="105" t="s">
        <v>655</v>
      </c>
      <c r="N2503" s="105" t="s">
        <v>656</v>
      </c>
      <c r="O2503" s="105" t="s">
        <v>656</v>
      </c>
      <c r="P2503" s="105" t="s">
        <v>339</v>
      </c>
      <c r="Q2503" s="494">
        <v>0</v>
      </c>
      <c r="R2503" s="494">
        <v>0</v>
      </c>
      <c r="S2503" s="494">
        <v>116257</v>
      </c>
      <c r="T2503" s="494">
        <v>116257</v>
      </c>
      <c r="U2503" s="494">
        <v>34073</v>
      </c>
      <c r="V2503" s="493">
        <v>2024</v>
      </c>
      <c r="W2503" s="495"/>
      <c r="X2503" s="496">
        <f t="shared" si="160"/>
        <v>3.4119977694949082</v>
      </c>
      <c r="Y2503" s="497" t="str">
        <f t="shared" si="163"/>
        <v/>
      </c>
      <c r="Z2503" s="497" t="str">
        <f t="shared" si="163"/>
        <v/>
      </c>
    </row>
    <row r="2504" spans="1:26" s="82" customFormat="1" x14ac:dyDescent="0.4">
      <c r="A2504" s="493">
        <v>65858</v>
      </c>
      <c r="B2504" s="105" t="s">
        <v>329</v>
      </c>
      <c r="C2504" s="493" t="s">
        <v>330</v>
      </c>
      <c r="D2504" s="105" t="s">
        <v>2978</v>
      </c>
      <c r="E2504" s="105" t="s">
        <v>1383</v>
      </c>
      <c r="F2504" s="493">
        <v>61944</v>
      </c>
      <c r="G2504" s="105" t="s">
        <v>34</v>
      </c>
      <c r="H2504" s="105" t="s">
        <v>342</v>
      </c>
      <c r="I2504" s="105" t="s">
        <v>334</v>
      </c>
      <c r="J2504" s="493">
        <v>22</v>
      </c>
      <c r="K2504" s="493">
        <v>2</v>
      </c>
      <c r="L2504" s="105" t="s">
        <v>343</v>
      </c>
      <c r="M2504" s="105" t="s">
        <v>655</v>
      </c>
      <c r="N2504" s="105" t="s">
        <v>656</v>
      </c>
      <c r="O2504" s="105" t="s">
        <v>656</v>
      </c>
      <c r="P2504" s="105" t="s">
        <v>339</v>
      </c>
      <c r="Q2504" s="494">
        <v>0</v>
      </c>
      <c r="R2504" s="494">
        <v>0</v>
      </c>
      <c r="S2504" s="494">
        <v>31654</v>
      </c>
      <c r="T2504" s="494">
        <v>31654</v>
      </c>
      <c r="U2504" s="494">
        <v>9277</v>
      </c>
      <c r="V2504" s="493">
        <v>2024</v>
      </c>
      <c r="W2504" s="495"/>
      <c r="X2504" s="496">
        <f t="shared" si="160"/>
        <v>3.4120944270777191</v>
      </c>
      <c r="Y2504" s="497" t="str">
        <f t="shared" si="163"/>
        <v/>
      </c>
      <c r="Z2504" s="497" t="str">
        <f t="shared" si="163"/>
        <v/>
      </c>
    </row>
    <row r="2505" spans="1:26" s="82" customFormat="1" x14ac:dyDescent="0.4">
      <c r="A2505" s="493">
        <v>65859</v>
      </c>
      <c r="B2505" s="105" t="s">
        <v>329</v>
      </c>
      <c r="C2505" s="493" t="s">
        <v>330</v>
      </c>
      <c r="D2505" s="105" t="s">
        <v>2979</v>
      </c>
      <c r="E2505" s="105" t="s">
        <v>1383</v>
      </c>
      <c r="F2505" s="493">
        <v>61944</v>
      </c>
      <c r="G2505" s="105" t="s">
        <v>34</v>
      </c>
      <c r="H2505" s="105" t="s">
        <v>342</v>
      </c>
      <c r="I2505" s="105" t="s">
        <v>334</v>
      </c>
      <c r="J2505" s="493">
        <v>22</v>
      </c>
      <c r="K2505" s="493">
        <v>2</v>
      </c>
      <c r="L2505" s="105" t="s">
        <v>343</v>
      </c>
      <c r="M2505" s="105" t="s">
        <v>655</v>
      </c>
      <c r="N2505" s="105" t="s">
        <v>656</v>
      </c>
      <c r="O2505" s="105" t="s">
        <v>656</v>
      </c>
      <c r="P2505" s="105" t="s">
        <v>339</v>
      </c>
      <c r="Q2505" s="494">
        <v>0</v>
      </c>
      <c r="R2505" s="494">
        <v>0</v>
      </c>
      <c r="S2505" s="494">
        <v>33704</v>
      </c>
      <c r="T2505" s="494">
        <v>33704</v>
      </c>
      <c r="U2505" s="494">
        <v>9878</v>
      </c>
      <c r="V2505" s="493">
        <v>2024</v>
      </c>
      <c r="W2505" s="495"/>
      <c r="X2505" s="496">
        <f t="shared" ref="X2505:X2568" si="164">IF(OR(K2505&gt;3,T2505=0,NOT(U2505&gt;0)),"",T2505/U2505)</f>
        <v>3.4120267260579062</v>
      </c>
      <c r="Y2505" s="497" t="str">
        <f t="shared" si="163"/>
        <v/>
      </c>
      <c r="Z2505" s="497" t="str">
        <f t="shared" si="163"/>
        <v/>
      </c>
    </row>
    <row r="2506" spans="1:26" s="82" customFormat="1" ht="32" x14ac:dyDescent="0.4">
      <c r="A2506" s="493">
        <v>65949</v>
      </c>
      <c r="B2506" s="105" t="s">
        <v>329</v>
      </c>
      <c r="C2506" s="493" t="s">
        <v>330</v>
      </c>
      <c r="D2506" s="105" t="s">
        <v>2980</v>
      </c>
      <c r="E2506" s="105" t="s">
        <v>2980</v>
      </c>
      <c r="F2506" s="493">
        <v>65120</v>
      </c>
      <c r="G2506" s="105" t="s">
        <v>38</v>
      </c>
      <c r="H2506" s="105" t="s">
        <v>342</v>
      </c>
      <c r="I2506" s="105" t="s">
        <v>334</v>
      </c>
      <c r="J2506" s="493">
        <v>22</v>
      </c>
      <c r="K2506" s="493">
        <v>2</v>
      </c>
      <c r="L2506" s="105" t="s">
        <v>343</v>
      </c>
      <c r="M2506" s="105" t="s">
        <v>655</v>
      </c>
      <c r="N2506" s="105" t="s">
        <v>656</v>
      </c>
      <c r="O2506" s="105" t="s">
        <v>656</v>
      </c>
      <c r="P2506" s="105" t="s">
        <v>339</v>
      </c>
      <c r="Q2506" s="494">
        <v>0</v>
      </c>
      <c r="R2506" s="494">
        <v>0</v>
      </c>
      <c r="S2506" s="494">
        <v>46933</v>
      </c>
      <c r="T2506" s="494">
        <v>46933</v>
      </c>
      <c r="U2506" s="494">
        <v>13755</v>
      </c>
      <c r="V2506" s="493">
        <v>2024</v>
      </c>
      <c r="W2506" s="495"/>
      <c r="X2506" s="496">
        <f t="shared" si="164"/>
        <v>3.4120683387858959</v>
      </c>
      <c r="Y2506" s="497" t="str">
        <f t="shared" si="163"/>
        <v/>
      </c>
      <c r="Z2506" s="497" t="str">
        <f t="shared" si="163"/>
        <v/>
      </c>
    </row>
    <row r="2507" spans="1:26" s="82" customFormat="1" x14ac:dyDescent="0.4">
      <c r="A2507" s="493">
        <v>65950</v>
      </c>
      <c r="B2507" s="105" t="s">
        <v>329</v>
      </c>
      <c r="C2507" s="493" t="s">
        <v>330</v>
      </c>
      <c r="D2507" s="105" t="s">
        <v>2981</v>
      </c>
      <c r="E2507" s="105" t="s">
        <v>2982</v>
      </c>
      <c r="F2507" s="493">
        <v>65122</v>
      </c>
      <c r="G2507" s="105" t="s">
        <v>33</v>
      </c>
      <c r="H2507" s="105" t="s">
        <v>342</v>
      </c>
      <c r="I2507" s="105" t="s">
        <v>334</v>
      </c>
      <c r="J2507" s="493">
        <v>22</v>
      </c>
      <c r="K2507" s="493">
        <v>2</v>
      </c>
      <c r="L2507" s="105" t="s">
        <v>343</v>
      </c>
      <c r="M2507" s="105" t="s">
        <v>403</v>
      </c>
      <c r="N2507" s="105" t="s">
        <v>404</v>
      </c>
      <c r="O2507" s="105" t="s">
        <v>232</v>
      </c>
      <c r="P2507" s="105" t="s">
        <v>346</v>
      </c>
      <c r="Q2507" s="494">
        <v>1349</v>
      </c>
      <c r="R2507" s="494">
        <v>1349</v>
      </c>
      <c r="S2507" s="494">
        <v>0</v>
      </c>
      <c r="T2507" s="494">
        <v>0</v>
      </c>
      <c r="U2507" s="494">
        <v>-159</v>
      </c>
      <c r="V2507" s="493">
        <v>2024</v>
      </c>
      <c r="W2507" s="495"/>
      <c r="X2507" s="496" t="str">
        <f t="shared" si="164"/>
        <v/>
      </c>
      <c r="Y2507" s="497" t="str">
        <f t="shared" si="163"/>
        <v/>
      </c>
      <c r="Z2507" s="497" t="str">
        <f t="shared" si="163"/>
        <v/>
      </c>
    </row>
    <row r="2508" spans="1:26" s="82" customFormat="1" x14ac:dyDescent="0.4">
      <c r="A2508" s="493">
        <v>65950</v>
      </c>
      <c r="B2508" s="105" t="s">
        <v>329</v>
      </c>
      <c r="C2508" s="493" t="s">
        <v>330</v>
      </c>
      <c r="D2508" s="105" t="s">
        <v>2981</v>
      </c>
      <c r="E2508" s="105" t="s">
        <v>2982</v>
      </c>
      <c r="F2508" s="493">
        <v>65122</v>
      </c>
      <c r="G2508" s="105" t="s">
        <v>33</v>
      </c>
      <c r="H2508" s="105" t="s">
        <v>342</v>
      </c>
      <c r="I2508" s="105" t="s">
        <v>334</v>
      </c>
      <c r="J2508" s="493">
        <v>22</v>
      </c>
      <c r="K2508" s="493">
        <v>2</v>
      </c>
      <c r="L2508" s="105" t="s">
        <v>343</v>
      </c>
      <c r="M2508" s="105" t="s">
        <v>655</v>
      </c>
      <c r="N2508" s="105" t="s">
        <v>656</v>
      </c>
      <c r="O2508" s="105" t="s">
        <v>656</v>
      </c>
      <c r="P2508" s="105" t="s">
        <v>339</v>
      </c>
      <c r="Q2508" s="494">
        <v>0</v>
      </c>
      <c r="R2508" s="494">
        <v>0</v>
      </c>
      <c r="S2508" s="494">
        <v>16803</v>
      </c>
      <c r="T2508" s="494">
        <v>16803</v>
      </c>
      <c r="U2508" s="494">
        <v>4925</v>
      </c>
      <c r="V2508" s="493">
        <v>2024</v>
      </c>
      <c r="W2508" s="495"/>
      <c r="X2508" s="496">
        <f t="shared" si="164"/>
        <v>3.411776649746193</v>
      </c>
      <c r="Y2508" s="497" t="str">
        <f t="shared" ref="Y2508:Z2527" si="165">IF(AND($M2508=$Y$2,$N2508=$Y$3,NOT($Q2508=$R2508),NOT($U2508=0)),IF($K2508=5,$S2508/($U2508+(8/5)*$U2508),IF($K2508=7,$S2508/($U2508+(29/25)*$U2508),"")),"")</f>
        <v/>
      </c>
      <c r="Z2508" s="497" t="str">
        <f t="shared" si="165"/>
        <v/>
      </c>
    </row>
    <row r="2509" spans="1:26" s="82" customFormat="1" ht="32" x14ac:dyDescent="0.4">
      <c r="A2509" s="493">
        <v>65954</v>
      </c>
      <c r="B2509" s="105" t="s">
        <v>329</v>
      </c>
      <c r="C2509" s="493" t="s">
        <v>330</v>
      </c>
      <c r="D2509" s="105" t="s">
        <v>2983</v>
      </c>
      <c r="E2509" s="105" t="s">
        <v>2983</v>
      </c>
      <c r="F2509" s="493">
        <v>65121</v>
      </c>
      <c r="G2509" s="105" t="s">
        <v>38</v>
      </c>
      <c r="H2509" s="105" t="s">
        <v>342</v>
      </c>
      <c r="I2509" s="105" t="s">
        <v>334</v>
      </c>
      <c r="J2509" s="493">
        <v>22</v>
      </c>
      <c r="K2509" s="493">
        <v>2</v>
      </c>
      <c r="L2509" s="105" t="s">
        <v>343</v>
      </c>
      <c r="M2509" s="105" t="s">
        <v>655</v>
      </c>
      <c r="N2509" s="105" t="s">
        <v>656</v>
      </c>
      <c r="O2509" s="105" t="s">
        <v>656</v>
      </c>
      <c r="P2509" s="105" t="s">
        <v>339</v>
      </c>
      <c r="Q2509" s="494">
        <v>0</v>
      </c>
      <c r="R2509" s="494">
        <v>0</v>
      </c>
      <c r="S2509" s="494">
        <v>30176</v>
      </c>
      <c r="T2509" s="494">
        <v>30176</v>
      </c>
      <c r="U2509" s="494">
        <v>8844</v>
      </c>
      <c r="V2509" s="493">
        <v>2024</v>
      </c>
      <c r="W2509" s="495"/>
      <c r="X2509" s="496">
        <f t="shared" si="164"/>
        <v>3.4120307553143374</v>
      </c>
      <c r="Y2509" s="497" t="str">
        <f t="shared" si="165"/>
        <v/>
      </c>
      <c r="Z2509" s="497" t="str">
        <f t="shared" si="165"/>
        <v/>
      </c>
    </row>
    <row r="2510" spans="1:26" s="82" customFormat="1" ht="32" x14ac:dyDescent="0.4">
      <c r="A2510" s="493">
        <v>65996</v>
      </c>
      <c r="B2510" s="105" t="s">
        <v>329</v>
      </c>
      <c r="C2510" s="493" t="s">
        <v>330</v>
      </c>
      <c r="D2510" s="105" t="s">
        <v>2984</v>
      </c>
      <c r="E2510" s="105" t="s">
        <v>2985</v>
      </c>
      <c r="F2510" s="493">
        <v>65185</v>
      </c>
      <c r="G2510" s="105" t="s">
        <v>34</v>
      </c>
      <c r="H2510" s="105" t="s">
        <v>342</v>
      </c>
      <c r="I2510" s="105" t="s">
        <v>334</v>
      </c>
      <c r="J2510" s="493">
        <v>22</v>
      </c>
      <c r="K2510" s="493">
        <v>2</v>
      </c>
      <c r="L2510" s="105" t="s">
        <v>343</v>
      </c>
      <c r="M2510" s="105" t="s">
        <v>655</v>
      </c>
      <c r="N2510" s="105" t="s">
        <v>656</v>
      </c>
      <c r="O2510" s="105" t="s">
        <v>656</v>
      </c>
      <c r="P2510" s="105" t="s">
        <v>339</v>
      </c>
      <c r="Q2510" s="494">
        <v>0</v>
      </c>
      <c r="R2510" s="494">
        <v>0</v>
      </c>
      <c r="S2510" s="494">
        <v>30408</v>
      </c>
      <c r="T2510" s="494">
        <v>30408</v>
      </c>
      <c r="U2510" s="494">
        <v>8912</v>
      </c>
      <c r="V2510" s="493">
        <v>2024</v>
      </c>
      <c r="W2510" s="495"/>
      <c r="X2510" s="496">
        <f t="shared" si="164"/>
        <v>3.4120287253141832</v>
      </c>
      <c r="Y2510" s="497" t="str">
        <f t="shared" si="165"/>
        <v/>
      </c>
      <c r="Z2510" s="497" t="str">
        <f t="shared" si="165"/>
        <v/>
      </c>
    </row>
    <row r="2511" spans="1:26" s="82" customFormat="1" ht="32" x14ac:dyDescent="0.4">
      <c r="A2511" s="493">
        <v>66018</v>
      </c>
      <c r="B2511" s="105" t="s">
        <v>433</v>
      </c>
      <c r="C2511" s="493" t="s">
        <v>330</v>
      </c>
      <c r="D2511" s="105" t="s">
        <v>2986</v>
      </c>
      <c r="E2511" s="105" t="s">
        <v>2986</v>
      </c>
      <c r="F2511" s="493">
        <v>65160</v>
      </c>
      <c r="G2511" s="105" t="s">
        <v>33</v>
      </c>
      <c r="H2511" s="105" t="s">
        <v>342</v>
      </c>
      <c r="I2511" s="105" t="s">
        <v>334</v>
      </c>
      <c r="J2511" s="493">
        <v>339</v>
      </c>
      <c r="K2511" s="493">
        <v>7</v>
      </c>
      <c r="L2511" s="105" t="s">
        <v>727</v>
      </c>
      <c r="M2511" s="105" t="s">
        <v>295</v>
      </c>
      <c r="N2511" s="105" t="s">
        <v>228</v>
      </c>
      <c r="O2511" s="105" t="s">
        <v>228</v>
      </c>
      <c r="P2511" s="105" t="s">
        <v>356</v>
      </c>
      <c r="Q2511" s="494">
        <v>294907</v>
      </c>
      <c r="R2511" s="494">
        <v>294907</v>
      </c>
      <c r="S2511" s="494">
        <v>300806</v>
      </c>
      <c r="T2511" s="494">
        <v>300806</v>
      </c>
      <c r="U2511" s="494">
        <v>28601</v>
      </c>
      <c r="V2511" s="493">
        <v>2024</v>
      </c>
      <c r="W2511" s="495"/>
      <c r="X2511" s="496" t="str">
        <f t="shared" si="164"/>
        <v/>
      </c>
      <c r="Y2511" s="497" t="str">
        <f t="shared" si="165"/>
        <v/>
      </c>
      <c r="Z2511" s="497" t="str">
        <f t="shared" si="165"/>
        <v/>
      </c>
    </row>
    <row r="2512" spans="1:26" s="82" customFormat="1" x14ac:dyDescent="0.4">
      <c r="A2512" s="493">
        <v>66034</v>
      </c>
      <c r="B2512" s="105" t="s">
        <v>329</v>
      </c>
      <c r="C2512" s="493" t="s">
        <v>330</v>
      </c>
      <c r="D2512" s="105" t="s">
        <v>2987</v>
      </c>
      <c r="E2512" s="105" t="s">
        <v>2988</v>
      </c>
      <c r="F2512" s="493">
        <v>65200</v>
      </c>
      <c r="G2512" s="105" t="s">
        <v>52</v>
      </c>
      <c r="H2512" s="105" t="s">
        <v>333</v>
      </c>
      <c r="I2512" s="105" t="s">
        <v>334</v>
      </c>
      <c r="J2512" s="493">
        <v>22</v>
      </c>
      <c r="K2512" s="493">
        <v>2</v>
      </c>
      <c r="L2512" s="105" t="s">
        <v>343</v>
      </c>
      <c r="M2512" s="105" t="s">
        <v>655</v>
      </c>
      <c r="N2512" s="105" t="s">
        <v>656</v>
      </c>
      <c r="O2512" s="105" t="s">
        <v>656</v>
      </c>
      <c r="P2512" s="105" t="s">
        <v>339</v>
      </c>
      <c r="Q2512" s="494">
        <v>0</v>
      </c>
      <c r="R2512" s="494">
        <v>0</v>
      </c>
      <c r="S2512" s="494">
        <v>28548</v>
      </c>
      <c r="T2512" s="494">
        <v>28548</v>
      </c>
      <c r="U2512" s="494">
        <v>8367</v>
      </c>
      <c r="V2512" s="493">
        <v>2024</v>
      </c>
      <c r="W2512" s="495"/>
      <c r="X2512" s="496">
        <f t="shared" si="164"/>
        <v>3.4119756185012551</v>
      </c>
      <c r="Y2512" s="497" t="str">
        <f t="shared" si="165"/>
        <v/>
      </c>
      <c r="Z2512" s="497" t="str">
        <f t="shared" si="165"/>
        <v/>
      </c>
    </row>
    <row r="2513" spans="1:26" s="82" customFormat="1" x14ac:dyDescent="0.4">
      <c r="A2513" s="493">
        <v>66036</v>
      </c>
      <c r="B2513" s="105" t="s">
        <v>329</v>
      </c>
      <c r="C2513" s="493" t="s">
        <v>330</v>
      </c>
      <c r="D2513" s="105" t="s">
        <v>2989</v>
      </c>
      <c r="E2513" s="105" t="s">
        <v>2990</v>
      </c>
      <c r="F2513" s="493">
        <v>65201</v>
      </c>
      <c r="G2513" s="105" t="s">
        <v>52</v>
      </c>
      <c r="H2513" s="105" t="s">
        <v>333</v>
      </c>
      <c r="I2513" s="105" t="s">
        <v>334</v>
      </c>
      <c r="J2513" s="493">
        <v>22</v>
      </c>
      <c r="K2513" s="493">
        <v>2</v>
      </c>
      <c r="L2513" s="105" t="s">
        <v>343</v>
      </c>
      <c r="M2513" s="105" t="s">
        <v>655</v>
      </c>
      <c r="N2513" s="105" t="s">
        <v>656</v>
      </c>
      <c r="O2513" s="105" t="s">
        <v>656</v>
      </c>
      <c r="P2513" s="105" t="s">
        <v>339</v>
      </c>
      <c r="Q2513" s="494">
        <v>0</v>
      </c>
      <c r="R2513" s="494">
        <v>0</v>
      </c>
      <c r="S2513" s="494">
        <v>17305</v>
      </c>
      <c r="T2513" s="494">
        <v>17305</v>
      </c>
      <c r="U2513" s="494">
        <v>5072</v>
      </c>
      <c r="V2513" s="493">
        <v>2024</v>
      </c>
      <c r="W2513" s="495"/>
      <c r="X2513" s="496">
        <f t="shared" si="164"/>
        <v>3.4118690851735014</v>
      </c>
      <c r="Y2513" s="497" t="str">
        <f t="shared" si="165"/>
        <v/>
      </c>
      <c r="Z2513" s="497" t="str">
        <f t="shared" si="165"/>
        <v/>
      </c>
    </row>
    <row r="2514" spans="1:26" s="82" customFormat="1" x14ac:dyDescent="0.4">
      <c r="A2514" s="493">
        <v>66037</v>
      </c>
      <c r="B2514" s="105" t="s">
        <v>329</v>
      </c>
      <c r="C2514" s="493" t="s">
        <v>330</v>
      </c>
      <c r="D2514" s="105" t="s">
        <v>2991</v>
      </c>
      <c r="E2514" s="105" t="s">
        <v>2992</v>
      </c>
      <c r="F2514" s="493">
        <v>65202</v>
      </c>
      <c r="G2514" s="105" t="s">
        <v>52</v>
      </c>
      <c r="H2514" s="105" t="s">
        <v>333</v>
      </c>
      <c r="I2514" s="105" t="s">
        <v>334</v>
      </c>
      <c r="J2514" s="493">
        <v>22</v>
      </c>
      <c r="K2514" s="493">
        <v>2</v>
      </c>
      <c r="L2514" s="105" t="s">
        <v>343</v>
      </c>
      <c r="M2514" s="105" t="s">
        <v>655</v>
      </c>
      <c r="N2514" s="105" t="s">
        <v>656</v>
      </c>
      <c r="O2514" s="105" t="s">
        <v>656</v>
      </c>
      <c r="P2514" s="105" t="s">
        <v>339</v>
      </c>
      <c r="Q2514" s="494">
        <v>0</v>
      </c>
      <c r="R2514" s="494">
        <v>0</v>
      </c>
      <c r="S2514" s="494">
        <v>23647</v>
      </c>
      <c r="T2514" s="494">
        <v>23647</v>
      </c>
      <c r="U2514" s="494">
        <v>6930</v>
      </c>
      <c r="V2514" s="493">
        <v>2024</v>
      </c>
      <c r="W2514" s="495"/>
      <c r="X2514" s="496">
        <f t="shared" si="164"/>
        <v>3.4122655122655123</v>
      </c>
      <c r="Y2514" s="497" t="str">
        <f t="shared" si="165"/>
        <v/>
      </c>
      <c r="Z2514" s="497" t="str">
        <f t="shared" si="165"/>
        <v/>
      </c>
    </row>
    <row r="2515" spans="1:26" s="82" customFormat="1" ht="32" x14ac:dyDescent="0.4">
      <c r="A2515" s="493">
        <v>66040</v>
      </c>
      <c r="B2515" s="105" t="s">
        <v>329</v>
      </c>
      <c r="C2515" s="493" t="s">
        <v>330</v>
      </c>
      <c r="D2515" s="105" t="s">
        <v>2993</v>
      </c>
      <c r="E2515" s="105" t="s">
        <v>2994</v>
      </c>
      <c r="F2515" s="493">
        <v>65204</v>
      </c>
      <c r="G2515" s="105" t="s">
        <v>52</v>
      </c>
      <c r="H2515" s="105" t="s">
        <v>333</v>
      </c>
      <c r="I2515" s="105" t="s">
        <v>334</v>
      </c>
      <c r="J2515" s="493">
        <v>22</v>
      </c>
      <c r="K2515" s="493">
        <v>2</v>
      </c>
      <c r="L2515" s="105" t="s">
        <v>343</v>
      </c>
      <c r="M2515" s="105" t="s">
        <v>655</v>
      </c>
      <c r="N2515" s="105" t="s">
        <v>656</v>
      </c>
      <c r="O2515" s="105" t="s">
        <v>656</v>
      </c>
      <c r="P2515" s="105" t="s">
        <v>339</v>
      </c>
      <c r="Q2515" s="494">
        <v>0</v>
      </c>
      <c r="R2515" s="494">
        <v>0</v>
      </c>
      <c r="S2515" s="494">
        <v>17176</v>
      </c>
      <c r="T2515" s="494">
        <v>17176</v>
      </c>
      <c r="U2515" s="494">
        <v>5034</v>
      </c>
      <c r="V2515" s="493">
        <v>2024</v>
      </c>
      <c r="W2515" s="495"/>
      <c r="X2515" s="496">
        <f t="shared" si="164"/>
        <v>3.4119984108065156</v>
      </c>
      <c r="Y2515" s="497" t="str">
        <f t="shared" si="165"/>
        <v/>
      </c>
      <c r="Z2515" s="497" t="str">
        <f t="shared" si="165"/>
        <v/>
      </c>
    </row>
    <row r="2516" spans="1:26" s="82" customFormat="1" ht="32" x14ac:dyDescent="0.4">
      <c r="A2516" s="493">
        <v>66043</v>
      </c>
      <c r="B2516" s="105" t="s">
        <v>329</v>
      </c>
      <c r="C2516" s="493" t="s">
        <v>330</v>
      </c>
      <c r="D2516" s="105" t="s">
        <v>2995</v>
      </c>
      <c r="E2516" s="105" t="s">
        <v>2996</v>
      </c>
      <c r="F2516" s="493">
        <v>65207</v>
      </c>
      <c r="G2516" s="105" t="s">
        <v>34</v>
      </c>
      <c r="H2516" s="105" t="s">
        <v>342</v>
      </c>
      <c r="I2516" s="105" t="s">
        <v>334</v>
      </c>
      <c r="J2516" s="493">
        <v>22</v>
      </c>
      <c r="K2516" s="493">
        <v>2</v>
      </c>
      <c r="L2516" s="105" t="s">
        <v>343</v>
      </c>
      <c r="M2516" s="105" t="s">
        <v>655</v>
      </c>
      <c r="N2516" s="105" t="s">
        <v>656</v>
      </c>
      <c r="O2516" s="105" t="s">
        <v>656</v>
      </c>
      <c r="P2516" s="105" t="s">
        <v>339</v>
      </c>
      <c r="Q2516" s="494">
        <v>0</v>
      </c>
      <c r="R2516" s="494">
        <v>0</v>
      </c>
      <c r="S2516" s="494">
        <v>17466</v>
      </c>
      <c r="T2516" s="494">
        <v>17466</v>
      </c>
      <c r="U2516" s="494">
        <v>5119</v>
      </c>
      <c r="V2516" s="493">
        <v>2024</v>
      </c>
      <c r="W2516" s="495"/>
      <c r="X2516" s="496">
        <f t="shared" si="164"/>
        <v>3.4119945301816763</v>
      </c>
      <c r="Y2516" s="497" t="str">
        <f t="shared" si="165"/>
        <v/>
      </c>
      <c r="Z2516" s="497" t="str">
        <f t="shared" si="165"/>
        <v/>
      </c>
    </row>
    <row r="2517" spans="1:26" s="82" customFormat="1" x14ac:dyDescent="0.4">
      <c r="A2517" s="493">
        <v>66044</v>
      </c>
      <c r="B2517" s="105" t="s">
        <v>329</v>
      </c>
      <c r="C2517" s="493" t="s">
        <v>330</v>
      </c>
      <c r="D2517" s="105" t="s">
        <v>2997</v>
      </c>
      <c r="E2517" s="105" t="s">
        <v>2998</v>
      </c>
      <c r="F2517" s="493">
        <v>65208</v>
      </c>
      <c r="G2517" s="105" t="s">
        <v>38</v>
      </c>
      <c r="H2517" s="105" t="s">
        <v>342</v>
      </c>
      <c r="I2517" s="105" t="s">
        <v>334</v>
      </c>
      <c r="J2517" s="493">
        <v>22</v>
      </c>
      <c r="K2517" s="493">
        <v>2</v>
      </c>
      <c r="L2517" s="105" t="s">
        <v>343</v>
      </c>
      <c r="M2517" s="105" t="s">
        <v>655</v>
      </c>
      <c r="N2517" s="105" t="s">
        <v>656</v>
      </c>
      <c r="O2517" s="105" t="s">
        <v>656</v>
      </c>
      <c r="P2517" s="105" t="s">
        <v>339</v>
      </c>
      <c r="Q2517" s="494">
        <v>0</v>
      </c>
      <c r="R2517" s="494">
        <v>0</v>
      </c>
      <c r="S2517" s="494">
        <v>13164</v>
      </c>
      <c r="T2517" s="494">
        <v>13164</v>
      </c>
      <c r="U2517" s="494">
        <v>3858</v>
      </c>
      <c r="V2517" s="493">
        <v>2024</v>
      </c>
      <c r="W2517" s="495"/>
      <c r="X2517" s="496">
        <f t="shared" si="164"/>
        <v>3.4121306376360807</v>
      </c>
      <c r="Y2517" s="497" t="str">
        <f t="shared" si="165"/>
        <v/>
      </c>
      <c r="Z2517" s="497" t="str">
        <f t="shared" si="165"/>
        <v/>
      </c>
    </row>
    <row r="2518" spans="1:26" s="82" customFormat="1" x14ac:dyDescent="0.4">
      <c r="A2518" s="493">
        <v>66045</v>
      </c>
      <c r="B2518" s="105" t="s">
        <v>329</v>
      </c>
      <c r="C2518" s="493" t="s">
        <v>330</v>
      </c>
      <c r="D2518" s="105" t="s">
        <v>2999</v>
      </c>
      <c r="E2518" s="105" t="s">
        <v>3000</v>
      </c>
      <c r="F2518" s="493">
        <v>65209</v>
      </c>
      <c r="G2518" s="105" t="s">
        <v>38</v>
      </c>
      <c r="H2518" s="105" t="s">
        <v>342</v>
      </c>
      <c r="I2518" s="105" t="s">
        <v>334</v>
      </c>
      <c r="J2518" s="493">
        <v>22</v>
      </c>
      <c r="K2518" s="493">
        <v>2</v>
      </c>
      <c r="L2518" s="105" t="s">
        <v>343</v>
      </c>
      <c r="M2518" s="105" t="s">
        <v>655</v>
      </c>
      <c r="N2518" s="105" t="s">
        <v>656</v>
      </c>
      <c r="O2518" s="105" t="s">
        <v>656</v>
      </c>
      <c r="P2518" s="105" t="s">
        <v>339</v>
      </c>
      <c r="Q2518" s="494">
        <v>0</v>
      </c>
      <c r="R2518" s="494">
        <v>0</v>
      </c>
      <c r="S2518" s="494">
        <v>12778</v>
      </c>
      <c r="T2518" s="494">
        <v>12778</v>
      </c>
      <c r="U2518" s="494">
        <v>3745</v>
      </c>
      <c r="V2518" s="493">
        <v>2024</v>
      </c>
      <c r="W2518" s="495"/>
      <c r="X2518" s="496">
        <f t="shared" si="164"/>
        <v>3.4120160213618158</v>
      </c>
      <c r="Y2518" s="497" t="str">
        <f t="shared" si="165"/>
        <v/>
      </c>
      <c r="Z2518" s="497" t="str">
        <f t="shared" si="165"/>
        <v/>
      </c>
    </row>
    <row r="2519" spans="1:26" s="82" customFormat="1" x14ac:dyDescent="0.4">
      <c r="A2519" s="493">
        <v>66052</v>
      </c>
      <c r="B2519" s="105" t="s">
        <v>329</v>
      </c>
      <c r="C2519" s="493" t="s">
        <v>330</v>
      </c>
      <c r="D2519" s="105" t="s">
        <v>3001</v>
      </c>
      <c r="E2519" s="105" t="s">
        <v>3002</v>
      </c>
      <c r="F2519" s="493">
        <v>65225</v>
      </c>
      <c r="G2519" s="105" t="s">
        <v>52</v>
      </c>
      <c r="H2519" s="105" t="s">
        <v>333</v>
      </c>
      <c r="I2519" s="105" t="s">
        <v>334</v>
      </c>
      <c r="J2519" s="493">
        <v>22</v>
      </c>
      <c r="K2519" s="493">
        <v>2</v>
      </c>
      <c r="L2519" s="105" t="s">
        <v>343</v>
      </c>
      <c r="M2519" s="105" t="s">
        <v>695</v>
      </c>
      <c r="N2519" s="105" t="s">
        <v>696</v>
      </c>
      <c r="O2519" s="105" t="s">
        <v>696</v>
      </c>
      <c r="P2519" s="105" t="s">
        <v>339</v>
      </c>
      <c r="Q2519" s="494">
        <v>0</v>
      </c>
      <c r="R2519" s="494">
        <v>0</v>
      </c>
      <c r="S2519" s="494">
        <v>916741</v>
      </c>
      <c r="T2519" s="494">
        <v>916741</v>
      </c>
      <c r="U2519" s="494">
        <v>268681</v>
      </c>
      <c r="V2519" s="493">
        <v>2024</v>
      </c>
      <c r="W2519" s="495"/>
      <c r="X2519" s="496">
        <f t="shared" si="164"/>
        <v>3.4120053148529297</v>
      </c>
      <c r="Y2519" s="497" t="str">
        <f t="shared" si="165"/>
        <v/>
      </c>
      <c r="Z2519" s="497" t="str">
        <f t="shared" si="165"/>
        <v/>
      </c>
    </row>
    <row r="2520" spans="1:26" s="82" customFormat="1" ht="32" x14ac:dyDescent="0.4">
      <c r="A2520" s="493">
        <v>66053</v>
      </c>
      <c r="B2520" s="105" t="s">
        <v>329</v>
      </c>
      <c r="C2520" s="493" t="s">
        <v>330</v>
      </c>
      <c r="D2520" s="105" t="s">
        <v>3003</v>
      </c>
      <c r="E2520" s="105" t="s">
        <v>3003</v>
      </c>
      <c r="F2520" s="493">
        <v>65223</v>
      </c>
      <c r="G2520" s="105" t="s">
        <v>37</v>
      </c>
      <c r="H2520" s="105" t="s">
        <v>342</v>
      </c>
      <c r="I2520" s="105" t="s">
        <v>334</v>
      </c>
      <c r="J2520" s="493">
        <v>22</v>
      </c>
      <c r="K2520" s="493">
        <v>2</v>
      </c>
      <c r="L2520" s="105" t="s">
        <v>343</v>
      </c>
      <c r="M2520" s="105" t="s">
        <v>990</v>
      </c>
      <c r="N2520" s="105" t="s">
        <v>228</v>
      </c>
      <c r="O2520" s="105" t="s">
        <v>228</v>
      </c>
      <c r="P2520" s="105" t="s">
        <v>356</v>
      </c>
      <c r="Q2520" s="494">
        <v>566255</v>
      </c>
      <c r="R2520" s="494">
        <v>566255</v>
      </c>
      <c r="S2520" s="494">
        <v>627410</v>
      </c>
      <c r="T2520" s="494">
        <v>627410</v>
      </c>
      <c r="U2520" s="494">
        <v>76669.56</v>
      </c>
      <c r="V2520" s="493">
        <v>2024</v>
      </c>
      <c r="W2520" s="495"/>
      <c r="X2520" s="496">
        <f t="shared" si="164"/>
        <v>8.1832998650311808</v>
      </c>
      <c r="Y2520" s="497" t="str">
        <f t="shared" si="165"/>
        <v/>
      </c>
      <c r="Z2520" s="497" t="str">
        <f t="shared" si="165"/>
        <v/>
      </c>
    </row>
    <row r="2521" spans="1:26" s="82" customFormat="1" ht="32" x14ac:dyDescent="0.4">
      <c r="A2521" s="493">
        <v>66061</v>
      </c>
      <c r="B2521" s="105" t="s">
        <v>329</v>
      </c>
      <c r="C2521" s="493" t="s">
        <v>330</v>
      </c>
      <c r="D2521" s="105" t="s">
        <v>3004</v>
      </c>
      <c r="E2521" s="105" t="s">
        <v>3005</v>
      </c>
      <c r="F2521" s="493">
        <v>65233</v>
      </c>
      <c r="G2521" s="105" t="s">
        <v>52</v>
      </c>
      <c r="H2521" s="105" t="s">
        <v>333</v>
      </c>
      <c r="I2521" s="105" t="s">
        <v>334</v>
      </c>
      <c r="J2521" s="493">
        <v>22</v>
      </c>
      <c r="K2521" s="493">
        <v>2</v>
      </c>
      <c r="L2521" s="105" t="s">
        <v>343</v>
      </c>
      <c r="M2521" s="105" t="s">
        <v>655</v>
      </c>
      <c r="N2521" s="105" t="s">
        <v>656</v>
      </c>
      <c r="O2521" s="105" t="s">
        <v>656</v>
      </c>
      <c r="P2521" s="105" t="s">
        <v>339</v>
      </c>
      <c r="Q2521" s="494">
        <v>0</v>
      </c>
      <c r="R2521" s="494">
        <v>0</v>
      </c>
      <c r="S2521" s="494">
        <v>27616</v>
      </c>
      <c r="T2521" s="494">
        <v>27616</v>
      </c>
      <c r="U2521" s="494">
        <v>8094</v>
      </c>
      <c r="V2521" s="493">
        <v>2024</v>
      </c>
      <c r="W2521" s="495"/>
      <c r="X2521" s="496">
        <f t="shared" si="164"/>
        <v>3.4119100568322214</v>
      </c>
      <c r="Y2521" s="497" t="str">
        <f t="shared" si="165"/>
        <v/>
      </c>
      <c r="Z2521" s="497" t="str">
        <f t="shared" si="165"/>
        <v/>
      </c>
    </row>
    <row r="2522" spans="1:26" s="82" customFormat="1" ht="32" x14ac:dyDescent="0.4">
      <c r="A2522" s="493">
        <v>66062</v>
      </c>
      <c r="B2522" s="105" t="s">
        <v>329</v>
      </c>
      <c r="C2522" s="493" t="s">
        <v>330</v>
      </c>
      <c r="D2522" s="105" t="s">
        <v>3006</v>
      </c>
      <c r="E2522" s="105" t="s">
        <v>3007</v>
      </c>
      <c r="F2522" s="493">
        <v>65235</v>
      </c>
      <c r="G2522" s="105" t="s">
        <v>52</v>
      </c>
      <c r="H2522" s="105" t="s">
        <v>333</v>
      </c>
      <c r="I2522" s="105" t="s">
        <v>334</v>
      </c>
      <c r="J2522" s="493">
        <v>22</v>
      </c>
      <c r="K2522" s="493">
        <v>2</v>
      </c>
      <c r="L2522" s="105" t="s">
        <v>343</v>
      </c>
      <c r="M2522" s="105" t="s">
        <v>655</v>
      </c>
      <c r="N2522" s="105" t="s">
        <v>656</v>
      </c>
      <c r="O2522" s="105" t="s">
        <v>656</v>
      </c>
      <c r="P2522" s="105" t="s">
        <v>339</v>
      </c>
      <c r="Q2522" s="494">
        <v>0</v>
      </c>
      <c r="R2522" s="494">
        <v>0</v>
      </c>
      <c r="S2522" s="494">
        <v>27616</v>
      </c>
      <c r="T2522" s="494">
        <v>27616</v>
      </c>
      <c r="U2522" s="494">
        <v>8094</v>
      </c>
      <c r="V2522" s="493">
        <v>2024</v>
      </c>
      <c r="W2522" s="495"/>
      <c r="X2522" s="496">
        <f t="shared" si="164"/>
        <v>3.4119100568322214</v>
      </c>
      <c r="Y2522" s="497" t="str">
        <f t="shared" si="165"/>
        <v/>
      </c>
      <c r="Z2522" s="497" t="str">
        <f t="shared" si="165"/>
        <v/>
      </c>
    </row>
    <row r="2523" spans="1:26" s="82" customFormat="1" ht="32" x14ac:dyDescent="0.4">
      <c r="A2523" s="493">
        <v>66063</v>
      </c>
      <c r="B2523" s="105" t="s">
        <v>329</v>
      </c>
      <c r="C2523" s="493" t="s">
        <v>330</v>
      </c>
      <c r="D2523" s="105" t="s">
        <v>3008</v>
      </c>
      <c r="E2523" s="105" t="s">
        <v>3009</v>
      </c>
      <c r="F2523" s="493">
        <v>65236</v>
      </c>
      <c r="G2523" s="105" t="s">
        <v>52</v>
      </c>
      <c r="H2523" s="105" t="s">
        <v>333</v>
      </c>
      <c r="I2523" s="105" t="s">
        <v>334</v>
      </c>
      <c r="J2523" s="493">
        <v>22</v>
      </c>
      <c r="K2523" s="493">
        <v>2</v>
      </c>
      <c r="L2523" s="105" t="s">
        <v>343</v>
      </c>
      <c r="M2523" s="105" t="s">
        <v>655</v>
      </c>
      <c r="N2523" s="105" t="s">
        <v>656</v>
      </c>
      <c r="O2523" s="105" t="s">
        <v>656</v>
      </c>
      <c r="P2523" s="105" t="s">
        <v>339</v>
      </c>
      <c r="Q2523" s="494">
        <v>0</v>
      </c>
      <c r="R2523" s="494">
        <v>0</v>
      </c>
      <c r="S2523" s="494">
        <v>27629</v>
      </c>
      <c r="T2523" s="494">
        <v>27629</v>
      </c>
      <c r="U2523" s="494">
        <v>8098</v>
      </c>
      <c r="V2523" s="493">
        <v>2024</v>
      </c>
      <c r="W2523" s="495"/>
      <c r="X2523" s="496">
        <f t="shared" si="164"/>
        <v>3.4118300815016052</v>
      </c>
      <c r="Y2523" s="497" t="str">
        <f t="shared" si="165"/>
        <v/>
      </c>
      <c r="Z2523" s="497" t="str">
        <f t="shared" si="165"/>
        <v/>
      </c>
    </row>
    <row r="2524" spans="1:26" s="82" customFormat="1" ht="32" x14ac:dyDescent="0.4">
      <c r="A2524" s="493">
        <v>66064</v>
      </c>
      <c r="B2524" s="105" t="s">
        <v>329</v>
      </c>
      <c r="C2524" s="493" t="s">
        <v>330</v>
      </c>
      <c r="D2524" s="105" t="s">
        <v>3010</v>
      </c>
      <c r="E2524" s="105" t="s">
        <v>3011</v>
      </c>
      <c r="F2524" s="493">
        <v>65237</v>
      </c>
      <c r="G2524" s="105" t="s">
        <v>52</v>
      </c>
      <c r="H2524" s="105" t="s">
        <v>333</v>
      </c>
      <c r="I2524" s="105" t="s">
        <v>334</v>
      </c>
      <c r="J2524" s="493">
        <v>22</v>
      </c>
      <c r="K2524" s="493">
        <v>2</v>
      </c>
      <c r="L2524" s="105" t="s">
        <v>343</v>
      </c>
      <c r="M2524" s="105" t="s">
        <v>655</v>
      </c>
      <c r="N2524" s="105" t="s">
        <v>656</v>
      </c>
      <c r="O2524" s="105" t="s">
        <v>656</v>
      </c>
      <c r="P2524" s="105" t="s">
        <v>339</v>
      </c>
      <c r="Q2524" s="494">
        <v>0</v>
      </c>
      <c r="R2524" s="494">
        <v>0</v>
      </c>
      <c r="S2524" s="494">
        <v>27658</v>
      </c>
      <c r="T2524" s="494">
        <v>27658</v>
      </c>
      <c r="U2524" s="494">
        <v>8106</v>
      </c>
      <c r="V2524" s="493">
        <v>2024</v>
      </c>
      <c r="W2524" s="495"/>
      <c r="X2524" s="496">
        <f t="shared" si="164"/>
        <v>3.4120404638539354</v>
      </c>
      <c r="Y2524" s="497" t="str">
        <f t="shared" si="165"/>
        <v/>
      </c>
      <c r="Z2524" s="497" t="str">
        <f t="shared" si="165"/>
        <v/>
      </c>
    </row>
    <row r="2525" spans="1:26" s="82" customFormat="1" x14ac:dyDescent="0.4">
      <c r="A2525" s="493">
        <v>66065</v>
      </c>
      <c r="B2525" s="105" t="s">
        <v>329</v>
      </c>
      <c r="C2525" s="493" t="s">
        <v>330</v>
      </c>
      <c r="D2525" s="105" t="s">
        <v>3012</v>
      </c>
      <c r="E2525" s="105" t="s">
        <v>3013</v>
      </c>
      <c r="F2525" s="493">
        <v>65238</v>
      </c>
      <c r="G2525" s="105" t="s">
        <v>52</v>
      </c>
      <c r="H2525" s="105" t="s">
        <v>333</v>
      </c>
      <c r="I2525" s="105" t="s">
        <v>334</v>
      </c>
      <c r="J2525" s="493">
        <v>22</v>
      </c>
      <c r="K2525" s="493">
        <v>2</v>
      </c>
      <c r="L2525" s="105" t="s">
        <v>343</v>
      </c>
      <c r="M2525" s="105" t="s">
        <v>655</v>
      </c>
      <c r="N2525" s="105" t="s">
        <v>656</v>
      </c>
      <c r="O2525" s="105" t="s">
        <v>656</v>
      </c>
      <c r="P2525" s="105" t="s">
        <v>339</v>
      </c>
      <c r="Q2525" s="494">
        <v>0</v>
      </c>
      <c r="R2525" s="494">
        <v>0</v>
      </c>
      <c r="S2525" s="494">
        <v>53508</v>
      </c>
      <c r="T2525" s="494">
        <v>53508</v>
      </c>
      <c r="U2525" s="494">
        <v>15682</v>
      </c>
      <c r="V2525" s="493">
        <v>2024</v>
      </c>
      <c r="W2525" s="495"/>
      <c r="X2525" s="496">
        <f t="shared" si="164"/>
        <v>3.4120647876546357</v>
      </c>
      <c r="Y2525" s="497" t="str">
        <f t="shared" si="165"/>
        <v/>
      </c>
      <c r="Z2525" s="497" t="str">
        <f t="shared" si="165"/>
        <v/>
      </c>
    </row>
    <row r="2526" spans="1:26" s="82" customFormat="1" x14ac:dyDescent="0.4">
      <c r="A2526" s="493">
        <v>66074</v>
      </c>
      <c r="B2526" s="105" t="s">
        <v>329</v>
      </c>
      <c r="C2526" s="493" t="s">
        <v>330</v>
      </c>
      <c r="D2526" s="105" t="s">
        <v>3014</v>
      </c>
      <c r="E2526" s="105" t="s">
        <v>3015</v>
      </c>
      <c r="F2526" s="493">
        <v>65246</v>
      </c>
      <c r="G2526" s="105" t="s">
        <v>52</v>
      </c>
      <c r="H2526" s="105" t="s">
        <v>333</v>
      </c>
      <c r="I2526" s="105" t="s">
        <v>334</v>
      </c>
      <c r="J2526" s="493">
        <v>22</v>
      </c>
      <c r="K2526" s="493">
        <v>2</v>
      </c>
      <c r="L2526" s="105" t="s">
        <v>343</v>
      </c>
      <c r="M2526" s="105" t="s">
        <v>655</v>
      </c>
      <c r="N2526" s="105" t="s">
        <v>656</v>
      </c>
      <c r="O2526" s="105" t="s">
        <v>656</v>
      </c>
      <c r="P2526" s="105" t="s">
        <v>339</v>
      </c>
      <c r="Q2526" s="494">
        <v>0</v>
      </c>
      <c r="R2526" s="494">
        <v>0</v>
      </c>
      <c r="S2526" s="494">
        <v>11684</v>
      </c>
      <c r="T2526" s="494">
        <v>11684</v>
      </c>
      <c r="U2526" s="494">
        <v>3425</v>
      </c>
      <c r="V2526" s="493">
        <v>2024</v>
      </c>
      <c r="W2526" s="495"/>
      <c r="X2526" s="496">
        <f t="shared" si="164"/>
        <v>3.4113868613138685</v>
      </c>
      <c r="Y2526" s="497" t="str">
        <f t="shared" si="165"/>
        <v/>
      </c>
      <c r="Z2526" s="497" t="str">
        <f t="shared" si="165"/>
        <v/>
      </c>
    </row>
    <row r="2527" spans="1:26" s="82" customFormat="1" ht="32" x14ac:dyDescent="0.4">
      <c r="A2527" s="493">
        <v>66075</v>
      </c>
      <c r="B2527" s="105" t="s">
        <v>329</v>
      </c>
      <c r="C2527" s="493" t="s">
        <v>330</v>
      </c>
      <c r="D2527" s="105" t="s">
        <v>3016</v>
      </c>
      <c r="E2527" s="105" t="s">
        <v>3017</v>
      </c>
      <c r="F2527" s="493">
        <v>65252</v>
      </c>
      <c r="G2527" s="105" t="s">
        <v>33</v>
      </c>
      <c r="H2527" s="105" t="s">
        <v>342</v>
      </c>
      <c r="I2527" s="105" t="s">
        <v>334</v>
      </c>
      <c r="J2527" s="493">
        <v>22</v>
      </c>
      <c r="K2527" s="493">
        <v>2</v>
      </c>
      <c r="L2527" s="105" t="s">
        <v>343</v>
      </c>
      <c r="M2527" s="105" t="s">
        <v>403</v>
      </c>
      <c r="N2527" s="105" t="s">
        <v>404</v>
      </c>
      <c r="O2527" s="105" t="s">
        <v>232</v>
      </c>
      <c r="P2527" s="105" t="s">
        <v>346</v>
      </c>
      <c r="Q2527" s="494">
        <v>1346</v>
      </c>
      <c r="R2527" s="494">
        <v>1346</v>
      </c>
      <c r="S2527" s="494">
        <v>0</v>
      </c>
      <c r="T2527" s="494">
        <v>0</v>
      </c>
      <c r="U2527" s="494">
        <v>-133</v>
      </c>
      <c r="V2527" s="493">
        <v>2024</v>
      </c>
      <c r="W2527" s="495"/>
      <c r="X2527" s="496" t="str">
        <f t="shared" si="164"/>
        <v/>
      </c>
      <c r="Y2527" s="497" t="str">
        <f t="shared" si="165"/>
        <v/>
      </c>
      <c r="Z2527" s="497" t="str">
        <f t="shared" si="165"/>
        <v/>
      </c>
    </row>
    <row r="2528" spans="1:26" s="82" customFormat="1" ht="32" x14ac:dyDescent="0.4">
      <c r="A2528" s="493">
        <v>66075</v>
      </c>
      <c r="B2528" s="105" t="s">
        <v>329</v>
      </c>
      <c r="C2528" s="493" t="s">
        <v>330</v>
      </c>
      <c r="D2528" s="105" t="s">
        <v>3016</v>
      </c>
      <c r="E2528" s="105" t="s">
        <v>3017</v>
      </c>
      <c r="F2528" s="493">
        <v>65252</v>
      </c>
      <c r="G2528" s="105" t="s">
        <v>33</v>
      </c>
      <c r="H2528" s="105" t="s">
        <v>342</v>
      </c>
      <c r="I2528" s="105" t="s">
        <v>334</v>
      </c>
      <c r="J2528" s="493">
        <v>22</v>
      </c>
      <c r="K2528" s="493">
        <v>2</v>
      </c>
      <c r="L2528" s="105" t="s">
        <v>343</v>
      </c>
      <c r="M2528" s="105" t="s">
        <v>655</v>
      </c>
      <c r="N2528" s="105" t="s">
        <v>656</v>
      </c>
      <c r="O2528" s="105" t="s">
        <v>656</v>
      </c>
      <c r="P2528" s="105" t="s">
        <v>339</v>
      </c>
      <c r="Q2528" s="494">
        <v>0</v>
      </c>
      <c r="R2528" s="494">
        <v>0</v>
      </c>
      <c r="S2528" s="494">
        <v>29429</v>
      </c>
      <c r="T2528" s="494">
        <v>29429</v>
      </c>
      <c r="U2528" s="494">
        <v>8625</v>
      </c>
      <c r="V2528" s="493">
        <v>2024</v>
      </c>
      <c r="W2528" s="495"/>
      <c r="X2528" s="496">
        <f t="shared" si="164"/>
        <v>3.4120579710144927</v>
      </c>
      <c r="Y2528" s="497" t="str">
        <f t="shared" ref="Y2528:Z2547" si="166">IF(AND($M2528=$Y$2,$N2528=$Y$3,NOT($Q2528=$R2528),NOT($U2528=0)),IF($K2528=5,$S2528/($U2528+(8/5)*$U2528),IF($K2528=7,$S2528/($U2528+(29/25)*$U2528),"")),"")</f>
        <v/>
      </c>
      <c r="Z2528" s="497" t="str">
        <f t="shared" si="166"/>
        <v/>
      </c>
    </row>
    <row r="2529" spans="1:26" s="82" customFormat="1" ht="32" x14ac:dyDescent="0.4">
      <c r="A2529" s="493">
        <v>66076</v>
      </c>
      <c r="B2529" s="105" t="s">
        <v>329</v>
      </c>
      <c r="C2529" s="493" t="s">
        <v>330</v>
      </c>
      <c r="D2529" s="105" t="s">
        <v>3018</v>
      </c>
      <c r="E2529" s="105" t="s">
        <v>3019</v>
      </c>
      <c r="F2529" s="493">
        <v>65253</v>
      </c>
      <c r="G2529" s="105" t="s">
        <v>33</v>
      </c>
      <c r="H2529" s="105" t="s">
        <v>342</v>
      </c>
      <c r="I2529" s="105" t="s">
        <v>334</v>
      </c>
      <c r="J2529" s="493">
        <v>22</v>
      </c>
      <c r="K2529" s="493">
        <v>2</v>
      </c>
      <c r="L2529" s="105" t="s">
        <v>343</v>
      </c>
      <c r="M2529" s="105" t="s">
        <v>403</v>
      </c>
      <c r="N2529" s="105" t="s">
        <v>404</v>
      </c>
      <c r="O2529" s="105" t="s">
        <v>232</v>
      </c>
      <c r="P2529" s="105" t="s">
        <v>346</v>
      </c>
      <c r="Q2529" s="494">
        <v>815</v>
      </c>
      <c r="R2529" s="494">
        <v>815</v>
      </c>
      <c r="S2529" s="494">
        <v>0</v>
      </c>
      <c r="T2529" s="494">
        <v>0</v>
      </c>
      <c r="U2529" s="494">
        <v>-80</v>
      </c>
      <c r="V2529" s="493">
        <v>2024</v>
      </c>
      <c r="W2529" s="495"/>
      <c r="X2529" s="496" t="str">
        <f t="shared" si="164"/>
        <v/>
      </c>
      <c r="Y2529" s="497" t="str">
        <f t="shared" si="166"/>
        <v/>
      </c>
      <c r="Z2529" s="497" t="str">
        <f t="shared" si="166"/>
        <v/>
      </c>
    </row>
    <row r="2530" spans="1:26" s="82" customFormat="1" ht="32" x14ac:dyDescent="0.4">
      <c r="A2530" s="493">
        <v>66076</v>
      </c>
      <c r="B2530" s="105" t="s">
        <v>329</v>
      </c>
      <c r="C2530" s="493" t="s">
        <v>330</v>
      </c>
      <c r="D2530" s="105" t="s">
        <v>3018</v>
      </c>
      <c r="E2530" s="105" t="s">
        <v>3019</v>
      </c>
      <c r="F2530" s="493">
        <v>65253</v>
      </c>
      <c r="G2530" s="105" t="s">
        <v>33</v>
      </c>
      <c r="H2530" s="105" t="s">
        <v>342</v>
      </c>
      <c r="I2530" s="105" t="s">
        <v>334</v>
      </c>
      <c r="J2530" s="493">
        <v>22</v>
      </c>
      <c r="K2530" s="493">
        <v>2</v>
      </c>
      <c r="L2530" s="105" t="s">
        <v>343</v>
      </c>
      <c r="M2530" s="105" t="s">
        <v>655</v>
      </c>
      <c r="N2530" s="105" t="s">
        <v>656</v>
      </c>
      <c r="O2530" s="105" t="s">
        <v>656</v>
      </c>
      <c r="P2530" s="105" t="s">
        <v>339</v>
      </c>
      <c r="Q2530" s="494">
        <v>0</v>
      </c>
      <c r="R2530" s="494">
        <v>0</v>
      </c>
      <c r="S2530" s="494">
        <v>9027</v>
      </c>
      <c r="T2530" s="494">
        <v>9027</v>
      </c>
      <c r="U2530" s="494">
        <v>2646</v>
      </c>
      <c r="V2530" s="493">
        <v>2024</v>
      </c>
      <c r="W2530" s="495"/>
      <c r="X2530" s="496">
        <f t="shared" si="164"/>
        <v>3.4115646258503403</v>
      </c>
      <c r="Y2530" s="497" t="str">
        <f t="shared" si="166"/>
        <v/>
      </c>
      <c r="Z2530" s="497" t="str">
        <f t="shared" si="166"/>
        <v/>
      </c>
    </row>
    <row r="2531" spans="1:26" s="82" customFormat="1" ht="32" x14ac:dyDescent="0.4">
      <c r="A2531" s="493">
        <v>66077</v>
      </c>
      <c r="B2531" s="105" t="s">
        <v>329</v>
      </c>
      <c r="C2531" s="493" t="s">
        <v>330</v>
      </c>
      <c r="D2531" s="105" t="s">
        <v>3020</v>
      </c>
      <c r="E2531" s="105" t="s">
        <v>3021</v>
      </c>
      <c r="F2531" s="493">
        <v>65254</v>
      </c>
      <c r="G2531" s="105" t="s">
        <v>33</v>
      </c>
      <c r="H2531" s="105" t="s">
        <v>342</v>
      </c>
      <c r="I2531" s="105" t="s">
        <v>334</v>
      </c>
      <c r="J2531" s="493">
        <v>22</v>
      </c>
      <c r="K2531" s="493">
        <v>2</v>
      </c>
      <c r="L2531" s="105" t="s">
        <v>343</v>
      </c>
      <c r="M2531" s="105" t="s">
        <v>655</v>
      </c>
      <c r="N2531" s="105" t="s">
        <v>656</v>
      </c>
      <c r="O2531" s="105" t="s">
        <v>656</v>
      </c>
      <c r="P2531" s="105" t="s">
        <v>339</v>
      </c>
      <c r="Q2531" s="494">
        <v>0</v>
      </c>
      <c r="R2531" s="494">
        <v>0</v>
      </c>
      <c r="S2531" s="494">
        <v>9964</v>
      </c>
      <c r="T2531" s="494">
        <v>9964</v>
      </c>
      <c r="U2531" s="494">
        <v>2920</v>
      </c>
      <c r="V2531" s="493">
        <v>2024</v>
      </c>
      <c r="W2531" s="495"/>
      <c r="X2531" s="496">
        <f t="shared" si="164"/>
        <v>3.4123287671232876</v>
      </c>
      <c r="Y2531" s="497" t="str">
        <f t="shared" si="166"/>
        <v/>
      </c>
      <c r="Z2531" s="497" t="str">
        <f t="shared" si="166"/>
        <v/>
      </c>
    </row>
    <row r="2532" spans="1:26" s="82" customFormat="1" x14ac:dyDescent="0.4">
      <c r="A2532" s="493">
        <v>66081</v>
      </c>
      <c r="B2532" s="105" t="s">
        <v>329</v>
      </c>
      <c r="C2532" s="493" t="s">
        <v>330</v>
      </c>
      <c r="D2532" s="105" t="s">
        <v>3022</v>
      </c>
      <c r="E2532" s="105" t="s">
        <v>3023</v>
      </c>
      <c r="F2532" s="493">
        <v>65247</v>
      </c>
      <c r="G2532" s="105" t="s">
        <v>52</v>
      </c>
      <c r="H2532" s="105" t="s">
        <v>333</v>
      </c>
      <c r="I2532" s="105" t="s">
        <v>334</v>
      </c>
      <c r="J2532" s="493">
        <v>22</v>
      </c>
      <c r="K2532" s="493">
        <v>2</v>
      </c>
      <c r="L2532" s="105" t="s">
        <v>343</v>
      </c>
      <c r="M2532" s="105" t="s">
        <v>655</v>
      </c>
      <c r="N2532" s="105" t="s">
        <v>656</v>
      </c>
      <c r="O2532" s="105" t="s">
        <v>656</v>
      </c>
      <c r="P2532" s="105" t="s">
        <v>339</v>
      </c>
      <c r="Q2532" s="494">
        <v>0</v>
      </c>
      <c r="R2532" s="494">
        <v>0</v>
      </c>
      <c r="S2532" s="494">
        <v>18507</v>
      </c>
      <c r="T2532" s="494">
        <v>18507</v>
      </c>
      <c r="U2532" s="494">
        <v>5424</v>
      </c>
      <c r="V2532" s="493">
        <v>2024</v>
      </c>
      <c r="W2532" s="495"/>
      <c r="X2532" s="496">
        <f t="shared" si="164"/>
        <v>3.4120575221238938</v>
      </c>
      <c r="Y2532" s="497" t="str">
        <f t="shared" si="166"/>
        <v/>
      </c>
      <c r="Z2532" s="497" t="str">
        <f t="shared" si="166"/>
        <v/>
      </c>
    </row>
    <row r="2533" spans="1:26" s="82" customFormat="1" x14ac:dyDescent="0.4">
      <c r="A2533" s="493">
        <v>66086</v>
      </c>
      <c r="B2533" s="105" t="s">
        <v>329</v>
      </c>
      <c r="C2533" s="493" t="s">
        <v>330</v>
      </c>
      <c r="D2533" s="105" t="s">
        <v>3024</v>
      </c>
      <c r="E2533" s="105" t="s">
        <v>3025</v>
      </c>
      <c r="F2533" s="493">
        <v>65255</v>
      </c>
      <c r="G2533" s="105" t="s">
        <v>34</v>
      </c>
      <c r="H2533" s="105" t="s">
        <v>342</v>
      </c>
      <c r="I2533" s="105" t="s">
        <v>334</v>
      </c>
      <c r="J2533" s="493">
        <v>22</v>
      </c>
      <c r="K2533" s="493">
        <v>2</v>
      </c>
      <c r="L2533" s="105" t="s">
        <v>343</v>
      </c>
      <c r="M2533" s="105" t="s">
        <v>655</v>
      </c>
      <c r="N2533" s="105" t="s">
        <v>656</v>
      </c>
      <c r="O2533" s="105" t="s">
        <v>656</v>
      </c>
      <c r="P2533" s="105" t="s">
        <v>339</v>
      </c>
      <c r="Q2533" s="494">
        <v>0</v>
      </c>
      <c r="R2533" s="494">
        <v>0</v>
      </c>
      <c r="S2533" s="494">
        <v>23700</v>
      </c>
      <c r="T2533" s="494">
        <v>23700</v>
      </c>
      <c r="U2533" s="494">
        <v>6946</v>
      </c>
      <c r="V2533" s="493">
        <v>2024</v>
      </c>
      <c r="W2533" s="495"/>
      <c r="X2533" s="496">
        <f t="shared" si="164"/>
        <v>3.4120357040023035</v>
      </c>
      <c r="Y2533" s="497" t="str">
        <f t="shared" si="166"/>
        <v/>
      </c>
      <c r="Z2533" s="497" t="str">
        <f t="shared" si="166"/>
        <v/>
      </c>
    </row>
    <row r="2534" spans="1:26" s="82" customFormat="1" ht="32" x14ac:dyDescent="0.4">
      <c r="A2534" s="493">
        <v>66087</v>
      </c>
      <c r="B2534" s="105" t="s">
        <v>329</v>
      </c>
      <c r="C2534" s="493" t="s">
        <v>330</v>
      </c>
      <c r="D2534" s="105" t="s">
        <v>3026</v>
      </c>
      <c r="E2534" s="105" t="s">
        <v>3027</v>
      </c>
      <c r="F2534" s="493">
        <v>65258</v>
      </c>
      <c r="G2534" s="105" t="s">
        <v>34</v>
      </c>
      <c r="H2534" s="105" t="s">
        <v>342</v>
      </c>
      <c r="I2534" s="105" t="s">
        <v>334</v>
      </c>
      <c r="J2534" s="493">
        <v>22</v>
      </c>
      <c r="K2534" s="493">
        <v>2</v>
      </c>
      <c r="L2534" s="105" t="s">
        <v>343</v>
      </c>
      <c r="M2534" s="105" t="s">
        <v>655</v>
      </c>
      <c r="N2534" s="105" t="s">
        <v>656</v>
      </c>
      <c r="O2534" s="105" t="s">
        <v>656</v>
      </c>
      <c r="P2534" s="105" t="s">
        <v>339</v>
      </c>
      <c r="Q2534" s="494">
        <v>0</v>
      </c>
      <c r="R2534" s="494">
        <v>0</v>
      </c>
      <c r="S2534" s="494">
        <v>18056</v>
      </c>
      <c r="T2534" s="494">
        <v>18056</v>
      </c>
      <c r="U2534" s="494">
        <v>5292</v>
      </c>
      <c r="V2534" s="493">
        <v>2024</v>
      </c>
      <c r="W2534" s="495"/>
      <c r="X2534" s="496">
        <f t="shared" si="164"/>
        <v>3.4119425547996975</v>
      </c>
      <c r="Y2534" s="497" t="str">
        <f t="shared" si="166"/>
        <v/>
      </c>
      <c r="Z2534" s="497" t="str">
        <f t="shared" si="166"/>
        <v/>
      </c>
    </row>
    <row r="2535" spans="1:26" s="82" customFormat="1" ht="48" x14ac:dyDescent="0.4">
      <c r="A2535" s="493">
        <v>66094</v>
      </c>
      <c r="B2535" s="105" t="s">
        <v>329</v>
      </c>
      <c r="C2535" s="493" t="s">
        <v>330</v>
      </c>
      <c r="D2535" s="105" t="s">
        <v>3028</v>
      </c>
      <c r="E2535" s="105" t="s">
        <v>1354</v>
      </c>
      <c r="F2535" s="493">
        <v>60025</v>
      </c>
      <c r="G2535" s="105" t="s">
        <v>52</v>
      </c>
      <c r="H2535" s="105" t="s">
        <v>333</v>
      </c>
      <c r="I2535" s="105" t="s">
        <v>334</v>
      </c>
      <c r="J2535" s="493">
        <v>22</v>
      </c>
      <c r="K2535" s="493">
        <v>2</v>
      </c>
      <c r="L2535" s="105" t="s">
        <v>343</v>
      </c>
      <c r="M2535" s="105" t="s">
        <v>655</v>
      </c>
      <c r="N2535" s="105" t="s">
        <v>656</v>
      </c>
      <c r="O2535" s="105" t="s">
        <v>656</v>
      </c>
      <c r="P2535" s="105" t="s">
        <v>339</v>
      </c>
      <c r="Q2535" s="494">
        <v>0</v>
      </c>
      <c r="R2535" s="494">
        <v>0</v>
      </c>
      <c r="S2535" s="494">
        <v>6738</v>
      </c>
      <c r="T2535" s="494">
        <v>6738</v>
      </c>
      <c r="U2535" s="494">
        <v>1975</v>
      </c>
      <c r="V2535" s="493">
        <v>2024</v>
      </c>
      <c r="W2535" s="495"/>
      <c r="X2535" s="496">
        <f t="shared" si="164"/>
        <v>3.4116455696202532</v>
      </c>
      <c r="Y2535" s="497" t="str">
        <f t="shared" si="166"/>
        <v/>
      </c>
      <c r="Z2535" s="497" t="str">
        <f t="shared" si="166"/>
        <v/>
      </c>
    </row>
    <row r="2536" spans="1:26" s="82" customFormat="1" x14ac:dyDescent="0.4">
      <c r="A2536" s="493">
        <v>66100</v>
      </c>
      <c r="B2536" s="105" t="s">
        <v>329</v>
      </c>
      <c r="C2536" s="493" t="s">
        <v>330</v>
      </c>
      <c r="D2536" s="105" t="s">
        <v>3029</v>
      </c>
      <c r="E2536" s="105" t="s">
        <v>1448</v>
      </c>
      <c r="F2536" s="493">
        <v>61012</v>
      </c>
      <c r="G2536" s="105" t="s">
        <v>34</v>
      </c>
      <c r="H2536" s="105" t="s">
        <v>342</v>
      </c>
      <c r="I2536" s="105" t="s">
        <v>334</v>
      </c>
      <c r="J2536" s="493">
        <v>22</v>
      </c>
      <c r="K2536" s="493">
        <v>2</v>
      </c>
      <c r="L2536" s="105" t="s">
        <v>343</v>
      </c>
      <c r="M2536" s="105" t="s">
        <v>655</v>
      </c>
      <c r="N2536" s="105" t="s">
        <v>656</v>
      </c>
      <c r="O2536" s="105" t="s">
        <v>656</v>
      </c>
      <c r="P2536" s="105" t="s">
        <v>339</v>
      </c>
      <c r="Q2536" s="494">
        <v>0</v>
      </c>
      <c r="R2536" s="494">
        <v>0</v>
      </c>
      <c r="S2536" s="494">
        <v>23794</v>
      </c>
      <c r="T2536" s="494">
        <v>23794</v>
      </c>
      <c r="U2536" s="494">
        <v>6974</v>
      </c>
      <c r="V2536" s="493">
        <v>2024</v>
      </c>
      <c r="W2536" s="495"/>
      <c r="X2536" s="496">
        <f t="shared" si="164"/>
        <v>3.4118153140235159</v>
      </c>
      <c r="Y2536" s="497" t="str">
        <f t="shared" si="166"/>
        <v/>
      </c>
      <c r="Z2536" s="497" t="str">
        <f t="shared" si="166"/>
        <v/>
      </c>
    </row>
    <row r="2537" spans="1:26" s="82" customFormat="1" ht="48" x14ac:dyDescent="0.4">
      <c r="A2537" s="493">
        <v>66126</v>
      </c>
      <c r="B2537" s="105" t="s">
        <v>329</v>
      </c>
      <c r="C2537" s="493" t="s">
        <v>330</v>
      </c>
      <c r="D2537" s="105" t="s">
        <v>3030</v>
      </c>
      <c r="E2537" s="105" t="s">
        <v>1354</v>
      </c>
      <c r="F2537" s="493">
        <v>60025</v>
      </c>
      <c r="G2537" s="105" t="s">
        <v>52</v>
      </c>
      <c r="H2537" s="105" t="s">
        <v>333</v>
      </c>
      <c r="I2537" s="105" t="s">
        <v>334</v>
      </c>
      <c r="J2537" s="493">
        <v>22</v>
      </c>
      <c r="K2537" s="493">
        <v>2</v>
      </c>
      <c r="L2537" s="105" t="s">
        <v>343</v>
      </c>
      <c r="M2537" s="105" t="s">
        <v>655</v>
      </c>
      <c r="N2537" s="105" t="s">
        <v>656</v>
      </c>
      <c r="O2537" s="105" t="s">
        <v>656</v>
      </c>
      <c r="P2537" s="105" t="s">
        <v>339</v>
      </c>
      <c r="Q2537" s="494">
        <v>0</v>
      </c>
      <c r="R2537" s="494">
        <v>0</v>
      </c>
      <c r="S2537" s="494">
        <v>84284</v>
      </c>
      <c r="T2537" s="494">
        <v>84284</v>
      </c>
      <c r="U2537" s="494">
        <v>24702</v>
      </c>
      <c r="V2537" s="493">
        <v>2024</v>
      </c>
      <c r="W2537" s="495"/>
      <c r="X2537" s="496">
        <f t="shared" si="164"/>
        <v>3.4120314144603676</v>
      </c>
      <c r="Y2537" s="497" t="str">
        <f t="shared" si="166"/>
        <v/>
      </c>
      <c r="Z2537" s="497" t="str">
        <f t="shared" si="166"/>
        <v/>
      </c>
    </row>
    <row r="2538" spans="1:26" s="82" customFormat="1" x14ac:dyDescent="0.4">
      <c r="A2538" s="493">
        <v>66135</v>
      </c>
      <c r="B2538" s="105" t="s">
        <v>329</v>
      </c>
      <c r="C2538" s="493" t="s">
        <v>330</v>
      </c>
      <c r="D2538" s="105" t="s">
        <v>3031</v>
      </c>
      <c r="E2538" s="105" t="s">
        <v>2894</v>
      </c>
      <c r="F2538" s="493">
        <v>64904</v>
      </c>
      <c r="G2538" s="105" t="s">
        <v>34</v>
      </c>
      <c r="H2538" s="105" t="s">
        <v>342</v>
      </c>
      <c r="I2538" s="105" t="s">
        <v>334</v>
      </c>
      <c r="J2538" s="493">
        <v>22</v>
      </c>
      <c r="K2538" s="493">
        <v>2</v>
      </c>
      <c r="L2538" s="105" t="s">
        <v>343</v>
      </c>
      <c r="M2538" s="105" t="s">
        <v>655</v>
      </c>
      <c r="N2538" s="105" t="s">
        <v>656</v>
      </c>
      <c r="O2538" s="105" t="s">
        <v>656</v>
      </c>
      <c r="P2538" s="105" t="s">
        <v>339</v>
      </c>
      <c r="Q2538" s="494">
        <v>0</v>
      </c>
      <c r="R2538" s="494">
        <v>0</v>
      </c>
      <c r="S2538" s="494">
        <v>12263</v>
      </c>
      <c r="T2538" s="494">
        <v>12263</v>
      </c>
      <c r="U2538" s="494">
        <v>3594</v>
      </c>
      <c r="V2538" s="493">
        <v>2024</v>
      </c>
      <c r="W2538" s="495"/>
      <c r="X2538" s="496">
        <f t="shared" si="164"/>
        <v>3.4120756816917086</v>
      </c>
      <c r="Y2538" s="497" t="str">
        <f t="shared" si="166"/>
        <v/>
      </c>
      <c r="Z2538" s="497" t="str">
        <f t="shared" si="166"/>
        <v/>
      </c>
    </row>
    <row r="2539" spans="1:26" s="82" customFormat="1" x14ac:dyDescent="0.4">
      <c r="A2539" s="493">
        <v>66136</v>
      </c>
      <c r="B2539" s="105" t="s">
        <v>329</v>
      </c>
      <c r="C2539" s="493" t="s">
        <v>330</v>
      </c>
      <c r="D2539" s="105" t="s">
        <v>3032</v>
      </c>
      <c r="E2539" s="105" t="s">
        <v>2894</v>
      </c>
      <c r="F2539" s="493">
        <v>64904</v>
      </c>
      <c r="G2539" s="105" t="s">
        <v>34</v>
      </c>
      <c r="H2539" s="105" t="s">
        <v>342</v>
      </c>
      <c r="I2539" s="105" t="s">
        <v>334</v>
      </c>
      <c r="J2539" s="493">
        <v>22</v>
      </c>
      <c r="K2539" s="493">
        <v>2</v>
      </c>
      <c r="L2539" s="105" t="s">
        <v>343</v>
      </c>
      <c r="M2539" s="105" t="s">
        <v>655</v>
      </c>
      <c r="N2539" s="105" t="s">
        <v>656</v>
      </c>
      <c r="O2539" s="105" t="s">
        <v>656</v>
      </c>
      <c r="P2539" s="105" t="s">
        <v>339</v>
      </c>
      <c r="Q2539" s="494">
        <v>0</v>
      </c>
      <c r="R2539" s="494">
        <v>0</v>
      </c>
      <c r="S2539" s="494">
        <v>22755</v>
      </c>
      <c r="T2539" s="494">
        <v>22755</v>
      </c>
      <c r="U2539" s="494">
        <v>6669</v>
      </c>
      <c r="V2539" s="493">
        <v>2024</v>
      </c>
      <c r="W2539" s="495"/>
      <c r="X2539" s="496">
        <f t="shared" si="164"/>
        <v>3.412055780476833</v>
      </c>
      <c r="Y2539" s="497" t="str">
        <f t="shared" si="166"/>
        <v/>
      </c>
      <c r="Z2539" s="497" t="str">
        <f t="shared" si="166"/>
        <v/>
      </c>
    </row>
    <row r="2540" spans="1:26" s="82" customFormat="1" x14ac:dyDescent="0.4">
      <c r="A2540" s="493">
        <v>66150</v>
      </c>
      <c r="B2540" s="105" t="s">
        <v>329</v>
      </c>
      <c r="C2540" s="493" t="s">
        <v>330</v>
      </c>
      <c r="D2540" s="105" t="s">
        <v>3033</v>
      </c>
      <c r="E2540" s="105" t="s">
        <v>2116</v>
      </c>
      <c r="F2540" s="493">
        <v>57128</v>
      </c>
      <c r="G2540" s="105" t="s">
        <v>52</v>
      </c>
      <c r="H2540" s="105" t="s">
        <v>333</v>
      </c>
      <c r="I2540" s="105" t="s">
        <v>334</v>
      </c>
      <c r="J2540" s="493">
        <v>22</v>
      </c>
      <c r="K2540" s="493">
        <v>2</v>
      </c>
      <c r="L2540" s="105" t="s">
        <v>343</v>
      </c>
      <c r="M2540" s="105" t="s">
        <v>990</v>
      </c>
      <c r="N2540" s="105" t="s">
        <v>228</v>
      </c>
      <c r="O2540" s="105" t="s">
        <v>228</v>
      </c>
      <c r="P2540" s="105" t="s">
        <v>356</v>
      </c>
      <c r="Q2540" s="494">
        <v>87866</v>
      </c>
      <c r="R2540" s="494">
        <v>87866</v>
      </c>
      <c r="S2540" s="494">
        <v>90503</v>
      </c>
      <c r="T2540" s="494">
        <v>90503</v>
      </c>
      <c r="U2540" s="494">
        <v>12955</v>
      </c>
      <c r="V2540" s="493">
        <v>2024</v>
      </c>
      <c r="W2540" s="495"/>
      <c r="X2540" s="496">
        <f t="shared" si="164"/>
        <v>6.9859513701273643</v>
      </c>
      <c r="Y2540" s="497" t="str">
        <f t="shared" si="166"/>
        <v/>
      </c>
      <c r="Z2540" s="497" t="str">
        <f t="shared" si="166"/>
        <v/>
      </c>
    </row>
    <row r="2541" spans="1:26" s="82" customFormat="1" x14ac:dyDescent="0.4">
      <c r="A2541" s="493">
        <v>66151</v>
      </c>
      <c r="B2541" s="105" t="s">
        <v>329</v>
      </c>
      <c r="C2541" s="493" t="s">
        <v>330</v>
      </c>
      <c r="D2541" s="105" t="s">
        <v>3034</v>
      </c>
      <c r="E2541" s="105" t="s">
        <v>2116</v>
      </c>
      <c r="F2541" s="493">
        <v>57128</v>
      </c>
      <c r="G2541" s="105" t="s">
        <v>33</v>
      </c>
      <c r="H2541" s="105" t="s">
        <v>342</v>
      </c>
      <c r="I2541" s="105" t="s">
        <v>334</v>
      </c>
      <c r="J2541" s="493">
        <v>22</v>
      </c>
      <c r="K2541" s="493">
        <v>2</v>
      </c>
      <c r="L2541" s="105" t="s">
        <v>343</v>
      </c>
      <c r="M2541" s="105" t="s">
        <v>990</v>
      </c>
      <c r="N2541" s="105" t="s">
        <v>228</v>
      </c>
      <c r="O2541" s="105" t="s">
        <v>228</v>
      </c>
      <c r="P2541" s="105" t="s">
        <v>356</v>
      </c>
      <c r="Q2541" s="494">
        <v>32058</v>
      </c>
      <c r="R2541" s="494">
        <v>32058</v>
      </c>
      <c r="S2541" s="494">
        <v>33022</v>
      </c>
      <c r="T2541" s="494">
        <v>33022</v>
      </c>
      <c r="U2541" s="494">
        <v>4526</v>
      </c>
      <c r="V2541" s="493">
        <v>2024</v>
      </c>
      <c r="W2541" s="495"/>
      <c r="X2541" s="496">
        <f t="shared" si="164"/>
        <v>7.2960671674768003</v>
      </c>
      <c r="Y2541" s="497" t="str">
        <f t="shared" si="166"/>
        <v/>
      </c>
      <c r="Z2541" s="497" t="str">
        <f t="shared" si="166"/>
        <v/>
      </c>
    </row>
    <row r="2542" spans="1:26" s="82" customFormat="1" x14ac:dyDescent="0.4">
      <c r="A2542" s="493">
        <v>66152</v>
      </c>
      <c r="B2542" s="105" t="s">
        <v>329</v>
      </c>
      <c r="C2542" s="493" t="s">
        <v>330</v>
      </c>
      <c r="D2542" s="105" t="s">
        <v>3035</v>
      </c>
      <c r="E2542" s="105" t="s">
        <v>2116</v>
      </c>
      <c r="F2542" s="493">
        <v>57128</v>
      </c>
      <c r="G2542" s="105" t="s">
        <v>37</v>
      </c>
      <c r="H2542" s="105" t="s">
        <v>342</v>
      </c>
      <c r="I2542" s="105" t="s">
        <v>334</v>
      </c>
      <c r="J2542" s="493">
        <v>22</v>
      </c>
      <c r="K2542" s="493">
        <v>2</v>
      </c>
      <c r="L2542" s="105" t="s">
        <v>343</v>
      </c>
      <c r="M2542" s="105" t="s">
        <v>990</v>
      </c>
      <c r="N2542" s="105" t="s">
        <v>228</v>
      </c>
      <c r="O2542" s="105" t="s">
        <v>228</v>
      </c>
      <c r="P2542" s="105" t="s">
        <v>356</v>
      </c>
      <c r="Q2542" s="494">
        <v>60250</v>
      </c>
      <c r="R2542" s="494">
        <v>60250</v>
      </c>
      <c r="S2542" s="494">
        <v>61512</v>
      </c>
      <c r="T2542" s="494">
        <v>61512</v>
      </c>
      <c r="U2542" s="494">
        <v>9113</v>
      </c>
      <c r="V2542" s="493">
        <v>2024</v>
      </c>
      <c r="W2542" s="495"/>
      <c r="X2542" s="496">
        <f t="shared" si="164"/>
        <v>6.7499176999890267</v>
      </c>
      <c r="Y2542" s="497" t="str">
        <f t="shared" si="166"/>
        <v/>
      </c>
      <c r="Z2542" s="497" t="str">
        <f t="shared" si="166"/>
        <v/>
      </c>
    </row>
    <row r="2543" spans="1:26" s="82" customFormat="1" ht="48" x14ac:dyDescent="0.4">
      <c r="A2543" s="493">
        <v>66165</v>
      </c>
      <c r="B2543" s="105" t="s">
        <v>329</v>
      </c>
      <c r="C2543" s="493" t="s">
        <v>330</v>
      </c>
      <c r="D2543" s="105" t="s">
        <v>3036</v>
      </c>
      <c r="E2543" s="105" t="s">
        <v>1354</v>
      </c>
      <c r="F2543" s="493">
        <v>60025</v>
      </c>
      <c r="G2543" s="105" t="s">
        <v>34</v>
      </c>
      <c r="H2543" s="105" t="s">
        <v>342</v>
      </c>
      <c r="I2543" s="105" t="s">
        <v>334</v>
      </c>
      <c r="J2543" s="493">
        <v>22</v>
      </c>
      <c r="K2543" s="493">
        <v>2</v>
      </c>
      <c r="L2543" s="105" t="s">
        <v>343</v>
      </c>
      <c r="M2543" s="105" t="s">
        <v>655</v>
      </c>
      <c r="N2543" s="105" t="s">
        <v>656</v>
      </c>
      <c r="O2543" s="105" t="s">
        <v>656</v>
      </c>
      <c r="P2543" s="105" t="s">
        <v>339</v>
      </c>
      <c r="Q2543" s="494">
        <v>0</v>
      </c>
      <c r="R2543" s="494">
        <v>0</v>
      </c>
      <c r="S2543" s="494">
        <v>16820</v>
      </c>
      <c r="T2543" s="494">
        <v>16820</v>
      </c>
      <c r="U2543" s="494">
        <v>4930</v>
      </c>
      <c r="V2543" s="493">
        <v>2024</v>
      </c>
      <c r="W2543" s="495"/>
      <c r="X2543" s="496">
        <f t="shared" si="164"/>
        <v>3.4117647058823528</v>
      </c>
      <c r="Y2543" s="497" t="str">
        <f t="shared" si="166"/>
        <v/>
      </c>
      <c r="Z2543" s="497" t="str">
        <f t="shared" si="166"/>
        <v/>
      </c>
    </row>
    <row r="2544" spans="1:26" s="82" customFormat="1" ht="48" x14ac:dyDescent="0.4">
      <c r="A2544" s="493">
        <v>66166</v>
      </c>
      <c r="B2544" s="105" t="s">
        <v>329</v>
      </c>
      <c r="C2544" s="493" t="s">
        <v>330</v>
      </c>
      <c r="D2544" s="105" t="s">
        <v>3037</v>
      </c>
      <c r="E2544" s="105" t="s">
        <v>1354</v>
      </c>
      <c r="F2544" s="493">
        <v>60025</v>
      </c>
      <c r="G2544" s="105" t="s">
        <v>36</v>
      </c>
      <c r="H2544" s="105" t="s">
        <v>342</v>
      </c>
      <c r="I2544" s="105" t="s">
        <v>334</v>
      </c>
      <c r="J2544" s="493">
        <v>22</v>
      </c>
      <c r="K2544" s="493">
        <v>2</v>
      </c>
      <c r="L2544" s="105" t="s">
        <v>343</v>
      </c>
      <c r="M2544" s="105" t="s">
        <v>655</v>
      </c>
      <c r="N2544" s="105" t="s">
        <v>656</v>
      </c>
      <c r="O2544" s="105" t="s">
        <v>656</v>
      </c>
      <c r="P2544" s="105" t="s">
        <v>339</v>
      </c>
      <c r="Q2544" s="494">
        <v>0</v>
      </c>
      <c r="R2544" s="494">
        <v>0</v>
      </c>
      <c r="S2544" s="494">
        <v>11625</v>
      </c>
      <c r="T2544" s="494">
        <v>11625</v>
      </c>
      <c r="U2544" s="494">
        <v>3407</v>
      </c>
      <c r="V2544" s="493">
        <v>2024</v>
      </c>
      <c r="W2544" s="495"/>
      <c r="X2544" s="496">
        <f t="shared" si="164"/>
        <v>3.4120927502201348</v>
      </c>
      <c r="Y2544" s="497" t="str">
        <f t="shared" si="166"/>
        <v/>
      </c>
      <c r="Z2544" s="497" t="str">
        <f t="shared" si="166"/>
        <v/>
      </c>
    </row>
    <row r="2545" spans="1:26" s="82" customFormat="1" x14ac:dyDescent="0.4">
      <c r="A2545" s="493">
        <v>66174</v>
      </c>
      <c r="B2545" s="105" t="s">
        <v>329</v>
      </c>
      <c r="C2545" s="493" t="s">
        <v>330</v>
      </c>
      <c r="D2545" s="105" t="s">
        <v>3038</v>
      </c>
      <c r="E2545" s="105" t="s">
        <v>2894</v>
      </c>
      <c r="F2545" s="493">
        <v>64904</v>
      </c>
      <c r="G2545" s="105" t="s">
        <v>34</v>
      </c>
      <c r="H2545" s="105" t="s">
        <v>342</v>
      </c>
      <c r="I2545" s="105" t="s">
        <v>334</v>
      </c>
      <c r="J2545" s="493">
        <v>22</v>
      </c>
      <c r="K2545" s="493">
        <v>2</v>
      </c>
      <c r="L2545" s="105" t="s">
        <v>343</v>
      </c>
      <c r="M2545" s="105" t="s">
        <v>655</v>
      </c>
      <c r="N2545" s="105" t="s">
        <v>656</v>
      </c>
      <c r="O2545" s="105" t="s">
        <v>656</v>
      </c>
      <c r="P2545" s="105" t="s">
        <v>339</v>
      </c>
      <c r="Q2545" s="494">
        <v>0</v>
      </c>
      <c r="R2545" s="494">
        <v>0</v>
      </c>
      <c r="S2545" s="494">
        <v>23907</v>
      </c>
      <c r="T2545" s="494">
        <v>23907</v>
      </c>
      <c r="U2545" s="494">
        <v>7007</v>
      </c>
      <c r="V2545" s="493">
        <v>2024</v>
      </c>
      <c r="W2545" s="495"/>
      <c r="X2545" s="496">
        <f t="shared" si="164"/>
        <v>3.4118738404452689</v>
      </c>
      <c r="Y2545" s="497" t="str">
        <f t="shared" si="166"/>
        <v/>
      </c>
      <c r="Z2545" s="497" t="str">
        <f t="shared" si="166"/>
        <v/>
      </c>
    </row>
    <row r="2546" spans="1:26" s="82" customFormat="1" x14ac:dyDescent="0.4">
      <c r="A2546" s="493">
        <v>66176</v>
      </c>
      <c r="B2546" s="105" t="s">
        <v>329</v>
      </c>
      <c r="C2546" s="493" t="s">
        <v>330</v>
      </c>
      <c r="D2546" s="105" t="s">
        <v>3039</v>
      </c>
      <c r="E2546" s="105" t="s">
        <v>2050</v>
      </c>
      <c r="F2546" s="493">
        <v>61194</v>
      </c>
      <c r="G2546" s="105" t="s">
        <v>52</v>
      </c>
      <c r="H2546" s="105" t="s">
        <v>333</v>
      </c>
      <c r="I2546" s="105" t="s">
        <v>334</v>
      </c>
      <c r="J2546" s="493">
        <v>22</v>
      </c>
      <c r="K2546" s="493">
        <v>2</v>
      </c>
      <c r="L2546" s="105" t="s">
        <v>343</v>
      </c>
      <c r="M2546" s="105" t="s">
        <v>655</v>
      </c>
      <c r="N2546" s="105" t="s">
        <v>656</v>
      </c>
      <c r="O2546" s="105" t="s">
        <v>656</v>
      </c>
      <c r="P2546" s="105" t="s">
        <v>339</v>
      </c>
      <c r="Q2546" s="494">
        <v>0</v>
      </c>
      <c r="R2546" s="494">
        <v>0</v>
      </c>
      <c r="S2546" s="494">
        <v>11350</v>
      </c>
      <c r="T2546" s="494">
        <v>11350</v>
      </c>
      <c r="U2546" s="494">
        <v>3327</v>
      </c>
      <c r="V2546" s="493">
        <v>2024</v>
      </c>
      <c r="W2546" s="495"/>
      <c r="X2546" s="496">
        <f t="shared" si="164"/>
        <v>3.4114818154493536</v>
      </c>
      <c r="Y2546" s="497" t="str">
        <f t="shared" si="166"/>
        <v/>
      </c>
      <c r="Z2546" s="497" t="str">
        <f t="shared" si="166"/>
        <v/>
      </c>
    </row>
    <row r="2547" spans="1:26" s="82" customFormat="1" x14ac:dyDescent="0.4">
      <c r="A2547" s="493">
        <v>66177</v>
      </c>
      <c r="B2547" s="105" t="s">
        <v>329</v>
      </c>
      <c r="C2547" s="493" t="s">
        <v>330</v>
      </c>
      <c r="D2547" s="105" t="s">
        <v>3040</v>
      </c>
      <c r="E2547" s="105" t="s">
        <v>2050</v>
      </c>
      <c r="F2547" s="493">
        <v>61194</v>
      </c>
      <c r="G2547" s="105" t="s">
        <v>52</v>
      </c>
      <c r="H2547" s="105" t="s">
        <v>333</v>
      </c>
      <c r="I2547" s="105" t="s">
        <v>334</v>
      </c>
      <c r="J2547" s="493">
        <v>22</v>
      </c>
      <c r="K2547" s="493">
        <v>2</v>
      </c>
      <c r="L2547" s="105" t="s">
        <v>343</v>
      </c>
      <c r="M2547" s="105" t="s">
        <v>655</v>
      </c>
      <c r="N2547" s="105" t="s">
        <v>656</v>
      </c>
      <c r="O2547" s="105" t="s">
        <v>656</v>
      </c>
      <c r="P2547" s="105" t="s">
        <v>339</v>
      </c>
      <c r="Q2547" s="494">
        <v>0</v>
      </c>
      <c r="R2547" s="494">
        <v>0</v>
      </c>
      <c r="S2547" s="494">
        <v>12441</v>
      </c>
      <c r="T2547" s="494">
        <v>12441</v>
      </c>
      <c r="U2547" s="494">
        <v>3646</v>
      </c>
      <c r="V2547" s="493">
        <v>2024</v>
      </c>
      <c r="W2547" s="495"/>
      <c r="X2547" s="496">
        <f t="shared" si="164"/>
        <v>3.4122325836533185</v>
      </c>
      <c r="Y2547" s="497" t="str">
        <f t="shared" si="166"/>
        <v/>
      </c>
      <c r="Z2547" s="497" t="str">
        <f t="shared" si="166"/>
        <v/>
      </c>
    </row>
    <row r="2548" spans="1:26" s="82" customFormat="1" x14ac:dyDescent="0.4">
      <c r="A2548" s="493">
        <v>66180</v>
      </c>
      <c r="B2548" s="105" t="s">
        <v>329</v>
      </c>
      <c r="C2548" s="493" t="s">
        <v>330</v>
      </c>
      <c r="D2548" s="105" t="s">
        <v>3041</v>
      </c>
      <c r="E2548" s="105" t="s">
        <v>3042</v>
      </c>
      <c r="F2548" s="493">
        <v>65321</v>
      </c>
      <c r="G2548" s="105" t="s">
        <v>33</v>
      </c>
      <c r="H2548" s="105" t="s">
        <v>342</v>
      </c>
      <c r="I2548" s="105" t="s">
        <v>334</v>
      </c>
      <c r="J2548" s="493">
        <v>22</v>
      </c>
      <c r="K2548" s="493">
        <v>2</v>
      </c>
      <c r="L2548" s="105" t="s">
        <v>343</v>
      </c>
      <c r="M2548" s="105" t="s">
        <v>403</v>
      </c>
      <c r="N2548" s="105" t="s">
        <v>404</v>
      </c>
      <c r="O2548" s="105" t="s">
        <v>232</v>
      </c>
      <c r="P2548" s="105" t="s">
        <v>346</v>
      </c>
      <c r="Q2548" s="494">
        <v>1375</v>
      </c>
      <c r="R2548" s="494">
        <v>1375</v>
      </c>
      <c r="S2548" s="494">
        <v>0</v>
      </c>
      <c r="T2548" s="494">
        <v>0</v>
      </c>
      <c r="U2548" s="494">
        <v>-288</v>
      </c>
      <c r="V2548" s="493">
        <v>2024</v>
      </c>
      <c r="W2548" s="495"/>
      <c r="X2548" s="496" t="str">
        <f t="shared" si="164"/>
        <v/>
      </c>
      <c r="Y2548" s="497" t="str">
        <f t="shared" ref="Y2548:Z2567" si="167">IF(AND($M2548=$Y$2,$N2548=$Y$3,NOT($Q2548=$R2548),NOT($U2548=0)),IF($K2548=5,$S2548/($U2548+(8/5)*$U2548),IF($K2548=7,$S2548/($U2548+(29/25)*$U2548),"")),"")</f>
        <v/>
      </c>
      <c r="Z2548" s="497" t="str">
        <f t="shared" si="167"/>
        <v/>
      </c>
    </row>
    <row r="2549" spans="1:26" s="82" customFormat="1" x14ac:dyDescent="0.4">
      <c r="A2549" s="493">
        <v>66180</v>
      </c>
      <c r="B2549" s="105" t="s">
        <v>329</v>
      </c>
      <c r="C2549" s="493" t="s">
        <v>330</v>
      </c>
      <c r="D2549" s="105" t="s">
        <v>3041</v>
      </c>
      <c r="E2549" s="105" t="s">
        <v>3042</v>
      </c>
      <c r="F2549" s="493">
        <v>65321</v>
      </c>
      <c r="G2549" s="105" t="s">
        <v>33</v>
      </c>
      <c r="H2549" s="105" t="s">
        <v>342</v>
      </c>
      <c r="I2549" s="105" t="s">
        <v>334</v>
      </c>
      <c r="J2549" s="493">
        <v>22</v>
      </c>
      <c r="K2549" s="493">
        <v>2</v>
      </c>
      <c r="L2549" s="105" t="s">
        <v>343</v>
      </c>
      <c r="M2549" s="105" t="s">
        <v>655</v>
      </c>
      <c r="N2549" s="105" t="s">
        <v>656</v>
      </c>
      <c r="O2549" s="105" t="s">
        <v>656</v>
      </c>
      <c r="P2549" s="105" t="s">
        <v>339</v>
      </c>
      <c r="Q2549" s="494">
        <v>0</v>
      </c>
      <c r="R2549" s="494">
        <v>0</v>
      </c>
      <c r="S2549" s="494">
        <v>35648</v>
      </c>
      <c r="T2549" s="494">
        <v>35648</v>
      </c>
      <c r="U2549" s="494">
        <v>10448</v>
      </c>
      <c r="V2549" s="493">
        <v>2024</v>
      </c>
      <c r="W2549" s="495"/>
      <c r="X2549" s="496">
        <f t="shared" si="164"/>
        <v>3.4119448698315469</v>
      </c>
      <c r="Y2549" s="497" t="str">
        <f t="shared" si="167"/>
        <v/>
      </c>
      <c r="Z2549" s="497" t="str">
        <f t="shared" si="167"/>
        <v/>
      </c>
    </row>
    <row r="2550" spans="1:26" s="82" customFormat="1" x14ac:dyDescent="0.4">
      <c r="A2550" s="493">
        <v>66181</v>
      </c>
      <c r="B2550" s="105" t="s">
        <v>329</v>
      </c>
      <c r="C2550" s="493" t="s">
        <v>330</v>
      </c>
      <c r="D2550" s="105" t="s">
        <v>3043</v>
      </c>
      <c r="E2550" s="105" t="s">
        <v>3043</v>
      </c>
      <c r="F2550" s="493">
        <v>65322</v>
      </c>
      <c r="G2550" s="105" t="s">
        <v>33</v>
      </c>
      <c r="H2550" s="105" t="s">
        <v>342</v>
      </c>
      <c r="I2550" s="105" t="s">
        <v>334</v>
      </c>
      <c r="J2550" s="493">
        <v>22</v>
      </c>
      <c r="K2550" s="493">
        <v>2</v>
      </c>
      <c r="L2550" s="105" t="s">
        <v>343</v>
      </c>
      <c r="M2550" s="105" t="s">
        <v>403</v>
      </c>
      <c r="N2550" s="105" t="s">
        <v>404</v>
      </c>
      <c r="O2550" s="105" t="s">
        <v>232</v>
      </c>
      <c r="P2550" s="105" t="s">
        <v>346</v>
      </c>
      <c r="Q2550" s="494">
        <v>1086</v>
      </c>
      <c r="R2550" s="494">
        <v>1086</v>
      </c>
      <c r="S2550" s="494">
        <v>0</v>
      </c>
      <c r="T2550" s="494">
        <v>0</v>
      </c>
      <c r="U2550" s="494">
        <v>-79</v>
      </c>
      <c r="V2550" s="493">
        <v>2024</v>
      </c>
      <c r="W2550" s="495"/>
      <c r="X2550" s="496" t="str">
        <f t="shared" si="164"/>
        <v/>
      </c>
      <c r="Y2550" s="497" t="str">
        <f t="shared" si="167"/>
        <v/>
      </c>
      <c r="Z2550" s="497" t="str">
        <f t="shared" si="167"/>
        <v/>
      </c>
    </row>
    <row r="2551" spans="1:26" s="82" customFormat="1" x14ac:dyDescent="0.4">
      <c r="A2551" s="493">
        <v>66181</v>
      </c>
      <c r="B2551" s="105" t="s">
        <v>329</v>
      </c>
      <c r="C2551" s="493" t="s">
        <v>330</v>
      </c>
      <c r="D2551" s="105" t="s">
        <v>3043</v>
      </c>
      <c r="E2551" s="105" t="s">
        <v>3043</v>
      </c>
      <c r="F2551" s="493">
        <v>65322</v>
      </c>
      <c r="G2551" s="105" t="s">
        <v>33</v>
      </c>
      <c r="H2551" s="105" t="s">
        <v>342</v>
      </c>
      <c r="I2551" s="105" t="s">
        <v>334</v>
      </c>
      <c r="J2551" s="493">
        <v>22</v>
      </c>
      <c r="K2551" s="493">
        <v>2</v>
      </c>
      <c r="L2551" s="105" t="s">
        <v>343</v>
      </c>
      <c r="M2551" s="105" t="s">
        <v>655</v>
      </c>
      <c r="N2551" s="105" t="s">
        <v>656</v>
      </c>
      <c r="O2551" s="105" t="s">
        <v>656</v>
      </c>
      <c r="P2551" s="105" t="s">
        <v>339</v>
      </c>
      <c r="Q2551" s="494">
        <v>0</v>
      </c>
      <c r="R2551" s="494">
        <v>0</v>
      </c>
      <c r="S2551" s="494">
        <v>29381</v>
      </c>
      <c r="T2551" s="494">
        <v>29381</v>
      </c>
      <c r="U2551" s="494">
        <v>8611</v>
      </c>
      <c r="V2551" s="493">
        <v>2024</v>
      </c>
      <c r="W2551" s="495"/>
      <c r="X2551" s="496">
        <f t="shared" si="164"/>
        <v>3.4120311229822322</v>
      </c>
      <c r="Y2551" s="497" t="str">
        <f t="shared" si="167"/>
        <v/>
      </c>
      <c r="Z2551" s="497" t="str">
        <f t="shared" si="167"/>
        <v/>
      </c>
    </row>
    <row r="2552" spans="1:26" s="82" customFormat="1" ht="32" x14ac:dyDescent="0.4">
      <c r="A2552" s="493">
        <v>66182</v>
      </c>
      <c r="B2552" s="105" t="s">
        <v>329</v>
      </c>
      <c r="C2552" s="493" t="s">
        <v>330</v>
      </c>
      <c r="D2552" s="105" t="s">
        <v>3044</v>
      </c>
      <c r="E2552" s="105" t="s">
        <v>3045</v>
      </c>
      <c r="F2552" s="493">
        <v>65323</v>
      </c>
      <c r="G2552" s="105" t="s">
        <v>33</v>
      </c>
      <c r="H2552" s="105" t="s">
        <v>342</v>
      </c>
      <c r="I2552" s="105" t="s">
        <v>334</v>
      </c>
      <c r="J2552" s="493">
        <v>22</v>
      </c>
      <c r="K2552" s="493">
        <v>2</v>
      </c>
      <c r="L2552" s="105" t="s">
        <v>343</v>
      </c>
      <c r="M2552" s="105" t="s">
        <v>403</v>
      </c>
      <c r="N2552" s="105" t="s">
        <v>404</v>
      </c>
      <c r="O2552" s="105" t="s">
        <v>232</v>
      </c>
      <c r="P2552" s="105" t="s">
        <v>346</v>
      </c>
      <c r="Q2552" s="494">
        <v>751</v>
      </c>
      <c r="R2552" s="494">
        <v>751</v>
      </c>
      <c r="S2552" s="494">
        <v>0</v>
      </c>
      <c r="T2552" s="494">
        <v>0</v>
      </c>
      <c r="U2552" s="494">
        <v>-300</v>
      </c>
      <c r="V2552" s="493">
        <v>2024</v>
      </c>
      <c r="W2552" s="495"/>
      <c r="X2552" s="496" t="str">
        <f t="shared" si="164"/>
        <v/>
      </c>
      <c r="Y2552" s="497" t="str">
        <f t="shared" si="167"/>
        <v/>
      </c>
      <c r="Z2552" s="497" t="str">
        <f t="shared" si="167"/>
        <v/>
      </c>
    </row>
    <row r="2553" spans="1:26" s="82" customFormat="1" ht="32" x14ac:dyDescent="0.4">
      <c r="A2553" s="493">
        <v>66182</v>
      </c>
      <c r="B2553" s="105" t="s">
        <v>329</v>
      </c>
      <c r="C2553" s="493" t="s">
        <v>330</v>
      </c>
      <c r="D2553" s="105" t="s">
        <v>3044</v>
      </c>
      <c r="E2553" s="105" t="s">
        <v>3045</v>
      </c>
      <c r="F2553" s="493">
        <v>65323</v>
      </c>
      <c r="G2553" s="105" t="s">
        <v>33</v>
      </c>
      <c r="H2553" s="105" t="s">
        <v>342</v>
      </c>
      <c r="I2553" s="105" t="s">
        <v>334</v>
      </c>
      <c r="J2553" s="493">
        <v>22</v>
      </c>
      <c r="K2553" s="493">
        <v>2</v>
      </c>
      <c r="L2553" s="105" t="s">
        <v>343</v>
      </c>
      <c r="M2553" s="105" t="s">
        <v>655</v>
      </c>
      <c r="N2553" s="105" t="s">
        <v>656</v>
      </c>
      <c r="O2553" s="105" t="s">
        <v>656</v>
      </c>
      <c r="P2553" s="105" t="s">
        <v>339</v>
      </c>
      <c r="Q2553" s="494">
        <v>0</v>
      </c>
      <c r="R2553" s="494">
        <v>0</v>
      </c>
      <c r="S2553" s="494">
        <v>14636</v>
      </c>
      <c r="T2553" s="494">
        <v>14636</v>
      </c>
      <c r="U2553" s="494">
        <v>4290</v>
      </c>
      <c r="V2553" s="493">
        <v>2024</v>
      </c>
      <c r="W2553" s="495"/>
      <c r="X2553" s="496">
        <f t="shared" si="164"/>
        <v>3.4116550116550117</v>
      </c>
      <c r="Y2553" s="497" t="str">
        <f t="shared" si="167"/>
        <v/>
      </c>
      <c r="Z2553" s="497" t="str">
        <f t="shared" si="167"/>
        <v/>
      </c>
    </row>
    <row r="2554" spans="1:26" s="82" customFormat="1" x14ac:dyDescent="0.4">
      <c r="A2554" s="493">
        <v>66187</v>
      </c>
      <c r="B2554" s="105" t="s">
        <v>329</v>
      </c>
      <c r="C2554" s="493" t="s">
        <v>330</v>
      </c>
      <c r="D2554" s="105" t="s">
        <v>3046</v>
      </c>
      <c r="E2554" s="105" t="s">
        <v>2050</v>
      </c>
      <c r="F2554" s="493">
        <v>61194</v>
      </c>
      <c r="G2554" s="105" t="s">
        <v>52</v>
      </c>
      <c r="H2554" s="105" t="s">
        <v>333</v>
      </c>
      <c r="I2554" s="105" t="s">
        <v>334</v>
      </c>
      <c r="J2554" s="493">
        <v>22</v>
      </c>
      <c r="K2554" s="493">
        <v>2</v>
      </c>
      <c r="L2554" s="105" t="s">
        <v>343</v>
      </c>
      <c r="M2554" s="105" t="s">
        <v>655</v>
      </c>
      <c r="N2554" s="105" t="s">
        <v>656</v>
      </c>
      <c r="O2554" s="105" t="s">
        <v>656</v>
      </c>
      <c r="P2554" s="105" t="s">
        <v>339</v>
      </c>
      <c r="Q2554" s="494">
        <v>0</v>
      </c>
      <c r="R2554" s="494">
        <v>0</v>
      </c>
      <c r="S2554" s="494">
        <v>12673</v>
      </c>
      <c r="T2554" s="494">
        <v>12673</v>
      </c>
      <c r="U2554" s="494">
        <v>3714</v>
      </c>
      <c r="V2554" s="493">
        <v>2024</v>
      </c>
      <c r="W2554" s="495"/>
      <c r="X2554" s="496">
        <f t="shared" si="164"/>
        <v>3.4122240172320946</v>
      </c>
      <c r="Y2554" s="497" t="str">
        <f t="shared" si="167"/>
        <v/>
      </c>
      <c r="Z2554" s="497" t="str">
        <f t="shared" si="167"/>
        <v/>
      </c>
    </row>
    <row r="2555" spans="1:26" s="82" customFormat="1" x14ac:dyDescent="0.4">
      <c r="A2555" s="493">
        <v>66201</v>
      </c>
      <c r="B2555" s="105" t="s">
        <v>329</v>
      </c>
      <c r="C2555" s="493" t="s">
        <v>330</v>
      </c>
      <c r="D2555" s="105" t="s">
        <v>3047</v>
      </c>
      <c r="E2555" s="105" t="s">
        <v>3048</v>
      </c>
      <c r="F2555" s="493">
        <v>65330</v>
      </c>
      <c r="G2555" s="105" t="s">
        <v>37</v>
      </c>
      <c r="H2555" s="105" t="s">
        <v>342</v>
      </c>
      <c r="I2555" s="105" t="s">
        <v>334</v>
      </c>
      <c r="J2555" s="493">
        <v>22</v>
      </c>
      <c r="K2555" s="493">
        <v>2</v>
      </c>
      <c r="L2555" s="105" t="s">
        <v>343</v>
      </c>
      <c r="M2555" s="105" t="s">
        <v>655</v>
      </c>
      <c r="N2555" s="105" t="s">
        <v>656</v>
      </c>
      <c r="O2555" s="105" t="s">
        <v>656</v>
      </c>
      <c r="P2555" s="105" t="s">
        <v>339</v>
      </c>
      <c r="Q2555" s="494">
        <v>0</v>
      </c>
      <c r="R2555" s="494">
        <v>0</v>
      </c>
      <c r="S2555" s="494">
        <v>15495</v>
      </c>
      <c r="T2555" s="494">
        <v>15495</v>
      </c>
      <c r="U2555" s="494">
        <v>4541</v>
      </c>
      <c r="V2555" s="493">
        <v>2024</v>
      </c>
      <c r="W2555" s="495"/>
      <c r="X2555" s="496">
        <f t="shared" si="164"/>
        <v>3.4122439991191369</v>
      </c>
      <c r="Y2555" s="497" t="str">
        <f t="shared" si="167"/>
        <v/>
      </c>
      <c r="Z2555" s="497" t="str">
        <f t="shared" si="167"/>
        <v/>
      </c>
    </row>
    <row r="2556" spans="1:26" s="82" customFormat="1" x14ac:dyDescent="0.4">
      <c r="A2556" s="493">
        <v>66206</v>
      </c>
      <c r="B2556" s="105" t="s">
        <v>329</v>
      </c>
      <c r="C2556" s="493" t="s">
        <v>330</v>
      </c>
      <c r="D2556" s="105" t="s">
        <v>3049</v>
      </c>
      <c r="E2556" s="105" t="s">
        <v>3050</v>
      </c>
      <c r="F2556" s="493">
        <v>65325</v>
      </c>
      <c r="G2556" s="105" t="s">
        <v>52</v>
      </c>
      <c r="H2556" s="105" t="s">
        <v>333</v>
      </c>
      <c r="I2556" s="105" t="s">
        <v>334</v>
      </c>
      <c r="J2556" s="493">
        <v>22</v>
      </c>
      <c r="K2556" s="493">
        <v>2</v>
      </c>
      <c r="L2556" s="105" t="s">
        <v>343</v>
      </c>
      <c r="M2556" s="105" t="s">
        <v>655</v>
      </c>
      <c r="N2556" s="105" t="s">
        <v>656</v>
      </c>
      <c r="O2556" s="105" t="s">
        <v>656</v>
      </c>
      <c r="P2556" s="105" t="s">
        <v>339</v>
      </c>
      <c r="Q2556" s="494">
        <v>0</v>
      </c>
      <c r="R2556" s="494">
        <v>0</v>
      </c>
      <c r="S2556" s="494">
        <v>29789</v>
      </c>
      <c r="T2556" s="494">
        <v>29789</v>
      </c>
      <c r="U2556" s="494">
        <v>8731</v>
      </c>
      <c r="V2556" s="493">
        <v>2024</v>
      </c>
      <c r="W2556" s="495"/>
      <c r="X2556" s="496">
        <f t="shared" si="164"/>
        <v>3.4118657656625815</v>
      </c>
      <c r="Y2556" s="497" t="str">
        <f t="shared" si="167"/>
        <v/>
      </c>
      <c r="Z2556" s="497" t="str">
        <f t="shared" si="167"/>
        <v/>
      </c>
    </row>
    <row r="2557" spans="1:26" s="82" customFormat="1" x14ac:dyDescent="0.4">
      <c r="A2557" s="493">
        <v>66207</v>
      </c>
      <c r="B2557" s="105" t="s">
        <v>329</v>
      </c>
      <c r="C2557" s="493" t="s">
        <v>330</v>
      </c>
      <c r="D2557" s="105" t="s">
        <v>3051</v>
      </c>
      <c r="E2557" s="105" t="s">
        <v>3052</v>
      </c>
      <c r="F2557" s="493">
        <v>65324</v>
      </c>
      <c r="G2557" s="105" t="s">
        <v>52</v>
      </c>
      <c r="H2557" s="105" t="s">
        <v>333</v>
      </c>
      <c r="I2557" s="105" t="s">
        <v>334</v>
      </c>
      <c r="J2557" s="493">
        <v>22</v>
      </c>
      <c r="K2557" s="493">
        <v>2</v>
      </c>
      <c r="L2557" s="105" t="s">
        <v>343</v>
      </c>
      <c r="M2557" s="105" t="s">
        <v>655</v>
      </c>
      <c r="N2557" s="105" t="s">
        <v>656</v>
      </c>
      <c r="O2557" s="105" t="s">
        <v>656</v>
      </c>
      <c r="P2557" s="105" t="s">
        <v>339</v>
      </c>
      <c r="Q2557" s="494">
        <v>0</v>
      </c>
      <c r="R2557" s="494">
        <v>0</v>
      </c>
      <c r="S2557" s="494">
        <v>31606</v>
      </c>
      <c r="T2557" s="494">
        <v>31606</v>
      </c>
      <c r="U2557" s="494">
        <v>9263</v>
      </c>
      <c r="V2557" s="493">
        <v>2024</v>
      </c>
      <c r="W2557" s="495"/>
      <c r="X2557" s="496">
        <f t="shared" si="164"/>
        <v>3.4120695239123395</v>
      </c>
      <c r="Y2557" s="497" t="str">
        <f t="shared" si="167"/>
        <v/>
      </c>
      <c r="Z2557" s="497" t="str">
        <f t="shared" si="167"/>
        <v/>
      </c>
    </row>
    <row r="2558" spans="1:26" s="82" customFormat="1" x14ac:dyDescent="0.4">
      <c r="A2558" s="493">
        <v>66209</v>
      </c>
      <c r="B2558" s="105" t="s">
        <v>329</v>
      </c>
      <c r="C2558" s="493" t="s">
        <v>330</v>
      </c>
      <c r="D2558" s="105" t="s">
        <v>3053</v>
      </c>
      <c r="E2558" s="105" t="s">
        <v>2050</v>
      </c>
      <c r="F2558" s="493">
        <v>61194</v>
      </c>
      <c r="G2558" s="105" t="s">
        <v>52</v>
      </c>
      <c r="H2558" s="105" t="s">
        <v>333</v>
      </c>
      <c r="I2558" s="105" t="s">
        <v>334</v>
      </c>
      <c r="J2558" s="493">
        <v>22</v>
      </c>
      <c r="K2558" s="493">
        <v>2</v>
      </c>
      <c r="L2558" s="105" t="s">
        <v>343</v>
      </c>
      <c r="M2558" s="105" t="s">
        <v>655</v>
      </c>
      <c r="N2558" s="105" t="s">
        <v>656</v>
      </c>
      <c r="O2558" s="105" t="s">
        <v>656</v>
      </c>
      <c r="P2558" s="105" t="s">
        <v>339</v>
      </c>
      <c r="Q2558" s="494">
        <v>0</v>
      </c>
      <c r="R2558" s="494">
        <v>0</v>
      </c>
      <c r="S2558" s="494">
        <v>32564</v>
      </c>
      <c r="T2558" s="494">
        <v>32564</v>
      </c>
      <c r="U2558" s="494">
        <v>9544</v>
      </c>
      <c r="V2558" s="493">
        <v>2024</v>
      </c>
      <c r="W2558" s="495"/>
      <c r="X2558" s="496">
        <f t="shared" si="164"/>
        <v>3.4119865884325229</v>
      </c>
      <c r="Y2558" s="497" t="str">
        <f t="shared" si="167"/>
        <v/>
      </c>
      <c r="Z2558" s="497" t="str">
        <f t="shared" si="167"/>
        <v/>
      </c>
    </row>
    <row r="2559" spans="1:26" s="82" customFormat="1" x14ac:dyDescent="0.4">
      <c r="A2559" s="493">
        <v>66210</v>
      </c>
      <c r="B2559" s="105" t="s">
        <v>329</v>
      </c>
      <c r="C2559" s="493" t="s">
        <v>330</v>
      </c>
      <c r="D2559" s="105" t="s">
        <v>3054</v>
      </c>
      <c r="E2559" s="105" t="s">
        <v>2050</v>
      </c>
      <c r="F2559" s="493">
        <v>61194</v>
      </c>
      <c r="G2559" s="105" t="s">
        <v>52</v>
      </c>
      <c r="H2559" s="105" t="s">
        <v>333</v>
      </c>
      <c r="I2559" s="105" t="s">
        <v>334</v>
      </c>
      <c r="J2559" s="493">
        <v>22</v>
      </c>
      <c r="K2559" s="493">
        <v>2</v>
      </c>
      <c r="L2559" s="105" t="s">
        <v>343</v>
      </c>
      <c r="M2559" s="105" t="s">
        <v>655</v>
      </c>
      <c r="N2559" s="105" t="s">
        <v>656</v>
      </c>
      <c r="O2559" s="105" t="s">
        <v>656</v>
      </c>
      <c r="P2559" s="105" t="s">
        <v>339</v>
      </c>
      <c r="Q2559" s="494">
        <v>0</v>
      </c>
      <c r="R2559" s="494">
        <v>0</v>
      </c>
      <c r="S2559" s="494">
        <v>7571</v>
      </c>
      <c r="T2559" s="494">
        <v>7571</v>
      </c>
      <c r="U2559" s="494">
        <v>2219</v>
      </c>
      <c r="V2559" s="493">
        <v>2024</v>
      </c>
      <c r="W2559" s="495"/>
      <c r="X2559" s="496">
        <f t="shared" si="164"/>
        <v>3.4118972510139702</v>
      </c>
      <c r="Y2559" s="497" t="str">
        <f t="shared" si="167"/>
        <v/>
      </c>
      <c r="Z2559" s="497" t="str">
        <f t="shared" si="167"/>
        <v/>
      </c>
    </row>
    <row r="2560" spans="1:26" s="82" customFormat="1" x14ac:dyDescent="0.4">
      <c r="A2560" s="493">
        <v>66211</v>
      </c>
      <c r="B2560" s="105" t="s">
        <v>329</v>
      </c>
      <c r="C2560" s="493" t="s">
        <v>330</v>
      </c>
      <c r="D2560" s="105" t="s">
        <v>3055</v>
      </c>
      <c r="E2560" s="105" t="s">
        <v>2050</v>
      </c>
      <c r="F2560" s="493">
        <v>61194</v>
      </c>
      <c r="G2560" s="105" t="s">
        <v>52</v>
      </c>
      <c r="H2560" s="105" t="s">
        <v>333</v>
      </c>
      <c r="I2560" s="105" t="s">
        <v>334</v>
      </c>
      <c r="J2560" s="493">
        <v>22</v>
      </c>
      <c r="K2560" s="493">
        <v>2</v>
      </c>
      <c r="L2560" s="105" t="s">
        <v>343</v>
      </c>
      <c r="M2560" s="105" t="s">
        <v>655</v>
      </c>
      <c r="N2560" s="105" t="s">
        <v>656</v>
      </c>
      <c r="O2560" s="105" t="s">
        <v>656</v>
      </c>
      <c r="P2560" s="105" t="s">
        <v>339</v>
      </c>
      <c r="Q2560" s="494">
        <v>0</v>
      </c>
      <c r="R2560" s="494">
        <v>0</v>
      </c>
      <c r="S2560" s="494">
        <v>10835</v>
      </c>
      <c r="T2560" s="494">
        <v>10835</v>
      </c>
      <c r="U2560" s="494">
        <v>3176</v>
      </c>
      <c r="V2560" s="493">
        <v>2024</v>
      </c>
      <c r="W2560" s="495"/>
      <c r="X2560" s="496">
        <f t="shared" si="164"/>
        <v>3.4115239294710329</v>
      </c>
      <c r="Y2560" s="497" t="str">
        <f t="shared" si="167"/>
        <v/>
      </c>
      <c r="Z2560" s="497" t="str">
        <f t="shared" si="167"/>
        <v/>
      </c>
    </row>
    <row r="2561" spans="1:26" s="82" customFormat="1" x14ac:dyDescent="0.4">
      <c r="A2561" s="493">
        <v>66212</v>
      </c>
      <c r="B2561" s="105" t="s">
        <v>329</v>
      </c>
      <c r="C2561" s="493" t="s">
        <v>330</v>
      </c>
      <c r="D2561" s="105" t="s">
        <v>3056</v>
      </c>
      <c r="E2561" s="105" t="s">
        <v>2050</v>
      </c>
      <c r="F2561" s="493">
        <v>61194</v>
      </c>
      <c r="G2561" s="105" t="s">
        <v>52</v>
      </c>
      <c r="H2561" s="105" t="s">
        <v>333</v>
      </c>
      <c r="I2561" s="105" t="s">
        <v>334</v>
      </c>
      <c r="J2561" s="493">
        <v>22</v>
      </c>
      <c r="K2561" s="493">
        <v>2</v>
      </c>
      <c r="L2561" s="105" t="s">
        <v>343</v>
      </c>
      <c r="M2561" s="105" t="s">
        <v>655</v>
      </c>
      <c r="N2561" s="105" t="s">
        <v>656</v>
      </c>
      <c r="O2561" s="105" t="s">
        <v>656</v>
      </c>
      <c r="P2561" s="105" t="s">
        <v>339</v>
      </c>
      <c r="Q2561" s="494">
        <v>0</v>
      </c>
      <c r="R2561" s="494">
        <v>0</v>
      </c>
      <c r="S2561" s="494">
        <v>27995</v>
      </c>
      <c r="T2561" s="494">
        <v>27995</v>
      </c>
      <c r="U2561" s="494">
        <v>8205</v>
      </c>
      <c r="V2561" s="493">
        <v>2024</v>
      </c>
      <c r="W2561" s="495"/>
      <c r="X2561" s="496">
        <f t="shared" si="164"/>
        <v>3.4119439366240099</v>
      </c>
      <c r="Y2561" s="497" t="str">
        <f t="shared" si="167"/>
        <v/>
      </c>
      <c r="Z2561" s="497" t="str">
        <f t="shared" si="167"/>
        <v/>
      </c>
    </row>
    <row r="2562" spans="1:26" s="82" customFormat="1" x14ac:dyDescent="0.4">
      <c r="A2562" s="493">
        <v>66213</v>
      </c>
      <c r="B2562" s="105" t="s">
        <v>329</v>
      </c>
      <c r="C2562" s="493" t="s">
        <v>330</v>
      </c>
      <c r="D2562" s="105" t="s">
        <v>3057</v>
      </c>
      <c r="E2562" s="105" t="s">
        <v>2050</v>
      </c>
      <c r="F2562" s="493">
        <v>61194</v>
      </c>
      <c r="G2562" s="105" t="s">
        <v>52</v>
      </c>
      <c r="H2562" s="105" t="s">
        <v>333</v>
      </c>
      <c r="I2562" s="105" t="s">
        <v>334</v>
      </c>
      <c r="J2562" s="493">
        <v>22</v>
      </c>
      <c r="K2562" s="493">
        <v>2</v>
      </c>
      <c r="L2562" s="105" t="s">
        <v>343</v>
      </c>
      <c r="M2562" s="105" t="s">
        <v>655</v>
      </c>
      <c r="N2562" s="105" t="s">
        <v>656</v>
      </c>
      <c r="O2562" s="105" t="s">
        <v>656</v>
      </c>
      <c r="P2562" s="105" t="s">
        <v>339</v>
      </c>
      <c r="Q2562" s="494">
        <v>0</v>
      </c>
      <c r="R2562" s="494">
        <v>0</v>
      </c>
      <c r="S2562" s="494">
        <v>9790</v>
      </c>
      <c r="T2562" s="494">
        <v>9790</v>
      </c>
      <c r="U2562" s="494">
        <v>2869</v>
      </c>
      <c r="V2562" s="493">
        <v>2024</v>
      </c>
      <c r="W2562" s="495"/>
      <c r="X2562" s="496">
        <f t="shared" si="164"/>
        <v>3.4123387940048797</v>
      </c>
      <c r="Y2562" s="497" t="str">
        <f t="shared" si="167"/>
        <v/>
      </c>
      <c r="Z2562" s="497" t="str">
        <f t="shared" si="167"/>
        <v/>
      </c>
    </row>
    <row r="2563" spans="1:26" s="82" customFormat="1" x14ac:dyDescent="0.4">
      <c r="A2563" s="493">
        <v>66214</v>
      </c>
      <c r="B2563" s="105" t="s">
        <v>329</v>
      </c>
      <c r="C2563" s="493" t="s">
        <v>330</v>
      </c>
      <c r="D2563" s="105" t="s">
        <v>3058</v>
      </c>
      <c r="E2563" s="105" t="s">
        <v>2050</v>
      </c>
      <c r="F2563" s="493">
        <v>61194</v>
      </c>
      <c r="G2563" s="105" t="s">
        <v>52</v>
      </c>
      <c r="H2563" s="105" t="s">
        <v>333</v>
      </c>
      <c r="I2563" s="105" t="s">
        <v>334</v>
      </c>
      <c r="J2563" s="493">
        <v>22</v>
      </c>
      <c r="K2563" s="493">
        <v>2</v>
      </c>
      <c r="L2563" s="105" t="s">
        <v>343</v>
      </c>
      <c r="M2563" s="105" t="s">
        <v>655</v>
      </c>
      <c r="N2563" s="105" t="s">
        <v>656</v>
      </c>
      <c r="O2563" s="105" t="s">
        <v>656</v>
      </c>
      <c r="P2563" s="105" t="s">
        <v>339</v>
      </c>
      <c r="Q2563" s="494">
        <v>0</v>
      </c>
      <c r="R2563" s="494">
        <v>0</v>
      </c>
      <c r="S2563" s="494">
        <v>27689</v>
      </c>
      <c r="T2563" s="494">
        <v>27689</v>
      </c>
      <c r="U2563" s="494">
        <v>8115</v>
      </c>
      <c r="V2563" s="493">
        <v>2024</v>
      </c>
      <c r="W2563" s="495"/>
      <c r="X2563" s="496">
        <f t="shared" si="164"/>
        <v>3.4120764017252001</v>
      </c>
      <c r="Y2563" s="497" t="str">
        <f t="shared" si="167"/>
        <v/>
      </c>
      <c r="Z2563" s="497" t="str">
        <f t="shared" si="167"/>
        <v/>
      </c>
    </row>
    <row r="2564" spans="1:26" s="82" customFormat="1" x14ac:dyDescent="0.4">
      <c r="A2564" s="493">
        <v>66215</v>
      </c>
      <c r="B2564" s="105" t="s">
        <v>329</v>
      </c>
      <c r="C2564" s="493" t="s">
        <v>330</v>
      </c>
      <c r="D2564" s="105" t="s">
        <v>3059</v>
      </c>
      <c r="E2564" s="105" t="s">
        <v>2050</v>
      </c>
      <c r="F2564" s="493">
        <v>61194</v>
      </c>
      <c r="G2564" s="105" t="s">
        <v>52</v>
      </c>
      <c r="H2564" s="105" t="s">
        <v>333</v>
      </c>
      <c r="I2564" s="105" t="s">
        <v>334</v>
      </c>
      <c r="J2564" s="493">
        <v>22</v>
      </c>
      <c r="K2564" s="493">
        <v>2</v>
      </c>
      <c r="L2564" s="105" t="s">
        <v>343</v>
      </c>
      <c r="M2564" s="105" t="s">
        <v>655</v>
      </c>
      <c r="N2564" s="105" t="s">
        <v>656</v>
      </c>
      <c r="O2564" s="105" t="s">
        <v>656</v>
      </c>
      <c r="P2564" s="105" t="s">
        <v>339</v>
      </c>
      <c r="Q2564" s="494">
        <v>0</v>
      </c>
      <c r="R2564" s="494">
        <v>0</v>
      </c>
      <c r="S2564" s="494">
        <v>28337</v>
      </c>
      <c r="T2564" s="494">
        <v>28337</v>
      </c>
      <c r="U2564" s="494">
        <v>8305</v>
      </c>
      <c r="V2564" s="493">
        <v>2024</v>
      </c>
      <c r="W2564" s="495"/>
      <c r="X2564" s="496">
        <f t="shared" si="164"/>
        <v>3.4120409391932571</v>
      </c>
      <c r="Y2564" s="497" t="str">
        <f t="shared" si="167"/>
        <v/>
      </c>
      <c r="Z2564" s="497" t="str">
        <f t="shared" si="167"/>
        <v/>
      </c>
    </row>
    <row r="2565" spans="1:26" s="82" customFormat="1" x14ac:dyDescent="0.4">
      <c r="A2565" s="493">
        <v>66217</v>
      </c>
      <c r="B2565" s="105" t="s">
        <v>329</v>
      </c>
      <c r="C2565" s="493" t="s">
        <v>330</v>
      </c>
      <c r="D2565" s="105" t="s">
        <v>3060</v>
      </c>
      <c r="E2565" s="105" t="s">
        <v>2050</v>
      </c>
      <c r="F2565" s="493">
        <v>61194</v>
      </c>
      <c r="G2565" s="105" t="s">
        <v>52</v>
      </c>
      <c r="H2565" s="105" t="s">
        <v>333</v>
      </c>
      <c r="I2565" s="105" t="s">
        <v>334</v>
      </c>
      <c r="J2565" s="493">
        <v>22</v>
      </c>
      <c r="K2565" s="493">
        <v>2</v>
      </c>
      <c r="L2565" s="105" t="s">
        <v>343</v>
      </c>
      <c r="M2565" s="105" t="s">
        <v>655</v>
      </c>
      <c r="N2565" s="105" t="s">
        <v>656</v>
      </c>
      <c r="O2565" s="105" t="s">
        <v>656</v>
      </c>
      <c r="P2565" s="105" t="s">
        <v>339</v>
      </c>
      <c r="Q2565" s="494">
        <v>0</v>
      </c>
      <c r="R2565" s="494">
        <v>0</v>
      </c>
      <c r="S2565" s="494">
        <v>12014</v>
      </c>
      <c r="T2565" s="494">
        <v>12014</v>
      </c>
      <c r="U2565" s="494">
        <v>3521</v>
      </c>
      <c r="V2565" s="493">
        <v>2024</v>
      </c>
      <c r="W2565" s="495"/>
      <c r="X2565" s="496">
        <f t="shared" si="164"/>
        <v>3.4120988355580799</v>
      </c>
      <c r="Y2565" s="497" t="str">
        <f t="shared" si="167"/>
        <v/>
      </c>
      <c r="Z2565" s="497" t="str">
        <f t="shared" si="167"/>
        <v/>
      </c>
    </row>
    <row r="2566" spans="1:26" s="82" customFormat="1" x14ac:dyDescent="0.4">
      <c r="A2566" s="493">
        <v>66218</v>
      </c>
      <c r="B2566" s="105" t="s">
        <v>329</v>
      </c>
      <c r="C2566" s="493" t="s">
        <v>330</v>
      </c>
      <c r="D2566" s="105" t="s">
        <v>3061</v>
      </c>
      <c r="E2566" s="105" t="s">
        <v>2050</v>
      </c>
      <c r="F2566" s="493">
        <v>61194</v>
      </c>
      <c r="G2566" s="105" t="s">
        <v>52</v>
      </c>
      <c r="H2566" s="105" t="s">
        <v>333</v>
      </c>
      <c r="I2566" s="105" t="s">
        <v>334</v>
      </c>
      <c r="J2566" s="493">
        <v>22</v>
      </c>
      <c r="K2566" s="493">
        <v>2</v>
      </c>
      <c r="L2566" s="105" t="s">
        <v>343</v>
      </c>
      <c r="M2566" s="105" t="s">
        <v>403</v>
      </c>
      <c r="N2566" s="105" t="s">
        <v>404</v>
      </c>
      <c r="O2566" s="105" t="s">
        <v>232</v>
      </c>
      <c r="P2566" s="105" t="s">
        <v>346</v>
      </c>
      <c r="Q2566" s="494">
        <v>193</v>
      </c>
      <c r="R2566" s="494">
        <v>193</v>
      </c>
      <c r="S2566" s="494">
        <v>0</v>
      </c>
      <c r="T2566" s="494">
        <v>0</v>
      </c>
      <c r="U2566" s="494">
        <v>-7</v>
      </c>
      <c r="V2566" s="493">
        <v>2024</v>
      </c>
      <c r="W2566" s="495"/>
      <c r="X2566" s="496" t="str">
        <f t="shared" si="164"/>
        <v/>
      </c>
      <c r="Y2566" s="497" t="str">
        <f t="shared" si="167"/>
        <v/>
      </c>
      <c r="Z2566" s="497" t="str">
        <f t="shared" si="167"/>
        <v/>
      </c>
    </row>
    <row r="2567" spans="1:26" s="82" customFormat="1" x14ac:dyDescent="0.4">
      <c r="A2567" s="493">
        <v>66218</v>
      </c>
      <c r="B2567" s="105" t="s">
        <v>329</v>
      </c>
      <c r="C2567" s="493" t="s">
        <v>330</v>
      </c>
      <c r="D2567" s="105" t="s">
        <v>3061</v>
      </c>
      <c r="E2567" s="105" t="s">
        <v>2050</v>
      </c>
      <c r="F2567" s="493">
        <v>61194</v>
      </c>
      <c r="G2567" s="105" t="s">
        <v>52</v>
      </c>
      <c r="H2567" s="105" t="s">
        <v>333</v>
      </c>
      <c r="I2567" s="105" t="s">
        <v>334</v>
      </c>
      <c r="J2567" s="493">
        <v>22</v>
      </c>
      <c r="K2567" s="493">
        <v>2</v>
      </c>
      <c r="L2567" s="105" t="s">
        <v>343</v>
      </c>
      <c r="M2567" s="105" t="s">
        <v>655</v>
      </c>
      <c r="N2567" s="105" t="s">
        <v>656</v>
      </c>
      <c r="O2567" s="105" t="s">
        <v>656</v>
      </c>
      <c r="P2567" s="105" t="s">
        <v>339</v>
      </c>
      <c r="Q2567" s="494">
        <v>0</v>
      </c>
      <c r="R2567" s="494">
        <v>0</v>
      </c>
      <c r="S2567" s="494">
        <v>10537</v>
      </c>
      <c r="T2567" s="494">
        <v>10537</v>
      </c>
      <c r="U2567" s="494">
        <v>3088</v>
      </c>
      <c r="V2567" s="493">
        <v>2024</v>
      </c>
      <c r="W2567" s="495"/>
      <c r="X2567" s="496">
        <f t="shared" si="164"/>
        <v>3.412240932642487</v>
      </c>
      <c r="Y2567" s="497" t="str">
        <f t="shared" si="167"/>
        <v/>
      </c>
      <c r="Z2567" s="497" t="str">
        <f t="shared" si="167"/>
        <v/>
      </c>
    </row>
    <row r="2568" spans="1:26" s="82" customFormat="1" x14ac:dyDescent="0.4">
      <c r="A2568" s="493">
        <v>66219</v>
      </c>
      <c r="B2568" s="105" t="s">
        <v>329</v>
      </c>
      <c r="C2568" s="493" t="s">
        <v>330</v>
      </c>
      <c r="D2568" s="105" t="s">
        <v>3062</v>
      </c>
      <c r="E2568" s="105" t="s">
        <v>2050</v>
      </c>
      <c r="F2568" s="493">
        <v>61194</v>
      </c>
      <c r="G2568" s="105" t="s">
        <v>52</v>
      </c>
      <c r="H2568" s="105" t="s">
        <v>333</v>
      </c>
      <c r="I2568" s="105" t="s">
        <v>334</v>
      </c>
      <c r="J2568" s="493">
        <v>22</v>
      </c>
      <c r="K2568" s="493">
        <v>2</v>
      </c>
      <c r="L2568" s="105" t="s">
        <v>343</v>
      </c>
      <c r="M2568" s="105" t="s">
        <v>655</v>
      </c>
      <c r="N2568" s="105" t="s">
        <v>656</v>
      </c>
      <c r="O2568" s="105" t="s">
        <v>656</v>
      </c>
      <c r="P2568" s="105" t="s">
        <v>339</v>
      </c>
      <c r="Q2568" s="494">
        <v>0</v>
      </c>
      <c r="R2568" s="494">
        <v>0</v>
      </c>
      <c r="S2568" s="494">
        <v>23253</v>
      </c>
      <c r="T2568" s="494">
        <v>23253</v>
      </c>
      <c r="U2568" s="494">
        <v>6815</v>
      </c>
      <c r="V2568" s="493">
        <v>2024</v>
      </c>
      <c r="W2568" s="495"/>
      <c r="X2568" s="496">
        <f t="shared" si="164"/>
        <v>3.4120322817314745</v>
      </c>
      <c r="Y2568" s="497" t="str">
        <f t="shared" ref="Y2568:Z2587" si="168">IF(AND($M2568=$Y$2,$N2568=$Y$3,NOT($Q2568=$R2568),NOT($U2568=0)),IF($K2568=5,$S2568/($U2568+(8/5)*$U2568),IF($K2568=7,$S2568/($U2568+(29/25)*$U2568),"")),"")</f>
        <v/>
      </c>
      <c r="Z2568" s="497" t="str">
        <f t="shared" si="168"/>
        <v/>
      </c>
    </row>
    <row r="2569" spans="1:26" s="82" customFormat="1" x14ac:dyDescent="0.4">
      <c r="A2569" s="493">
        <v>66220</v>
      </c>
      <c r="B2569" s="105" t="s">
        <v>329</v>
      </c>
      <c r="C2569" s="493" t="s">
        <v>330</v>
      </c>
      <c r="D2569" s="105" t="s">
        <v>3063</v>
      </c>
      <c r="E2569" s="105" t="s">
        <v>2050</v>
      </c>
      <c r="F2569" s="493">
        <v>61194</v>
      </c>
      <c r="G2569" s="105" t="s">
        <v>52</v>
      </c>
      <c r="H2569" s="105" t="s">
        <v>333</v>
      </c>
      <c r="I2569" s="105" t="s">
        <v>334</v>
      </c>
      <c r="J2569" s="493">
        <v>22</v>
      </c>
      <c r="K2569" s="493">
        <v>2</v>
      </c>
      <c r="L2569" s="105" t="s">
        <v>343</v>
      </c>
      <c r="M2569" s="105" t="s">
        <v>655</v>
      </c>
      <c r="N2569" s="105" t="s">
        <v>656</v>
      </c>
      <c r="O2569" s="105" t="s">
        <v>656</v>
      </c>
      <c r="P2569" s="105" t="s">
        <v>339</v>
      </c>
      <c r="Q2569" s="494">
        <v>0</v>
      </c>
      <c r="R2569" s="494">
        <v>0</v>
      </c>
      <c r="S2569" s="494">
        <v>30169</v>
      </c>
      <c r="T2569" s="494">
        <v>30169</v>
      </c>
      <c r="U2569" s="494">
        <v>8842</v>
      </c>
      <c r="V2569" s="493">
        <v>2024</v>
      </c>
      <c r="W2569" s="495"/>
      <c r="X2569" s="496">
        <f t="shared" ref="X2569:X2632" si="169">IF(OR(K2569&gt;3,T2569=0,NOT(U2569&gt;0)),"",T2569/U2569)</f>
        <v>3.4120108572721102</v>
      </c>
      <c r="Y2569" s="497" t="str">
        <f t="shared" si="168"/>
        <v/>
      </c>
      <c r="Z2569" s="497" t="str">
        <f t="shared" si="168"/>
        <v/>
      </c>
    </row>
    <row r="2570" spans="1:26" s="82" customFormat="1" x14ac:dyDescent="0.4">
      <c r="A2570" s="493">
        <v>66221</v>
      </c>
      <c r="B2570" s="105" t="s">
        <v>329</v>
      </c>
      <c r="C2570" s="493" t="s">
        <v>330</v>
      </c>
      <c r="D2570" s="105" t="s">
        <v>3064</v>
      </c>
      <c r="E2570" s="105" t="s">
        <v>2050</v>
      </c>
      <c r="F2570" s="493">
        <v>61194</v>
      </c>
      <c r="G2570" s="105" t="s">
        <v>52</v>
      </c>
      <c r="H2570" s="105" t="s">
        <v>333</v>
      </c>
      <c r="I2570" s="105" t="s">
        <v>334</v>
      </c>
      <c r="J2570" s="493">
        <v>22</v>
      </c>
      <c r="K2570" s="493">
        <v>2</v>
      </c>
      <c r="L2570" s="105" t="s">
        <v>343</v>
      </c>
      <c r="M2570" s="105" t="s">
        <v>655</v>
      </c>
      <c r="N2570" s="105" t="s">
        <v>656</v>
      </c>
      <c r="O2570" s="105" t="s">
        <v>656</v>
      </c>
      <c r="P2570" s="105" t="s">
        <v>339</v>
      </c>
      <c r="Q2570" s="494">
        <v>0</v>
      </c>
      <c r="R2570" s="494">
        <v>0</v>
      </c>
      <c r="S2570" s="494">
        <v>25593</v>
      </c>
      <c r="T2570" s="494">
        <v>25593</v>
      </c>
      <c r="U2570" s="494">
        <v>7501</v>
      </c>
      <c r="V2570" s="493">
        <v>2024</v>
      </c>
      <c r="W2570" s="495"/>
      <c r="X2570" s="496">
        <f t="shared" si="169"/>
        <v>3.4119450739901347</v>
      </c>
      <c r="Y2570" s="497" t="str">
        <f t="shared" si="168"/>
        <v/>
      </c>
      <c r="Z2570" s="497" t="str">
        <f t="shared" si="168"/>
        <v/>
      </c>
    </row>
    <row r="2571" spans="1:26" s="82" customFormat="1" x14ac:dyDescent="0.4">
      <c r="A2571" s="493">
        <v>66222</v>
      </c>
      <c r="B2571" s="105" t="s">
        <v>329</v>
      </c>
      <c r="C2571" s="493" t="s">
        <v>330</v>
      </c>
      <c r="D2571" s="105" t="s">
        <v>3065</v>
      </c>
      <c r="E2571" s="105" t="s">
        <v>2050</v>
      </c>
      <c r="F2571" s="493">
        <v>61194</v>
      </c>
      <c r="G2571" s="105" t="s">
        <v>52</v>
      </c>
      <c r="H2571" s="105" t="s">
        <v>333</v>
      </c>
      <c r="I2571" s="105" t="s">
        <v>334</v>
      </c>
      <c r="J2571" s="493">
        <v>22</v>
      </c>
      <c r="K2571" s="493">
        <v>2</v>
      </c>
      <c r="L2571" s="105" t="s">
        <v>343</v>
      </c>
      <c r="M2571" s="105" t="s">
        <v>403</v>
      </c>
      <c r="N2571" s="105" t="s">
        <v>404</v>
      </c>
      <c r="O2571" s="105" t="s">
        <v>232</v>
      </c>
      <c r="P2571" s="105" t="s">
        <v>346</v>
      </c>
      <c r="Q2571" s="494">
        <v>154</v>
      </c>
      <c r="R2571" s="494">
        <v>154</v>
      </c>
      <c r="S2571" s="494">
        <v>0</v>
      </c>
      <c r="T2571" s="494">
        <v>0</v>
      </c>
      <c r="U2571" s="494">
        <v>-11</v>
      </c>
      <c r="V2571" s="493">
        <v>2024</v>
      </c>
      <c r="W2571" s="495"/>
      <c r="X2571" s="496" t="str">
        <f t="shared" si="169"/>
        <v/>
      </c>
      <c r="Y2571" s="497" t="str">
        <f t="shared" si="168"/>
        <v/>
      </c>
      <c r="Z2571" s="497" t="str">
        <f t="shared" si="168"/>
        <v/>
      </c>
    </row>
    <row r="2572" spans="1:26" s="82" customFormat="1" x14ac:dyDescent="0.4">
      <c r="A2572" s="493">
        <v>66222</v>
      </c>
      <c r="B2572" s="105" t="s">
        <v>329</v>
      </c>
      <c r="C2572" s="493" t="s">
        <v>330</v>
      </c>
      <c r="D2572" s="105" t="s">
        <v>3065</v>
      </c>
      <c r="E2572" s="105" t="s">
        <v>2050</v>
      </c>
      <c r="F2572" s="493">
        <v>61194</v>
      </c>
      <c r="G2572" s="105" t="s">
        <v>52</v>
      </c>
      <c r="H2572" s="105" t="s">
        <v>333</v>
      </c>
      <c r="I2572" s="105" t="s">
        <v>334</v>
      </c>
      <c r="J2572" s="493">
        <v>22</v>
      </c>
      <c r="K2572" s="493">
        <v>2</v>
      </c>
      <c r="L2572" s="105" t="s">
        <v>343</v>
      </c>
      <c r="M2572" s="105" t="s">
        <v>655</v>
      </c>
      <c r="N2572" s="105" t="s">
        <v>656</v>
      </c>
      <c r="O2572" s="105" t="s">
        <v>656</v>
      </c>
      <c r="P2572" s="105" t="s">
        <v>339</v>
      </c>
      <c r="Q2572" s="494">
        <v>0</v>
      </c>
      <c r="R2572" s="494">
        <v>0</v>
      </c>
      <c r="S2572" s="494">
        <v>12054</v>
      </c>
      <c r="T2572" s="494">
        <v>12054</v>
      </c>
      <c r="U2572" s="494">
        <v>3533</v>
      </c>
      <c r="V2572" s="493">
        <v>2024</v>
      </c>
      <c r="W2572" s="495"/>
      <c r="X2572" s="496">
        <f t="shared" si="169"/>
        <v>3.4118313048400792</v>
      </c>
      <c r="Y2572" s="497" t="str">
        <f t="shared" si="168"/>
        <v/>
      </c>
      <c r="Z2572" s="497" t="str">
        <f t="shared" si="168"/>
        <v/>
      </c>
    </row>
    <row r="2573" spans="1:26" s="82" customFormat="1" x14ac:dyDescent="0.4">
      <c r="A2573" s="493">
        <v>66223</v>
      </c>
      <c r="B2573" s="105" t="s">
        <v>329</v>
      </c>
      <c r="C2573" s="493" t="s">
        <v>330</v>
      </c>
      <c r="D2573" s="105" t="s">
        <v>3066</v>
      </c>
      <c r="E2573" s="105" t="s">
        <v>2050</v>
      </c>
      <c r="F2573" s="493">
        <v>61194</v>
      </c>
      <c r="G2573" s="105" t="s">
        <v>52</v>
      </c>
      <c r="H2573" s="105" t="s">
        <v>333</v>
      </c>
      <c r="I2573" s="105" t="s">
        <v>334</v>
      </c>
      <c r="J2573" s="493">
        <v>22</v>
      </c>
      <c r="K2573" s="493">
        <v>2</v>
      </c>
      <c r="L2573" s="105" t="s">
        <v>343</v>
      </c>
      <c r="M2573" s="105" t="s">
        <v>655</v>
      </c>
      <c r="N2573" s="105" t="s">
        <v>656</v>
      </c>
      <c r="O2573" s="105" t="s">
        <v>656</v>
      </c>
      <c r="P2573" s="105" t="s">
        <v>339</v>
      </c>
      <c r="Q2573" s="494">
        <v>0</v>
      </c>
      <c r="R2573" s="494">
        <v>0</v>
      </c>
      <c r="S2573" s="494">
        <v>14148</v>
      </c>
      <c r="T2573" s="494">
        <v>14148</v>
      </c>
      <c r="U2573" s="494">
        <v>4147</v>
      </c>
      <c r="V2573" s="493">
        <v>2024</v>
      </c>
      <c r="W2573" s="495"/>
      <c r="X2573" s="496">
        <f t="shared" si="169"/>
        <v>3.4116228598987219</v>
      </c>
      <c r="Y2573" s="497" t="str">
        <f t="shared" si="168"/>
        <v/>
      </c>
      <c r="Z2573" s="497" t="str">
        <f t="shared" si="168"/>
        <v/>
      </c>
    </row>
    <row r="2574" spans="1:26" s="82" customFormat="1" x14ac:dyDescent="0.4">
      <c r="A2574" s="493">
        <v>66224</v>
      </c>
      <c r="B2574" s="105" t="s">
        <v>329</v>
      </c>
      <c r="C2574" s="493" t="s">
        <v>330</v>
      </c>
      <c r="D2574" s="105" t="s">
        <v>3067</v>
      </c>
      <c r="E2574" s="105" t="s">
        <v>2050</v>
      </c>
      <c r="F2574" s="493">
        <v>61194</v>
      </c>
      <c r="G2574" s="105" t="s">
        <v>52</v>
      </c>
      <c r="H2574" s="105" t="s">
        <v>333</v>
      </c>
      <c r="I2574" s="105" t="s">
        <v>334</v>
      </c>
      <c r="J2574" s="493">
        <v>22</v>
      </c>
      <c r="K2574" s="493">
        <v>2</v>
      </c>
      <c r="L2574" s="105" t="s">
        <v>343</v>
      </c>
      <c r="M2574" s="105" t="s">
        <v>655</v>
      </c>
      <c r="N2574" s="105" t="s">
        <v>656</v>
      </c>
      <c r="O2574" s="105" t="s">
        <v>656</v>
      </c>
      <c r="P2574" s="105" t="s">
        <v>339</v>
      </c>
      <c r="Q2574" s="494">
        <v>0</v>
      </c>
      <c r="R2574" s="494">
        <v>0</v>
      </c>
      <c r="S2574" s="494">
        <v>11662</v>
      </c>
      <c r="T2574" s="494">
        <v>11662</v>
      </c>
      <c r="U2574" s="494">
        <v>3418</v>
      </c>
      <c r="V2574" s="493">
        <v>2024</v>
      </c>
      <c r="W2574" s="495"/>
      <c r="X2574" s="496">
        <f t="shared" si="169"/>
        <v>3.4119368051492103</v>
      </c>
      <c r="Y2574" s="497" t="str">
        <f t="shared" si="168"/>
        <v/>
      </c>
      <c r="Z2574" s="497" t="str">
        <f t="shared" si="168"/>
        <v/>
      </c>
    </row>
    <row r="2575" spans="1:26" s="82" customFormat="1" x14ac:dyDescent="0.4">
      <c r="A2575" s="493">
        <v>66225</v>
      </c>
      <c r="B2575" s="105" t="s">
        <v>329</v>
      </c>
      <c r="C2575" s="493" t="s">
        <v>330</v>
      </c>
      <c r="D2575" s="105" t="s">
        <v>3068</v>
      </c>
      <c r="E2575" s="105" t="s">
        <v>2050</v>
      </c>
      <c r="F2575" s="493">
        <v>61194</v>
      </c>
      <c r="G2575" s="105" t="s">
        <v>52</v>
      </c>
      <c r="H2575" s="105" t="s">
        <v>333</v>
      </c>
      <c r="I2575" s="105" t="s">
        <v>334</v>
      </c>
      <c r="J2575" s="493">
        <v>22</v>
      </c>
      <c r="K2575" s="493">
        <v>2</v>
      </c>
      <c r="L2575" s="105" t="s">
        <v>343</v>
      </c>
      <c r="M2575" s="105" t="s">
        <v>655</v>
      </c>
      <c r="N2575" s="105" t="s">
        <v>656</v>
      </c>
      <c r="O2575" s="105" t="s">
        <v>656</v>
      </c>
      <c r="P2575" s="105" t="s">
        <v>339</v>
      </c>
      <c r="Q2575" s="494">
        <v>0</v>
      </c>
      <c r="R2575" s="494">
        <v>0</v>
      </c>
      <c r="S2575" s="494">
        <v>27642</v>
      </c>
      <c r="T2575" s="494">
        <v>27642</v>
      </c>
      <c r="U2575" s="494">
        <v>8101</v>
      </c>
      <c r="V2575" s="493">
        <v>2024</v>
      </c>
      <c r="W2575" s="495"/>
      <c r="X2575" s="496">
        <f t="shared" si="169"/>
        <v>3.412171336871991</v>
      </c>
      <c r="Y2575" s="497" t="str">
        <f t="shared" si="168"/>
        <v/>
      </c>
      <c r="Z2575" s="497" t="str">
        <f t="shared" si="168"/>
        <v/>
      </c>
    </row>
    <row r="2576" spans="1:26" s="82" customFormat="1" x14ac:dyDescent="0.4">
      <c r="A2576" s="493">
        <v>66226</v>
      </c>
      <c r="B2576" s="105" t="s">
        <v>329</v>
      </c>
      <c r="C2576" s="493" t="s">
        <v>330</v>
      </c>
      <c r="D2576" s="105" t="s">
        <v>3069</v>
      </c>
      <c r="E2576" s="105" t="s">
        <v>2050</v>
      </c>
      <c r="F2576" s="493">
        <v>61194</v>
      </c>
      <c r="G2576" s="105" t="s">
        <v>52</v>
      </c>
      <c r="H2576" s="105" t="s">
        <v>333</v>
      </c>
      <c r="I2576" s="105" t="s">
        <v>334</v>
      </c>
      <c r="J2576" s="493">
        <v>22</v>
      </c>
      <c r="K2576" s="493">
        <v>2</v>
      </c>
      <c r="L2576" s="105" t="s">
        <v>343</v>
      </c>
      <c r="M2576" s="105" t="s">
        <v>655</v>
      </c>
      <c r="N2576" s="105" t="s">
        <v>656</v>
      </c>
      <c r="O2576" s="105" t="s">
        <v>656</v>
      </c>
      <c r="P2576" s="105" t="s">
        <v>339</v>
      </c>
      <c r="Q2576" s="494">
        <v>0</v>
      </c>
      <c r="R2576" s="494">
        <v>0</v>
      </c>
      <c r="S2576" s="494">
        <v>24328</v>
      </c>
      <c r="T2576" s="494">
        <v>24328</v>
      </c>
      <c r="U2576" s="494">
        <v>7130</v>
      </c>
      <c r="V2576" s="493">
        <v>2024</v>
      </c>
      <c r="W2576" s="495"/>
      <c r="X2576" s="496">
        <f t="shared" si="169"/>
        <v>3.4120617110799438</v>
      </c>
      <c r="Y2576" s="497" t="str">
        <f t="shared" si="168"/>
        <v/>
      </c>
      <c r="Z2576" s="497" t="str">
        <f t="shared" si="168"/>
        <v/>
      </c>
    </row>
    <row r="2577" spans="1:26" s="82" customFormat="1" x14ac:dyDescent="0.4">
      <c r="A2577" s="493">
        <v>66227</v>
      </c>
      <c r="B2577" s="105" t="s">
        <v>329</v>
      </c>
      <c r="C2577" s="493" t="s">
        <v>330</v>
      </c>
      <c r="D2577" s="105" t="s">
        <v>3070</v>
      </c>
      <c r="E2577" s="105" t="s">
        <v>2050</v>
      </c>
      <c r="F2577" s="493">
        <v>61194</v>
      </c>
      <c r="G2577" s="105" t="s">
        <v>52</v>
      </c>
      <c r="H2577" s="105" t="s">
        <v>333</v>
      </c>
      <c r="I2577" s="105" t="s">
        <v>334</v>
      </c>
      <c r="J2577" s="493">
        <v>22</v>
      </c>
      <c r="K2577" s="493">
        <v>2</v>
      </c>
      <c r="L2577" s="105" t="s">
        <v>343</v>
      </c>
      <c r="M2577" s="105" t="s">
        <v>655</v>
      </c>
      <c r="N2577" s="105" t="s">
        <v>656</v>
      </c>
      <c r="O2577" s="105" t="s">
        <v>656</v>
      </c>
      <c r="P2577" s="105" t="s">
        <v>339</v>
      </c>
      <c r="Q2577" s="494">
        <v>0</v>
      </c>
      <c r="R2577" s="494">
        <v>0</v>
      </c>
      <c r="S2577" s="494">
        <v>11285</v>
      </c>
      <c r="T2577" s="494">
        <v>11285</v>
      </c>
      <c r="U2577" s="494">
        <v>3307</v>
      </c>
      <c r="V2577" s="493">
        <v>2024</v>
      </c>
      <c r="W2577" s="495"/>
      <c r="X2577" s="496">
        <f t="shared" si="169"/>
        <v>3.4124584215300877</v>
      </c>
      <c r="Y2577" s="497" t="str">
        <f t="shared" si="168"/>
        <v/>
      </c>
      <c r="Z2577" s="497" t="str">
        <f t="shared" si="168"/>
        <v/>
      </c>
    </row>
    <row r="2578" spans="1:26" s="82" customFormat="1" x14ac:dyDescent="0.4">
      <c r="A2578" s="493">
        <v>66228</v>
      </c>
      <c r="B2578" s="105" t="s">
        <v>329</v>
      </c>
      <c r="C2578" s="493" t="s">
        <v>330</v>
      </c>
      <c r="D2578" s="105" t="s">
        <v>3071</v>
      </c>
      <c r="E2578" s="105" t="s">
        <v>2050</v>
      </c>
      <c r="F2578" s="493">
        <v>61194</v>
      </c>
      <c r="G2578" s="105" t="s">
        <v>52</v>
      </c>
      <c r="H2578" s="105" t="s">
        <v>333</v>
      </c>
      <c r="I2578" s="105" t="s">
        <v>334</v>
      </c>
      <c r="J2578" s="493">
        <v>22</v>
      </c>
      <c r="K2578" s="493">
        <v>2</v>
      </c>
      <c r="L2578" s="105" t="s">
        <v>343</v>
      </c>
      <c r="M2578" s="105" t="s">
        <v>403</v>
      </c>
      <c r="N2578" s="105" t="s">
        <v>404</v>
      </c>
      <c r="O2578" s="105" t="s">
        <v>232</v>
      </c>
      <c r="P2578" s="105" t="s">
        <v>346</v>
      </c>
      <c r="Q2578" s="494">
        <v>386</v>
      </c>
      <c r="R2578" s="494">
        <v>386</v>
      </c>
      <c r="S2578" s="494">
        <v>0</v>
      </c>
      <c r="T2578" s="494">
        <v>0</v>
      </c>
      <c r="U2578" s="494">
        <v>-33</v>
      </c>
      <c r="V2578" s="493">
        <v>2024</v>
      </c>
      <c r="W2578" s="495"/>
      <c r="X2578" s="496" t="str">
        <f t="shared" si="169"/>
        <v/>
      </c>
      <c r="Y2578" s="497" t="str">
        <f t="shared" si="168"/>
        <v/>
      </c>
      <c r="Z2578" s="497" t="str">
        <f t="shared" si="168"/>
        <v/>
      </c>
    </row>
    <row r="2579" spans="1:26" s="82" customFormat="1" x14ac:dyDescent="0.4">
      <c r="A2579" s="493">
        <v>66228</v>
      </c>
      <c r="B2579" s="105" t="s">
        <v>329</v>
      </c>
      <c r="C2579" s="493" t="s">
        <v>330</v>
      </c>
      <c r="D2579" s="105" t="s">
        <v>3071</v>
      </c>
      <c r="E2579" s="105" t="s">
        <v>2050</v>
      </c>
      <c r="F2579" s="493">
        <v>61194</v>
      </c>
      <c r="G2579" s="105" t="s">
        <v>52</v>
      </c>
      <c r="H2579" s="105" t="s">
        <v>333</v>
      </c>
      <c r="I2579" s="105" t="s">
        <v>334</v>
      </c>
      <c r="J2579" s="493">
        <v>22</v>
      </c>
      <c r="K2579" s="493">
        <v>2</v>
      </c>
      <c r="L2579" s="105" t="s">
        <v>343</v>
      </c>
      <c r="M2579" s="105" t="s">
        <v>655</v>
      </c>
      <c r="N2579" s="105" t="s">
        <v>656</v>
      </c>
      <c r="O2579" s="105" t="s">
        <v>656</v>
      </c>
      <c r="P2579" s="105" t="s">
        <v>339</v>
      </c>
      <c r="Q2579" s="494">
        <v>0</v>
      </c>
      <c r="R2579" s="494">
        <v>0</v>
      </c>
      <c r="S2579" s="494">
        <v>11395</v>
      </c>
      <c r="T2579" s="494">
        <v>11395</v>
      </c>
      <c r="U2579" s="494">
        <v>3340</v>
      </c>
      <c r="V2579" s="493">
        <v>2024</v>
      </c>
      <c r="W2579" s="495"/>
      <c r="X2579" s="496">
        <f t="shared" si="169"/>
        <v>3.4116766467065869</v>
      </c>
      <c r="Y2579" s="497" t="str">
        <f t="shared" si="168"/>
        <v/>
      </c>
      <c r="Z2579" s="497" t="str">
        <f t="shared" si="168"/>
        <v/>
      </c>
    </row>
    <row r="2580" spans="1:26" s="82" customFormat="1" x14ac:dyDescent="0.4">
      <c r="A2580" s="493">
        <v>66229</v>
      </c>
      <c r="B2580" s="105" t="s">
        <v>329</v>
      </c>
      <c r="C2580" s="493" t="s">
        <v>330</v>
      </c>
      <c r="D2580" s="105" t="s">
        <v>3072</v>
      </c>
      <c r="E2580" s="105" t="s">
        <v>2050</v>
      </c>
      <c r="F2580" s="493">
        <v>61194</v>
      </c>
      <c r="G2580" s="105" t="s">
        <v>52</v>
      </c>
      <c r="H2580" s="105" t="s">
        <v>333</v>
      </c>
      <c r="I2580" s="105" t="s">
        <v>334</v>
      </c>
      <c r="J2580" s="493">
        <v>22</v>
      </c>
      <c r="K2580" s="493">
        <v>2</v>
      </c>
      <c r="L2580" s="105" t="s">
        <v>343</v>
      </c>
      <c r="M2580" s="105" t="s">
        <v>655</v>
      </c>
      <c r="N2580" s="105" t="s">
        <v>656</v>
      </c>
      <c r="O2580" s="105" t="s">
        <v>656</v>
      </c>
      <c r="P2580" s="105" t="s">
        <v>339</v>
      </c>
      <c r="Q2580" s="494">
        <v>0</v>
      </c>
      <c r="R2580" s="494">
        <v>0</v>
      </c>
      <c r="S2580" s="494">
        <v>12794</v>
      </c>
      <c r="T2580" s="494">
        <v>12794</v>
      </c>
      <c r="U2580" s="494">
        <v>3750</v>
      </c>
      <c r="V2580" s="493">
        <v>2024</v>
      </c>
      <c r="W2580" s="495"/>
      <c r="X2580" s="496">
        <f t="shared" si="169"/>
        <v>3.4117333333333333</v>
      </c>
      <c r="Y2580" s="497" t="str">
        <f t="shared" si="168"/>
        <v/>
      </c>
      <c r="Z2580" s="497" t="str">
        <f t="shared" si="168"/>
        <v/>
      </c>
    </row>
    <row r="2581" spans="1:26" s="82" customFormat="1" x14ac:dyDescent="0.4">
      <c r="A2581" s="493">
        <v>66230</v>
      </c>
      <c r="B2581" s="105" t="s">
        <v>329</v>
      </c>
      <c r="C2581" s="493" t="s">
        <v>330</v>
      </c>
      <c r="D2581" s="105" t="s">
        <v>3073</v>
      </c>
      <c r="E2581" s="105" t="s">
        <v>2050</v>
      </c>
      <c r="F2581" s="493">
        <v>61194</v>
      </c>
      <c r="G2581" s="105" t="s">
        <v>52</v>
      </c>
      <c r="H2581" s="105" t="s">
        <v>333</v>
      </c>
      <c r="I2581" s="105" t="s">
        <v>334</v>
      </c>
      <c r="J2581" s="493">
        <v>22</v>
      </c>
      <c r="K2581" s="493">
        <v>2</v>
      </c>
      <c r="L2581" s="105" t="s">
        <v>343</v>
      </c>
      <c r="M2581" s="105" t="s">
        <v>655</v>
      </c>
      <c r="N2581" s="105" t="s">
        <v>656</v>
      </c>
      <c r="O2581" s="105" t="s">
        <v>656</v>
      </c>
      <c r="P2581" s="105" t="s">
        <v>339</v>
      </c>
      <c r="Q2581" s="494">
        <v>0</v>
      </c>
      <c r="R2581" s="494">
        <v>0</v>
      </c>
      <c r="S2581" s="494">
        <v>28808</v>
      </c>
      <c r="T2581" s="494">
        <v>28808</v>
      </c>
      <c r="U2581" s="494">
        <v>8443</v>
      </c>
      <c r="V2581" s="493">
        <v>2024</v>
      </c>
      <c r="W2581" s="495"/>
      <c r="X2581" s="496">
        <f t="shared" si="169"/>
        <v>3.4120573255951676</v>
      </c>
      <c r="Y2581" s="497" t="str">
        <f t="shared" si="168"/>
        <v/>
      </c>
      <c r="Z2581" s="497" t="str">
        <f t="shared" si="168"/>
        <v/>
      </c>
    </row>
    <row r="2582" spans="1:26" s="82" customFormat="1" x14ac:dyDescent="0.4">
      <c r="A2582" s="493">
        <v>66231</v>
      </c>
      <c r="B2582" s="105" t="s">
        <v>329</v>
      </c>
      <c r="C2582" s="493" t="s">
        <v>330</v>
      </c>
      <c r="D2582" s="105" t="s">
        <v>3074</v>
      </c>
      <c r="E2582" s="105" t="s">
        <v>2050</v>
      </c>
      <c r="F2582" s="493">
        <v>61194</v>
      </c>
      <c r="G2582" s="105" t="s">
        <v>52</v>
      </c>
      <c r="H2582" s="105" t="s">
        <v>333</v>
      </c>
      <c r="I2582" s="105" t="s">
        <v>334</v>
      </c>
      <c r="J2582" s="493">
        <v>22</v>
      </c>
      <c r="K2582" s="493">
        <v>2</v>
      </c>
      <c r="L2582" s="105" t="s">
        <v>343</v>
      </c>
      <c r="M2582" s="105" t="s">
        <v>655</v>
      </c>
      <c r="N2582" s="105" t="s">
        <v>656</v>
      </c>
      <c r="O2582" s="105" t="s">
        <v>656</v>
      </c>
      <c r="P2582" s="105" t="s">
        <v>339</v>
      </c>
      <c r="Q2582" s="494">
        <v>0</v>
      </c>
      <c r="R2582" s="494">
        <v>0</v>
      </c>
      <c r="S2582" s="494">
        <v>23570</v>
      </c>
      <c r="T2582" s="494">
        <v>23570</v>
      </c>
      <c r="U2582" s="494">
        <v>6908</v>
      </c>
      <c r="V2582" s="493">
        <v>2024</v>
      </c>
      <c r="W2582" s="495"/>
      <c r="X2582" s="496">
        <f t="shared" si="169"/>
        <v>3.4119861030689056</v>
      </c>
      <c r="Y2582" s="497" t="str">
        <f t="shared" si="168"/>
        <v/>
      </c>
      <c r="Z2582" s="497" t="str">
        <f t="shared" si="168"/>
        <v/>
      </c>
    </row>
    <row r="2583" spans="1:26" s="82" customFormat="1" x14ac:dyDescent="0.4">
      <c r="A2583" s="493">
        <v>66232</v>
      </c>
      <c r="B2583" s="105" t="s">
        <v>329</v>
      </c>
      <c r="C2583" s="493" t="s">
        <v>330</v>
      </c>
      <c r="D2583" s="105" t="s">
        <v>3075</v>
      </c>
      <c r="E2583" s="105" t="s">
        <v>2050</v>
      </c>
      <c r="F2583" s="493">
        <v>61194</v>
      </c>
      <c r="G2583" s="105" t="s">
        <v>52</v>
      </c>
      <c r="H2583" s="105" t="s">
        <v>333</v>
      </c>
      <c r="I2583" s="105" t="s">
        <v>334</v>
      </c>
      <c r="J2583" s="493">
        <v>22</v>
      </c>
      <c r="K2583" s="493">
        <v>2</v>
      </c>
      <c r="L2583" s="105" t="s">
        <v>343</v>
      </c>
      <c r="M2583" s="105" t="s">
        <v>403</v>
      </c>
      <c r="N2583" s="105" t="s">
        <v>404</v>
      </c>
      <c r="O2583" s="105" t="s">
        <v>232</v>
      </c>
      <c r="P2583" s="105" t="s">
        <v>346</v>
      </c>
      <c r="Q2583" s="494">
        <v>0</v>
      </c>
      <c r="R2583" s="494">
        <v>0</v>
      </c>
      <c r="S2583" s="494">
        <v>0</v>
      </c>
      <c r="T2583" s="494">
        <v>0</v>
      </c>
      <c r="U2583" s="494">
        <v>0</v>
      </c>
      <c r="V2583" s="493">
        <v>2024</v>
      </c>
      <c r="W2583" s="495"/>
      <c r="X2583" s="496" t="str">
        <f t="shared" si="169"/>
        <v/>
      </c>
      <c r="Y2583" s="497" t="str">
        <f t="shared" si="168"/>
        <v/>
      </c>
      <c r="Z2583" s="497" t="str">
        <f t="shared" si="168"/>
        <v/>
      </c>
    </row>
    <row r="2584" spans="1:26" s="82" customFormat="1" x14ac:dyDescent="0.4">
      <c r="A2584" s="493">
        <v>66232</v>
      </c>
      <c r="B2584" s="105" t="s">
        <v>329</v>
      </c>
      <c r="C2584" s="493" t="s">
        <v>330</v>
      </c>
      <c r="D2584" s="105" t="s">
        <v>3075</v>
      </c>
      <c r="E2584" s="105" t="s">
        <v>2050</v>
      </c>
      <c r="F2584" s="493">
        <v>61194</v>
      </c>
      <c r="G2584" s="105" t="s">
        <v>52</v>
      </c>
      <c r="H2584" s="105" t="s">
        <v>333</v>
      </c>
      <c r="I2584" s="105" t="s">
        <v>334</v>
      </c>
      <c r="J2584" s="493">
        <v>22</v>
      </c>
      <c r="K2584" s="493">
        <v>2</v>
      </c>
      <c r="L2584" s="105" t="s">
        <v>343</v>
      </c>
      <c r="M2584" s="105" t="s">
        <v>655</v>
      </c>
      <c r="N2584" s="105" t="s">
        <v>656</v>
      </c>
      <c r="O2584" s="105" t="s">
        <v>656</v>
      </c>
      <c r="P2584" s="105" t="s">
        <v>339</v>
      </c>
      <c r="Q2584" s="494">
        <v>0</v>
      </c>
      <c r="R2584" s="494">
        <v>0</v>
      </c>
      <c r="S2584" s="494">
        <v>8910</v>
      </c>
      <c r="T2584" s="494">
        <v>8910</v>
      </c>
      <c r="U2584" s="494">
        <v>2611</v>
      </c>
      <c r="V2584" s="493">
        <v>2024</v>
      </c>
      <c r="W2584" s="495"/>
      <c r="X2584" s="496">
        <f t="shared" si="169"/>
        <v>3.4124856376867099</v>
      </c>
      <c r="Y2584" s="497" t="str">
        <f t="shared" si="168"/>
        <v/>
      </c>
      <c r="Z2584" s="497" t="str">
        <f t="shared" si="168"/>
        <v/>
      </c>
    </row>
    <row r="2585" spans="1:26" s="82" customFormat="1" x14ac:dyDescent="0.4">
      <c r="A2585" s="493">
        <v>66233</v>
      </c>
      <c r="B2585" s="105" t="s">
        <v>329</v>
      </c>
      <c r="C2585" s="493" t="s">
        <v>330</v>
      </c>
      <c r="D2585" s="105" t="s">
        <v>3076</v>
      </c>
      <c r="E2585" s="105" t="s">
        <v>2050</v>
      </c>
      <c r="F2585" s="493">
        <v>61194</v>
      </c>
      <c r="G2585" s="105" t="s">
        <v>52</v>
      </c>
      <c r="H2585" s="105" t="s">
        <v>333</v>
      </c>
      <c r="I2585" s="105" t="s">
        <v>334</v>
      </c>
      <c r="J2585" s="493">
        <v>22</v>
      </c>
      <c r="K2585" s="493">
        <v>2</v>
      </c>
      <c r="L2585" s="105" t="s">
        <v>343</v>
      </c>
      <c r="M2585" s="105" t="s">
        <v>655</v>
      </c>
      <c r="N2585" s="105" t="s">
        <v>656</v>
      </c>
      <c r="O2585" s="105" t="s">
        <v>656</v>
      </c>
      <c r="P2585" s="105" t="s">
        <v>339</v>
      </c>
      <c r="Q2585" s="494">
        <v>0</v>
      </c>
      <c r="R2585" s="494">
        <v>0</v>
      </c>
      <c r="S2585" s="494">
        <v>28811</v>
      </c>
      <c r="T2585" s="494">
        <v>28811</v>
      </c>
      <c r="U2585" s="494">
        <v>8444</v>
      </c>
      <c r="V2585" s="493">
        <v>2024</v>
      </c>
      <c r="W2585" s="495"/>
      <c r="X2585" s="496">
        <f t="shared" si="169"/>
        <v>3.4120085267645663</v>
      </c>
      <c r="Y2585" s="497" t="str">
        <f t="shared" si="168"/>
        <v/>
      </c>
      <c r="Z2585" s="497" t="str">
        <f t="shared" si="168"/>
        <v/>
      </c>
    </row>
    <row r="2586" spans="1:26" s="82" customFormat="1" x14ac:dyDescent="0.4">
      <c r="A2586" s="493">
        <v>66234</v>
      </c>
      <c r="B2586" s="105" t="s">
        <v>329</v>
      </c>
      <c r="C2586" s="493" t="s">
        <v>330</v>
      </c>
      <c r="D2586" s="105" t="s">
        <v>3077</v>
      </c>
      <c r="E2586" s="105" t="s">
        <v>2050</v>
      </c>
      <c r="F2586" s="493">
        <v>61194</v>
      </c>
      <c r="G2586" s="105" t="s">
        <v>52</v>
      </c>
      <c r="H2586" s="105" t="s">
        <v>333</v>
      </c>
      <c r="I2586" s="105" t="s">
        <v>334</v>
      </c>
      <c r="J2586" s="493">
        <v>22</v>
      </c>
      <c r="K2586" s="493">
        <v>2</v>
      </c>
      <c r="L2586" s="105" t="s">
        <v>343</v>
      </c>
      <c r="M2586" s="105" t="s">
        <v>655</v>
      </c>
      <c r="N2586" s="105" t="s">
        <v>656</v>
      </c>
      <c r="O2586" s="105" t="s">
        <v>656</v>
      </c>
      <c r="P2586" s="105" t="s">
        <v>339</v>
      </c>
      <c r="Q2586" s="494">
        <v>0</v>
      </c>
      <c r="R2586" s="494">
        <v>0</v>
      </c>
      <c r="S2586" s="494">
        <v>26824</v>
      </c>
      <c r="T2586" s="494">
        <v>26824</v>
      </c>
      <c r="U2586" s="494">
        <v>7862</v>
      </c>
      <c r="V2586" s="493">
        <v>2024</v>
      </c>
      <c r="W2586" s="495"/>
      <c r="X2586" s="496">
        <f t="shared" si="169"/>
        <v>3.4118544899516663</v>
      </c>
      <c r="Y2586" s="497" t="str">
        <f t="shared" si="168"/>
        <v/>
      </c>
      <c r="Z2586" s="497" t="str">
        <f t="shared" si="168"/>
        <v/>
      </c>
    </row>
    <row r="2587" spans="1:26" s="82" customFormat="1" x14ac:dyDescent="0.4">
      <c r="A2587" s="493">
        <v>66235</v>
      </c>
      <c r="B2587" s="105" t="s">
        <v>329</v>
      </c>
      <c r="C2587" s="493" t="s">
        <v>330</v>
      </c>
      <c r="D2587" s="105" t="s">
        <v>3078</v>
      </c>
      <c r="E2587" s="105" t="s">
        <v>2050</v>
      </c>
      <c r="F2587" s="493">
        <v>61194</v>
      </c>
      <c r="G2587" s="105" t="s">
        <v>52</v>
      </c>
      <c r="H2587" s="105" t="s">
        <v>333</v>
      </c>
      <c r="I2587" s="105" t="s">
        <v>334</v>
      </c>
      <c r="J2587" s="493">
        <v>22</v>
      </c>
      <c r="K2587" s="493">
        <v>2</v>
      </c>
      <c r="L2587" s="105" t="s">
        <v>343</v>
      </c>
      <c r="M2587" s="105" t="s">
        <v>655</v>
      </c>
      <c r="N2587" s="105" t="s">
        <v>656</v>
      </c>
      <c r="O2587" s="105" t="s">
        <v>656</v>
      </c>
      <c r="P2587" s="105" t="s">
        <v>339</v>
      </c>
      <c r="Q2587" s="494">
        <v>0</v>
      </c>
      <c r="R2587" s="494">
        <v>0</v>
      </c>
      <c r="S2587" s="494">
        <v>27358</v>
      </c>
      <c r="T2587" s="494">
        <v>27358</v>
      </c>
      <c r="U2587" s="494">
        <v>8018</v>
      </c>
      <c r="V2587" s="493">
        <v>2024</v>
      </c>
      <c r="W2587" s="495"/>
      <c r="X2587" s="496">
        <f t="shared" si="169"/>
        <v>3.4120728361187327</v>
      </c>
      <c r="Y2587" s="497" t="str">
        <f t="shared" si="168"/>
        <v/>
      </c>
      <c r="Z2587" s="497" t="str">
        <f t="shared" si="168"/>
        <v/>
      </c>
    </row>
    <row r="2588" spans="1:26" s="82" customFormat="1" x14ac:dyDescent="0.4">
      <c r="A2588" s="493">
        <v>66236</v>
      </c>
      <c r="B2588" s="105" t="s">
        <v>329</v>
      </c>
      <c r="C2588" s="493" t="s">
        <v>330</v>
      </c>
      <c r="D2588" s="105" t="s">
        <v>3079</v>
      </c>
      <c r="E2588" s="105" t="s">
        <v>2050</v>
      </c>
      <c r="F2588" s="493">
        <v>61194</v>
      </c>
      <c r="G2588" s="105" t="s">
        <v>52</v>
      </c>
      <c r="H2588" s="105" t="s">
        <v>333</v>
      </c>
      <c r="I2588" s="105" t="s">
        <v>334</v>
      </c>
      <c r="J2588" s="493">
        <v>22</v>
      </c>
      <c r="K2588" s="493">
        <v>2</v>
      </c>
      <c r="L2588" s="105" t="s">
        <v>343</v>
      </c>
      <c r="M2588" s="105" t="s">
        <v>655</v>
      </c>
      <c r="N2588" s="105" t="s">
        <v>656</v>
      </c>
      <c r="O2588" s="105" t="s">
        <v>656</v>
      </c>
      <c r="P2588" s="105" t="s">
        <v>339</v>
      </c>
      <c r="Q2588" s="494">
        <v>0</v>
      </c>
      <c r="R2588" s="494">
        <v>0</v>
      </c>
      <c r="S2588" s="494">
        <v>27772</v>
      </c>
      <c r="T2588" s="494">
        <v>27772</v>
      </c>
      <c r="U2588" s="494">
        <v>8139</v>
      </c>
      <c r="V2588" s="493">
        <v>2024</v>
      </c>
      <c r="W2588" s="495"/>
      <c r="X2588" s="496">
        <f t="shared" si="169"/>
        <v>3.4122128025555964</v>
      </c>
      <c r="Y2588" s="497" t="str">
        <f t="shared" ref="Y2588:Z2607" si="170">IF(AND($M2588=$Y$2,$N2588=$Y$3,NOT($Q2588=$R2588),NOT($U2588=0)),IF($K2588=5,$S2588/($U2588+(8/5)*$U2588),IF($K2588=7,$S2588/($U2588+(29/25)*$U2588),"")),"")</f>
        <v/>
      </c>
      <c r="Z2588" s="497" t="str">
        <f t="shared" si="170"/>
        <v/>
      </c>
    </row>
    <row r="2589" spans="1:26" s="82" customFormat="1" ht="32" x14ac:dyDescent="0.4">
      <c r="A2589" s="493">
        <v>66243</v>
      </c>
      <c r="B2589" s="105" t="s">
        <v>329</v>
      </c>
      <c r="C2589" s="493" t="s">
        <v>330</v>
      </c>
      <c r="D2589" s="105" t="s">
        <v>3080</v>
      </c>
      <c r="E2589" s="105" t="s">
        <v>3081</v>
      </c>
      <c r="F2589" s="493">
        <v>65340</v>
      </c>
      <c r="G2589" s="105" t="s">
        <v>34</v>
      </c>
      <c r="H2589" s="105" t="s">
        <v>342</v>
      </c>
      <c r="I2589" s="105" t="s">
        <v>334</v>
      </c>
      <c r="J2589" s="493">
        <v>22</v>
      </c>
      <c r="K2589" s="493">
        <v>2</v>
      </c>
      <c r="L2589" s="105" t="s">
        <v>343</v>
      </c>
      <c r="M2589" s="105" t="s">
        <v>655</v>
      </c>
      <c r="N2589" s="105" t="s">
        <v>656</v>
      </c>
      <c r="O2589" s="105" t="s">
        <v>656</v>
      </c>
      <c r="P2589" s="105" t="s">
        <v>339</v>
      </c>
      <c r="Q2589" s="494">
        <v>0</v>
      </c>
      <c r="R2589" s="494">
        <v>0</v>
      </c>
      <c r="S2589" s="494">
        <v>23641</v>
      </c>
      <c r="T2589" s="494">
        <v>23641</v>
      </c>
      <c r="U2589" s="494">
        <v>6929</v>
      </c>
      <c r="V2589" s="493">
        <v>2024</v>
      </c>
      <c r="W2589" s="495"/>
      <c r="X2589" s="496">
        <f t="shared" si="169"/>
        <v>3.411892047914562</v>
      </c>
      <c r="Y2589" s="497" t="str">
        <f t="shared" si="170"/>
        <v/>
      </c>
      <c r="Z2589" s="497" t="str">
        <f t="shared" si="170"/>
        <v/>
      </c>
    </row>
    <row r="2590" spans="1:26" s="82" customFormat="1" x14ac:dyDescent="0.4">
      <c r="A2590" s="493">
        <v>66244</v>
      </c>
      <c r="B2590" s="105" t="s">
        <v>329</v>
      </c>
      <c r="C2590" s="493" t="s">
        <v>330</v>
      </c>
      <c r="D2590" s="105" t="s">
        <v>3082</v>
      </c>
      <c r="E2590" s="105" t="s">
        <v>3083</v>
      </c>
      <c r="F2590" s="493">
        <v>65349</v>
      </c>
      <c r="G2590" s="105" t="s">
        <v>34</v>
      </c>
      <c r="H2590" s="105" t="s">
        <v>342</v>
      </c>
      <c r="I2590" s="105" t="s">
        <v>334</v>
      </c>
      <c r="J2590" s="493">
        <v>22</v>
      </c>
      <c r="K2590" s="493">
        <v>2</v>
      </c>
      <c r="L2590" s="105" t="s">
        <v>343</v>
      </c>
      <c r="M2590" s="105" t="s">
        <v>655</v>
      </c>
      <c r="N2590" s="105" t="s">
        <v>656</v>
      </c>
      <c r="O2590" s="105" t="s">
        <v>656</v>
      </c>
      <c r="P2590" s="105" t="s">
        <v>339</v>
      </c>
      <c r="Q2590" s="494">
        <v>0</v>
      </c>
      <c r="R2590" s="494">
        <v>0</v>
      </c>
      <c r="S2590" s="494">
        <v>20015</v>
      </c>
      <c r="T2590" s="494">
        <v>20015</v>
      </c>
      <c r="U2590" s="494">
        <v>5866</v>
      </c>
      <c r="V2590" s="493">
        <v>2024</v>
      </c>
      <c r="W2590" s="495"/>
      <c r="X2590" s="496">
        <f t="shared" si="169"/>
        <v>3.412035458574838</v>
      </c>
      <c r="Y2590" s="497" t="str">
        <f t="shared" si="170"/>
        <v/>
      </c>
      <c r="Z2590" s="497" t="str">
        <f t="shared" si="170"/>
        <v/>
      </c>
    </row>
    <row r="2591" spans="1:26" s="82" customFormat="1" x14ac:dyDescent="0.4">
      <c r="A2591" s="493">
        <v>66245</v>
      </c>
      <c r="B2591" s="105" t="s">
        <v>329</v>
      </c>
      <c r="C2591" s="493" t="s">
        <v>330</v>
      </c>
      <c r="D2591" s="105" t="s">
        <v>3084</v>
      </c>
      <c r="E2591" s="105" t="s">
        <v>3085</v>
      </c>
      <c r="F2591" s="493">
        <v>65350</v>
      </c>
      <c r="G2591" s="105" t="s">
        <v>34</v>
      </c>
      <c r="H2591" s="105" t="s">
        <v>342</v>
      </c>
      <c r="I2591" s="105" t="s">
        <v>334</v>
      </c>
      <c r="J2591" s="493">
        <v>22</v>
      </c>
      <c r="K2591" s="493">
        <v>2</v>
      </c>
      <c r="L2591" s="105" t="s">
        <v>343</v>
      </c>
      <c r="M2591" s="105" t="s">
        <v>655</v>
      </c>
      <c r="N2591" s="105" t="s">
        <v>656</v>
      </c>
      <c r="O2591" s="105" t="s">
        <v>656</v>
      </c>
      <c r="P2591" s="105" t="s">
        <v>339</v>
      </c>
      <c r="Q2591" s="494">
        <v>0</v>
      </c>
      <c r="R2591" s="494">
        <v>0</v>
      </c>
      <c r="S2591" s="494">
        <v>22234</v>
      </c>
      <c r="T2591" s="494">
        <v>22234</v>
      </c>
      <c r="U2591" s="494">
        <v>6516</v>
      </c>
      <c r="V2591" s="493">
        <v>2024</v>
      </c>
      <c r="W2591" s="495"/>
      <c r="X2591" s="496">
        <f t="shared" si="169"/>
        <v>3.4122160834868018</v>
      </c>
      <c r="Y2591" s="497" t="str">
        <f t="shared" si="170"/>
        <v/>
      </c>
      <c r="Z2591" s="497" t="str">
        <f t="shared" si="170"/>
        <v/>
      </c>
    </row>
    <row r="2592" spans="1:26" s="82" customFormat="1" x14ac:dyDescent="0.4">
      <c r="A2592" s="493">
        <v>66246</v>
      </c>
      <c r="B2592" s="105" t="s">
        <v>329</v>
      </c>
      <c r="C2592" s="493" t="s">
        <v>330</v>
      </c>
      <c r="D2592" s="105" t="s">
        <v>3086</v>
      </c>
      <c r="E2592" s="105" t="s">
        <v>3087</v>
      </c>
      <c r="F2592" s="493">
        <v>65351</v>
      </c>
      <c r="G2592" s="105" t="s">
        <v>34</v>
      </c>
      <c r="H2592" s="105" t="s">
        <v>342</v>
      </c>
      <c r="I2592" s="105" t="s">
        <v>334</v>
      </c>
      <c r="J2592" s="493">
        <v>22</v>
      </c>
      <c r="K2592" s="493">
        <v>2</v>
      </c>
      <c r="L2592" s="105" t="s">
        <v>343</v>
      </c>
      <c r="M2592" s="105" t="s">
        <v>655</v>
      </c>
      <c r="N2592" s="105" t="s">
        <v>656</v>
      </c>
      <c r="O2592" s="105" t="s">
        <v>656</v>
      </c>
      <c r="P2592" s="105" t="s">
        <v>339</v>
      </c>
      <c r="Q2592" s="494">
        <v>0</v>
      </c>
      <c r="R2592" s="494">
        <v>0</v>
      </c>
      <c r="S2592" s="494">
        <v>10079</v>
      </c>
      <c r="T2592" s="494">
        <v>10079</v>
      </c>
      <c r="U2592" s="494">
        <v>2954</v>
      </c>
      <c r="V2592" s="493">
        <v>2024</v>
      </c>
      <c r="W2592" s="495"/>
      <c r="X2592" s="496">
        <f t="shared" si="169"/>
        <v>3.4119837508463102</v>
      </c>
      <c r="Y2592" s="497" t="str">
        <f t="shared" si="170"/>
        <v/>
      </c>
      <c r="Z2592" s="497" t="str">
        <f t="shared" si="170"/>
        <v/>
      </c>
    </row>
    <row r="2593" spans="1:26" s="82" customFormat="1" x14ac:dyDescent="0.4">
      <c r="A2593" s="493">
        <v>66256</v>
      </c>
      <c r="B2593" s="105" t="s">
        <v>329</v>
      </c>
      <c r="C2593" s="493" t="s">
        <v>330</v>
      </c>
      <c r="D2593" s="105" t="s">
        <v>3088</v>
      </c>
      <c r="E2593" s="105" t="s">
        <v>3089</v>
      </c>
      <c r="F2593" s="493">
        <v>66157</v>
      </c>
      <c r="G2593" s="105" t="s">
        <v>52</v>
      </c>
      <c r="H2593" s="105" t="s">
        <v>333</v>
      </c>
      <c r="I2593" s="105" t="s">
        <v>334</v>
      </c>
      <c r="J2593" s="493">
        <v>22</v>
      </c>
      <c r="K2593" s="493">
        <v>2</v>
      </c>
      <c r="L2593" s="105" t="s">
        <v>343</v>
      </c>
      <c r="M2593" s="105" t="s">
        <v>655</v>
      </c>
      <c r="N2593" s="105" t="s">
        <v>656</v>
      </c>
      <c r="O2593" s="105" t="s">
        <v>656</v>
      </c>
      <c r="P2593" s="105" t="s">
        <v>339</v>
      </c>
      <c r="Q2593" s="494">
        <v>0</v>
      </c>
      <c r="R2593" s="494">
        <v>0</v>
      </c>
      <c r="S2593" s="494">
        <v>28666</v>
      </c>
      <c r="T2593" s="494">
        <v>28666</v>
      </c>
      <c r="U2593" s="494">
        <v>8401</v>
      </c>
      <c r="V2593" s="493">
        <v>2024</v>
      </c>
      <c r="W2593" s="495"/>
      <c r="X2593" s="496">
        <f t="shared" si="169"/>
        <v>3.4122128318057374</v>
      </c>
      <c r="Y2593" s="497" t="str">
        <f t="shared" si="170"/>
        <v/>
      </c>
      <c r="Z2593" s="497" t="str">
        <f t="shared" si="170"/>
        <v/>
      </c>
    </row>
    <row r="2594" spans="1:26" s="82" customFormat="1" x14ac:dyDescent="0.4">
      <c r="A2594" s="493">
        <v>66258</v>
      </c>
      <c r="B2594" s="105" t="s">
        <v>329</v>
      </c>
      <c r="C2594" s="493" t="s">
        <v>330</v>
      </c>
      <c r="D2594" s="105" t="s">
        <v>3090</v>
      </c>
      <c r="E2594" s="105" t="s">
        <v>3091</v>
      </c>
      <c r="F2594" s="493">
        <v>66159</v>
      </c>
      <c r="G2594" s="105" t="s">
        <v>52</v>
      </c>
      <c r="H2594" s="105" t="s">
        <v>333</v>
      </c>
      <c r="I2594" s="105" t="s">
        <v>334</v>
      </c>
      <c r="J2594" s="493">
        <v>22</v>
      </c>
      <c r="K2594" s="493">
        <v>2</v>
      </c>
      <c r="L2594" s="105" t="s">
        <v>343</v>
      </c>
      <c r="M2594" s="105" t="s">
        <v>655</v>
      </c>
      <c r="N2594" s="105" t="s">
        <v>656</v>
      </c>
      <c r="O2594" s="105" t="s">
        <v>656</v>
      </c>
      <c r="P2594" s="105" t="s">
        <v>339</v>
      </c>
      <c r="Q2594" s="494">
        <v>0</v>
      </c>
      <c r="R2594" s="494">
        <v>0</v>
      </c>
      <c r="S2594" s="494">
        <v>17555</v>
      </c>
      <c r="T2594" s="494">
        <v>17555</v>
      </c>
      <c r="U2594" s="494">
        <v>5145</v>
      </c>
      <c r="V2594" s="493">
        <v>2024</v>
      </c>
      <c r="W2594" s="495"/>
      <c r="X2594" s="496">
        <f t="shared" si="169"/>
        <v>3.4120505344995142</v>
      </c>
      <c r="Y2594" s="497" t="str">
        <f t="shared" si="170"/>
        <v/>
      </c>
      <c r="Z2594" s="497" t="str">
        <f t="shared" si="170"/>
        <v/>
      </c>
    </row>
    <row r="2595" spans="1:26" s="82" customFormat="1" ht="32" x14ac:dyDescent="0.4">
      <c r="A2595" s="493">
        <v>66259</v>
      </c>
      <c r="B2595" s="105" t="s">
        <v>329</v>
      </c>
      <c r="C2595" s="493" t="s">
        <v>330</v>
      </c>
      <c r="D2595" s="105" t="s">
        <v>3092</v>
      </c>
      <c r="E2595" s="105" t="s">
        <v>3093</v>
      </c>
      <c r="F2595" s="493">
        <v>66150</v>
      </c>
      <c r="G2595" s="105" t="s">
        <v>52</v>
      </c>
      <c r="H2595" s="105" t="s">
        <v>333</v>
      </c>
      <c r="I2595" s="105" t="s">
        <v>334</v>
      </c>
      <c r="J2595" s="493">
        <v>22</v>
      </c>
      <c r="K2595" s="493">
        <v>2</v>
      </c>
      <c r="L2595" s="105" t="s">
        <v>343</v>
      </c>
      <c r="M2595" s="105" t="s">
        <v>655</v>
      </c>
      <c r="N2595" s="105" t="s">
        <v>656</v>
      </c>
      <c r="O2595" s="105" t="s">
        <v>656</v>
      </c>
      <c r="P2595" s="105" t="s">
        <v>339</v>
      </c>
      <c r="Q2595" s="494">
        <v>0</v>
      </c>
      <c r="R2595" s="494">
        <v>0</v>
      </c>
      <c r="S2595" s="494">
        <v>23604</v>
      </c>
      <c r="T2595" s="494">
        <v>23604</v>
      </c>
      <c r="U2595" s="494">
        <v>6918</v>
      </c>
      <c r="V2595" s="493">
        <v>2024</v>
      </c>
      <c r="W2595" s="495"/>
      <c r="X2595" s="496">
        <f t="shared" si="169"/>
        <v>3.4119687771032092</v>
      </c>
      <c r="Y2595" s="497" t="str">
        <f t="shared" si="170"/>
        <v/>
      </c>
      <c r="Z2595" s="497" t="str">
        <f t="shared" si="170"/>
        <v/>
      </c>
    </row>
    <row r="2596" spans="1:26" s="82" customFormat="1" x14ac:dyDescent="0.4">
      <c r="A2596" s="493">
        <v>66272</v>
      </c>
      <c r="B2596" s="105" t="s">
        <v>329</v>
      </c>
      <c r="C2596" s="493" t="s">
        <v>330</v>
      </c>
      <c r="D2596" s="105" t="s">
        <v>3094</v>
      </c>
      <c r="E2596" s="105" t="s">
        <v>1383</v>
      </c>
      <c r="F2596" s="493">
        <v>61944</v>
      </c>
      <c r="G2596" s="105" t="s">
        <v>52</v>
      </c>
      <c r="H2596" s="105" t="s">
        <v>333</v>
      </c>
      <c r="I2596" s="105" t="s">
        <v>334</v>
      </c>
      <c r="J2596" s="493">
        <v>22</v>
      </c>
      <c r="K2596" s="493">
        <v>2</v>
      </c>
      <c r="L2596" s="105" t="s">
        <v>343</v>
      </c>
      <c r="M2596" s="105" t="s">
        <v>655</v>
      </c>
      <c r="N2596" s="105" t="s">
        <v>656</v>
      </c>
      <c r="O2596" s="105" t="s">
        <v>656</v>
      </c>
      <c r="P2596" s="105" t="s">
        <v>339</v>
      </c>
      <c r="Q2596" s="494">
        <v>0</v>
      </c>
      <c r="R2596" s="494">
        <v>0</v>
      </c>
      <c r="S2596" s="494">
        <v>29559</v>
      </c>
      <c r="T2596" s="494">
        <v>29559</v>
      </c>
      <c r="U2596" s="494">
        <v>8663</v>
      </c>
      <c r="V2596" s="493">
        <v>2024</v>
      </c>
      <c r="W2596" s="495"/>
      <c r="X2596" s="496">
        <f t="shared" si="169"/>
        <v>3.4120974258340069</v>
      </c>
      <c r="Y2596" s="497" t="str">
        <f t="shared" si="170"/>
        <v/>
      </c>
      <c r="Z2596" s="497" t="str">
        <f t="shared" si="170"/>
        <v/>
      </c>
    </row>
    <row r="2597" spans="1:26" s="82" customFormat="1" x14ac:dyDescent="0.4">
      <c r="A2597" s="493">
        <v>66273</v>
      </c>
      <c r="B2597" s="105" t="s">
        <v>329</v>
      </c>
      <c r="C2597" s="493" t="s">
        <v>330</v>
      </c>
      <c r="D2597" s="105" t="s">
        <v>3095</v>
      </c>
      <c r="E2597" s="105" t="s">
        <v>1383</v>
      </c>
      <c r="F2597" s="493">
        <v>61944</v>
      </c>
      <c r="G2597" s="105" t="s">
        <v>52</v>
      </c>
      <c r="H2597" s="105" t="s">
        <v>333</v>
      </c>
      <c r="I2597" s="105" t="s">
        <v>334</v>
      </c>
      <c r="J2597" s="493">
        <v>22</v>
      </c>
      <c r="K2597" s="493">
        <v>2</v>
      </c>
      <c r="L2597" s="105" t="s">
        <v>343</v>
      </c>
      <c r="M2597" s="105" t="s">
        <v>655</v>
      </c>
      <c r="N2597" s="105" t="s">
        <v>656</v>
      </c>
      <c r="O2597" s="105" t="s">
        <v>656</v>
      </c>
      <c r="P2597" s="105" t="s">
        <v>339</v>
      </c>
      <c r="Q2597" s="494">
        <v>0</v>
      </c>
      <c r="R2597" s="494">
        <v>0</v>
      </c>
      <c r="S2597" s="494">
        <v>23454</v>
      </c>
      <c r="T2597" s="494">
        <v>23454</v>
      </c>
      <c r="U2597" s="494">
        <v>6874</v>
      </c>
      <c r="V2597" s="493">
        <v>2024</v>
      </c>
      <c r="W2597" s="495"/>
      <c r="X2597" s="496">
        <f t="shared" si="169"/>
        <v>3.4119871981379108</v>
      </c>
      <c r="Y2597" s="497" t="str">
        <f t="shared" si="170"/>
        <v/>
      </c>
      <c r="Z2597" s="497" t="str">
        <f t="shared" si="170"/>
        <v/>
      </c>
    </row>
    <row r="2598" spans="1:26" s="82" customFormat="1" x14ac:dyDescent="0.4">
      <c r="A2598" s="493">
        <v>66274</v>
      </c>
      <c r="B2598" s="105" t="s">
        <v>329</v>
      </c>
      <c r="C2598" s="493" t="s">
        <v>330</v>
      </c>
      <c r="D2598" s="105" t="s">
        <v>3096</v>
      </c>
      <c r="E2598" s="105" t="s">
        <v>1383</v>
      </c>
      <c r="F2598" s="493">
        <v>61944</v>
      </c>
      <c r="G2598" s="105" t="s">
        <v>52</v>
      </c>
      <c r="H2598" s="105" t="s">
        <v>333</v>
      </c>
      <c r="I2598" s="105" t="s">
        <v>334</v>
      </c>
      <c r="J2598" s="493">
        <v>22</v>
      </c>
      <c r="K2598" s="493">
        <v>2</v>
      </c>
      <c r="L2598" s="105" t="s">
        <v>343</v>
      </c>
      <c r="M2598" s="105" t="s">
        <v>655</v>
      </c>
      <c r="N2598" s="105" t="s">
        <v>656</v>
      </c>
      <c r="O2598" s="105" t="s">
        <v>656</v>
      </c>
      <c r="P2598" s="105" t="s">
        <v>339</v>
      </c>
      <c r="Q2598" s="494">
        <v>0</v>
      </c>
      <c r="R2598" s="494">
        <v>0</v>
      </c>
      <c r="S2598" s="494">
        <v>20241</v>
      </c>
      <c r="T2598" s="494">
        <v>20241</v>
      </c>
      <c r="U2598" s="494">
        <v>5932</v>
      </c>
      <c r="V2598" s="493">
        <v>2024</v>
      </c>
      <c r="W2598" s="495"/>
      <c r="X2598" s="496">
        <f t="shared" si="169"/>
        <v>3.4121712744436952</v>
      </c>
      <c r="Y2598" s="497" t="str">
        <f t="shared" si="170"/>
        <v/>
      </c>
      <c r="Z2598" s="497" t="str">
        <f t="shared" si="170"/>
        <v/>
      </c>
    </row>
    <row r="2599" spans="1:26" s="82" customFormat="1" x14ac:dyDescent="0.4">
      <c r="A2599" s="493">
        <v>66275</v>
      </c>
      <c r="B2599" s="105" t="s">
        <v>329</v>
      </c>
      <c r="C2599" s="493" t="s">
        <v>330</v>
      </c>
      <c r="D2599" s="105" t="s">
        <v>3097</v>
      </c>
      <c r="E2599" s="105" t="s">
        <v>1383</v>
      </c>
      <c r="F2599" s="493">
        <v>61944</v>
      </c>
      <c r="G2599" s="105" t="s">
        <v>52</v>
      </c>
      <c r="H2599" s="105" t="s">
        <v>333</v>
      </c>
      <c r="I2599" s="105" t="s">
        <v>334</v>
      </c>
      <c r="J2599" s="493">
        <v>22</v>
      </c>
      <c r="K2599" s="493">
        <v>2</v>
      </c>
      <c r="L2599" s="105" t="s">
        <v>343</v>
      </c>
      <c r="M2599" s="105" t="s">
        <v>655</v>
      </c>
      <c r="N2599" s="105" t="s">
        <v>656</v>
      </c>
      <c r="O2599" s="105" t="s">
        <v>656</v>
      </c>
      <c r="P2599" s="105" t="s">
        <v>339</v>
      </c>
      <c r="Q2599" s="494">
        <v>0</v>
      </c>
      <c r="R2599" s="494">
        <v>0</v>
      </c>
      <c r="S2599" s="494">
        <v>13480</v>
      </c>
      <c r="T2599" s="494">
        <v>13480</v>
      </c>
      <c r="U2599" s="494">
        <v>3951</v>
      </c>
      <c r="V2599" s="493">
        <v>2024</v>
      </c>
      <c r="W2599" s="495"/>
      <c r="X2599" s="496">
        <f t="shared" si="169"/>
        <v>3.4117944824095168</v>
      </c>
      <c r="Y2599" s="497" t="str">
        <f t="shared" si="170"/>
        <v/>
      </c>
      <c r="Z2599" s="497" t="str">
        <f t="shared" si="170"/>
        <v/>
      </c>
    </row>
    <row r="2600" spans="1:26" s="82" customFormat="1" ht="32" x14ac:dyDescent="0.4">
      <c r="A2600" s="493">
        <v>66283</v>
      </c>
      <c r="B2600" s="105" t="s">
        <v>329</v>
      </c>
      <c r="C2600" s="493" t="s">
        <v>330</v>
      </c>
      <c r="D2600" s="105" t="s">
        <v>3098</v>
      </c>
      <c r="E2600" s="105" t="s">
        <v>3099</v>
      </c>
      <c r="F2600" s="493">
        <v>65402</v>
      </c>
      <c r="G2600" s="105" t="s">
        <v>34</v>
      </c>
      <c r="H2600" s="105" t="s">
        <v>342</v>
      </c>
      <c r="I2600" s="105" t="s">
        <v>334</v>
      </c>
      <c r="J2600" s="493">
        <v>22</v>
      </c>
      <c r="K2600" s="493">
        <v>2</v>
      </c>
      <c r="L2600" s="105" t="s">
        <v>343</v>
      </c>
      <c r="M2600" s="105" t="s">
        <v>695</v>
      </c>
      <c r="N2600" s="105" t="s">
        <v>696</v>
      </c>
      <c r="O2600" s="105" t="s">
        <v>696</v>
      </c>
      <c r="P2600" s="105" t="s">
        <v>339</v>
      </c>
      <c r="Q2600" s="494">
        <v>0</v>
      </c>
      <c r="R2600" s="494">
        <v>0</v>
      </c>
      <c r="S2600" s="494">
        <v>200400</v>
      </c>
      <c r="T2600" s="494">
        <v>200400</v>
      </c>
      <c r="U2600" s="494">
        <v>58734</v>
      </c>
      <c r="V2600" s="493">
        <v>2024</v>
      </c>
      <c r="W2600" s="495"/>
      <c r="X2600" s="496">
        <f t="shared" si="169"/>
        <v>3.4119930534273162</v>
      </c>
      <c r="Y2600" s="497" t="str">
        <f t="shared" si="170"/>
        <v/>
      </c>
      <c r="Z2600" s="497" t="str">
        <f t="shared" si="170"/>
        <v/>
      </c>
    </row>
    <row r="2601" spans="1:26" s="82" customFormat="1" x14ac:dyDescent="0.4">
      <c r="A2601" s="493">
        <v>66317</v>
      </c>
      <c r="B2601" s="105" t="s">
        <v>329</v>
      </c>
      <c r="C2601" s="493" t="s">
        <v>330</v>
      </c>
      <c r="D2601" s="105" t="s">
        <v>3100</v>
      </c>
      <c r="E2601" s="105" t="s">
        <v>3101</v>
      </c>
      <c r="F2601" s="493">
        <v>65403</v>
      </c>
      <c r="G2601" s="105" t="s">
        <v>33</v>
      </c>
      <c r="H2601" s="105" t="s">
        <v>342</v>
      </c>
      <c r="I2601" s="105" t="s">
        <v>334</v>
      </c>
      <c r="J2601" s="493">
        <v>22</v>
      </c>
      <c r="K2601" s="493">
        <v>2</v>
      </c>
      <c r="L2601" s="105" t="s">
        <v>343</v>
      </c>
      <c r="M2601" s="105" t="s">
        <v>655</v>
      </c>
      <c r="N2601" s="105" t="s">
        <v>656</v>
      </c>
      <c r="O2601" s="105" t="s">
        <v>656</v>
      </c>
      <c r="P2601" s="105" t="s">
        <v>339</v>
      </c>
      <c r="Q2601" s="494">
        <v>0</v>
      </c>
      <c r="R2601" s="494">
        <v>0</v>
      </c>
      <c r="S2601" s="494">
        <v>11096</v>
      </c>
      <c r="T2601" s="494">
        <v>11096</v>
      </c>
      <c r="U2601" s="494">
        <v>3252</v>
      </c>
      <c r="V2601" s="493">
        <v>2024</v>
      </c>
      <c r="W2601" s="495"/>
      <c r="X2601" s="496">
        <f t="shared" si="169"/>
        <v>3.4120541205412054</v>
      </c>
      <c r="Y2601" s="497" t="str">
        <f t="shared" si="170"/>
        <v/>
      </c>
      <c r="Z2601" s="497" t="str">
        <f t="shared" si="170"/>
        <v/>
      </c>
    </row>
    <row r="2602" spans="1:26" s="82" customFormat="1" ht="32" x14ac:dyDescent="0.4">
      <c r="A2602" s="493">
        <v>66318</v>
      </c>
      <c r="B2602" s="105" t="s">
        <v>329</v>
      </c>
      <c r="C2602" s="493" t="s">
        <v>330</v>
      </c>
      <c r="D2602" s="105" t="s">
        <v>3102</v>
      </c>
      <c r="E2602" s="105" t="s">
        <v>3103</v>
      </c>
      <c r="F2602" s="493">
        <v>65404</v>
      </c>
      <c r="G2602" s="105" t="s">
        <v>33</v>
      </c>
      <c r="H2602" s="105" t="s">
        <v>342</v>
      </c>
      <c r="I2602" s="105" t="s">
        <v>334</v>
      </c>
      <c r="J2602" s="493">
        <v>22</v>
      </c>
      <c r="K2602" s="493">
        <v>2</v>
      </c>
      <c r="L2602" s="105" t="s">
        <v>343</v>
      </c>
      <c r="M2602" s="105" t="s">
        <v>655</v>
      </c>
      <c r="N2602" s="105" t="s">
        <v>656</v>
      </c>
      <c r="O2602" s="105" t="s">
        <v>656</v>
      </c>
      <c r="P2602" s="105" t="s">
        <v>339</v>
      </c>
      <c r="Q2602" s="494">
        <v>0</v>
      </c>
      <c r="R2602" s="494">
        <v>0</v>
      </c>
      <c r="S2602" s="494">
        <v>20357</v>
      </c>
      <c r="T2602" s="494">
        <v>20357</v>
      </c>
      <c r="U2602" s="494">
        <v>5966</v>
      </c>
      <c r="V2602" s="493">
        <v>2024</v>
      </c>
      <c r="W2602" s="495"/>
      <c r="X2602" s="496">
        <f t="shared" si="169"/>
        <v>3.4121689574254108</v>
      </c>
      <c r="Y2602" s="497" t="str">
        <f t="shared" si="170"/>
        <v/>
      </c>
      <c r="Z2602" s="497" t="str">
        <f t="shared" si="170"/>
        <v/>
      </c>
    </row>
    <row r="2603" spans="1:26" s="82" customFormat="1" ht="32" x14ac:dyDescent="0.4">
      <c r="A2603" s="493">
        <v>66320</v>
      </c>
      <c r="B2603" s="105" t="s">
        <v>329</v>
      </c>
      <c r="C2603" s="493" t="s">
        <v>330</v>
      </c>
      <c r="D2603" s="105" t="s">
        <v>3104</v>
      </c>
      <c r="E2603" s="105" t="s">
        <v>1875</v>
      </c>
      <c r="F2603" s="493">
        <v>62915</v>
      </c>
      <c r="G2603" s="105" t="s">
        <v>33</v>
      </c>
      <c r="H2603" s="105" t="s">
        <v>342</v>
      </c>
      <c r="I2603" s="105" t="s">
        <v>334</v>
      </c>
      <c r="J2603" s="493">
        <v>22</v>
      </c>
      <c r="K2603" s="493">
        <v>2</v>
      </c>
      <c r="L2603" s="105" t="s">
        <v>343</v>
      </c>
      <c r="M2603" s="105" t="s">
        <v>655</v>
      </c>
      <c r="N2603" s="105" t="s">
        <v>656</v>
      </c>
      <c r="O2603" s="105" t="s">
        <v>656</v>
      </c>
      <c r="P2603" s="105" t="s">
        <v>339</v>
      </c>
      <c r="Q2603" s="494">
        <v>0</v>
      </c>
      <c r="R2603" s="494">
        <v>0</v>
      </c>
      <c r="S2603" s="494">
        <v>17246</v>
      </c>
      <c r="T2603" s="494">
        <v>17246</v>
      </c>
      <c r="U2603" s="494">
        <v>5054</v>
      </c>
      <c r="V2603" s="493">
        <v>2024</v>
      </c>
      <c r="W2603" s="495"/>
      <c r="X2603" s="496">
        <f t="shared" si="169"/>
        <v>3.4123466561139693</v>
      </c>
      <c r="Y2603" s="497" t="str">
        <f t="shared" si="170"/>
        <v/>
      </c>
      <c r="Z2603" s="497" t="str">
        <f t="shared" si="170"/>
        <v/>
      </c>
    </row>
    <row r="2604" spans="1:26" s="82" customFormat="1" x14ac:dyDescent="0.4">
      <c r="A2604" s="493">
        <v>66322</v>
      </c>
      <c r="B2604" s="105" t="s">
        <v>329</v>
      </c>
      <c r="C2604" s="493" t="s">
        <v>330</v>
      </c>
      <c r="D2604" s="105" t="s">
        <v>3105</v>
      </c>
      <c r="E2604" s="105" t="s">
        <v>1383</v>
      </c>
      <c r="F2604" s="493">
        <v>61944</v>
      </c>
      <c r="G2604" s="105" t="s">
        <v>52</v>
      </c>
      <c r="H2604" s="105" t="s">
        <v>333</v>
      </c>
      <c r="I2604" s="105" t="s">
        <v>334</v>
      </c>
      <c r="J2604" s="493">
        <v>22</v>
      </c>
      <c r="K2604" s="493">
        <v>2</v>
      </c>
      <c r="L2604" s="105" t="s">
        <v>343</v>
      </c>
      <c r="M2604" s="105" t="s">
        <v>655</v>
      </c>
      <c r="N2604" s="105" t="s">
        <v>656</v>
      </c>
      <c r="O2604" s="105" t="s">
        <v>656</v>
      </c>
      <c r="P2604" s="105" t="s">
        <v>339</v>
      </c>
      <c r="Q2604" s="494">
        <v>0</v>
      </c>
      <c r="R2604" s="494">
        <v>0</v>
      </c>
      <c r="S2604" s="494">
        <v>26262</v>
      </c>
      <c r="T2604" s="494">
        <v>26262</v>
      </c>
      <c r="U2604" s="494">
        <v>7697</v>
      </c>
      <c r="V2604" s="493">
        <v>2024</v>
      </c>
      <c r="W2604" s="495"/>
      <c r="X2604" s="496">
        <f t="shared" si="169"/>
        <v>3.4119786929972715</v>
      </c>
      <c r="Y2604" s="497" t="str">
        <f t="shared" si="170"/>
        <v/>
      </c>
      <c r="Z2604" s="497" t="str">
        <f t="shared" si="170"/>
        <v/>
      </c>
    </row>
    <row r="2605" spans="1:26" s="82" customFormat="1" ht="32" x14ac:dyDescent="0.4">
      <c r="A2605" s="493">
        <v>66360</v>
      </c>
      <c r="B2605" s="105" t="s">
        <v>329</v>
      </c>
      <c r="C2605" s="493" t="s">
        <v>330</v>
      </c>
      <c r="D2605" s="105" t="s">
        <v>3106</v>
      </c>
      <c r="E2605" s="105" t="s">
        <v>3107</v>
      </c>
      <c r="F2605" s="493">
        <v>65446</v>
      </c>
      <c r="G2605" s="105" t="s">
        <v>52</v>
      </c>
      <c r="H2605" s="105" t="s">
        <v>333</v>
      </c>
      <c r="I2605" s="105" t="s">
        <v>334</v>
      </c>
      <c r="J2605" s="493">
        <v>22</v>
      </c>
      <c r="K2605" s="493">
        <v>2</v>
      </c>
      <c r="L2605" s="105" t="s">
        <v>343</v>
      </c>
      <c r="M2605" s="105" t="s">
        <v>655</v>
      </c>
      <c r="N2605" s="105" t="s">
        <v>656</v>
      </c>
      <c r="O2605" s="105" t="s">
        <v>656</v>
      </c>
      <c r="P2605" s="105" t="s">
        <v>339</v>
      </c>
      <c r="Q2605" s="494">
        <v>0</v>
      </c>
      <c r="R2605" s="494">
        <v>0</v>
      </c>
      <c r="S2605" s="494">
        <v>31144</v>
      </c>
      <c r="T2605" s="494">
        <v>31144</v>
      </c>
      <c r="U2605" s="494">
        <v>9128</v>
      </c>
      <c r="V2605" s="493">
        <v>2024</v>
      </c>
      <c r="W2605" s="495"/>
      <c r="X2605" s="496">
        <f t="shared" si="169"/>
        <v>3.4119193689745835</v>
      </c>
      <c r="Y2605" s="497" t="str">
        <f t="shared" si="170"/>
        <v/>
      </c>
      <c r="Z2605" s="497" t="str">
        <f t="shared" si="170"/>
        <v/>
      </c>
    </row>
    <row r="2606" spans="1:26" s="82" customFormat="1" ht="32" x14ac:dyDescent="0.4">
      <c r="A2606" s="493">
        <v>66361</v>
      </c>
      <c r="B2606" s="105" t="s">
        <v>329</v>
      </c>
      <c r="C2606" s="493" t="s">
        <v>330</v>
      </c>
      <c r="D2606" s="105" t="s">
        <v>3108</v>
      </c>
      <c r="E2606" s="105" t="s">
        <v>3109</v>
      </c>
      <c r="F2606" s="493">
        <v>65447</v>
      </c>
      <c r="G2606" s="105" t="s">
        <v>52</v>
      </c>
      <c r="H2606" s="105" t="s">
        <v>333</v>
      </c>
      <c r="I2606" s="105" t="s">
        <v>334</v>
      </c>
      <c r="J2606" s="493">
        <v>22</v>
      </c>
      <c r="K2606" s="493">
        <v>2</v>
      </c>
      <c r="L2606" s="105" t="s">
        <v>343</v>
      </c>
      <c r="M2606" s="105" t="s">
        <v>655</v>
      </c>
      <c r="N2606" s="105" t="s">
        <v>656</v>
      </c>
      <c r="O2606" s="105" t="s">
        <v>656</v>
      </c>
      <c r="P2606" s="105" t="s">
        <v>339</v>
      </c>
      <c r="Q2606" s="494">
        <v>0</v>
      </c>
      <c r="R2606" s="494">
        <v>0</v>
      </c>
      <c r="S2606" s="494">
        <v>32210</v>
      </c>
      <c r="T2606" s="494">
        <v>32210</v>
      </c>
      <c r="U2606" s="494">
        <v>9440</v>
      </c>
      <c r="V2606" s="493">
        <v>2024</v>
      </c>
      <c r="W2606" s="495"/>
      <c r="X2606" s="496">
        <f t="shared" si="169"/>
        <v>3.4120762711864407</v>
      </c>
      <c r="Y2606" s="497" t="str">
        <f t="shared" si="170"/>
        <v/>
      </c>
      <c r="Z2606" s="497" t="str">
        <f t="shared" si="170"/>
        <v/>
      </c>
    </row>
    <row r="2607" spans="1:26" s="82" customFormat="1" x14ac:dyDescent="0.4">
      <c r="A2607" s="493">
        <v>66370</v>
      </c>
      <c r="B2607" s="105" t="s">
        <v>329</v>
      </c>
      <c r="C2607" s="493" t="s">
        <v>330</v>
      </c>
      <c r="D2607" s="105" t="s">
        <v>3110</v>
      </c>
      <c r="E2607" s="105" t="s">
        <v>1666</v>
      </c>
      <c r="F2607" s="493">
        <v>62836</v>
      </c>
      <c r="G2607" s="105" t="s">
        <v>34</v>
      </c>
      <c r="H2607" s="105" t="s">
        <v>342</v>
      </c>
      <c r="I2607" s="105" t="s">
        <v>334</v>
      </c>
      <c r="J2607" s="493">
        <v>22</v>
      </c>
      <c r="K2607" s="493">
        <v>2</v>
      </c>
      <c r="L2607" s="105" t="s">
        <v>343</v>
      </c>
      <c r="M2607" s="105" t="s">
        <v>655</v>
      </c>
      <c r="N2607" s="105" t="s">
        <v>656</v>
      </c>
      <c r="O2607" s="105" t="s">
        <v>656</v>
      </c>
      <c r="P2607" s="105" t="s">
        <v>339</v>
      </c>
      <c r="Q2607" s="494">
        <v>0</v>
      </c>
      <c r="R2607" s="494">
        <v>0</v>
      </c>
      <c r="S2607" s="494">
        <v>27514</v>
      </c>
      <c r="T2607" s="494">
        <v>27514</v>
      </c>
      <c r="U2607" s="494">
        <v>8064</v>
      </c>
      <c r="V2607" s="493">
        <v>2024</v>
      </c>
      <c r="W2607" s="495"/>
      <c r="X2607" s="496">
        <f t="shared" si="169"/>
        <v>3.4119543650793651</v>
      </c>
      <c r="Y2607" s="497" t="str">
        <f t="shared" si="170"/>
        <v/>
      </c>
      <c r="Z2607" s="497" t="str">
        <f t="shared" si="170"/>
        <v/>
      </c>
    </row>
    <row r="2608" spans="1:26" s="82" customFormat="1" x14ac:dyDescent="0.4">
      <c r="A2608" s="493">
        <v>66380</v>
      </c>
      <c r="B2608" s="105" t="s">
        <v>329</v>
      </c>
      <c r="C2608" s="493" t="s">
        <v>330</v>
      </c>
      <c r="D2608" s="105" t="s">
        <v>3111</v>
      </c>
      <c r="E2608" s="105" t="s">
        <v>3112</v>
      </c>
      <c r="F2608" s="493">
        <v>61230</v>
      </c>
      <c r="G2608" s="105" t="s">
        <v>52</v>
      </c>
      <c r="H2608" s="105" t="s">
        <v>333</v>
      </c>
      <c r="I2608" s="105" t="s">
        <v>334</v>
      </c>
      <c r="J2608" s="493">
        <v>22</v>
      </c>
      <c r="K2608" s="493">
        <v>2</v>
      </c>
      <c r="L2608" s="105" t="s">
        <v>343</v>
      </c>
      <c r="M2608" s="105" t="s">
        <v>655</v>
      </c>
      <c r="N2608" s="105" t="s">
        <v>656</v>
      </c>
      <c r="O2608" s="105" t="s">
        <v>656</v>
      </c>
      <c r="P2608" s="105" t="s">
        <v>339</v>
      </c>
      <c r="Q2608" s="494">
        <v>0</v>
      </c>
      <c r="R2608" s="494">
        <v>0</v>
      </c>
      <c r="S2608" s="494">
        <v>28281</v>
      </c>
      <c r="T2608" s="494">
        <v>28281</v>
      </c>
      <c r="U2608" s="494">
        <v>8289</v>
      </c>
      <c r="V2608" s="493">
        <v>2024</v>
      </c>
      <c r="W2608" s="495"/>
      <c r="X2608" s="496">
        <f t="shared" si="169"/>
        <v>3.4118711545421645</v>
      </c>
      <c r="Y2608" s="497" t="str">
        <f t="shared" ref="Y2608:Z2627" si="171">IF(AND($M2608=$Y$2,$N2608=$Y$3,NOT($Q2608=$R2608),NOT($U2608=0)),IF($K2608=5,$S2608/($U2608+(8/5)*$U2608),IF($K2608=7,$S2608/($U2608+(29/25)*$U2608),"")),"")</f>
        <v/>
      </c>
      <c r="Z2608" s="497" t="str">
        <f t="shared" si="171"/>
        <v/>
      </c>
    </row>
    <row r="2609" spans="1:26" s="82" customFormat="1" x14ac:dyDescent="0.4">
      <c r="A2609" s="493">
        <v>66381</v>
      </c>
      <c r="B2609" s="105" t="s">
        <v>329</v>
      </c>
      <c r="C2609" s="493" t="s">
        <v>330</v>
      </c>
      <c r="D2609" s="105" t="s">
        <v>3113</v>
      </c>
      <c r="E2609" s="105" t="s">
        <v>3112</v>
      </c>
      <c r="F2609" s="493">
        <v>61230</v>
      </c>
      <c r="G2609" s="105" t="s">
        <v>34</v>
      </c>
      <c r="H2609" s="105" t="s">
        <v>342</v>
      </c>
      <c r="I2609" s="105" t="s">
        <v>334</v>
      </c>
      <c r="J2609" s="493">
        <v>22</v>
      </c>
      <c r="K2609" s="493">
        <v>2</v>
      </c>
      <c r="L2609" s="105" t="s">
        <v>343</v>
      </c>
      <c r="M2609" s="105" t="s">
        <v>655</v>
      </c>
      <c r="N2609" s="105" t="s">
        <v>656</v>
      </c>
      <c r="O2609" s="105" t="s">
        <v>656</v>
      </c>
      <c r="P2609" s="105" t="s">
        <v>339</v>
      </c>
      <c r="Q2609" s="494">
        <v>0</v>
      </c>
      <c r="R2609" s="494">
        <v>0</v>
      </c>
      <c r="S2609" s="494">
        <v>24252</v>
      </c>
      <c r="T2609" s="494">
        <v>24252</v>
      </c>
      <c r="U2609" s="494">
        <v>7108</v>
      </c>
      <c r="V2609" s="493">
        <v>2024</v>
      </c>
      <c r="W2609" s="495"/>
      <c r="X2609" s="496">
        <f t="shared" si="169"/>
        <v>3.4119302194710186</v>
      </c>
      <c r="Y2609" s="497" t="str">
        <f t="shared" si="171"/>
        <v/>
      </c>
      <c r="Z2609" s="497" t="str">
        <f t="shared" si="171"/>
        <v/>
      </c>
    </row>
    <row r="2610" spans="1:26" s="82" customFormat="1" ht="32" x14ac:dyDescent="0.4">
      <c r="A2610" s="493">
        <v>66387</v>
      </c>
      <c r="B2610" s="105" t="s">
        <v>329</v>
      </c>
      <c r="C2610" s="493" t="s">
        <v>330</v>
      </c>
      <c r="D2610" s="105" t="s">
        <v>3114</v>
      </c>
      <c r="E2610" s="105" t="s">
        <v>3115</v>
      </c>
      <c r="F2610" s="493">
        <v>65468</v>
      </c>
      <c r="G2610" s="105" t="s">
        <v>52</v>
      </c>
      <c r="H2610" s="105" t="s">
        <v>333</v>
      </c>
      <c r="I2610" s="105" t="s">
        <v>3116</v>
      </c>
      <c r="J2610" s="493">
        <v>22</v>
      </c>
      <c r="K2610" s="493">
        <v>2</v>
      </c>
      <c r="L2610" s="105" t="s">
        <v>343</v>
      </c>
      <c r="M2610" s="105" t="s">
        <v>655</v>
      </c>
      <c r="N2610" s="105" t="s">
        <v>656</v>
      </c>
      <c r="O2610" s="105" t="s">
        <v>656</v>
      </c>
      <c r="P2610" s="105" t="s">
        <v>339</v>
      </c>
      <c r="Q2610" s="494">
        <v>0</v>
      </c>
      <c r="R2610" s="494">
        <v>0</v>
      </c>
      <c r="S2610" s="494">
        <v>24254</v>
      </c>
      <c r="T2610" s="494">
        <v>24254</v>
      </c>
      <c r="U2610" s="494">
        <v>7108</v>
      </c>
      <c r="V2610" s="493">
        <v>2024</v>
      </c>
      <c r="W2610" s="495"/>
      <c r="X2610" s="496">
        <f t="shared" si="169"/>
        <v>3.41221159257175</v>
      </c>
      <c r="Y2610" s="497" t="str">
        <f t="shared" si="171"/>
        <v/>
      </c>
      <c r="Z2610" s="497" t="str">
        <f t="shared" si="171"/>
        <v/>
      </c>
    </row>
    <row r="2611" spans="1:26" s="82" customFormat="1" ht="32" x14ac:dyDescent="0.4">
      <c r="A2611" s="493">
        <v>66388</v>
      </c>
      <c r="B2611" s="105" t="s">
        <v>329</v>
      </c>
      <c r="C2611" s="493" t="s">
        <v>330</v>
      </c>
      <c r="D2611" s="105" t="s">
        <v>3117</v>
      </c>
      <c r="E2611" s="105" t="s">
        <v>3118</v>
      </c>
      <c r="F2611" s="493">
        <v>65469</v>
      </c>
      <c r="G2611" s="105" t="s">
        <v>52</v>
      </c>
      <c r="H2611" s="105" t="s">
        <v>333</v>
      </c>
      <c r="I2611" s="105" t="s">
        <v>334</v>
      </c>
      <c r="J2611" s="493">
        <v>22</v>
      </c>
      <c r="K2611" s="493">
        <v>2</v>
      </c>
      <c r="L2611" s="105" t="s">
        <v>343</v>
      </c>
      <c r="M2611" s="105" t="s">
        <v>655</v>
      </c>
      <c r="N2611" s="105" t="s">
        <v>656</v>
      </c>
      <c r="O2611" s="105" t="s">
        <v>656</v>
      </c>
      <c r="P2611" s="105" t="s">
        <v>339</v>
      </c>
      <c r="Q2611" s="494">
        <v>0</v>
      </c>
      <c r="R2611" s="494">
        <v>0</v>
      </c>
      <c r="S2611" s="494">
        <v>17025</v>
      </c>
      <c r="T2611" s="494">
        <v>17025</v>
      </c>
      <c r="U2611" s="494">
        <v>4990</v>
      </c>
      <c r="V2611" s="493">
        <v>2024</v>
      </c>
      <c r="W2611" s="495"/>
      <c r="X2611" s="496">
        <f t="shared" si="169"/>
        <v>3.4118236472945891</v>
      </c>
      <c r="Y2611" s="497" t="str">
        <f t="shared" si="171"/>
        <v/>
      </c>
      <c r="Z2611" s="497" t="str">
        <f t="shared" si="171"/>
        <v/>
      </c>
    </row>
    <row r="2612" spans="1:26" s="82" customFormat="1" ht="32" x14ac:dyDescent="0.4">
      <c r="A2612" s="493">
        <v>66402</v>
      </c>
      <c r="B2612" s="105" t="s">
        <v>329</v>
      </c>
      <c r="C2612" s="493" t="s">
        <v>330</v>
      </c>
      <c r="D2612" s="105" t="s">
        <v>3119</v>
      </c>
      <c r="E2612" s="105" t="s">
        <v>1313</v>
      </c>
      <c r="F2612" s="493">
        <v>60281</v>
      </c>
      <c r="G2612" s="105" t="s">
        <v>34</v>
      </c>
      <c r="H2612" s="105" t="s">
        <v>342</v>
      </c>
      <c r="I2612" s="105" t="s">
        <v>334</v>
      </c>
      <c r="J2612" s="493">
        <v>22</v>
      </c>
      <c r="K2612" s="493">
        <v>2</v>
      </c>
      <c r="L2612" s="105" t="s">
        <v>343</v>
      </c>
      <c r="M2612" s="105" t="s">
        <v>655</v>
      </c>
      <c r="N2612" s="105" t="s">
        <v>656</v>
      </c>
      <c r="O2612" s="105" t="s">
        <v>656</v>
      </c>
      <c r="P2612" s="105" t="s">
        <v>339</v>
      </c>
      <c r="Q2612" s="494">
        <v>0</v>
      </c>
      <c r="R2612" s="494">
        <v>0</v>
      </c>
      <c r="S2612" s="494">
        <v>21634</v>
      </c>
      <c r="T2612" s="494">
        <v>21634</v>
      </c>
      <c r="U2612" s="494">
        <v>6341</v>
      </c>
      <c r="V2612" s="493">
        <v>2024</v>
      </c>
      <c r="W2612" s="495"/>
      <c r="X2612" s="496">
        <f t="shared" si="169"/>
        <v>3.4117647058823528</v>
      </c>
      <c r="Y2612" s="497" t="str">
        <f t="shared" si="171"/>
        <v/>
      </c>
      <c r="Z2612" s="497" t="str">
        <f t="shared" si="171"/>
        <v/>
      </c>
    </row>
    <row r="2613" spans="1:26" s="82" customFormat="1" ht="32" x14ac:dyDescent="0.4">
      <c r="A2613" s="493">
        <v>66403</v>
      </c>
      <c r="B2613" s="105" t="s">
        <v>329</v>
      </c>
      <c r="C2613" s="493" t="s">
        <v>330</v>
      </c>
      <c r="D2613" s="105" t="s">
        <v>3120</v>
      </c>
      <c r="E2613" s="105" t="s">
        <v>1313</v>
      </c>
      <c r="F2613" s="493">
        <v>60281</v>
      </c>
      <c r="G2613" s="105" t="s">
        <v>34</v>
      </c>
      <c r="H2613" s="105" t="s">
        <v>342</v>
      </c>
      <c r="I2613" s="105" t="s">
        <v>334</v>
      </c>
      <c r="J2613" s="493">
        <v>22</v>
      </c>
      <c r="K2613" s="493">
        <v>2</v>
      </c>
      <c r="L2613" s="105" t="s">
        <v>343</v>
      </c>
      <c r="M2613" s="105" t="s">
        <v>655</v>
      </c>
      <c r="N2613" s="105" t="s">
        <v>656</v>
      </c>
      <c r="O2613" s="105" t="s">
        <v>656</v>
      </c>
      <c r="P2613" s="105" t="s">
        <v>339</v>
      </c>
      <c r="Q2613" s="494">
        <v>0</v>
      </c>
      <c r="R2613" s="494">
        <v>0</v>
      </c>
      <c r="S2613" s="494">
        <v>20756</v>
      </c>
      <c r="T2613" s="494">
        <v>20756</v>
      </c>
      <c r="U2613" s="494">
        <v>6083</v>
      </c>
      <c r="V2613" s="493">
        <v>2024</v>
      </c>
      <c r="W2613" s="495"/>
      <c r="X2613" s="496">
        <f t="shared" si="169"/>
        <v>3.4121321716258426</v>
      </c>
      <c r="Y2613" s="497" t="str">
        <f t="shared" si="171"/>
        <v/>
      </c>
      <c r="Z2613" s="497" t="str">
        <f t="shared" si="171"/>
        <v/>
      </c>
    </row>
    <row r="2614" spans="1:26" s="82" customFormat="1" ht="32" x14ac:dyDescent="0.4">
      <c r="A2614" s="493">
        <v>66417</v>
      </c>
      <c r="B2614" s="105" t="s">
        <v>329</v>
      </c>
      <c r="C2614" s="493" t="s">
        <v>330</v>
      </c>
      <c r="D2614" s="105" t="s">
        <v>3121</v>
      </c>
      <c r="E2614" s="105" t="s">
        <v>3122</v>
      </c>
      <c r="F2614" s="493">
        <v>62998</v>
      </c>
      <c r="G2614" s="105" t="s">
        <v>33</v>
      </c>
      <c r="H2614" s="105" t="s">
        <v>342</v>
      </c>
      <c r="I2614" s="105" t="s">
        <v>334</v>
      </c>
      <c r="J2614" s="493">
        <v>421</v>
      </c>
      <c r="K2614" s="493">
        <v>4</v>
      </c>
      <c r="L2614" s="105" t="s">
        <v>766</v>
      </c>
      <c r="M2614" s="105" t="s">
        <v>655</v>
      </c>
      <c r="N2614" s="105" t="s">
        <v>656</v>
      </c>
      <c r="O2614" s="105" t="s">
        <v>656</v>
      </c>
      <c r="P2614" s="105" t="s">
        <v>339</v>
      </c>
      <c r="Q2614" s="494">
        <v>0</v>
      </c>
      <c r="R2614" s="494">
        <v>0</v>
      </c>
      <c r="S2614" s="494">
        <v>8209</v>
      </c>
      <c r="T2614" s="494">
        <v>8209</v>
      </c>
      <c r="U2614" s="494">
        <v>2406</v>
      </c>
      <c r="V2614" s="493">
        <v>2024</v>
      </c>
      <c r="W2614" s="495"/>
      <c r="X2614" s="496" t="str">
        <f t="shared" si="169"/>
        <v/>
      </c>
      <c r="Y2614" s="497" t="str">
        <f t="shared" si="171"/>
        <v/>
      </c>
      <c r="Z2614" s="497" t="str">
        <f t="shared" si="171"/>
        <v/>
      </c>
    </row>
    <row r="2615" spans="1:26" s="82" customFormat="1" ht="32" x14ac:dyDescent="0.4">
      <c r="A2615" s="493">
        <v>66424</v>
      </c>
      <c r="B2615" s="105" t="s">
        <v>329</v>
      </c>
      <c r="C2615" s="493" t="s">
        <v>330</v>
      </c>
      <c r="D2615" s="105" t="s">
        <v>3123</v>
      </c>
      <c r="E2615" s="105" t="s">
        <v>3124</v>
      </c>
      <c r="F2615" s="493">
        <v>65519</v>
      </c>
      <c r="G2615" s="105" t="s">
        <v>52</v>
      </c>
      <c r="H2615" s="105" t="s">
        <v>333</v>
      </c>
      <c r="I2615" s="105" t="s">
        <v>334</v>
      </c>
      <c r="J2615" s="493">
        <v>22</v>
      </c>
      <c r="K2615" s="493">
        <v>2</v>
      </c>
      <c r="L2615" s="105" t="s">
        <v>343</v>
      </c>
      <c r="M2615" s="105" t="s">
        <v>655</v>
      </c>
      <c r="N2615" s="105" t="s">
        <v>656</v>
      </c>
      <c r="O2615" s="105" t="s">
        <v>656</v>
      </c>
      <c r="P2615" s="105" t="s">
        <v>339</v>
      </c>
      <c r="Q2615" s="494">
        <v>0</v>
      </c>
      <c r="R2615" s="494">
        <v>0</v>
      </c>
      <c r="S2615" s="494">
        <v>29251</v>
      </c>
      <c r="T2615" s="494">
        <v>29251</v>
      </c>
      <c r="U2615" s="494">
        <v>8573</v>
      </c>
      <c r="V2615" s="493">
        <v>2024</v>
      </c>
      <c r="W2615" s="495"/>
      <c r="X2615" s="496">
        <f t="shared" si="169"/>
        <v>3.411991134958591</v>
      </c>
      <c r="Y2615" s="497" t="str">
        <f t="shared" si="171"/>
        <v/>
      </c>
      <c r="Z2615" s="497" t="str">
        <f t="shared" si="171"/>
        <v/>
      </c>
    </row>
    <row r="2616" spans="1:26" s="82" customFormat="1" ht="32" x14ac:dyDescent="0.4">
      <c r="A2616" s="493">
        <v>66425</v>
      </c>
      <c r="B2616" s="105" t="s">
        <v>329</v>
      </c>
      <c r="C2616" s="493" t="s">
        <v>330</v>
      </c>
      <c r="D2616" s="105" t="s">
        <v>3125</v>
      </c>
      <c r="E2616" s="105" t="s">
        <v>3126</v>
      </c>
      <c r="F2616" s="493">
        <v>65518</v>
      </c>
      <c r="G2616" s="105" t="s">
        <v>52</v>
      </c>
      <c r="H2616" s="105" t="s">
        <v>333</v>
      </c>
      <c r="I2616" s="105" t="s">
        <v>334</v>
      </c>
      <c r="J2616" s="493">
        <v>22</v>
      </c>
      <c r="K2616" s="493">
        <v>2</v>
      </c>
      <c r="L2616" s="105" t="s">
        <v>343</v>
      </c>
      <c r="M2616" s="105" t="s">
        <v>655</v>
      </c>
      <c r="N2616" s="105" t="s">
        <v>656</v>
      </c>
      <c r="O2616" s="105" t="s">
        <v>656</v>
      </c>
      <c r="P2616" s="105" t="s">
        <v>339</v>
      </c>
      <c r="Q2616" s="494">
        <v>0</v>
      </c>
      <c r="R2616" s="494">
        <v>0</v>
      </c>
      <c r="S2616" s="494">
        <v>27224</v>
      </c>
      <c r="T2616" s="494">
        <v>27224</v>
      </c>
      <c r="U2616" s="494">
        <v>7979</v>
      </c>
      <c r="V2616" s="493">
        <v>2024</v>
      </c>
      <c r="W2616" s="495"/>
      <c r="X2616" s="496">
        <f t="shared" si="169"/>
        <v>3.411956385511969</v>
      </c>
      <c r="Y2616" s="497" t="str">
        <f t="shared" si="171"/>
        <v/>
      </c>
      <c r="Z2616" s="497" t="str">
        <f t="shared" si="171"/>
        <v/>
      </c>
    </row>
    <row r="2617" spans="1:26" s="82" customFormat="1" x14ac:dyDescent="0.4">
      <c r="A2617" s="493">
        <v>66427</v>
      </c>
      <c r="B2617" s="105" t="s">
        <v>329</v>
      </c>
      <c r="C2617" s="493" t="s">
        <v>330</v>
      </c>
      <c r="D2617" s="105" t="s">
        <v>3127</v>
      </c>
      <c r="E2617" s="105" t="s">
        <v>3128</v>
      </c>
      <c r="F2617" s="493">
        <v>65498</v>
      </c>
      <c r="G2617" s="105" t="s">
        <v>33</v>
      </c>
      <c r="H2617" s="105" t="s">
        <v>342</v>
      </c>
      <c r="I2617" s="105" t="s">
        <v>334</v>
      </c>
      <c r="J2617" s="493">
        <v>22</v>
      </c>
      <c r="K2617" s="493">
        <v>2</v>
      </c>
      <c r="L2617" s="105" t="s">
        <v>343</v>
      </c>
      <c r="M2617" s="105" t="s">
        <v>655</v>
      </c>
      <c r="N2617" s="105" t="s">
        <v>656</v>
      </c>
      <c r="O2617" s="105" t="s">
        <v>656</v>
      </c>
      <c r="P2617" s="105" t="s">
        <v>339</v>
      </c>
      <c r="Q2617" s="494">
        <v>0</v>
      </c>
      <c r="R2617" s="494">
        <v>0</v>
      </c>
      <c r="S2617" s="494">
        <v>7657</v>
      </c>
      <c r="T2617" s="494">
        <v>7657</v>
      </c>
      <c r="U2617" s="494">
        <v>2244</v>
      </c>
      <c r="V2617" s="493">
        <v>2024</v>
      </c>
      <c r="W2617" s="495"/>
      <c r="X2617" s="496">
        <f t="shared" si="169"/>
        <v>3.4122103386809268</v>
      </c>
      <c r="Y2617" s="497" t="str">
        <f t="shared" si="171"/>
        <v/>
      </c>
      <c r="Z2617" s="497" t="str">
        <f t="shared" si="171"/>
        <v/>
      </c>
    </row>
    <row r="2618" spans="1:26" s="82" customFormat="1" ht="32" x14ac:dyDescent="0.4">
      <c r="A2618" s="493">
        <v>66429</v>
      </c>
      <c r="B2618" s="105" t="s">
        <v>329</v>
      </c>
      <c r="C2618" s="493" t="s">
        <v>330</v>
      </c>
      <c r="D2618" s="105" t="s">
        <v>3129</v>
      </c>
      <c r="E2618" s="105" t="s">
        <v>3129</v>
      </c>
      <c r="F2618" s="493">
        <v>65497</v>
      </c>
      <c r="G2618" s="105" t="s">
        <v>37</v>
      </c>
      <c r="H2618" s="105" t="s">
        <v>342</v>
      </c>
      <c r="I2618" s="105" t="s">
        <v>334</v>
      </c>
      <c r="J2618" s="493">
        <v>22</v>
      </c>
      <c r="K2618" s="493">
        <v>2</v>
      </c>
      <c r="L2618" s="105" t="s">
        <v>343</v>
      </c>
      <c r="M2618" s="105" t="s">
        <v>655</v>
      </c>
      <c r="N2618" s="105" t="s">
        <v>656</v>
      </c>
      <c r="O2618" s="105" t="s">
        <v>656</v>
      </c>
      <c r="P2618" s="105" t="s">
        <v>339</v>
      </c>
      <c r="Q2618" s="494">
        <v>0</v>
      </c>
      <c r="R2618" s="494">
        <v>0</v>
      </c>
      <c r="S2618" s="494">
        <v>7238</v>
      </c>
      <c r="T2618" s="494">
        <v>7238</v>
      </c>
      <c r="U2618" s="494">
        <v>2121</v>
      </c>
      <c r="V2618" s="493">
        <v>2024</v>
      </c>
      <c r="W2618" s="495"/>
      <c r="X2618" s="496">
        <f t="shared" si="169"/>
        <v>3.4125412541254128</v>
      </c>
      <c r="Y2618" s="497" t="str">
        <f t="shared" si="171"/>
        <v/>
      </c>
      <c r="Z2618" s="497" t="str">
        <f t="shared" si="171"/>
        <v/>
      </c>
    </row>
    <row r="2619" spans="1:26" s="82" customFormat="1" x14ac:dyDescent="0.4">
      <c r="A2619" s="493">
        <v>66442</v>
      </c>
      <c r="B2619" s="105" t="s">
        <v>329</v>
      </c>
      <c r="C2619" s="493" t="s">
        <v>330</v>
      </c>
      <c r="D2619" s="105" t="s">
        <v>3130</v>
      </c>
      <c r="E2619" s="105" t="s">
        <v>3131</v>
      </c>
      <c r="F2619" s="493">
        <v>60628</v>
      </c>
      <c r="G2619" s="105" t="s">
        <v>52</v>
      </c>
      <c r="H2619" s="105" t="s">
        <v>333</v>
      </c>
      <c r="I2619" s="105" t="s">
        <v>334</v>
      </c>
      <c r="J2619" s="493">
        <v>22</v>
      </c>
      <c r="K2619" s="493">
        <v>2</v>
      </c>
      <c r="L2619" s="105" t="s">
        <v>343</v>
      </c>
      <c r="M2619" s="105" t="s">
        <v>655</v>
      </c>
      <c r="N2619" s="105" t="s">
        <v>656</v>
      </c>
      <c r="O2619" s="105" t="s">
        <v>656</v>
      </c>
      <c r="P2619" s="105" t="s">
        <v>339</v>
      </c>
      <c r="Q2619" s="494">
        <v>0</v>
      </c>
      <c r="R2619" s="494">
        <v>0</v>
      </c>
      <c r="S2619" s="494">
        <v>25745</v>
      </c>
      <c r="T2619" s="494">
        <v>25745</v>
      </c>
      <c r="U2619" s="494">
        <v>7545</v>
      </c>
      <c r="V2619" s="493">
        <v>2024</v>
      </c>
      <c r="W2619" s="495"/>
      <c r="X2619" s="496">
        <f t="shared" si="169"/>
        <v>3.4121935056328696</v>
      </c>
      <c r="Y2619" s="497" t="str">
        <f t="shared" si="171"/>
        <v/>
      </c>
      <c r="Z2619" s="497" t="str">
        <f t="shared" si="171"/>
        <v/>
      </c>
    </row>
    <row r="2620" spans="1:26" s="82" customFormat="1" x14ac:dyDescent="0.4">
      <c r="A2620" s="493">
        <v>66447</v>
      </c>
      <c r="B2620" s="105" t="s">
        <v>329</v>
      </c>
      <c r="C2620" s="493" t="s">
        <v>330</v>
      </c>
      <c r="D2620" s="105" t="s">
        <v>3132</v>
      </c>
      <c r="E2620" s="105" t="s">
        <v>2894</v>
      </c>
      <c r="F2620" s="493">
        <v>64904</v>
      </c>
      <c r="G2620" s="105" t="s">
        <v>33</v>
      </c>
      <c r="H2620" s="105" t="s">
        <v>342</v>
      </c>
      <c r="I2620" s="105" t="s">
        <v>334</v>
      </c>
      <c r="J2620" s="493">
        <v>22</v>
      </c>
      <c r="K2620" s="493">
        <v>2</v>
      </c>
      <c r="L2620" s="105" t="s">
        <v>343</v>
      </c>
      <c r="M2620" s="105" t="s">
        <v>655</v>
      </c>
      <c r="N2620" s="105" t="s">
        <v>656</v>
      </c>
      <c r="O2620" s="105" t="s">
        <v>656</v>
      </c>
      <c r="P2620" s="105" t="s">
        <v>339</v>
      </c>
      <c r="Q2620" s="494">
        <v>0</v>
      </c>
      <c r="R2620" s="494">
        <v>0</v>
      </c>
      <c r="S2620" s="494">
        <v>19255</v>
      </c>
      <c r="T2620" s="494">
        <v>19255</v>
      </c>
      <c r="U2620" s="494">
        <v>5643</v>
      </c>
      <c r="V2620" s="493">
        <v>2024</v>
      </c>
      <c r="W2620" s="495"/>
      <c r="X2620" s="496">
        <f t="shared" si="169"/>
        <v>3.4121920964026229</v>
      </c>
      <c r="Y2620" s="497" t="str">
        <f t="shared" si="171"/>
        <v/>
      </c>
      <c r="Z2620" s="497" t="str">
        <f t="shared" si="171"/>
        <v/>
      </c>
    </row>
    <row r="2621" spans="1:26" s="82" customFormat="1" x14ac:dyDescent="0.4">
      <c r="A2621" s="493">
        <v>66449</v>
      </c>
      <c r="B2621" s="105" t="s">
        <v>329</v>
      </c>
      <c r="C2621" s="493" t="s">
        <v>330</v>
      </c>
      <c r="D2621" s="105" t="s">
        <v>3133</v>
      </c>
      <c r="E2621" s="105" t="s">
        <v>2894</v>
      </c>
      <c r="F2621" s="493">
        <v>64904</v>
      </c>
      <c r="G2621" s="105" t="s">
        <v>52</v>
      </c>
      <c r="H2621" s="105" t="s">
        <v>333</v>
      </c>
      <c r="I2621" s="105" t="s">
        <v>334</v>
      </c>
      <c r="J2621" s="493">
        <v>22</v>
      </c>
      <c r="K2621" s="493">
        <v>2</v>
      </c>
      <c r="L2621" s="105" t="s">
        <v>343</v>
      </c>
      <c r="M2621" s="105" t="s">
        <v>655</v>
      </c>
      <c r="N2621" s="105" t="s">
        <v>656</v>
      </c>
      <c r="O2621" s="105" t="s">
        <v>656</v>
      </c>
      <c r="P2621" s="105" t="s">
        <v>339</v>
      </c>
      <c r="Q2621" s="494">
        <v>0</v>
      </c>
      <c r="R2621" s="494">
        <v>0</v>
      </c>
      <c r="S2621" s="494">
        <v>3194</v>
      </c>
      <c r="T2621" s="494">
        <v>3194</v>
      </c>
      <c r="U2621" s="494">
        <v>936</v>
      </c>
      <c r="V2621" s="493">
        <v>2024</v>
      </c>
      <c r="W2621" s="495"/>
      <c r="X2621" s="496">
        <f t="shared" si="169"/>
        <v>3.4123931623931623</v>
      </c>
      <c r="Y2621" s="497" t="str">
        <f t="shared" si="171"/>
        <v/>
      </c>
      <c r="Z2621" s="497" t="str">
        <f t="shared" si="171"/>
        <v/>
      </c>
    </row>
    <row r="2622" spans="1:26" s="82" customFormat="1" x14ac:dyDescent="0.4">
      <c r="A2622" s="493">
        <v>66455</v>
      </c>
      <c r="B2622" s="105" t="s">
        <v>329</v>
      </c>
      <c r="C2622" s="493" t="s">
        <v>330</v>
      </c>
      <c r="D2622" s="105" t="s">
        <v>3134</v>
      </c>
      <c r="E2622" s="105" t="s">
        <v>2116</v>
      </c>
      <c r="F2622" s="493">
        <v>57128</v>
      </c>
      <c r="G2622" s="105" t="s">
        <v>37</v>
      </c>
      <c r="H2622" s="105" t="s">
        <v>342</v>
      </c>
      <c r="I2622" s="105" t="s">
        <v>2117</v>
      </c>
      <c r="J2622" s="493">
        <v>22</v>
      </c>
      <c r="K2622" s="493">
        <v>2</v>
      </c>
      <c r="L2622" s="105" t="s">
        <v>343</v>
      </c>
      <c r="M2622" s="105" t="s">
        <v>990</v>
      </c>
      <c r="N2622" s="105" t="s">
        <v>228</v>
      </c>
      <c r="O2622" s="105" t="s">
        <v>228</v>
      </c>
      <c r="P2622" s="105" t="s">
        <v>356</v>
      </c>
      <c r="Q2622" s="494">
        <v>97694</v>
      </c>
      <c r="R2622" s="494">
        <v>97694</v>
      </c>
      <c r="S2622" s="494">
        <v>99649</v>
      </c>
      <c r="T2622" s="494">
        <v>99649</v>
      </c>
      <c r="U2622" s="494">
        <v>14602</v>
      </c>
      <c r="V2622" s="493">
        <v>2024</v>
      </c>
      <c r="W2622" s="495"/>
      <c r="X2622" s="496">
        <f t="shared" si="169"/>
        <v>6.8243391316258046</v>
      </c>
      <c r="Y2622" s="497" t="str">
        <f t="shared" si="171"/>
        <v/>
      </c>
      <c r="Z2622" s="497" t="str">
        <f t="shared" si="171"/>
        <v/>
      </c>
    </row>
    <row r="2623" spans="1:26" s="82" customFormat="1" x14ac:dyDescent="0.4">
      <c r="A2623" s="493">
        <v>66457</v>
      </c>
      <c r="B2623" s="105" t="s">
        <v>329</v>
      </c>
      <c r="C2623" s="493" t="s">
        <v>330</v>
      </c>
      <c r="D2623" s="105" t="s">
        <v>3135</v>
      </c>
      <c r="E2623" s="105" t="s">
        <v>2116</v>
      </c>
      <c r="F2623" s="493">
        <v>57128</v>
      </c>
      <c r="G2623" s="105" t="s">
        <v>52</v>
      </c>
      <c r="H2623" s="105" t="s">
        <v>333</v>
      </c>
      <c r="I2623" s="105" t="s">
        <v>334</v>
      </c>
      <c r="J2623" s="493">
        <v>22</v>
      </c>
      <c r="K2623" s="493">
        <v>2</v>
      </c>
      <c r="L2623" s="105" t="s">
        <v>343</v>
      </c>
      <c r="M2623" s="105" t="s">
        <v>990</v>
      </c>
      <c r="N2623" s="105" t="s">
        <v>228</v>
      </c>
      <c r="O2623" s="105" t="s">
        <v>228</v>
      </c>
      <c r="P2623" s="105" t="s">
        <v>356</v>
      </c>
      <c r="Q2623" s="494">
        <v>91674</v>
      </c>
      <c r="R2623" s="494">
        <v>91674</v>
      </c>
      <c r="S2623" s="494">
        <v>93582</v>
      </c>
      <c r="T2623" s="494">
        <v>93582</v>
      </c>
      <c r="U2623" s="494">
        <v>12823</v>
      </c>
      <c r="V2623" s="493">
        <v>2024</v>
      </c>
      <c r="W2623" s="495"/>
      <c r="X2623" s="496">
        <f t="shared" si="169"/>
        <v>7.2979801918427825</v>
      </c>
      <c r="Y2623" s="497" t="str">
        <f t="shared" si="171"/>
        <v/>
      </c>
      <c r="Z2623" s="497" t="str">
        <f t="shared" si="171"/>
        <v/>
      </c>
    </row>
    <row r="2624" spans="1:26" s="82" customFormat="1" x14ac:dyDescent="0.4">
      <c r="A2624" s="493">
        <v>66460</v>
      </c>
      <c r="B2624" s="105" t="s">
        <v>329</v>
      </c>
      <c r="C2624" s="493" t="s">
        <v>330</v>
      </c>
      <c r="D2624" s="105" t="s">
        <v>3136</v>
      </c>
      <c r="E2624" s="105" t="s">
        <v>2116</v>
      </c>
      <c r="F2624" s="493">
        <v>57128</v>
      </c>
      <c r="G2624" s="105" t="s">
        <v>52</v>
      </c>
      <c r="H2624" s="105" t="s">
        <v>333</v>
      </c>
      <c r="I2624" s="105" t="s">
        <v>334</v>
      </c>
      <c r="J2624" s="493">
        <v>22</v>
      </c>
      <c r="K2624" s="493">
        <v>2</v>
      </c>
      <c r="L2624" s="105" t="s">
        <v>343</v>
      </c>
      <c r="M2624" s="105" t="s">
        <v>990</v>
      </c>
      <c r="N2624" s="105" t="s">
        <v>228</v>
      </c>
      <c r="O2624" s="105" t="s">
        <v>228</v>
      </c>
      <c r="P2624" s="105" t="s">
        <v>356</v>
      </c>
      <c r="Q2624" s="494">
        <v>89216</v>
      </c>
      <c r="R2624" s="494">
        <v>89216</v>
      </c>
      <c r="S2624" s="494">
        <v>91164</v>
      </c>
      <c r="T2624" s="494">
        <v>91164</v>
      </c>
      <c r="U2624" s="494">
        <v>12719</v>
      </c>
      <c r="V2624" s="493">
        <v>2024</v>
      </c>
      <c r="W2624" s="495"/>
      <c r="X2624" s="496">
        <f t="shared" si="169"/>
        <v>7.167544618287601</v>
      </c>
      <c r="Y2624" s="497" t="str">
        <f t="shared" si="171"/>
        <v/>
      </c>
      <c r="Z2624" s="497" t="str">
        <f t="shared" si="171"/>
        <v/>
      </c>
    </row>
    <row r="2625" spans="1:26" s="82" customFormat="1" x14ac:dyDescent="0.4">
      <c r="A2625" s="493">
        <v>66473</v>
      </c>
      <c r="B2625" s="105" t="s">
        <v>329</v>
      </c>
      <c r="C2625" s="493" t="s">
        <v>330</v>
      </c>
      <c r="D2625" s="105" t="s">
        <v>3137</v>
      </c>
      <c r="E2625" s="105" t="s">
        <v>3131</v>
      </c>
      <c r="F2625" s="493">
        <v>60628</v>
      </c>
      <c r="G2625" s="105" t="s">
        <v>52</v>
      </c>
      <c r="H2625" s="105" t="s">
        <v>333</v>
      </c>
      <c r="I2625" s="105" t="s">
        <v>334</v>
      </c>
      <c r="J2625" s="493">
        <v>22</v>
      </c>
      <c r="K2625" s="493">
        <v>2</v>
      </c>
      <c r="L2625" s="105" t="s">
        <v>343</v>
      </c>
      <c r="M2625" s="105" t="s">
        <v>655</v>
      </c>
      <c r="N2625" s="105" t="s">
        <v>656</v>
      </c>
      <c r="O2625" s="105" t="s">
        <v>656</v>
      </c>
      <c r="P2625" s="105" t="s">
        <v>339</v>
      </c>
      <c r="Q2625" s="494">
        <v>0</v>
      </c>
      <c r="R2625" s="494">
        <v>0</v>
      </c>
      <c r="S2625" s="494">
        <v>2935</v>
      </c>
      <c r="T2625" s="494">
        <v>2935</v>
      </c>
      <c r="U2625" s="494">
        <v>861</v>
      </c>
      <c r="V2625" s="493">
        <v>2024</v>
      </c>
      <c r="W2625" s="495"/>
      <c r="X2625" s="496">
        <f t="shared" si="169"/>
        <v>3.4088269454123115</v>
      </c>
      <c r="Y2625" s="497" t="str">
        <f t="shared" si="171"/>
        <v/>
      </c>
      <c r="Z2625" s="497" t="str">
        <f t="shared" si="171"/>
        <v/>
      </c>
    </row>
    <row r="2626" spans="1:26" s="82" customFormat="1" ht="48" x14ac:dyDescent="0.4">
      <c r="A2626" s="493">
        <v>66474</v>
      </c>
      <c r="B2626" s="105" t="s">
        <v>329</v>
      </c>
      <c r="C2626" s="493" t="s">
        <v>330</v>
      </c>
      <c r="D2626" s="105" t="s">
        <v>3138</v>
      </c>
      <c r="E2626" s="105" t="s">
        <v>3139</v>
      </c>
      <c r="F2626" s="493">
        <v>65504</v>
      </c>
      <c r="G2626" s="105" t="s">
        <v>33</v>
      </c>
      <c r="H2626" s="105" t="s">
        <v>342</v>
      </c>
      <c r="I2626" s="105" t="s">
        <v>334</v>
      </c>
      <c r="J2626" s="493">
        <v>22</v>
      </c>
      <c r="K2626" s="493">
        <v>2</v>
      </c>
      <c r="L2626" s="105" t="s">
        <v>343</v>
      </c>
      <c r="M2626" s="105" t="s">
        <v>403</v>
      </c>
      <c r="N2626" s="105" t="s">
        <v>404</v>
      </c>
      <c r="O2626" s="105" t="s">
        <v>232</v>
      </c>
      <c r="P2626" s="105" t="s">
        <v>346</v>
      </c>
      <c r="Q2626" s="494">
        <v>0</v>
      </c>
      <c r="R2626" s="494">
        <v>0</v>
      </c>
      <c r="S2626" s="494">
        <v>0</v>
      </c>
      <c r="T2626" s="494">
        <v>0</v>
      </c>
      <c r="U2626" s="494">
        <v>0</v>
      </c>
      <c r="V2626" s="493">
        <v>2024</v>
      </c>
      <c r="W2626" s="495"/>
      <c r="X2626" s="496" t="str">
        <f t="shared" si="169"/>
        <v/>
      </c>
      <c r="Y2626" s="497" t="str">
        <f t="shared" si="171"/>
        <v/>
      </c>
      <c r="Z2626" s="497" t="str">
        <f t="shared" si="171"/>
        <v/>
      </c>
    </row>
    <row r="2627" spans="1:26" s="82" customFormat="1" ht="48" x14ac:dyDescent="0.4">
      <c r="A2627" s="493">
        <v>66474</v>
      </c>
      <c r="B2627" s="105" t="s">
        <v>329</v>
      </c>
      <c r="C2627" s="493" t="s">
        <v>330</v>
      </c>
      <c r="D2627" s="105" t="s">
        <v>3138</v>
      </c>
      <c r="E2627" s="105" t="s">
        <v>3139</v>
      </c>
      <c r="F2627" s="493">
        <v>65504</v>
      </c>
      <c r="G2627" s="105" t="s">
        <v>33</v>
      </c>
      <c r="H2627" s="105" t="s">
        <v>342</v>
      </c>
      <c r="I2627" s="105" t="s">
        <v>334</v>
      </c>
      <c r="J2627" s="493">
        <v>22</v>
      </c>
      <c r="K2627" s="493">
        <v>2</v>
      </c>
      <c r="L2627" s="105" t="s">
        <v>343</v>
      </c>
      <c r="M2627" s="105" t="s">
        <v>655</v>
      </c>
      <c r="N2627" s="105" t="s">
        <v>656</v>
      </c>
      <c r="O2627" s="105" t="s">
        <v>656</v>
      </c>
      <c r="P2627" s="105" t="s">
        <v>339</v>
      </c>
      <c r="Q2627" s="494">
        <v>0</v>
      </c>
      <c r="R2627" s="494">
        <v>0</v>
      </c>
      <c r="S2627" s="494">
        <v>17578</v>
      </c>
      <c r="T2627" s="494">
        <v>17578</v>
      </c>
      <c r="U2627" s="494">
        <v>3682</v>
      </c>
      <c r="V2627" s="493">
        <v>2024</v>
      </c>
      <c r="W2627" s="495"/>
      <c r="X2627" s="496">
        <f t="shared" si="169"/>
        <v>4.7740358500814777</v>
      </c>
      <c r="Y2627" s="497" t="str">
        <f t="shared" si="171"/>
        <v/>
      </c>
      <c r="Z2627" s="497" t="str">
        <f t="shared" si="171"/>
        <v/>
      </c>
    </row>
    <row r="2628" spans="1:26" s="82" customFormat="1" ht="32" x14ac:dyDescent="0.4">
      <c r="A2628" s="493">
        <v>66481</v>
      </c>
      <c r="B2628" s="105" t="s">
        <v>329</v>
      </c>
      <c r="C2628" s="493" t="s">
        <v>330</v>
      </c>
      <c r="D2628" s="105" t="s">
        <v>3140</v>
      </c>
      <c r="E2628" s="105" t="s">
        <v>1313</v>
      </c>
      <c r="F2628" s="493">
        <v>60281</v>
      </c>
      <c r="G2628" s="105" t="s">
        <v>52</v>
      </c>
      <c r="H2628" s="105" t="s">
        <v>333</v>
      </c>
      <c r="I2628" s="105" t="s">
        <v>334</v>
      </c>
      <c r="J2628" s="493">
        <v>22</v>
      </c>
      <c r="K2628" s="493">
        <v>2</v>
      </c>
      <c r="L2628" s="105" t="s">
        <v>343</v>
      </c>
      <c r="M2628" s="105" t="s">
        <v>655</v>
      </c>
      <c r="N2628" s="105" t="s">
        <v>656</v>
      </c>
      <c r="O2628" s="105" t="s">
        <v>656</v>
      </c>
      <c r="P2628" s="105" t="s">
        <v>339</v>
      </c>
      <c r="Q2628" s="494">
        <v>0</v>
      </c>
      <c r="R2628" s="494">
        <v>0</v>
      </c>
      <c r="S2628" s="494">
        <v>4490</v>
      </c>
      <c r="T2628" s="494">
        <v>4490</v>
      </c>
      <c r="U2628" s="494">
        <v>1316</v>
      </c>
      <c r="V2628" s="493">
        <v>2024</v>
      </c>
      <c r="W2628" s="495"/>
      <c r="X2628" s="496">
        <f t="shared" si="169"/>
        <v>3.4118541033434648</v>
      </c>
      <c r="Y2628" s="497" t="str">
        <f t="shared" ref="Y2628:Z2647" si="172">IF(AND($M2628=$Y$2,$N2628=$Y$3,NOT($Q2628=$R2628),NOT($U2628=0)),IF($K2628=5,$S2628/($U2628+(8/5)*$U2628),IF($K2628=7,$S2628/($U2628+(29/25)*$U2628),"")),"")</f>
        <v/>
      </c>
      <c r="Z2628" s="497" t="str">
        <f t="shared" si="172"/>
        <v/>
      </c>
    </row>
    <row r="2629" spans="1:26" s="82" customFormat="1" ht="32" x14ac:dyDescent="0.4">
      <c r="A2629" s="493">
        <v>66482</v>
      </c>
      <c r="B2629" s="105" t="s">
        <v>329</v>
      </c>
      <c r="C2629" s="493" t="s">
        <v>330</v>
      </c>
      <c r="D2629" s="105" t="s">
        <v>3141</v>
      </c>
      <c r="E2629" s="105" t="s">
        <v>1313</v>
      </c>
      <c r="F2629" s="493">
        <v>60281</v>
      </c>
      <c r="G2629" s="105" t="s">
        <v>52</v>
      </c>
      <c r="H2629" s="105" t="s">
        <v>333</v>
      </c>
      <c r="I2629" s="105" t="s">
        <v>334</v>
      </c>
      <c r="J2629" s="493">
        <v>22</v>
      </c>
      <c r="K2629" s="493">
        <v>2</v>
      </c>
      <c r="L2629" s="105" t="s">
        <v>343</v>
      </c>
      <c r="M2629" s="105" t="s">
        <v>655</v>
      </c>
      <c r="N2629" s="105" t="s">
        <v>656</v>
      </c>
      <c r="O2629" s="105" t="s">
        <v>656</v>
      </c>
      <c r="P2629" s="105" t="s">
        <v>339</v>
      </c>
      <c r="Q2629" s="494">
        <v>0</v>
      </c>
      <c r="R2629" s="494">
        <v>0</v>
      </c>
      <c r="S2629" s="494">
        <v>19349</v>
      </c>
      <c r="T2629" s="494">
        <v>19349</v>
      </c>
      <c r="U2629" s="494">
        <v>5671</v>
      </c>
      <c r="V2629" s="493">
        <v>2024</v>
      </c>
      <c r="W2629" s="495"/>
      <c r="X2629" s="496">
        <f t="shared" si="169"/>
        <v>3.4119202962440487</v>
      </c>
      <c r="Y2629" s="497" t="str">
        <f t="shared" si="172"/>
        <v/>
      </c>
      <c r="Z2629" s="497" t="str">
        <f t="shared" si="172"/>
        <v/>
      </c>
    </row>
    <row r="2630" spans="1:26" s="82" customFormat="1" ht="32" x14ac:dyDescent="0.4">
      <c r="A2630" s="493">
        <v>66483</v>
      </c>
      <c r="B2630" s="105" t="s">
        <v>329</v>
      </c>
      <c r="C2630" s="493" t="s">
        <v>330</v>
      </c>
      <c r="D2630" s="105" t="s">
        <v>3142</v>
      </c>
      <c r="E2630" s="105" t="s">
        <v>1313</v>
      </c>
      <c r="F2630" s="493">
        <v>60281</v>
      </c>
      <c r="G2630" s="105" t="s">
        <v>52</v>
      </c>
      <c r="H2630" s="105" t="s">
        <v>333</v>
      </c>
      <c r="I2630" s="105" t="s">
        <v>334</v>
      </c>
      <c r="J2630" s="493">
        <v>22</v>
      </c>
      <c r="K2630" s="493">
        <v>2</v>
      </c>
      <c r="L2630" s="105" t="s">
        <v>343</v>
      </c>
      <c r="M2630" s="105" t="s">
        <v>655</v>
      </c>
      <c r="N2630" s="105" t="s">
        <v>656</v>
      </c>
      <c r="O2630" s="105" t="s">
        <v>656</v>
      </c>
      <c r="P2630" s="105" t="s">
        <v>339</v>
      </c>
      <c r="Q2630" s="494">
        <v>0</v>
      </c>
      <c r="R2630" s="494">
        <v>0</v>
      </c>
      <c r="S2630" s="494">
        <v>25286</v>
      </c>
      <c r="T2630" s="494">
        <v>25286</v>
      </c>
      <c r="U2630" s="494">
        <v>7411</v>
      </c>
      <c r="V2630" s="493">
        <v>2024</v>
      </c>
      <c r="W2630" s="495"/>
      <c r="X2630" s="496">
        <f t="shared" si="169"/>
        <v>3.4119552017271624</v>
      </c>
      <c r="Y2630" s="497" t="str">
        <f t="shared" si="172"/>
        <v/>
      </c>
      <c r="Z2630" s="497" t="str">
        <f t="shared" si="172"/>
        <v/>
      </c>
    </row>
    <row r="2631" spans="1:26" s="82" customFormat="1" x14ac:dyDescent="0.4">
      <c r="A2631" s="493">
        <v>66488</v>
      </c>
      <c r="B2631" s="105" t="s">
        <v>329</v>
      </c>
      <c r="C2631" s="493" t="s">
        <v>330</v>
      </c>
      <c r="D2631" s="105" t="s">
        <v>3143</v>
      </c>
      <c r="E2631" s="105" t="s">
        <v>2050</v>
      </c>
      <c r="F2631" s="493">
        <v>61194</v>
      </c>
      <c r="G2631" s="105" t="s">
        <v>52</v>
      </c>
      <c r="H2631" s="105" t="s">
        <v>333</v>
      </c>
      <c r="I2631" s="105" t="s">
        <v>334</v>
      </c>
      <c r="J2631" s="493">
        <v>22</v>
      </c>
      <c r="K2631" s="493">
        <v>2</v>
      </c>
      <c r="L2631" s="105" t="s">
        <v>343</v>
      </c>
      <c r="M2631" s="105" t="s">
        <v>403</v>
      </c>
      <c r="N2631" s="105" t="s">
        <v>404</v>
      </c>
      <c r="O2631" s="105" t="s">
        <v>232</v>
      </c>
      <c r="P2631" s="105" t="s">
        <v>346</v>
      </c>
      <c r="Q2631" s="494">
        <v>552</v>
      </c>
      <c r="R2631" s="494">
        <v>552</v>
      </c>
      <c r="S2631" s="494">
        <v>0</v>
      </c>
      <c r="T2631" s="494">
        <v>0</v>
      </c>
      <c r="U2631" s="494">
        <v>-69</v>
      </c>
      <c r="V2631" s="493">
        <v>2024</v>
      </c>
      <c r="W2631" s="495"/>
      <c r="X2631" s="496" t="str">
        <f t="shared" si="169"/>
        <v/>
      </c>
      <c r="Y2631" s="497" t="str">
        <f t="shared" si="172"/>
        <v/>
      </c>
      <c r="Z2631" s="497" t="str">
        <f t="shared" si="172"/>
        <v/>
      </c>
    </row>
    <row r="2632" spans="1:26" s="82" customFormat="1" x14ac:dyDescent="0.4">
      <c r="A2632" s="493">
        <v>66488</v>
      </c>
      <c r="B2632" s="105" t="s">
        <v>329</v>
      </c>
      <c r="C2632" s="493" t="s">
        <v>330</v>
      </c>
      <c r="D2632" s="105" t="s">
        <v>3143</v>
      </c>
      <c r="E2632" s="105" t="s">
        <v>2050</v>
      </c>
      <c r="F2632" s="493">
        <v>61194</v>
      </c>
      <c r="G2632" s="105" t="s">
        <v>52</v>
      </c>
      <c r="H2632" s="105" t="s">
        <v>333</v>
      </c>
      <c r="I2632" s="105" t="s">
        <v>334</v>
      </c>
      <c r="J2632" s="493">
        <v>22</v>
      </c>
      <c r="K2632" s="493">
        <v>2</v>
      </c>
      <c r="L2632" s="105" t="s">
        <v>343</v>
      </c>
      <c r="M2632" s="105" t="s">
        <v>655</v>
      </c>
      <c r="N2632" s="105" t="s">
        <v>656</v>
      </c>
      <c r="O2632" s="105" t="s">
        <v>656</v>
      </c>
      <c r="P2632" s="105" t="s">
        <v>339</v>
      </c>
      <c r="Q2632" s="494">
        <v>0</v>
      </c>
      <c r="R2632" s="494">
        <v>0</v>
      </c>
      <c r="S2632" s="494">
        <v>7697</v>
      </c>
      <c r="T2632" s="494">
        <v>7697</v>
      </c>
      <c r="U2632" s="494">
        <v>2256</v>
      </c>
      <c r="V2632" s="493">
        <v>2024</v>
      </c>
      <c r="W2632" s="495"/>
      <c r="X2632" s="496">
        <f t="shared" si="169"/>
        <v>3.4117907801418439</v>
      </c>
      <c r="Y2632" s="497" t="str">
        <f t="shared" si="172"/>
        <v/>
      </c>
      <c r="Z2632" s="497" t="str">
        <f t="shared" si="172"/>
        <v/>
      </c>
    </row>
    <row r="2633" spans="1:26" s="82" customFormat="1" x14ac:dyDescent="0.4">
      <c r="A2633" s="493">
        <v>66489</v>
      </c>
      <c r="B2633" s="105" t="s">
        <v>329</v>
      </c>
      <c r="C2633" s="493" t="s">
        <v>330</v>
      </c>
      <c r="D2633" s="105" t="s">
        <v>3144</v>
      </c>
      <c r="E2633" s="105" t="s">
        <v>2050</v>
      </c>
      <c r="F2633" s="493">
        <v>61194</v>
      </c>
      <c r="G2633" s="105" t="s">
        <v>52</v>
      </c>
      <c r="H2633" s="105" t="s">
        <v>333</v>
      </c>
      <c r="I2633" s="105" t="s">
        <v>334</v>
      </c>
      <c r="J2633" s="493">
        <v>22</v>
      </c>
      <c r="K2633" s="493">
        <v>2</v>
      </c>
      <c r="L2633" s="105" t="s">
        <v>343</v>
      </c>
      <c r="M2633" s="105" t="s">
        <v>655</v>
      </c>
      <c r="N2633" s="105" t="s">
        <v>656</v>
      </c>
      <c r="O2633" s="105" t="s">
        <v>656</v>
      </c>
      <c r="P2633" s="105" t="s">
        <v>339</v>
      </c>
      <c r="Q2633" s="494">
        <v>0</v>
      </c>
      <c r="R2633" s="494">
        <v>0</v>
      </c>
      <c r="S2633" s="494">
        <v>23857</v>
      </c>
      <c r="T2633" s="494">
        <v>23857</v>
      </c>
      <c r="U2633" s="494">
        <v>6992</v>
      </c>
      <c r="V2633" s="493">
        <v>2024</v>
      </c>
      <c r="W2633" s="495"/>
      <c r="X2633" s="496">
        <f t="shared" ref="X2633:X2696" si="173">IF(OR(K2633&gt;3,T2633=0,NOT(U2633&gt;0)),"",T2633/U2633)</f>
        <v>3.4120423340961099</v>
      </c>
      <c r="Y2633" s="497" t="str">
        <f t="shared" si="172"/>
        <v/>
      </c>
      <c r="Z2633" s="497" t="str">
        <f t="shared" si="172"/>
        <v/>
      </c>
    </row>
    <row r="2634" spans="1:26" s="82" customFormat="1" x14ac:dyDescent="0.4">
      <c r="A2634" s="493">
        <v>66490</v>
      </c>
      <c r="B2634" s="105" t="s">
        <v>329</v>
      </c>
      <c r="C2634" s="493" t="s">
        <v>330</v>
      </c>
      <c r="D2634" s="105" t="s">
        <v>3145</v>
      </c>
      <c r="E2634" s="105" t="s">
        <v>2050</v>
      </c>
      <c r="F2634" s="493">
        <v>61194</v>
      </c>
      <c r="G2634" s="105" t="s">
        <v>52</v>
      </c>
      <c r="H2634" s="105" t="s">
        <v>333</v>
      </c>
      <c r="I2634" s="105" t="s">
        <v>334</v>
      </c>
      <c r="J2634" s="493">
        <v>22</v>
      </c>
      <c r="K2634" s="493">
        <v>2</v>
      </c>
      <c r="L2634" s="105" t="s">
        <v>343</v>
      </c>
      <c r="M2634" s="105" t="s">
        <v>655</v>
      </c>
      <c r="N2634" s="105" t="s">
        <v>656</v>
      </c>
      <c r="O2634" s="105" t="s">
        <v>656</v>
      </c>
      <c r="P2634" s="105" t="s">
        <v>339</v>
      </c>
      <c r="Q2634" s="494">
        <v>0</v>
      </c>
      <c r="R2634" s="494">
        <v>0</v>
      </c>
      <c r="S2634" s="494">
        <v>23905</v>
      </c>
      <c r="T2634" s="494">
        <v>23905</v>
      </c>
      <c r="U2634" s="494">
        <v>7006</v>
      </c>
      <c r="V2634" s="493">
        <v>2024</v>
      </c>
      <c r="W2634" s="495"/>
      <c r="X2634" s="496">
        <f t="shared" si="173"/>
        <v>3.4120753639737367</v>
      </c>
      <c r="Y2634" s="497" t="str">
        <f t="shared" si="172"/>
        <v/>
      </c>
      <c r="Z2634" s="497" t="str">
        <f t="shared" si="172"/>
        <v/>
      </c>
    </row>
    <row r="2635" spans="1:26" s="82" customFormat="1" ht="32" x14ac:dyDescent="0.4">
      <c r="A2635" s="493">
        <v>66501</v>
      </c>
      <c r="B2635" s="105" t="s">
        <v>329</v>
      </c>
      <c r="C2635" s="493" t="s">
        <v>330</v>
      </c>
      <c r="D2635" s="105" t="s">
        <v>3146</v>
      </c>
      <c r="E2635" s="105" t="s">
        <v>1271</v>
      </c>
      <c r="F2635" s="493">
        <v>61978</v>
      </c>
      <c r="G2635" s="105" t="s">
        <v>52</v>
      </c>
      <c r="H2635" s="105" t="s">
        <v>333</v>
      </c>
      <c r="I2635" s="105" t="s">
        <v>334</v>
      </c>
      <c r="J2635" s="493">
        <v>22</v>
      </c>
      <c r="K2635" s="493">
        <v>2</v>
      </c>
      <c r="L2635" s="105" t="s">
        <v>343</v>
      </c>
      <c r="M2635" s="105" t="s">
        <v>403</v>
      </c>
      <c r="N2635" s="105" t="s">
        <v>404</v>
      </c>
      <c r="O2635" s="105" t="s">
        <v>232</v>
      </c>
      <c r="P2635" s="105" t="s">
        <v>346</v>
      </c>
      <c r="Q2635" s="494">
        <v>0</v>
      </c>
      <c r="R2635" s="494">
        <v>0</v>
      </c>
      <c r="S2635" s="494">
        <v>0</v>
      </c>
      <c r="T2635" s="494">
        <v>0</v>
      </c>
      <c r="U2635" s="494">
        <v>0</v>
      </c>
      <c r="V2635" s="493">
        <v>2024</v>
      </c>
      <c r="W2635" s="495"/>
      <c r="X2635" s="496" t="str">
        <f t="shared" si="173"/>
        <v/>
      </c>
      <c r="Y2635" s="497" t="str">
        <f t="shared" si="172"/>
        <v/>
      </c>
      <c r="Z2635" s="497" t="str">
        <f t="shared" si="172"/>
        <v/>
      </c>
    </row>
    <row r="2636" spans="1:26" s="82" customFormat="1" ht="32" x14ac:dyDescent="0.4">
      <c r="A2636" s="493">
        <v>66501</v>
      </c>
      <c r="B2636" s="105" t="s">
        <v>329</v>
      </c>
      <c r="C2636" s="493" t="s">
        <v>330</v>
      </c>
      <c r="D2636" s="105" t="s">
        <v>3146</v>
      </c>
      <c r="E2636" s="105" t="s">
        <v>1271</v>
      </c>
      <c r="F2636" s="493">
        <v>61978</v>
      </c>
      <c r="G2636" s="105" t="s">
        <v>52</v>
      </c>
      <c r="H2636" s="105" t="s">
        <v>333</v>
      </c>
      <c r="I2636" s="105" t="s">
        <v>334</v>
      </c>
      <c r="J2636" s="493">
        <v>22</v>
      </c>
      <c r="K2636" s="493">
        <v>2</v>
      </c>
      <c r="L2636" s="105" t="s">
        <v>343</v>
      </c>
      <c r="M2636" s="105" t="s">
        <v>655</v>
      </c>
      <c r="N2636" s="105" t="s">
        <v>656</v>
      </c>
      <c r="O2636" s="105" t="s">
        <v>656</v>
      </c>
      <c r="P2636" s="105" t="s">
        <v>339</v>
      </c>
      <c r="Q2636" s="494">
        <v>0</v>
      </c>
      <c r="R2636" s="494">
        <v>0</v>
      </c>
      <c r="S2636" s="494">
        <v>23737</v>
      </c>
      <c r="T2636" s="494">
        <v>23737</v>
      </c>
      <c r="U2636" s="494">
        <v>6957</v>
      </c>
      <c r="V2636" s="493">
        <v>2024</v>
      </c>
      <c r="W2636" s="495"/>
      <c r="X2636" s="496">
        <f t="shared" si="173"/>
        <v>3.4119591778065259</v>
      </c>
      <c r="Y2636" s="497" t="str">
        <f t="shared" si="172"/>
        <v/>
      </c>
      <c r="Z2636" s="497" t="str">
        <f t="shared" si="172"/>
        <v/>
      </c>
    </row>
    <row r="2637" spans="1:26" s="82" customFormat="1" ht="32" x14ac:dyDescent="0.4">
      <c r="A2637" s="493">
        <v>66503</v>
      </c>
      <c r="B2637" s="105" t="s">
        <v>329</v>
      </c>
      <c r="C2637" s="493" t="s">
        <v>330</v>
      </c>
      <c r="D2637" s="105" t="s">
        <v>3147</v>
      </c>
      <c r="E2637" s="105" t="s">
        <v>1271</v>
      </c>
      <c r="F2637" s="493">
        <v>61978</v>
      </c>
      <c r="G2637" s="105" t="s">
        <v>52</v>
      </c>
      <c r="H2637" s="105" t="s">
        <v>333</v>
      </c>
      <c r="I2637" s="105" t="s">
        <v>334</v>
      </c>
      <c r="J2637" s="493">
        <v>22</v>
      </c>
      <c r="K2637" s="493">
        <v>2</v>
      </c>
      <c r="L2637" s="105" t="s">
        <v>343</v>
      </c>
      <c r="M2637" s="105" t="s">
        <v>403</v>
      </c>
      <c r="N2637" s="105" t="s">
        <v>404</v>
      </c>
      <c r="O2637" s="105" t="s">
        <v>232</v>
      </c>
      <c r="P2637" s="105" t="s">
        <v>346</v>
      </c>
      <c r="Q2637" s="494">
        <v>0</v>
      </c>
      <c r="R2637" s="494">
        <v>0</v>
      </c>
      <c r="S2637" s="494">
        <v>0</v>
      </c>
      <c r="T2637" s="494">
        <v>0</v>
      </c>
      <c r="U2637" s="494">
        <v>0</v>
      </c>
      <c r="V2637" s="493">
        <v>2024</v>
      </c>
      <c r="W2637" s="495"/>
      <c r="X2637" s="496" t="str">
        <f t="shared" si="173"/>
        <v/>
      </c>
      <c r="Y2637" s="497" t="str">
        <f t="shared" si="172"/>
        <v/>
      </c>
      <c r="Z2637" s="497" t="str">
        <f t="shared" si="172"/>
        <v/>
      </c>
    </row>
    <row r="2638" spans="1:26" s="82" customFormat="1" ht="32" x14ac:dyDescent="0.4">
      <c r="A2638" s="493">
        <v>66503</v>
      </c>
      <c r="B2638" s="105" t="s">
        <v>329</v>
      </c>
      <c r="C2638" s="493" t="s">
        <v>330</v>
      </c>
      <c r="D2638" s="105" t="s">
        <v>3147</v>
      </c>
      <c r="E2638" s="105" t="s">
        <v>1271</v>
      </c>
      <c r="F2638" s="493">
        <v>61978</v>
      </c>
      <c r="G2638" s="105" t="s">
        <v>52</v>
      </c>
      <c r="H2638" s="105" t="s">
        <v>333</v>
      </c>
      <c r="I2638" s="105" t="s">
        <v>334</v>
      </c>
      <c r="J2638" s="493">
        <v>22</v>
      </c>
      <c r="K2638" s="493">
        <v>2</v>
      </c>
      <c r="L2638" s="105" t="s">
        <v>343</v>
      </c>
      <c r="M2638" s="105" t="s">
        <v>655</v>
      </c>
      <c r="N2638" s="105" t="s">
        <v>656</v>
      </c>
      <c r="O2638" s="105" t="s">
        <v>656</v>
      </c>
      <c r="P2638" s="105" t="s">
        <v>339</v>
      </c>
      <c r="Q2638" s="494">
        <v>0</v>
      </c>
      <c r="R2638" s="494">
        <v>0</v>
      </c>
      <c r="S2638" s="494">
        <v>25354</v>
      </c>
      <c r="T2638" s="494">
        <v>25354</v>
      </c>
      <c r="U2638" s="494">
        <v>7431</v>
      </c>
      <c r="V2638" s="493">
        <v>2024</v>
      </c>
      <c r="W2638" s="495"/>
      <c r="X2638" s="496">
        <f t="shared" si="173"/>
        <v>3.41192302516485</v>
      </c>
      <c r="Y2638" s="497" t="str">
        <f t="shared" si="172"/>
        <v/>
      </c>
      <c r="Z2638" s="497" t="str">
        <f t="shared" si="172"/>
        <v/>
      </c>
    </row>
    <row r="2639" spans="1:26" s="82" customFormat="1" ht="32" x14ac:dyDescent="0.4">
      <c r="A2639" s="493">
        <v>66504</v>
      </c>
      <c r="B2639" s="105" t="s">
        <v>329</v>
      </c>
      <c r="C2639" s="493" t="s">
        <v>330</v>
      </c>
      <c r="D2639" s="105" t="s">
        <v>3148</v>
      </c>
      <c r="E2639" s="105" t="s">
        <v>3149</v>
      </c>
      <c r="F2639" s="493">
        <v>65503</v>
      </c>
      <c r="G2639" s="105" t="s">
        <v>52</v>
      </c>
      <c r="H2639" s="105" t="s">
        <v>333</v>
      </c>
      <c r="I2639" s="105" t="s">
        <v>334</v>
      </c>
      <c r="J2639" s="493">
        <v>22</v>
      </c>
      <c r="K2639" s="493">
        <v>2</v>
      </c>
      <c r="L2639" s="105" t="s">
        <v>343</v>
      </c>
      <c r="M2639" s="105" t="s">
        <v>655</v>
      </c>
      <c r="N2639" s="105" t="s">
        <v>656</v>
      </c>
      <c r="O2639" s="105" t="s">
        <v>656</v>
      </c>
      <c r="P2639" s="105" t="s">
        <v>339</v>
      </c>
      <c r="Q2639" s="494">
        <v>0</v>
      </c>
      <c r="R2639" s="494">
        <v>0</v>
      </c>
      <c r="S2639" s="494">
        <v>26907</v>
      </c>
      <c r="T2639" s="494">
        <v>26907</v>
      </c>
      <c r="U2639" s="494">
        <v>7886</v>
      </c>
      <c r="V2639" s="493">
        <v>2024</v>
      </c>
      <c r="W2639" s="495"/>
      <c r="X2639" s="496">
        <f t="shared" si="173"/>
        <v>3.411995942176008</v>
      </c>
      <c r="Y2639" s="497" t="str">
        <f t="shared" si="172"/>
        <v/>
      </c>
      <c r="Z2639" s="497" t="str">
        <f t="shared" si="172"/>
        <v/>
      </c>
    </row>
    <row r="2640" spans="1:26" s="82" customFormat="1" ht="32" x14ac:dyDescent="0.4">
      <c r="A2640" s="493">
        <v>66512</v>
      </c>
      <c r="B2640" s="105" t="s">
        <v>329</v>
      </c>
      <c r="C2640" s="493" t="s">
        <v>330</v>
      </c>
      <c r="D2640" s="105" t="s">
        <v>3150</v>
      </c>
      <c r="E2640" s="105" t="s">
        <v>3151</v>
      </c>
      <c r="F2640" s="493">
        <v>65560</v>
      </c>
      <c r="G2640" s="105" t="s">
        <v>34</v>
      </c>
      <c r="H2640" s="105" t="s">
        <v>342</v>
      </c>
      <c r="I2640" s="105" t="s">
        <v>334</v>
      </c>
      <c r="J2640" s="493">
        <v>22</v>
      </c>
      <c r="K2640" s="493">
        <v>2</v>
      </c>
      <c r="L2640" s="105" t="s">
        <v>343</v>
      </c>
      <c r="M2640" s="105" t="s">
        <v>655</v>
      </c>
      <c r="N2640" s="105" t="s">
        <v>656</v>
      </c>
      <c r="O2640" s="105" t="s">
        <v>656</v>
      </c>
      <c r="P2640" s="105" t="s">
        <v>339</v>
      </c>
      <c r="Q2640" s="494">
        <v>0</v>
      </c>
      <c r="R2640" s="494">
        <v>0</v>
      </c>
      <c r="S2640" s="494">
        <v>4506</v>
      </c>
      <c r="T2640" s="494">
        <v>4506</v>
      </c>
      <c r="U2640" s="494">
        <v>1321</v>
      </c>
      <c r="V2640" s="493">
        <v>2024</v>
      </c>
      <c r="W2640" s="495"/>
      <c r="X2640" s="496">
        <f t="shared" si="173"/>
        <v>3.4110522331566995</v>
      </c>
      <c r="Y2640" s="497" t="str">
        <f t="shared" si="172"/>
        <v/>
      </c>
      <c r="Z2640" s="497" t="str">
        <f t="shared" si="172"/>
        <v/>
      </c>
    </row>
    <row r="2641" spans="1:26" s="82" customFormat="1" ht="32" x14ac:dyDescent="0.4">
      <c r="A2641" s="493">
        <v>66522</v>
      </c>
      <c r="B2641" s="105" t="s">
        <v>329</v>
      </c>
      <c r="C2641" s="493" t="s">
        <v>330</v>
      </c>
      <c r="D2641" s="105" t="s">
        <v>3152</v>
      </c>
      <c r="E2641" s="105" t="s">
        <v>3153</v>
      </c>
      <c r="F2641" s="493">
        <v>65570</v>
      </c>
      <c r="G2641" s="105" t="s">
        <v>52</v>
      </c>
      <c r="H2641" s="105" t="s">
        <v>333</v>
      </c>
      <c r="I2641" s="105" t="s">
        <v>334</v>
      </c>
      <c r="J2641" s="493">
        <v>22</v>
      </c>
      <c r="K2641" s="493">
        <v>2</v>
      </c>
      <c r="L2641" s="105" t="s">
        <v>343</v>
      </c>
      <c r="M2641" s="105" t="s">
        <v>655</v>
      </c>
      <c r="N2641" s="105" t="s">
        <v>656</v>
      </c>
      <c r="O2641" s="105" t="s">
        <v>656</v>
      </c>
      <c r="P2641" s="105" t="s">
        <v>339</v>
      </c>
      <c r="Q2641" s="494">
        <v>0</v>
      </c>
      <c r="R2641" s="494">
        <v>0</v>
      </c>
      <c r="S2641" s="494">
        <v>26353</v>
      </c>
      <c r="T2641" s="494">
        <v>26353</v>
      </c>
      <c r="U2641" s="494">
        <v>7724</v>
      </c>
      <c r="V2641" s="493">
        <v>2024</v>
      </c>
      <c r="W2641" s="495"/>
      <c r="X2641" s="496">
        <f t="shared" si="173"/>
        <v>3.4118332470222681</v>
      </c>
      <c r="Y2641" s="497" t="str">
        <f t="shared" si="172"/>
        <v/>
      </c>
      <c r="Z2641" s="497" t="str">
        <f t="shared" si="172"/>
        <v/>
      </c>
    </row>
    <row r="2642" spans="1:26" s="82" customFormat="1" ht="32" x14ac:dyDescent="0.4">
      <c r="A2642" s="493">
        <v>66524</v>
      </c>
      <c r="B2642" s="105" t="s">
        <v>329</v>
      </c>
      <c r="C2642" s="493" t="s">
        <v>330</v>
      </c>
      <c r="D2642" s="105" t="s">
        <v>3154</v>
      </c>
      <c r="E2642" s="105" t="s">
        <v>3155</v>
      </c>
      <c r="F2642" s="493">
        <v>65572</v>
      </c>
      <c r="G2642" s="105" t="s">
        <v>52</v>
      </c>
      <c r="H2642" s="105" t="s">
        <v>333</v>
      </c>
      <c r="I2642" s="105" t="s">
        <v>334</v>
      </c>
      <c r="J2642" s="493">
        <v>22</v>
      </c>
      <c r="K2642" s="493">
        <v>2</v>
      </c>
      <c r="L2642" s="105" t="s">
        <v>343</v>
      </c>
      <c r="M2642" s="105" t="s">
        <v>655</v>
      </c>
      <c r="N2642" s="105" t="s">
        <v>656</v>
      </c>
      <c r="O2642" s="105" t="s">
        <v>656</v>
      </c>
      <c r="P2642" s="105" t="s">
        <v>339</v>
      </c>
      <c r="Q2642" s="494">
        <v>0</v>
      </c>
      <c r="R2642" s="494">
        <v>0</v>
      </c>
      <c r="S2642" s="494">
        <v>41</v>
      </c>
      <c r="T2642" s="494">
        <v>41</v>
      </c>
      <c r="U2642" s="494">
        <v>12</v>
      </c>
      <c r="V2642" s="493">
        <v>2024</v>
      </c>
      <c r="W2642" s="495"/>
      <c r="X2642" s="496">
        <f t="shared" si="173"/>
        <v>3.4166666666666665</v>
      </c>
      <c r="Y2642" s="497" t="str">
        <f t="shared" si="172"/>
        <v/>
      </c>
      <c r="Z2642" s="497" t="str">
        <f t="shared" si="172"/>
        <v/>
      </c>
    </row>
    <row r="2643" spans="1:26" s="82" customFormat="1" x14ac:dyDescent="0.4">
      <c r="A2643" s="493">
        <v>66526</v>
      </c>
      <c r="B2643" s="105" t="s">
        <v>329</v>
      </c>
      <c r="C2643" s="493" t="s">
        <v>330</v>
      </c>
      <c r="D2643" s="105" t="s">
        <v>3156</v>
      </c>
      <c r="E2643" s="105" t="s">
        <v>3157</v>
      </c>
      <c r="F2643" s="493">
        <v>65574</v>
      </c>
      <c r="G2643" s="105" t="s">
        <v>52</v>
      </c>
      <c r="H2643" s="105" t="s">
        <v>333</v>
      </c>
      <c r="I2643" s="105" t="s">
        <v>334</v>
      </c>
      <c r="J2643" s="493">
        <v>22</v>
      </c>
      <c r="K2643" s="493">
        <v>2</v>
      </c>
      <c r="L2643" s="105" t="s">
        <v>343</v>
      </c>
      <c r="M2643" s="105" t="s">
        <v>655</v>
      </c>
      <c r="N2643" s="105" t="s">
        <v>656</v>
      </c>
      <c r="O2643" s="105" t="s">
        <v>656</v>
      </c>
      <c r="P2643" s="105" t="s">
        <v>339</v>
      </c>
      <c r="Q2643" s="494">
        <v>0</v>
      </c>
      <c r="R2643" s="494">
        <v>0</v>
      </c>
      <c r="S2643" s="494">
        <v>19326</v>
      </c>
      <c r="T2643" s="494">
        <v>19326</v>
      </c>
      <c r="U2643" s="494">
        <v>5664</v>
      </c>
      <c r="V2643" s="493">
        <v>2024</v>
      </c>
      <c r="W2643" s="495"/>
      <c r="X2643" s="496">
        <f t="shared" si="173"/>
        <v>3.4120762711864407</v>
      </c>
      <c r="Y2643" s="497" t="str">
        <f t="shared" si="172"/>
        <v/>
      </c>
      <c r="Z2643" s="497" t="str">
        <f t="shared" si="172"/>
        <v/>
      </c>
    </row>
    <row r="2644" spans="1:26" s="82" customFormat="1" ht="32" x14ac:dyDescent="0.4">
      <c r="A2644" s="493">
        <v>66527</v>
      </c>
      <c r="B2644" s="105" t="s">
        <v>329</v>
      </c>
      <c r="C2644" s="493" t="s">
        <v>330</v>
      </c>
      <c r="D2644" s="105" t="s">
        <v>3158</v>
      </c>
      <c r="E2644" s="105" t="s">
        <v>3159</v>
      </c>
      <c r="F2644" s="493">
        <v>65575</v>
      </c>
      <c r="G2644" s="105" t="s">
        <v>52</v>
      </c>
      <c r="H2644" s="105" t="s">
        <v>333</v>
      </c>
      <c r="I2644" s="105" t="s">
        <v>334</v>
      </c>
      <c r="J2644" s="493">
        <v>22</v>
      </c>
      <c r="K2644" s="493">
        <v>2</v>
      </c>
      <c r="L2644" s="105" t="s">
        <v>343</v>
      </c>
      <c r="M2644" s="105" t="s">
        <v>655</v>
      </c>
      <c r="N2644" s="105" t="s">
        <v>656</v>
      </c>
      <c r="O2644" s="105" t="s">
        <v>656</v>
      </c>
      <c r="P2644" s="105" t="s">
        <v>339</v>
      </c>
      <c r="Q2644" s="494">
        <v>0</v>
      </c>
      <c r="R2644" s="494">
        <v>0</v>
      </c>
      <c r="S2644" s="494">
        <v>22250</v>
      </c>
      <c r="T2644" s="494">
        <v>22250</v>
      </c>
      <c r="U2644" s="494">
        <v>6521</v>
      </c>
      <c r="V2644" s="493">
        <v>2024</v>
      </c>
      <c r="W2644" s="495"/>
      <c r="X2644" s="496">
        <f t="shared" si="173"/>
        <v>3.412053366048152</v>
      </c>
      <c r="Y2644" s="497" t="str">
        <f t="shared" si="172"/>
        <v/>
      </c>
      <c r="Z2644" s="497" t="str">
        <f t="shared" si="172"/>
        <v/>
      </c>
    </row>
    <row r="2645" spans="1:26" s="82" customFormat="1" x14ac:dyDescent="0.4">
      <c r="A2645" s="493">
        <v>66528</v>
      </c>
      <c r="B2645" s="105" t="s">
        <v>329</v>
      </c>
      <c r="C2645" s="493" t="s">
        <v>330</v>
      </c>
      <c r="D2645" s="105" t="s">
        <v>3160</v>
      </c>
      <c r="E2645" s="105" t="s">
        <v>3161</v>
      </c>
      <c r="F2645" s="493">
        <v>65576</v>
      </c>
      <c r="G2645" s="105" t="s">
        <v>52</v>
      </c>
      <c r="H2645" s="105" t="s">
        <v>333</v>
      </c>
      <c r="I2645" s="105" t="s">
        <v>334</v>
      </c>
      <c r="J2645" s="493">
        <v>22</v>
      </c>
      <c r="K2645" s="493">
        <v>2</v>
      </c>
      <c r="L2645" s="105" t="s">
        <v>343</v>
      </c>
      <c r="M2645" s="105" t="s">
        <v>655</v>
      </c>
      <c r="N2645" s="105" t="s">
        <v>656</v>
      </c>
      <c r="O2645" s="105" t="s">
        <v>656</v>
      </c>
      <c r="P2645" s="105" t="s">
        <v>339</v>
      </c>
      <c r="Q2645" s="494">
        <v>0</v>
      </c>
      <c r="R2645" s="494">
        <v>0</v>
      </c>
      <c r="S2645" s="494">
        <v>20790</v>
      </c>
      <c r="T2645" s="494">
        <v>20790</v>
      </c>
      <c r="U2645" s="494">
        <v>6093</v>
      </c>
      <c r="V2645" s="493">
        <v>2024</v>
      </c>
      <c r="W2645" s="495"/>
      <c r="X2645" s="496">
        <f t="shared" si="173"/>
        <v>3.4121122599704581</v>
      </c>
      <c r="Y2645" s="497" t="str">
        <f t="shared" si="172"/>
        <v/>
      </c>
      <c r="Z2645" s="497" t="str">
        <f t="shared" si="172"/>
        <v/>
      </c>
    </row>
    <row r="2646" spans="1:26" s="82" customFormat="1" x14ac:dyDescent="0.4">
      <c r="A2646" s="493">
        <v>66529</v>
      </c>
      <c r="B2646" s="105" t="s">
        <v>329</v>
      </c>
      <c r="C2646" s="493" t="s">
        <v>330</v>
      </c>
      <c r="D2646" s="105" t="s">
        <v>3162</v>
      </c>
      <c r="E2646" s="105" t="s">
        <v>3161</v>
      </c>
      <c r="F2646" s="493">
        <v>65576</v>
      </c>
      <c r="G2646" s="105" t="s">
        <v>52</v>
      </c>
      <c r="H2646" s="105" t="s">
        <v>333</v>
      </c>
      <c r="I2646" s="105" t="s">
        <v>334</v>
      </c>
      <c r="J2646" s="493">
        <v>22</v>
      </c>
      <c r="K2646" s="493">
        <v>2</v>
      </c>
      <c r="L2646" s="105" t="s">
        <v>343</v>
      </c>
      <c r="M2646" s="105" t="s">
        <v>655</v>
      </c>
      <c r="N2646" s="105" t="s">
        <v>656</v>
      </c>
      <c r="O2646" s="105" t="s">
        <v>656</v>
      </c>
      <c r="P2646" s="105" t="s">
        <v>339</v>
      </c>
      <c r="Q2646" s="494">
        <v>0</v>
      </c>
      <c r="R2646" s="494">
        <v>0</v>
      </c>
      <c r="S2646" s="494">
        <v>20958</v>
      </c>
      <c r="T2646" s="494">
        <v>20958</v>
      </c>
      <c r="U2646" s="494">
        <v>6142</v>
      </c>
      <c r="V2646" s="493">
        <v>2024</v>
      </c>
      <c r="W2646" s="495"/>
      <c r="X2646" s="496">
        <f t="shared" si="173"/>
        <v>3.4122435688700747</v>
      </c>
      <c r="Y2646" s="497" t="str">
        <f t="shared" si="172"/>
        <v/>
      </c>
      <c r="Z2646" s="497" t="str">
        <f t="shared" si="172"/>
        <v/>
      </c>
    </row>
    <row r="2647" spans="1:26" s="82" customFormat="1" ht="32" x14ac:dyDescent="0.4">
      <c r="A2647" s="493">
        <v>66530</v>
      </c>
      <c r="B2647" s="105" t="s">
        <v>329</v>
      </c>
      <c r="C2647" s="493" t="s">
        <v>330</v>
      </c>
      <c r="D2647" s="105" t="s">
        <v>3163</v>
      </c>
      <c r="E2647" s="105" t="s">
        <v>3164</v>
      </c>
      <c r="F2647" s="493">
        <v>65577</v>
      </c>
      <c r="G2647" s="105" t="s">
        <v>52</v>
      </c>
      <c r="H2647" s="105" t="s">
        <v>333</v>
      </c>
      <c r="I2647" s="105" t="s">
        <v>334</v>
      </c>
      <c r="J2647" s="493">
        <v>22</v>
      </c>
      <c r="K2647" s="493">
        <v>2</v>
      </c>
      <c r="L2647" s="105" t="s">
        <v>343</v>
      </c>
      <c r="M2647" s="105" t="s">
        <v>655</v>
      </c>
      <c r="N2647" s="105" t="s">
        <v>656</v>
      </c>
      <c r="O2647" s="105" t="s">
        <v>656</v>
      </c>
      <c r="P2647" s="105" t="s">
        <v>339</v>
      </c>
      <c r="Q2647" s="494">
        <v>0</v>
      </c>
      <c r="R2647" s="494">
        <v>0</v>
      </c>
      <c r="S2647" s="494">
        <v>24650</v>
      </c>
      <c r="T2647" s="494">
        <v>24650</v>
      </c>
      <c r="U2647" s="494">
        <v>7224</v>
      </c>
      <c r="V2647" s="493">
        <v>2024</v>
      </c>
      <c r="W2647" s="495"/>
      <c r="X2647" s="496">
        <f t="shared" si="173"/>
        <v>3.4122369878183831</v>
      </c>
      <c r="Y2647" s="497" t="str">
        <f t="shared" si="172"/>
        <v/>
      </c>
      <c r="Z2647" s="497" t="str">
        <f t="shared" si="172"/>
        <v/>
      </c>
    </row>
    <row r="2648" spans="1:26" s="82" customFormat="1" ht="32" x14ac:dyDescent="0.4">
      <c r="A2648" s="493">
        <v>66582</v>
      </c>
      <c r="B2648" s="105" t="s">
        <v>329</v>
      </c>
      <c r="C2648" s="493" t="s">
        <v>330</v>
      </c>
      <c r="D2648" s="105" t="s">
        <v>3165</v>
      </c>
      <c r="E2648" s="105" t="s">
        <v>3165</v>
      </c>
      <c r="F2648" s="493">
        <v>65628</v>
      </c>
      <c r="G2648" s="105" t="s">
        <v>38</v>
      </c>
      <c r="H2648" s="105" t="s">
        <v>342</v>
      </c>
      <c r="I2648" s="105" t="s">
        <v>334</v>
      </c>
      <c r="J2648" s="493">
        <v>22</v>
      </c>
      <c r="K2648" s="493">
        <v>2</v>
      </c>
      <c r="L2648" s="105" t="s">
        <v>343</v>
      </c>
      <c r="M2648" s="105" t="s">
        <v>655</v>
      </c>
      <c r="N2648" s="105" t="s">
        <v>656</v>
      </c>
      <c r="O2648" s="105" t="s">
        <v>656</v>
      </c>
      <c r="P2648" s="105" t="s">
        <v>339</v>
      </c>
      <c r="Q2648" s="494">
        <v>0</v>
      </c>
      <c r="R2648" s="494">
        <v>0</v>
      </c>
      <c r="S2648" s="494">
        <v>11217</v>
      </c>
      <c r="T2648" s="494">
        <v>11217</v>
      </c>
      <c r="U2648" s="494">
        <v>3288</v>
      </c>
      <c r="V2648" s="493">
        <v>2024</v>
      </c>
      <c r="W2648" s="495"/>
      <c r="X2648" s="496">
        <f t="shared" si="173"/>
        <v>3.4114963503649633</v>
      </c>
      <c r="Y2648" s="497" t="str">
        <f t="shared" ref="Y2648:Z2667" si="174">IF(AND($M2648=$Y$2,$N2648=$Y$3,NOT($Q2648=$R2648),NOT($U2648=0)),IF($K2648=5,$S2648/($U2648+(8/5)*$U2648),IF($K2648=7,$S2648/($U2648+(29/25)*$U2648),"")),"")</f>
        <v/>
      </c>
      <c r="Z2648" s="497" t="str">
        <f t="shared" si="174"/>
        <v/>
      </c>
    </row>
    <row r="2649" spans="1:26" s="82" customFormat="1" ht="32" x14ac:dyDescent="0.4">
      <c r="A2649" s="493">
        <v>66583</v>
      </c>
      <c r="B2649" s="105" t="s">
        <v>329</v>
      </c>
      <c r="C2649" s="493" t="s">
        <v>330</v>
      </c>
      <c r="D2649" s="105" t="s">
        <v>3166</v>
      </c>
      <c r="E2649" s="105" t="s">
        <v>3166</v>
      </c>
      <c r="F2649" s="493">
        <v>65629</v>
      </c>
      <c r="G2649" s="105" t="s">
        <v>52</v>
      </c>
      <c r="H2649" s="105" t="s">
        <v>333</v>
      </c>
      <c r="I2649" s="105" t="s">
        <v>334</v>
      </c>
      <c r="J2649" s="493">
        <v>22</v>
      </c>
      <c r="K2649" s="493">
        <v>2</v>
      </c>
      <c r="L2649" s="105" t="s">
        <v>343</v>
      </c>
      <c r="M2649" s="105" t="s">
        <v>655</v>
      </c>
      <c r="N2649" s="105" t="s">
        <v>656</v>
      </c>
      <c r="O2649" s="105" t="s">
        <v>656</v>
      </c>
      <c r="P2649" s="105" t="s">
        <v>339</v>
      </c>
      <c r="Q2649" s="494">
        <v>0</v>
      </c>
      <c r="R2649" s="494">
        <v>0</v>
      </c>
      <c r="S2649" s="494">
        <v>28227</v>
      </c>
      <c r="T2649" s="494">
        <v>28227</v>
      </c>
      <c r="U2649" s="494">
        <v>8273</v>
      </c>
      <c r="V2649" s="493">
        <v>2024</v>
      </c>
      <c r="W2649" s="495"/>
      <c r="X2649" s="496">
        <f t="shared" si="173"/>
        <v>3.4119424634352713</v>
      </c>
      <c r="Y2649" s="497" t="str">
        <f t="shared" si="174"/>
        <v/>
      </c>
      <c r="Z2649" s="497" t="str">
        <f t="shared" si="174"/>
        <v/>
      </c>
    </row>
    <row r="2650" spans="1:26" s="82" customFormat="1" x14ac:dyDescent="0.4">
      <c r="A2650" s="493">
        <v>66584</v>
      </c>
      <c r="B2650" s="105" t="s">
        <v>329</v>
      </c>
      <c r="C2650" s="493" t="s">
        <v>330</v>
      </c>
      <c r="D2650" s="105" t="s">
        <v>3167</v>
      </c>
      <c r="E2650" s="105" t="s">
        <v>3167</v>
      </c>
      <c r="F2650" s="493">
        <v>65630</v>
      </c>
      <c r="G2650" s="105" t="s">
        <v>38</v>
      </c>
      <c r="H2650" s="105" t="s">
        <v>342</v>
      </c>
      <c r="I2650" s="105" t="s">
        <v>334</v>
      </c>
      <c r="J2650" s="493">
        <v>22</v>
      </c>
      <c r="K2650" s="493">
        <v>2</v>
      </c>
      <c r="L2650" s="105" t="s">
        <v>343</v>
      </c>
      <c r="M2650" s="105" t="s">
        <v>655</v>
      </c>
      <c r="N2650" s="105" t="s">
        <v>656</v>
      </c>
      <c r="O2650" s="105" t="s">
        <v>656</v>
      </c>
      <c r="P2650" s="105" t="s">
        <v>339</v>
      </c>
      <c r="Q2650" s="494">
        <v>0</v>
      </c>
      <c r="R2650" s="494">
        <v>0</v>
      </c>
      <c r="S2650" s="494">
        <v>25104</v>
      </c>
      <c r="T2650" s="494">
        <v>25104</v>
      </c>
      <c r="U2650" s="494">
        <v>7358</v>
      </c>
      <c r="V2650" s="493">
        <v>2024</v>
      </c>
      <c r="W2650" s="495"/>
      <c r="X2650" s="496">
        <f t="shared" si="173"/>
        <v>3.4117966838814895</v>
      </c>
      <c r="Y2650" s="497" t="str">
        <f t="shared" si="174"/>
        <v/>
      </c>
      <c r="Z2650" s="497" t="str">
        <f t="shared" si="174"/>
        <v/>
      </c>
    </row>
    <row r="2651" spans="1:26" s="82" customFormat="1" x14ac:dyDescent="0.4">
      <c r="A2651" s="493">
        <v>66585</v>
      </c>
      <c r="B2651" s="105" t="s">
        <v>329</v>
      </c>
      <c r="C2651" s="493" t="s">
        <v>330</v>
      </c>
      <c r="D2651" s="105" t="s">
        <v>3168</v>
      </c>
      <c r="E2651" s="105" t="s">
        <v>3168</v>
      </c>
      <c r="F2651" s="493">
        <v>65631</v>
      </c>
      <c r="G2651" s="105" t="s">
        <v>33</v>
      </c>
      <c r="H2651" s="105" t="s">
        <v>342</v>
      </c>
      <c r="I2651" s="105" t="s">
        <v>334</v>
      </c>
      <c r="J2651" s="493">
        <v>22</v>
      </c>
      <c r="K2651" s="493">
        <v>2</v>
      </c>
      <c r="L2651" s="105" t="s">
        <v>343</v>
      </c>
      <c r="M2651" s="105" t="s">
        <v>655</v>
      </c>
      <c r="N2651" s="105" t="s">
        <v>656</v>
      </c>
      <c r="O2651" s="105" t="s">
        <v>656</v>
      </c>
      <c r="P2651" s="105" t="s">
        <v>339</v>
      </c>
      <c r="Q2651" s="494">
        <v>0</v>
      </c>
      <c r="R2651" s="494">
        <v>0</v>
      </c>
      <c r="S2651" s="494">
        <v>26666</v>
      </c>
      <c r="T2651" s="494">
        <v>26666</v>
      </c>
      <c r="U2651" s="494">
        <v>7815</v>
      </c>
      <c r="V2651" s="493">
        <v>2024</v>
      </c>
      <c r="W2651" s="495"/>
      <c r="X2651" s="496">
        <f t="shared" si="173"/>
        <v>3.4121561100447857</v>
      </c>
      <c r="Y2651" s="497" t="str">
        <f t="shared" si="174"/>
        <v/>
      </c>
      <c r="Z2651" s="497" t="str">
        <f t="shared" si="174"/>
        <v/>
      </c>
    </row>
    <row r="2652" spans="1:26" s="82" customFormat="1" ht="32" x14ac:dyDescent="0.4">
      <c r="A2652" s="493">
        <v>66586</v>
      </c>
      <c r="B2652" s="105" t="s">
        <v>329</v>
      </c>
      <c r="C2652" s="493" t="s">
        <v>330</v>
      </c>
      <c r="D2652" s="105" t="s">
        <v>3169</v>
      </c>
      <c r="E2652" s="105" t="s">
        <v>3170</v>
      </c>
      <c r="F2652" s="493">
        <v>65632</v>
      </c>
      <c r="G2652" s="105" t="s">
        <v>52</v>
      </c>
      <c r="H2652" s="105" t="s">
        <v>333</v>
      </c>
      <c r="I2652" s="105" t="s">
        <v>334</v>
      </c>
      <c r="J2652" s="493">
        <v>22</v>
      </c>
      <c r="K2652" s="493">
        <v>2</v>
      </c>
      <c r="L2652" s="105" t="s">
        <v>343</v>
      </c>
      <c r="M2652" s="105" t="s">
        <v>655</v>
      </c>
      <c r="N2652" s="105" t="s">
        <v>656</v>
      </c>
      <c r="O2652" s="105" t="s">
        <v>656</v>
      </c>
      <c r="P2652" s="105" t="s">
        <v>339</v>
      </c>
      <c r="Q2652" s="494">
        <v>0</v>
      </c>
      <c r="R2652" s="494">
        <v>0</v>
      </c>
      <c r="S2652" s="494">
        <v>30036</v>
      </c>
      <c r="T2652" s="494">
        <v>30036</v>
      </c>
      <c r="U2652" s="494">
        <v>8803</v>
      </c>
      <c r="V2652" s="493">
        <v>2024</v>
      </c>
      <c r="W2652" s="495"/>
      <c r="X2652" s="496">
        <f t="shared" si="173"/>
        <v>3.4120186300124957</v>
      </c>
      <c r="Y2652" s="497" t="str">
        <f t="shared" si="174"/>
        <v/>
      </c>
      <c r="Z2652" s="497" t="str">
        <f t="shared" si="174"/>
        <v/>
      </c>
    </row>
    <row r="2653" spans="1:26" s="82" customFormat="1" x14ac:dyDescent="0.4">
      <c r="A2653" s="493">
        <v>66645</v>
      </c>
      <c r="B2653" s="105" t="s">
        <v>329</v>
      </c>
      <c r="C2653" s="493" t="s">
        <v>330</v>
      </c>
      <c r="D2653" s="105" t="s">
        <v>3171</v>
      </c>
      <c r="E2653" s="105" t="s">
        <v>3172</v>
      </c>
      <c r="F2653" s="493">
        <v>65668</v>
      </c>
      <c r="G2653" s="105" t="s">
        <v>52</v>
      </c>
      <c r="H2653" s="105" t="s">
        <v>333</v>
      </c>
      <c r="I2653" s="105" t="s">
        <v>334</v>
      </c>
      <c r="J2653" s="493">
        <v>22</v>
      </c>
      <c r="K2653" s="493">
        <v>2</v>
      </c>
      <c r="L2653" s="105" t="s">
        <v>343</v>
      </c>
      <c r="M2653" s="105" t="s">
        <v>655</v>
      </c>
      <c r="N2653" s="105" t="s">
        <v>656</v>
      </c>
      <c r="O2653" s="105" t="s">
        <v>656</v>
      </c>
      <c r="P2653" s="105" t="s">
        <v>339</v>
      </c>
      <c r="Q2653" s="494">
        <v>0</v>
      </c>
      <c r="R2653" s="494">
        <v>0</v>
      </c>
      <c r="S2653" s="494">
        <v>22134</v>
      </c>
      <c r="T2653" s="494">
        <v>22134</v>
      </c>
      <c r="U2653" s="494">
        <v>6487</v>
      </c>
      <c r="V2653" s="493">
        <v>2024</v>
      </c>
      <c r="W2653" s="495"/>
      <c r="X2653" s="496">
        <f t="shared" si="173"/>
        <v>3.4120548789887466</v>
      </c>
      <c r="Y2653" s="497" t="str">
        <f t="shared" si="174"/>
        <v/>
      </c>
      <c r="Z2653" s="497" t="str">
        <f t="shared" si="174"/>
        <v/>
      </c>
    </row>
    <row r="2654" spans="1:26" s="82" customFormat="1" x14ac:dyDescent="0.4">
      <c r="A2654" s="493">
        <v>66664</v>
      </c>
      <c r="B2654" s="105" t="s">
        <v>329</v>
      </c>
      <c r="C2654" s="493" t="s">
        <v>330</v>
      </c>
      <c r="D2654" s="105" t="s">
        <v>3173</v>
      </c>
      <c r="E2654" s="105" t="s">
        <v>3173</v>
      </c>
      <c r="F2654" s="493">
        <v>65683</v>
      </c>
      <c r="G2654" s="105" t="s">
        <v>34</v>
      </c>
      <c r="H2654" s="105" t="s">
        <v>342</v>
      </c>
      <c r="I2654" s="105" t="s">
        <v>334</v>
      </c>
      <c r="J2654" s="493">
        <v>22</v>
      </c>
      <c r="K2654" s="493">
        <v>2</v>
      </c>
      <c r="L2654" s="105" t="s">
        <v>343</v>
      </c>
      <c r="M2654" s="105" t="s">
        <v>655</v>
      </c>
      <c r="N2654" s="105" t="s">
        <v>656</v>
      </c>
      <c r="O2654" s="105" t="s">
        <v>656</v>
      </c>
      <c r="P2654" s="105" t="s">
        <v>339</v>
      </c>
      <c r="Q2654" s="494">
        <v>0</v>
      </c>
      <c r="R2654" s="494">
        <v>0</v>
      </c>
      <c r="S2654" s="494">
        <v>0</v>
      </c>
      <c r="T2654" s="494">
        <v>0</v>
      </c>
      <c r="U2654" s="494">
        <v>0</v>
      </c>
      <c r="V2654" s="493">
        <v>2024</v>
      </c>
      <c r="W2654" s="495"/>
      <c r="X2654" s="496" t="str">
        <f t="shared" si="173"/>
        <v/>
      </c>
      <c r="Y2654" s="497" t="str">
        <f t="shared" si="174"/>
        <v/>
      </c>
      <c r="Z2654" s="497" t="str">
        <f t="shared" si="174"/>
        <v/>
      </c>
    </row>
    <row r="2655" spans="1:26" s="82" customFormat="1" x14ac:dyDescent="0.4">
      <c r="A2655" s="493">
        <v>66727</v>
      </c>
      <c r="B2655" s="105" t="s">
        <v>329</v>
      </c>
      <c r="C2655" s="493" t="s">
        <v>330</v>
      </c>
      <c r="D2655" s="105" t="s">
        <v>3174</v>
      </c>
      <c r="E2655" s="105" t="s">
        <v>3175</v>
      </c>
      <c r="F2655" s="493">
        <v>64778</v>
      </c>
      <c r="G2655" s="105" t="s">
        <v>36</v>
      </c>
      <c r="H2655" s="105" t="s">
        <v>342</v>
      </c>
      <c r="I2655" s="105" t="s">
        <v>334</v>
      </c>
      <c r="J2655" s="493">
        <v>22</v>
      </c>
      <c r="K2655" s="493">
        <v>2</v>
      </c>
      <c r="L2655" s="105" t="s">
        <v>343</v>
      </c>
      <c r="M2655" s="105" t="s">
        <v>403</v>
      </c>
      <c r="N2655" s="105" t="s">
        <v>404</v>
      </c>
      <c r="O2655" s="105" t="s">
        <v>232</v>
      </c>
      <c r="P2655" s="105" t="s">
        <v>346</v>
      </c>
      <c r="Q2655" s="494">
        <v>2326</v>
      </c>
      <c r="R2655" s="494">
        <v>2326</v>
      </c>
      <c r="S2655" s="494">
        <v>0</v>
      </c>
      <c r="T2655" s="494">
        <v>0</v>
      </c>
      <c r="U2655" s="494">
        <v>-535</v>
      </c>
      <c r="V2655" s="493">
        <v>2024</v>
      </c>
      <c r="W2655" s="495"/>
      <c r="X2655" s="496" t="str">
        <f t="shared" si="173"/>
        <v/>
      </c>
      <c r="Y2655" s="497" t="str">
        <f t="shared" si="174"/>
        <v/>
      </c>
      <c r="Z2655" s="497" t="str">
        <f t="shared" si="174"/>
        <v/>
      </c>
    </row>
    <row r="2656" spans="1:26" s="82" customFormat="1" x14ac:dyDescent="0.4">
      <c r="A2656" s="493">
        <v>66728</v>
      </c>
      <c r="B2656" s="105" t="s">
        <v>329</v>
      </c>
      <c r="C2656" s="493" t="s">
        <v>330</v>
      </c>
      <c r="D2656" s="105" t="s">
        <v>3176</v>
      </c>
      <c r="E2656" s="105" t="s">
        <v>3175</v>
      </c>
      <c r="F2656" s="493">
        <v>64778</v>
      </c>
      <c r="G2656" s="105" t="s">
        <v>36</v>
      </c>
      <c r="H2656" s="105" t="s">
        <v>342</v>
      </c>
      <c r="I2656" s="105" t="s">
        <v>334</v>
      </c>
      <c r="J2656" s="493">
        <v>22</v>
      </c>
      <c r="K2656" s="493">
        <v>2</v>
      </c>
      <c r="L2656" s="105" t="s">
        <v>343</v>
      </c>
      <c r="M2656" s="105" t="s">
        <v>403</v>
      </c>
      <c r="N2656" s="105" t="s">
        <v>404</v>
      </c>
      <c r="O2656" s="105" t="s">
        <v>232</v>
      </c>
      <c r="P2656" s="105" t="s">
        <v>346</v>
      </c>
      <c r="Q2656" s="494">
        <v>2313</v>
      </c>
      <c r="R2656" s="494">
        <v>2313</v>
      </c>
      <c r="S2656" s="494">
        <v>0</v>
      </c>
      <c r="T2656" s="494">
        <v>0</v>
      </c>
      <c r="U2656" s="494">
        <v>-581</v>
      </c>
      <c r="V2656" s="493">
        <v>2024</v>
      </c>
      <c r="W2656" s="495"/>
      <c r="X2656" s="496" t="str">
        <f t="shared" si="173"/>
        <v/>
      </c>
      <c r="Y2656" s="497" t="str">
        <f t="shared" si="174"/>
        <v/>
      </c>
      <c r="Z2656" s="497" t="str">
        <f t="shared" si="174"/>
        <v/>
      </c>
    </row>
    <row r="2657" spans="1:26" s="82" customFormat="1" ht="32" x14ac:dyDescent="0.4">
      <c r="A2657" s="493">
        <v>66729</v>
      </c>
      <c r="B2657" s="105" t="s">
        <v>329</v>
      </c>
      <c r="C2657" s="493" t="s">
        <v>330</v>
      </c>
      <c r="D2657" s="105" t="s">
        <v>3177</v>
      </c>
      <c r="E2657" s="105" t="s">
        <v>3178</v>
      </c>
      <c r="F2657" s="493">
        <v>64872</v>
      </c>
      <c r="G2657" s="105" t="s">
        <v>52</v>
      </c>
      <c r="H2657" s="105" t="s">
        <v>333</v>
      </c>
      <c r="I2657" s="105" t="s">
        <v>334</v>
      </c>
      <c r="J2657" s="493">
        <v>22</v>
      </c>
      <c r="K2657" s="493">
        <v>2</v>
      </c>
      <c r="L2657" s="105" t="s">
        <v>343</v>
      </c>
      <c r="M2657" s="105" t="s">
        <v>655</v>
      </c>
      <c r="N2657" s="105" t="s">
        <v>656</v>
      </c>
      <c r="O2657" s="105" t="s">
        <v>656</v>
      </c>
      <c r="P2657" s="105" t="s">
        <v>339</v>
      </c>
      <c r="Q2657" s="494">
        <v>0</v>
      </c>
      <c r="R2657" s="494">
        <v>0</v>
      </c>
      <c r="S2657" s="494">
        <v>5963</v>
      </c>
      <c r="T2657" s="494">
        <v>5963</v>
      </c>
      <c r="U2657" s="494">
        <v>1748</v>
      </c>
      <c r="V2657" s="493">
        <v>2024</v>
      </c>
      <c r="W2657" s="495"/>
      <c r="X2657" s="496">
        <f t="shared" si="173"/>
        <v>3.4113272311212817</v>
      </c>
      <c r="Y2657" s="497" t="str">
        <f t="shared" si="174"/>
        <v/>
      </c>
      <c r="Z2657" s="497" t="str">
        <f t="shared" si="174"/>
        <v/>
      </c>
    </row>
    <row r="2658" spans="1:26" s="82" customFormat="1" ht="32" x14ac:dyDescent="0.4">
      <c r="A2658" s="493">
        <v>66731</v>
      </c>
      <c r="B2658" s="105" t="s">
        <v>329</v>
      </c>
      <c r="C2658" s="493" t="s">
        <v>330</v>
      </c>
      <c r="D2658" s="105" t="s">
        <v>3179</v>
      </c>
      <c r="E2658" s="105" t="s">
        <v>3178</v>
      </c>
      <c r="F2658" s="493">
        <v>64872</v>
      </c>
      <c r="G2658" s="105" t="s">
        <v>52</v>
      </c>
      <c r="H2658" s="105" t="s">
        <v>333</v>
      </c>
      <c r="I2658" s="105" t="s">
        <v>334</v>
      </c>
      <c r="J2658" s="493">
        <v>22</v>
      </c>
      <c r="K2658" s="493">
        <v>2</v>
      </c>
      <c r="L2658" s="105" t="s">
        <v>343</v>
      </c>
      <c r="M2658" s="105" t="s">
        <v>655</v>
      </c>
      <c r="N2658" s="105" t="s">
        <v>656</v>
      </c>
      <c r="O2658" s="105" t="s">
        <v>656</v>
      </c>
      <c r="P2658" s="105" t="s">
        <v>339</v>
      </c>
      <c r="Q2658" s="494">
        <v>0</v>
      </c>
      <c r="R2658" s="494">
        <v>0</v>
      </c>
      <c r="S2658" s="494">
        <v>18835</v>
      </c>
      <c r="T2658" s="494">
        <v>18835</v>
      </c>
      <c r="U2658" s="494">
        <v>5520</v>
      </c>
      <c r="V2658" s="493">
        <v>2024</v>
      </c>
      <c r="W2658" s="495"/>
      <c r="X2658" s="496">
        <f t="shared" si="173"/>
        <v>3.4121376811594204</v>
      </c>
      <c r="Y2658" s="497" t="str">
        <f t="shared" si="174"/>
        <v/>
      </c>
      <c r="Z2658" s="497" t="str">
        <f t="shared" si="174"/>
        <v/>
      </c>
    </row>
    <row r="2659" spans="1:26" s="82" customFormat="1" ht="32" x14ac:dyDescent="0.4">
      <c r="A2659" s="493">
        <v>66732</v>
      </c>
      <c r="B2659" s="105" t="s">
        <v>329</v>
      </c>
      <c r="C2659" s="493" t="s">
        <v>330</v>
      </c>
      <c r="D2659" s="105" t="s">
        <v>3180</v>
      </c>
      <c r="E2659" s="105" t="s">
        <v>3178</v>
      </c>
      <c r="F2659" s="493">
        <v>64872</v>
      </c>
      <c r="G2659" s="105" t="s">
        <v>52</v>
      </c>
      <c r="H2659" s="105" t="s">
        <v>333</v>
      </c>
      <c r="I2659" s="105" t="s">
        <v>334</v>
      </c>
      <c r="J2659" s="493">
        <v>22</v>
      </c>
      <c r="K2659" s="493">
        <v>2</v>
      </c>
      <c r="L2659" s="105" t="s">
        <v>343</v>
      </c>
      <c r="M2659" s="105" t="s">
        <v>655</v>
      </c>
      <c r="N2659" s="105" t="s">
        <v>656</v>
      </c>
      <c r="O2659" s="105" t="s">
        <v>656</v>
      </c>
      <c r="P2659" s="105" t="s">
        <v>339</v>
      </c>
      <c r="Q2659" s="494">
        <v>0</v>
      </c>
      <c r="R2659" s="494">
        <v>0</v>
      </c>
      <c r="S2659" s="494">
        <v>8369</v>
      </c>
      <c r="T2659" s="494">
        <v>8369</v>
      </c>
      <c r="U2659" s="494">
        <v>2453</v>
      </c>
      <c r="V2659" s="493">
        <v>2024</v>
      </c>
      <c r="W2659" s="495"/>
      <c r="X2659" s="496">
        <f t="shared" si="173"/>
        <v>3.4117407256420709</v>
      </c>
      <c r="Y2659" s="497" t="str">
        <f t="shared" si="174"/>
        <v/>
      </c>
      <c r="Z2659" s="497" t="str">
        <f t="shared" si="174"/>
        <v/>
      </c>
    </row>
    <row r="2660" spans="1:26" s="82" customFormat="1" ht="32" x14ac:dyDescent="0.4">
      <c r="A2660" s="493">
        <v>66734</v>
      </c>
      <c r="B2660" s="105" t="s">
        <v>329</v>
      </c>
      <c r="C2660" s="493" t="s">
        <v>330</v>
      </c>
      <c r="D2660" s="105" t="s">
        <v>3181</v>
      </c>
      <c r="E2660" s="105" t="s">
        <v>3178</v>
      </c>
      <c r="F2660" s="493">
        <v>64872</v>
      </c>
      <c r="G2660" s="105" t="s">
        <v>52</v>
      </c>
      <c r="H2660" s="105" t="s">
        <v>333</v>
      </c>
      <c r="I2660" s="105" t="s">
        <v>334</v>
      </c>
      <c r="J2660" s="493">
        <v>22</v>
      </c>
      <c r="K2660" s="493">
        <v>2</v>
      </c>
      <c r="L2660" s="105" t="s">
        <v>343</v>
      </c>
      <c r="M2660" s="105" t="s">
        <v>655</v>
      </c>
      <c r="N2660" s="105" t="s">
        <v>656</v>
      </c>
      <c r="O2660" s="105" t="s">
        <v>656</v>
      </c>
      <c r="P2660" s="105" t="s">
        <v>339</v>
      </c>
      <c r="Q2660" s="494">
        <v>0</v>
      </c>
      <c r="R2660" s="494">
        <v>0</v>
      </c>
      <c r="S2660" s="494">
        <v>21709</v>
      </c>
      <c r="T2660" s="494">
        <v>21709</v>
      </c>
      <c r="U2660" s="494">
        <v>6363</v>
      </c>
      <c r="V2660" s="493">
        <v>2024</v>
      </c>
      <c r="W2660" s="495"/>
      <c r="X2660" s="496">
        <f t="shared" si="173"/>
        <v>3.411755461260412</v>
      </c>
      <c r="Y2660" s="497" t="str">
        <f t="shared" si="174"/>
        <v/>
      </c>
      <c r="Z2660" s="497" t="str">
        <f t="shared" si="174"/>
        <v/>
      </c>
    </row>
    <row r="2661" spans="1:26" s="82" customFormat="1" ht="48" x14ac:dyDescent="0.4">
      <c r="A2661" s="493">
        <v>66741</v>
      </c>
      <c r="B2661" s="105" t="s">
        <v>329</v>
      </c>
      <c r="C2661" s="493" t="s">
        <v>330</v>
      </c>
      <c r="D2661" s="105" t="s">
        <v>3182</v>
      </c>
      <c r="E2661" s="105" t="s">
        <v>1354</v>
      </c>
      <c r="F2661" s="493">
        <v>60025</v>
      </c>
      <c r="G2661" s="105" t="s">
        <v>34</v>
      </c>
      <c r="H2661" s="105" t="s">
        <v>342</v>
      </c>
      <c r="I2661" s="105" t="s">
        <v>334</v>
      </c>
      <c r="J2661" s="493">
        <v>22</v>
      </c>
      <c r="K2661" s="493">
        <v>2</v>
      </c>
      <c r="L2661" s="105" t="s">
        <v>343</v>
      </c>
      <c r="M2661" s="105" t="s">
        <v>655</v>
      </c>
      <c r="N2661" s="105" t="s">
        <v>656</v>
      </c>
      <c r="O2661" s="105" t="s">
        <v>656</v>
      </c>
      <c r="P2661" s="105" t="s">
        <v>339</v>
      </c>
      <c r="Q2661" s="494">
        <v>0</v>
      </c>
      <c r="R2661" s="494">
        <v>0</v>
      </c>
      <c r="S2661" s="494">
        <v>8759</v>
      </c>
      <c r="T2661" s="494">
        <v>8759</v>
      </c>
      <c r="U2661" s="494">
        <v>2567</v>
      </c>
      <c r="V2661" s="493">
        <v>2024</v>
      </c>
      <c r="W2661" s="495"/>
      <c r="X2661" s="496">
        <f t="shared" si="173"/>
        <v>3.4121542656797819</v>
      </c>
      <c r="Y2661" s="497" t="str">
        <f t="shared" si="174"/>
        <v/>
      </c>
      <c r="Z2661" s="497" t="str">
        <f t="shared" si="174"/>
        <v/>
      </c>
    </row>
    <row r="2662" spans="1:26" s="82" customFormat="1" x14ac:dyDescent="0.4">
      <c r="A2662" s="493">
        <v>66749</v>
      </c>
      <c r="B2662" s="105" t="s">
        <v>329</v>
      </c>
      <c r="C2662" s="493" t="s">
        <v>330</v>
      </c>
      <c r="D2662" s="105" t="s">
        <v>3183</v>
      </c>
      <c r="E2662" s="105" t="s">
        <v>3184</v>
      </c>
      <c r="F2662" s="493">
        <v>65748</v>
      </c>
      <c r="G2662" s="105" t="s">
        <v>52</v>
      </c>
      <c r="H2662" s="105" t="s">
        <v>333</v>
      </c>
      <c r="I2662" s="105" t="s">
        <v>334</v>
      </c>
      <c r="J2662" s="493">
        <v>22</v>
      </c>
      <c r="K2662" s="493">
        <v>2</v>
      </c>
      <c r="L2662" s="105" t="s">
        <v>343</v>
      </c>
      <c r="M2662" s="105" t="s">
        <v>655</v>
      </c>
      <c r="N2662" s="105" t="s">
        <v>656</v>
      </c>
      <c r="O2662" s="105" t="s">
        <v>656</v>
      </c>
      <c r="P2662" s="105" t="s">
        <v>339</v>
      </c>
      <c r="Q2662" s="494">
        <v>0</v>
      </c>
      <c r="R2662" s="494">
        <v>0</v>
      </c>
      <c r="S2662" s="494">
        <v>24617</v>
      </c>
      <c r="T2662" s="494">
        <v>24617</v>
      </c>
      <c r="U2662" s="494">
        <v>7215</v>
      </c>
      <c r="V2662" s="493">
        <v>2024</v>
      </c>
      <c r="W2662" s="495"/>
      <c r="X2662" s="496">
        <f t="shared" si="173"/>
        <v>3.411919611919612</v>
      </c>
      <c r="Y2662" s="497" t="str">
        <f t="shared" si="174"/>
        <v/>
      </c>
      <c r="Z2662" s="497" t="str">
        <f t="shared" si="174"/>
        <v/>
      </c>
    </row>
    <row r="2663" spans="1:26" s="82" customFormat="1" x14ac:dyDescent="0.4">
      <c r="A2663" s="493">
        <v>66752</v>
      </c>
      <c r="B2663" s="105" t="s">
        <v>329</v>
      </c>
      <c r="C2663" s="493" t="s">
        <v>330</v>
      </c>
      <c r="D2663" s="105" t="s">
        <v>3185</v>
      </c>
      <c r="E2663" s="105" t="s">
        <v>2781</v>
      </c>
      <c r="F2663" s="493">
        <v>65752</v>
      </c>
      <c r="G2663" s="105" t="s">
        <v>52</v>
      </c>
      <c r="H2663" s="105" t="s">
        <v>333</v>
      </c>
      <c r="I2663" s="105" t="s">
        <v>334</v>
      </c>
      <c r="J2663" s="493">
        <v>22</v>
      </c>
      <c r="K2663" s="493">
        <v>2</v>
      </c>
      <c r="L2663" s="105" t="s">
        <v>343</v>
      </c>
      <c r="M2663" s="105" t="s">
        <v>655</v>
      </c>
      <c r="N2663" s="105" t="s">
        <v>656</v>
      </c>
      <c r="O2663" s="105" t="s">
        <v>656</v>
      </c>
      <c r="P2663" s="105" t="s">
        <v>339</v>
      </c>
      <c r="Q2663" s="494">
        <v>0</v>
      </c>
      <c r="R2663" s="494">
        <v>0</v>
      </c>
      <c r="S2663" s="494">
        <v>10021</v>
      </c>
      <c r="T2663" s="494">
        <v>10021</v>
      </c>
      <c r="U2663" s="494">
        <v>2937</v>
      </c>
      <c r="V2663" s="493">
        <v>2024</v>
      </c>
      <c r="W2663" s="495"/>
      <c r="X2663" s="496">
        <f t="shared" si="173"/>
        <v>3.4119850187265919</v>
      </c>
      <c r="Y2663" s="497" t="str">
        <f t="shared" si="174"/>
        <v/>
      </c>
      <c r="Z2663" s="497" t="str">
        <f t="shared" si="174"/>
        <v/>
      </c>
    </row>
    <row r="2664" spans="1:26" s="82" customFormat="1" ht="32" x14ac:dyDescent="0.4">
      <c r="A2664" s="493">
        <v>66762</v>
      </c>
      <c r="B2664" s="105" t="s">
        <v>329</v>
      </c>
      <c r="C2664" s="493" t="s">
        <v>330</v>
      </c>
      <c r="D2664" s="105" t="s">
        <v>3186</v>
      </c>
      <c r="E2664" s="105" t="s">
        <v>3178</v>
      </c>
      <c r="F2664" s="493">
        <v>64872</v>
      </c>
      <c r="G2664" s="105" t="s">
        <v>52</v>
      </c>
      <c r="H2664" s="105" t="s">
        <v>333</v>
      </c>
      <c r="I2664" s="105" t="s">
        <v>334</v>
      </c>
      <c r="J2664" s="493">
        <v>22</v>
      </c>
      <c r="K2664" s="493">
        <v>2</v>
      </c>
      <c r="L2664" s="105" t="s">
        <v>343</v>
      </c>
      <c r="M2664" s="105" t="s">
        <v>655</v>
      </c>
      <c r="N2664" s="105" t="s">
        <v>656</v>
      </c>
      <c r="O2664" s="105" t="s">
        <v>656</v>
      </c>
      <c r="P2664" s="105" t="s">
        <v>339</v>
      </c>
      <c r="Q2664" s="494">
        <v>0</v>
      </c>
      <c r="R2664" s="494">
        <v>0</v>
      </c>
      <c r="S2664" s="494">
        <v>15491</v>
      </c>
      <c r="T2664" s="494">
        <v>15491</v>
      </c>
      <c r="U2664" s="494">
        <v>4540</v>
      </c>
      <c r="V2664" s="493">
        <v>2024</v>
      </c>
      <c r="W2664" s="495"/>
      <c r="X2664" s="496">
        <f t="shared" si="173"/>
        <v>3.4121145374449338</v>
      </c>
      <c r="Y2664" s="497" t="str">
        <f t="shared" si="174"/>
        <v/>
      </c>
      <c r="Z2664" s="497" t="str">
        <f t="shared" si="174"/>
        <v/>
      </c>
    </row>
    <row r="2665" spans="1:26" s="82" customFormat="1" ht="32" x14ac:dyDescent="0.4">
      <c r="A2665" s="493">
        <v>66763</v>
      </c>
      <c r="B2665" s="105" t="s">
        <v>329</v>
      </c>
      <c r="C2665" s="493" t="s">
        <v>330</v>
      </c>
      <c r="D2665" s="105" t="s">
        <v>3187</v>
      </c>
      <c r="E2665" s="105" t="s">
        <v>3178</v>
      </c>
      <c r="F2665" s="493">
        <v>64872</v>
      </c>
      <c r="G2665" s="105" t="s">
        <v>52</v>
      </c>
      <c r="H2665" s="105" t="s">
        <v>333</v>
      </c>
      <c r="I2665" s="105" t="s">
        <v>334</v>
      </c>
      <c r="J2665" s="493">
        <v>22</v>
      </c>
      <c r="K2665" s="493">
        <v>2</v>
      </c>
      <c r="L2665" s="105" t="s">
        <v>343</v>
      </c>
      <c r="M2665" s="105" t="s">
        <v>655</v>
      </c>
      <c r="N2665" s="105" t="s">
        <v>656</v>
      </c>
      <c r="O2665" s="105" t="s">
        <v>656</v>
      </c>
      <c r="P2665" s="105" t="s">
        <v>339</v>
      </c>
      <c r="Q2665" s="494">
        <v>0</v>
      </c>
      <c r="R2665" s="494">
        <v>0</v>
      </c>
      <c r="S2665" s="494">
        <v>4505</v>
      </c>
      <c r="T2665" s="494">
        <v>4505</v>
      </c>
      <c r="U2665" s="494">
        <v>1320</v>
      </c>
      <c r="V2665" s="493">
        <v>2024</v>
      </c>
      <c r="W2665" s="495"/>
      <c r="X2665" s="496">
        <f t="shared" si="173"/>
        <v>3.4128787878787881</v>
      </c>
      <c r="Y2665" s="497" t="str">
        <f t="shared" si="174"/>
        <v/>
      </c>
      <c r="Z2665" s="497" t="str">
        <f t="shared" si="174"/>
        <v/>
      </c>
    </row>
    <row r="2666" spans="1:26" s="82" customFormat="1" ht="32" x14ac:dyDescent="0.4">
      <c r="A2666" s="493">
        <v>66764</v>
      </c>
      <c r="B2666" s="105" t="s">
        <v>329</v>
      </c>
      <c r="C2666" s="493" t="s">
        <v>330</v>
      </c>
      <c r="D2666" s="105" t="s">
        <v>3188</v>
      </c>
      <c r="E2666" s="105" t="s">
        <v>3178</v>
      </c>
      <c r="F2666" s="493">
        <v>64872</v>
      </c>
      <c r="G2666" s="105" t="s">
        <v>52</v>
      </c>
      <c r="H2666" s="105" t="s">
        <v>333</v>
      </c>
      <c r="I2666" s="105" t="s">
        <v>334</v>
      </c>
      <c r="J2666" s="493">
        <v>22</v>
      </c>
      <c r="K2666" s="493">
        <v>2</v>
      </c>
      <c r="L2666" s="105" t="s">
        <v>343</v>
      </c>
      <c r="M2666" s="105" t="s">
        <v>403</v>
      </c>
      <c r="N2666" s="105" t="s">
        <v>404</v>
      </c>
      <c r="O2666" s="105" t="s">
        <v>232</v>
      </c>
      <c r="P2666" s="105" t="s">
        <v>346</v>
      </c>
      <c r="Q2666" s="494">
        <v>993</v>
      </c>
      <c r="R2666" s="494">
        <v>993</v>
      </c>
      <c r="S2666" s="494">
        <v>0</v>
      </c>
      <c r="T2666" s="494">
        <v>0</v>
      </c>
      <c r="U2666" s="494">
        <v>-217</v>
      </c>
      <c r="V2666" s="493">
        <v>2024</v>
      </c>
      <c r="W2666" s="495"/>
      <c r="X2666" s="496" t="str">
        <f t="shared" si="173"/>
        <v/>
      </c>
      <c r="Y2666" s="497" t="str">
        <f t="shared" si="174"/>
        <v/>
      </c>
      <c r="Z2666" s="497" t="str">
        <f t="shared" si="174"/>
        <v/>
      </c>
    </row>
    <row r="2667" spans="1:26" s="82" customFormat="1" ht="32" x14ac:dyDescent="0.4">
      <c r="A2667" s="493">
        <v>66764</v>
      </c>
      <c r="B2667" s="105" t="s">
        <v>329</v>
      </c>
      <c r="C2667" s="493" t="s">
        <v>330</v>
      </c>
      <c r="D2667" s="105" t="s">
        <v>3188</v>
      </c>
      <c r="E2667" s="105" t="s">
        <v>3178</v>
      </c>
      <c r="F2667" s="493">
        <v>64872</v>
      </c>
      <c r="G2667" s="105" t="s">
        <v>52</v>
      </c>
      <c r="H2667" s="105" t="s">
        <v>333</v>
      </c>
      <c r="I2667" s="105" t="s">
        <v>334</v>
      </c>
      <c r="J2667" s="493">
        <v>22</v>
      </c>
      <c r="K2667" s="493">
        <v>2</v>
      </c>
      <c r="L2667" s="105" t="s">
        <v>343</v>
      </c>
      <c r="M2667" s="105" t="s">
        <v>655</v>
      </c>
      <c r="N2667" s="105" t="s">
        <v>656</v>
      </c>
      <c r="O2667" s="105" t="s">
        <v>656</v>
      </c>
      <c r="P2667" s="105" t="s">
        <v>339</v>
      </c>
      <c r="Q2667" s="494">
        <v>0</v>
      </c>
      <c r="R2667" s="494">
        <v>0</v>
      </c>
      <c r="S2667" s="494">
        <v>22727</v>
      </c>
      <c r="T2667" s="494">
        <v>22727</v>
      </c>
      <c r="U2667" s="494">
        <v>6661</v>
      </c>
      <c r="V2667" s="493">
        <v>2024</v>
      </c>
      <c r="W2667" s="495"/>
      <c r="X2667" s="496">
        <f t="shared" si="173"/>
        <v>3.411950157633989</v>
      </c>
      <c r="Y2667" s="497" t="str">
        <f t="shared" si="174"/>
        <v/>
      </c>
      <c r="Z2667" s="497" t="str">
        <f t="shared" si="174"/>
        <v/>
      </c>
    </row>
    <row r="2668" spans="1:26" s="82" customFormat="1" ht="32" x14ac:dyDescent="0.4">
      <c r="A2668" s="493">
        <v>66765</v>
      </c>
      <c r="B2668" s="105" t="s">
        <v>329</v>
      </c>
      <c r="C2668" s="493" t="s">
        <v>330</v>
      </c>
      <c r="D2668" s="105" t="s">
        <v>3189</v>
      </c>
      <c r="E2668" s="105" t="s">
        <v>3178</v>
      </c>
      <c r="F2668" s="493">
        <v>64872</v>
      </c>
      <c r="G2668" s="105" t="s">
        <v>52</v>
      </c>
      <c r="H2668" s="105" t="s">
        <v>333</v>
      </c>
      <c r="I2668" s="105" t="s">
        <v>334</v>
      </c>
      <c r="J2668" s="493">
        <v>22</v>
      </c>
      <c r="K2668" s="493">
        <v>2</v>
      </c>
      <c r="L2668" s="105" t="s">
        <v>343</v>
      </c>
      <c r="M2668" s="105" t="s">
        <v>403</v>
      </c>
      <c r="N2668" s="105" t="s">
        <v>404</v>
      </c>
      <c r="O2668" s="105" t="s">
        <v>232</v>
      </c>
      <c r="P2668" s="105" t="s">
        <v>346</v>
      </c>
      <c r="Q2668" s="494">
        <v>1088</v>
      </c>
      <c r="R2668" s="494">
        <v>1088</v>
      </c>
      <c r="S2668" s="494">
        <v>0</v>
      </c>
      <c r="T2668" s="494">
        <v>0</v>
      </c>
      <c r="U2668" s="494">
        <v>-135</v>
      </c>
      <c r="V2668" s="493">
        <v>2024</v>
      </c>
      <c r="W2668" s="495"/>
      <c r="X2668" s="496" t="str">
        <f t="shared" si="173"/>
        <v/>
      </c>
      <c r="Y2668" s="497" t="str">
        <f t="shared" ref="Y2668:Z2687" si="175">IF(AND($M2668=$Y$2,$N2668=$Y$3,NOT($Q2668=$R2668),NOT($U2668=0)),IF($K2668=5,$S2668/($U2668+(8/5)*$U2668),IF($K2668=7,$S2668/($U2668+(29/25)*$U2668),"")),"")</f>
        <v/>
      </c>
      <c r="Z2668" s="497" t="str">
        <f t="shared" si="175"/>
        <v/>
      </c>
    </row>
    <row r="2669" spans="1:26" s="82" customFormat="1" ht="32" x14ac:dyDescent="0.4">
      <c r="A2669" s="493">
        <v>66765</v>
      </c>
      <c r="B2669" s="105" t="s">
        <v>329</v>
      </c>
      <c r="C2669" s="493" t="s">
        <v>330</v>
      </c>
      <c r="D2669" s="105" t="s">
        <v>3189</v>
      </c>
      <c r="E2669" s="105" t="s">
        <v>3178</v>
      </c>
      <c r="F2669" s="493">
        <v>64872</v>
      </c>
      <c r="G2669" s="105" t="s">
        <v>52</v>
      </c>
      <c r="H2669" s="105" t="s">
        <v>333</v>
      </c>
      <c r="I2669" s="105" t="s">
        <v>334</v>
      </c>
      <c r="J2669" s="493">
        <v>22</v>
      </c>
      <c r="K2669" s="493">
        <v>2</v>
      </c>
      <c r="L2669" s="105" t="s">
        <v>343</v>
      </c>
      <c r="M2669" s="105" t="s">
        <v>655</v>
      </c>
      <c r="N2669" s="105" t="s">
        <v>656</v>
      </c>
      <c r="O2669" s="105" t="s">
        <v>656</v>
      </c>
      <c r="P2669" s="105" t="s">
        <v>339</v>
      </c>
      <c r="Q2669" s="494">
        <v>0</v>
      </c>
      <c r="R2669" s="494">
        <v>0</v>
      </c>
      <c r="S2669" s="494">
        <v>10642</v>
      </c>
      <c r="T2669" s="494">
        <v>10642</v>
      </c>
      <c r="U2669" s="494">
        <v>3119</v>
      </c>
      <c r="V2669" s="493">
        <v>2024</v>
      </c>
      <c r="W2669" s="495"/>
      <c r="X2669" s="496">
        <f t="shared" si="173"/>
        <v>3.4119910227637065</v>
      </c>
      <c r="Y2669" s="497" t="str">
        <f t="shared" si="175"/>
        <v/>
      </c>
      <c r="Z2669" s="497" t="str">
        <f t="shared" si="175"/>
        <v/>
      </c>
    </row>
    <row r="2670" spans="1:26" s="82" customFormat="1" ht="32" x14ac:dyDescent="0.4">
      <c r="A2670" s="493">
        <v>66766</v>
      </c>
      <c r="B2670" s="105" t="s">
        <v>329</v>
      </c>
      <c r="C2670" s="493" t="s">
        <v>330</v>
      </c>
      <c r="D2670" s="105" t="s">
        <v>3190</v>
      </c>
      <c r="E2670" s="105" t="s">
        <v>3178</v>
      </c>
      <c r="F2670" s="493">
        <v>64872</v>
      </c>
      <c r="G2670" s="105" t="s">
        <v>52</v>
      </c>
      <c r="H2670" s="105" t="s">
        <v>333</v>
      </c>
      <c r="I2670" s="105" t="s">
        <v>334</v>
      </c>
      <c r="J2670" s="493">
        <v>22</v>
      </c>
      <c r="K2670" s="493">
        <v>2</v>
      </c>
      <c r="L2670" s="105" t="s">
        <v>343</v>
      </c>
      <c r="M2670" s="105" t="s">
        <v>655</v>
      </c>
      <c r="N2670" s="105" t="s">
        <v>656</v>
      </c>
      <c r="O2670" s="105" t="s">
        <v>656</v>
      </c>
      <c r="P2670" s="105" t="s">
        <v>339</v>
      </c>
      <c r="Q2670" s="494">
        <v>0</v>
      </c>
      <c r="R2670" s="494">
        <v>0</v>
      </c>
      <c r="S2670" s="494">
        <v>7189</v>
      </c>
      <c r="T2670" s="494">
        <v>7189</v>
      </c>
      <c r="U2670" s="494">
        <v>2107</v>
      </c>
      <c r="V2670" s="493">
        <v>2024</v>
      </c>
      <c r="W2670" s="495"/>
      <c r="X2670" s="496">
        <f t="shared" si="173"/>
        <v>3.4119601328903655</v>
      </c>
      <c r="Y2670" s="497" t="str">
        <f t="shared" si="175"/>
        <v/>
      </c>
      <c r="Z2670" s="497" t="str">
        <f t="shared" si="175"/>
        <v/>
      </c>
    </row>
    <row r="2671" spans="1:26" s="82" customFormat="1" ht="32" x14ac:dyDescent="0.4">
      <c r="A2671" s="493">
        <v>66767</v>
      </c>
      <c r="B2671" s="105" t="s">
        <v>329</v>
      </c>
      <c r="C2671" s="493" t="s">
        <v>330</v>
      </c>
      <c r="D2671" s="105" t="s">
        <v>3191</v>
      </c>
      <c r="E2671" s="105" t="s">
        <v>3178</v>
      </c>
      <c r="F2671" s="493">
        <v>64872</v>
      </c>
      <c r="G2671" s="105" t="s">
        <v>52</v>
      </c>
      <c r="H2671" s="105" t="s">
        <v>333</v>
      </c>
      <c r="I2671" s="105" t="s">
        <v>334</v>
      </c>
      <c r="J2671" s="493">
        <v>22</v>
      </c>
      <c r="K2671" s="493">
        <v>2</v>
      </c>
      <c r="L2671" s="105" t="s">
        <v>343</v>
      </c>
      <c r="M2671" s="105" t="s">
        <v>403</v>
      </c>
      <c r="N2671" s="105" t="s">
        <v>404</v>
      </c>
      <c r="O2671" s="105" t="s">
        <v>232</v>
      </c>
      <c r="P2671" s="105" t="s">
        <v>346</v>
      </c>
      <c r="Q2671" s="494">
        <v>388</v>
      </c>
      <c r="R2671" s="494">
        <v>388</v>
      </c>
      <c r="S2671" s="494">
        <v>0</v>
      </c>
      <c r="T2671" s="494">
        <v>0</v>
      </c>
      <c r="U2671" s="494">
        <v>-24</v>
      </c>
      <c r="V2671" s="493">
        <v>2024</v>
      </c>
      <c r="W2671" s="495"/>
      <c r="X2671" s="496" t="str">
        <f t="shared" si="173"/>
        <v/>
      </c>
      <c r="Y2671" s="497" t="str">
        <f t="shared" si="175"/>
        <v/>
      </c>
      <c r="Z2671" s="497" t="str">
        <f t="shared" si="175"/>
        <v/>
      </c>
    </row>
    <row r="2672" spans="1:26" s="82" customFormat="1" ht="32" x14ac:dyDescent="0.4">
      <c r="A2672" s="493">
        <v>66767</v>
      </c>
      <c r="B2672" s="105" t="s">
        <v>329</v>
      </c>
      <c r="C2672" s="493" t="s">
        <v>330</v>
      </c>
      <c r="D2672" s="105" t="s">
        <v>3191</v>
      </c>
      <c r="E2672" s="105" t="s">
        <v>3178</v>
      </c>
      <c r="F2672" s="493">
        <v>64872</v>
      </c>
      <c r="G2672" s="105" t="s">
        <v>52</v>
      </c>
      <c r="H2672" s="105" t="s">
        <v>333</v>
      </c>
      <c r="I2672" s="105" t="s">
        <v>334</v>
      </c>
      <c r="J2672" s="493">
        <v>22</v>
      </c>
      <c r="K2672" s="493">
        <v>2</v>
      </c>
      <c r="L2672" s="105" t="s">
        <v>343</v>
      </c>
      <c r="M2672" s="105" t="s">
        <v>655</v>
      </c>
      <c r="N2672" s="105" t="s">
        <v>656</v>
      </c>
      <c r="O2672" s="105" t="s">
        <v>656</v>
      </c>
      <c r="P2672" s="105" t="s">
        <v>339</v>
      </c>
      <c r="Q2672" s="494">
        <v>0</v>
      </c>
      <c r="R2672" s="494">
        <v>0</v>
      </c>
      <c r="S2672" s="494">
        <v>4556</v>
      </c>
      <c r="T2672" s="494">
        <v>4556</v>
      </c>
      <c r="U2672" s="494">
        <v>1336</v>
      </c>
      <c r="V2672" s="493">
        <v>2024</v>
      </c>
      <c r="W2672" s="495"/>
      <c r="X2672" s="496">
        <f t="shared" si="173"/>
        <v>3.4101796407185629</v>
      </c>
      <c r="Y2672" s="497" t="str">
        <f t="shared" si="175"/>
        <v/>
      </c>
      <c r="Z2672" s="497" t="str">
        <f t="shared" si="175"/>
        <v/>
      </c>
    </row>
    <row r="2673" spans="1:26" s="82" customFormat="1" ht="32" x14ac:dyDescent="0.4">
      <c r="A2673" s="493">
        <v>66769</v>
      </c>
      <c r="B2673" s="105" t="s">
        <v>329</v>
      </c>
      <c r="C2673" s="493" t="s">
        <v>330</v>
      </c>
      <c r="D2673" s="105" t="s">
        <v>3192</v>
      </c>
      <c r="E2673" s="105" t="s">
        <v>3178</v>
      </c>
      <c r="F2673" s="493">
        <v>64872</v>
      </c>
      <c r="G2673" s="105" t="s">
        <v>52</v>
      </c>
      <c r="H2673" s="105" t="s">
        <v>333</v>
      </c>
      <c r="I2673" s="105" t="s">
        <v>334</v>
      </c>
      <c r="J2673" s="493">
        <v>22</v>
      </c>
      <c r="K2673" s="493">
        <v>2</v>
      </c>
      <c r="L2673" s="105" t="s">
        <v>343</v>
      </c>
      <c r="M2673" s="105" t="s">
        <v>655</v>
      </c>
      <c r="N2673" s="105" t="s">
        <v>656</v>
      </c>
      <c r="O2673" s="105" t="s">
        <v>656</v>
      </c>
      <c r="P2673" s="105" t="s">
        <v>339</v>
      </c>
      <c r="Q2673" s="494">
        <v>0</v>
      </c>
      <c r="R2673" s="494">
        <v>0</v>
      </c>
      <c r="S2673" s="494">
        <v>22091</v>
      </c>
      <c r="T2673" s="494">
        <v>22091</v>
      </c>
      <c r="U2673" s="494">
        <v>6475</v>
      </c>
      <c r="V2673" s="493">
        <v>2024</v>
      </c>
      <c r="W2673" s="495"/>
      <c r="X2673" s="496">
        <f t="shared" si="173"/>
        <v>3.4117374517374519</v>
      </c>
      <c r="Y2673" s="497" t="str">
        <f t="shared" si="175"/>
        <v/>
      </c>
      <c r="Z2673" s="497" t="str">
        <f t="shared" si="175"/>
        <v/>
      </c>
    </row>
    <row r="2674" spans="1:26" s="82" customFormat="1" ht="32" x14ac:dyDescent="0.4">
      <c r="A2674" s="493">
        <v>66771</v>
      </c>
      <c r="B2674" s="105" t="s">
        <v>329</v>
      </c>
      <c r="C2674" s="493" t="s">
        <v>330</v>
      </c>
      <c r="D2674" s="105" t="s">
        <v>3193</v>
      </c>
      <c r="E2674" s="105" t="s">
        <v>3178</v>
      </c>
      <c r="F2674" s="493">
        <v>64872</v>
      </c>
      <c r="G2674" s="105" t="s">
        <v>52</v>
      </c>
      <c r="H2674" s="105" t="s">
        <v>333</v>
      </c>
      <c r="I2674" s="105" t="s">
        <v>334</v>
      </c>
      <c r="J2674" s="493">
        <v>22</v>
      </c>
      <c r="K2674" s="493">
        <v>2</v>
      </c>
      <c r="L2674" s="105" t="s">
        <v>343</v>
      </c>
      <c r="M2674" s="105" t="s">
        <v>655</v>
      </c>
      <c r="N2674" s="105" t="s">
        <v>656</v>
      </c>
      <c r="O2674" s="105" t="s">
        <v>656</v>
      </c>
      <c r="P2674" s="105" t="s">
        <v>339</v>
      </c>
      <c r="Q2674" s="494">
        <v>0</v>
      </c>
      <c r="R2674" s="494">
        <v>0</v>
      </c>
      <c r="S2674" s="494">
        <v>15941</v>
      </c>
      <c r="T2674" s="494">
        <v>15941</v>
      </c>
      <c r="U2674" s="494">
        <v>4672</v>
      </c>
      <c r="V2674" s="493">
        <v>2024</v>
      </c>
      <c r="W2674" s="495"/>
      <c r="X2674" s="496">
        <f t="shared" si="173"/>
        <v>3.4120291095890409</v>
      </c>
      <c r="Y2674" s="497" t="str">
        <f t="shared" si="175"/>
        <v/>
      </c>
      <c r="Z2674" s="497" t="str">
        <f t="shared" si="175"/>
        <v/>
      </c>
    </row>
    <row r="2675" spans="1:26" s="82" customFormat="1" ht="32" x14ac:dyDescent="0.4">
      <c r="A2675" s="493">
        <v>66777</v>
      </c>
      <c r="B2675" s="105" t="s">
        <v>329</v>
      </c>
      <c r="C2675" s="493" t="s">
        <v>330</v>
      </c>
      <c r="D2675" s="105" t="s">
        <v>3194</v>
      </c>
      <c r="E2675" s="105" t="s">
        <v>3195</v>
      </c>
      <c r="F2675" s="493">
        <v>65758</v>
      </c>
      <c r="G2675" s="105" t="s">
        <v>52</v>
      </c>
      <c r="H2675" s="105" t="s">
        <v>333</v>
      </c>
      <c r="I2675" s="105" t="s">
        <v>334</v>
      </c>
      <c r="J2675" s="493">
        <v>22</v>
      </c>
      <c r="K2675" s="493">
        <v>2</v>
      </c>
      <c r="L2675" s="105" t="s">
        <v>343</v>
      </c>
      <c r="M2675" s="105" t="s">
        <v>655</v>
      </c>
      <c r="N2675" s="105" t="s">
        <v>656</v>
      </c>
      <c r="O2675" s="105" t="s">
        <v>656</v>
      </c>
      <c r="P2675" s="105" t="s">
        <v>339</v>
      </c>
      <c r="Q2675" s="494">
        <v>0</v>
      </c>
      <c r="R2675" s="494">
        <v>0</v>
      </c>
      <c r="S2675" s="494">
        <v>26265</v>
      </c>
      <c r="T2675" s="494">
        <v>26265</v>
      </c>
      <c r="U2675" s="494">
        <v>7698</v>
      </c>
      <c r="V2675" s="493">
        <v>2024</v>
      </c>
      <c r="W2675" s="495"/>
      <c r="X2675" s="496">
        <f t="shared" si="173"/>
        <v>3.411925175370226</v>
      </c>
      <c r="Y2675" s="497" t="str">
        <f t="shared" si="175"/>
        <v/>
      </c>
      <c r="Z2675" s="497" t="str">
        <f t="shared" si="175"/>
        <v/>
      </c>
    </row>
    <row r="2676" spans="1:26" s="82" customFormat="1" ht="32" x14ac:dyDescent="0.4">
      <c r="A2676" s="493">
        <v>66812</v>
      </c>
      <c r="B2676" s="105" t="s">
        <v>329</v>
      </c>
      <c r="C2676" s="493" t="s">
        <v>330</v>
      </c>
      <c r="D2676" s="105" t="s">
        <v>3196</v>
      </c>
      <c r="E2676" s="105" t="s">
        <v>3178</v>
      </c>
      <c r="F2676" s="493">
        <v>64872</v>
      </c>
      <c r="G2676" s="105" t="s">
        <v>52</v>
      </c>
      <c r="H2676" s="105" t="s">
        <v>333</v>
      </c>
      <c r="I2676" s="105" t="s">
        <v>334</v>
      </c>
      <c r="J2676" s="493">
        <v>22</v>
      </c>
      <c r="K2676" s="493">
        <v>2</v>
      </c>
      <c r="L2676" s="105" t="s">
        <v>343</v>
      </c>
      <c r="M2676" s="105" t="s">
        <v>655</v>
      </c>
      <c r="N2676" s="105" t="s">
        <v>656</v>
      </c>
      <c r="O2676" s="105" t="s">
        <v>656</v>
      </c>
      <c r="P2676" s="105" t="s">
        <v>339</v>
      </c>
      <c r="Q2676" s="494">
        <v>0</v>
      </c>
      <c r="R2676" s="494">
        <v>0</v>
      </c>
      <c r="S2676" s="494">
        <v>15733</v>
      </c>
      <c r="T2676" s="494">
        <v>15733</v>
      </c>
      <c r="U2676" s="494">
        <v>4611</v>
      </c>
      <c r="V2676" s="493">
        <v>2024</v>
      </c>
      <c r="W2676" s="495"/>
      <c r="X2676" s="496">
        <f t="shared" si="173"/>
        <v>3.4120581218824548</v>
      </c>
      <c r="Y2676" s="497" t="str">
        <f t="shared" si="175"/>
        <v/>
      </c>
      <c r="Z2676" s="497" t="str">
        <f t="shared" si="175"/>
        <v/>
      </c>
    </row>
    <row r="2677" spans="1:26" s="82" customFormat="1" ht="32" x14ac:dyDescent="0.4">
      <c r="A2677" s="493">
        <v>66816</v>
      </c>
      <c r="B2677" s="105" t="s">
        <v>329</v>
      </c>
      <c r="C2677" s="493" t="s">
        <v>330</v>
      </c>
      <c r="D2677" s="105" t="s">
        <v>3197</v>
      </c>
      <c r="E2677" s="105" t="s">
        <v>3198</v>
      </c>
      <c r="F2677" s="493">
        <v>65771</v>
      </c>
      <c r="G2677" s="105" t="s">
        <v>52</v>
      </c>
      <c r="H2677" s="105" t="s">
        <v>333</v>
      </c>
      <c r="I2677" s="105" t="s">
        <v>334</v>
      </c>
      <c r="J2677" s="493">
        <v>22</v>
      </c>
      <c r="K2677" s="493">
        <v>2</v>
      </c>
      <c r="L2677" s="105" t="s">
        <v>343</v>
      </c>
      <c r="M2677" s="105" t="s">
        <v>655</v>
      </c>
      <c r="N2677" s="105" t="s">
        <v>656</v>
      </c>
      <c r="O2677" s="105" t="s">
        <v>656</v>
      </c>
      <c r="P2677" s="105" t="s">
        <v>339</v>
      </c>
      <c r="Q2677" s="494">
        <v>0</v>
      </c>
      <c r="R2677" s="494">
        <v>0</v>
      </c>
      <c r="S2677" s="494">
        <v>23439</v>
      </c>
      <c r="T2677" s="494">
        <v>23439</v>
      </c>
      <c r="U2677" s="494">
        <v>6870</v>
      </c>
      <c r="V2677" s="493">
        <v>2024</v>
      </c>
      <c r="W2677" s="495"/>
      <c r="X2677" s="496">
        <f t="shared" si="173"/>
        <v>3.4117903930131006</v>
      </c>
      <c r="Y2677" s="497" t="str">
        <f t="shared" si="175"/>
        <v/>
      </c>
      <c r="Z2677" s="497" t="str">
        <f t="shared" si="175"/>
        <v/>
      </c>
    </row>
    <row r="2678" spans="1:26" s="82" customFormat="1" ht="32" x14ac:dyDescent="0.4">
      <c r="A2678" s="493">
        <v>66817</v>
      </c>
      <c r="B2678" s="105" t="s">
        <v>329</v>
      </c>
      <c r="C2678" s="493" t="s">
        <v>330</v>
      </c>
      <c r="D2678" s="105" t="s">
        <v>3199</v>
      </c>
      <c r="E2678" s="105" t="s">
        <v>3200</v>
      </c>
      <c r="F2678" s="493">
        <v>65770</v>
      </c>
      <c r="G2678" s="105" t="s">
        <v>52</v>
      </c>
      <c r="H2678" s="105" t="s">
        <v>333</v>
      </c>
      <c r="I2678" s="105" t="s">
        <v>334</v>
      </c>
      <c r="J2678" s="493">
        <v>22</v>
      </c>
      <c r="K2678" s="493">
        <v>2</v>
      </c>
      <c r="L2678" s="105" t="s">
        <v>343</v>
      </c>
      <c r="M2678" s="105" t="s">
        <v>655</v>
      </c>
      <c r="N2678" s="105" t="s">
        <v>656</v>
      </c>
      <c r="O2678" s="105" t="s">
        <v>656</v>
      </c>
      <c r="P2678" s="105" t="s">
        <v>339</v>
      </c>
      <c r="Q2678" s="494">
        <v>0</v>
      </c>
      <c r="R2678" s="494">
        <v>0</v>
      </c>
      <c r="S2678" s="494">
        <v>7924</v>
      </c>
      <c r="T2678" s="494">
        <v>7924</v>
      </c>
      <c r="U2678" s="494">
        <v>2322</v>
      </c>
      <c r="V2678" s="493">
        <v>2024</v>
      </c>
      <c r="W2678" s="495"/>
      <c r="X2678" s="496">
        <f t="shared" si="173"/>
        <v>3.4125753660637383</v>
      </c>
      <c r="Y2678" s="497" t="str">
        <f t="shared" si="175"/>
        <v/>
      </c>
      <c r="Z2678" s="497" t="str">
        <f t="shared" si="175"/>
        <v/>
      </c>
    </row>
    <row r="2679" spans="1:26" s="82" customFormat="1" ht="32" x14ac:dyDescent="0.4">
      <c r="A2679" s="493">
        <v>66822</v>
      </c>
      <c r="B2679" s="105" t="s">
        <v>329</v>
      </c>
      <c r="C2679" s="493" t="s">
        <v>330</v>
      </c>
      <c r="D2679" s="105" t="s">
        <v>3201</v>
      </c>
      <c r="E2679" s="105" t="s">
        <v>3202</v>
      </c>
      <c r="F2679" s="493">
        <v>65721</v>
      </c>
      <c r="G2679" s="105" t="s">
        <v>52</v>
      </c>
      <c r="H2679" s="105" t="s">
        <v>333</v>
      </c>
      <c r="I2679" s="105" t="s">
        <v>334</v>
      </c>
      <c r="J2679" s="493">
        <v>22</v>
      </c>
      <c r="K2679" s="493">
        <v>2</v>
      </c>
      <c r="L2679" s="105" t="s">
        <v>343</v>
      </c>
      <c r="M2679" s="105" t="s">
        <v>655</v>
      </c>
      <c r="N2679" s="105" t="s">
        <v>656</v>
      </c>
      <c r="O2679" s="105" t="s">
        <v>656</v>
      </c>
      <c r="P2679" s="105" t="s">
        <v>339</v>
      </c>
      <c r="Q2679" s="494">
        <v>0</v>
      </c>
      <c r="R2679" s="494">
        <v>0</v>
      </c>
      <c r="S2679" s="494">
        <v>28177</v>
      </c>
      <c r="T2679" s="494">
        <v>28177</v>
      </c>
      <c r="U2679" s="494">
        <v>8258</v>
      </c>
      <c r="V2679" s="493">
        <v>2024</v>
      </c>
      <c r="W2679" s="495"/>
      <c r="X2679" s="496">
        <f t="shared" si="173"/>
        <v>3.4120852506660206</v>
      </c>
      <c r="Y2679" s="497" t="str">
        <f t="shared" si="175"/>
        <v/>
      </c>
      <c r="Z2679" s="497" t="str">
        <f t="shared" si="175"/>
        <v/>
      </c>
    </row>
    <row r="2680" spans="1:26" s="82" customFormat="1" ht="32" x14ac:dyDescent="0.4">
      <c r="A2680" s="493">
        <v>66823</v>
      </c>
      <c r="B2680" s="105" t="s">
        <v>329</v>
      </c>
      <c r="C2680" s="493" t="s">
        <v>330</v>
      </c>
      <c r="D2680" s="105" t="s">
        <v>3203</v>
      </c>
      <c r="E2680" s="105" t="s">
        <v>3204</v>
      </c>
      <c r="F2680" s="493">
        <v>65722</v>
      </c>
      <c r="G2680" s="105" t="s">
        <v>52</v>
      </c>
      <c r="H2680" s="105" t="s">
        <v>333</v>
      </c>
      <c r="I2680" s="105" t="s">
        <v>334</v>
      </c>
      <c r="J2680" s="493">
        <v>22</v>
      </c>
      <c r="K2680" s="493">
        <v>2</v>
      </c>
      <c r="L2680" s="105" t="s">
        <v>343</v>
      </c>
      <c r="M2680" s="105" t="s">
        <v>655</v>
      </c>
      <c r="N2680" s="105" t="s">
        <v>656</v>
      </c>
      <c r="O2680" s="105" t="s">
        <v>656</v>
      </c>
      <c r="P2680" s="105" t="s">
        <v>339</v>
      </c>
      <c r="Q2680" s="494">
        <v>0</v>
      </c>
      <c r="R2680" s="494">
        <v>0</v>
      </c>
      <c r="S2680" s="494">
        <v>19259</v>
      </c>
      <c r="T2680" s="494">
        <v>19259</v>
      </c>
      <c r="U2680" s="494">
        <v>5644</v>
      </c>
      <c r="V2680" s="493">
        <v>2024</v>
      </c>
      <c r="W2680" s="495"/>
      <c r="X2680" s="496">
        <f t="shared" si="173"/>
        <v>3.4122962437987243</v>
      </c>
      <c r="Y2680" s="497" t="str">
        <f t="shared" si="175"/>
        <v/>
      </c>
      <c r="Z2680" s="497" t="str">
        <f t="shared" si="175"/>
        <v/>
      </c>
    </row>
    <row r="2681" spans="1:26" s="82" customFormat="1" ht="32" x14ac:dyDescent="0.4">
      <c r="A2681" s="493">
        <v>66827</v>
      </c>
      <c r="B2681" s="105" t="s">
        <v>329</v>
      </c>
      <c r="C2681" s="493" t="s">
        <v>330</v>
      </c>
      <c r="D2681" s="105" t="s">
        <v>3205</v>
      </c>
      <c r="E2681" s="105" t="s">
        <v>3178</v>
      </c>
      <c r="F2681" s="493">
        <v>64872</v>
      </c>
      <c r="G2681" s="105" t="s">
        <v>52</v>
      </c>
      <c r="H2681" s="105" t="s">
        <v>333</v>
      </c>
      <c r="I2681" s="105" t="s">
        <v>334</v>
      </c>
      <c r="J2681" s="493">
        <v>22</v>
      </c>
      <c r="K2681" s="493">
        <v>2</v>
      </c>
      <c r="L2681" s="105" t="s">
        <v>343</v>
      </c>
      <c r="M2681" s="105" t="s">
        <v>655</v>
      </c>
      <c r="N2681" s="105" t="s">
        <v>656</v>
      </c>
      <c r="O2681" s="105" t="s">
        <v>656</v>
      </c>
      <c r="P2681" s="105" t="s">
        <v>339</v>
      </c>
      <c r="Q2681" s="494">
        <v>0</v>
      </c>
      <c r="R2681" s="494">
        <v>0</v>
      </c>
      <c r="S2681" s="494">
        <v>1344</v>
      </c>
      <c r="T2681" s="494">
        <v>1344</v>
      </c>
      <c r="U2681" s="494">
        <v>394</v>
      </c>
      <c r="V2681" s="493">
        <v>2024</v>
      </c>
      <c r="W2681" s="495"/>
      <c r="X2681" s="496">
        <f t="shared" si="173"/>
        <v>3.4111675126903553</v>
      </c>
      <c r="Y2681" s="497" t="str">
        <f t="shared" si="175"/>
        <v/>
      </c>
      <c r="Z2681" s="497" t="str">
        <f t="shared" si="175"/>
        <v/>
      </c>
    </row>
    <row r="2682" spans="1:26" s="82" customFormat="1" ht="32" x14ac:dyDescent="0.4">
      <c r="A2682" s="493">
        <v>66829</v>
      </c>
      <c r="B2682" s="105" t="s">
        <v>329</v>
      </c>
      <c r="C2682" s="493" t="s">
        <v>330</v>
      </c>
      <c r="D2682" s="105" t="s">
        <v>3206</v>
      </c>
      <c r="E2682" s="105" t="s">
        <v>3178</v>
      </c>
      <c r="F2682" s="493">
        <v>64872</v>
      </c>
      <c r="G2682" s="105" t="s">
        <v>52</v>
      </c>
      <c r="H2682" s="105" t="s">
        <v>333</v>
      </c>
      <c r="I2682" s="105" t="s">
        <v>334</v>
      </c>
      <c r="J2682" s="493">
        <v>22</v>
      </c>
      <c r="K2682" s="493">
        <v>2</v>
      </c>
      <c r="L2682" s="105" t="s">
        <v>343</v>
      </c>
      <c r="M2682" s="105" t="s">
        <v>655</v>
      </c>
      <c r="N2682" s="105" t="s">
        <v>656</v>
      </c>
      <c r="O2682" s="105" t="s">
        <v>656</v>
      </c>
      <c r="P2682" s="105" t="s">
        <v>339</v>
      </c>
      <c r="Q2682" s="494">
        <v>0</v>
      </c>
      <c r="R2682" s="494">
        <v>0</v>
      </c>
      <c r="S2682" s="494">
        <v>1495</v>
      </c>
      <c r="T2682" s="494">
        <v>1495</v>
      </c>
      <c r="U2682" s="494">
        <v>438</v>
      </c>
      <c r="V2682" s="493">
        <v>2024</v>
      </c>
      <c r="W2682" s="495"/>
      <c r="X2682" s="496">
        <f t="shared" si="173"/>
        <v>3.41324200913242</v>
      </c>
      <c r="Y2682" s="497" t="str">
        <f t="shared" si="175"/>
        <v/>
      </c>
      <c r="Z2682" s="497" t="str">
        <f t="shared" si="175"/>
        <v/>
      </c>
    </row>
    <row r="2683" spans="1:26" s="82" customFormat="1" ht="48" x14ac:dyDescent="0.4">
      <c r="A2683" s="493">
        <v>66832</v>
      </c>
      <c r="B2683" s="105" t="s">
        <v>329</v>
      </c>
      <c r="C2683" s="493" t="s">
        <v>330</v>
      </c>
      <c r="D2683" s="105" t="s">
        <v>3207</v>
      </c>
      <c r="E2683" s="105" t="s">
        <v>1354</v>
      </c>
      <c r="F2683" s="493">
        <v>60025</v>
      </c>
      <c r="G2683" s="105" t="s">
        <v>34</v>
      </c>
      <c r="H2683" s="105" t="s">
        <v>342</v>
      </c>
      <c r="I2683" s="105" t="s">
        <v>334</v>
      </c>
      <c r="J2683" s="493">
        <v>22</v>
      </c>
      <c r="K2683" s="493">
        <v>2</v>
      </c>
      <c r="L2683" s="105" t="s">
        <v>343</v>
      </c>
      <c r="M2683" s="105" t="s">
        <v>655</v>
      </c>
      <c r="N2683" s="105" t="s">
        <v>656</v>
      </c>
      <c r="O2683" s="105" t="s">
        <v>656</v>
      </c>
      <c r="P2683" s="105" t="s">
        <v>339</v>
      </c>
      <c r="Q2683" s="494">
        <v>0</v>
      </c>
      <c r="R2683" s="494">
        <v>0</v>
      </c>
      <c r="S2683" s="494">
        <v>12243</v>
      </c>
      <c r="T2683" s="494">
        <v>12243</v>
      </c>
      <c r="U2683" s="494">
        <v>3588</v>
      </c>
      <c r="V2683" s="493">
        <v>2024</v>
      </c>
      <c r="W2683" s="495"/>
      <c r="X2683" s="496">
        <f t="shared" si="173"/>
        <v>3.4122073578595318</v>
      </c>
      <c r="Y2683" s="497" t="str">
        <f t="shared" si="175"/>
        <v/>
      </c>
      <c r="Z2683" s="497" t="str">
        <f t="shared" si="175"/>
        <v/>
      </c>
    </row>
    <row r="2684" spans="1:26" s="82" customFormat="1" ht="48" x14ac:dyDescent="0.4">
      <c r="A2684" s="493">
        <v>66833</v>
      </c>
      <c r="B2684" s="105" t="s">
        <v>329</v>
      </c>
      <c r="C2684" s="493" t="s">
        <v>330</v>
      </c>
      <c r="D2684" s="105" t="s">
        <v>3208</v>
      </c>
      <c r="E2684" s="105" t="s">
        <v>3209</v>
      </c>
      <c r="F2684" s="493">
        <v>65785</v>
      </c>
      <c r="G2684" s="105" t="s">
        <v>34</v>
      </c>
      <c r="H2684" s="105" t="s">
        <v>342</v>
      </c>
      <c r="I2684" s="105" t="s">
        <v>334</v>
      </c>
      <c r="J2684" s="493">
        <v>22</v>
      </c>
      <c r="K2684" s="493">
        <v>2</v>
      </c>
      <c r="L2684" s="105" t="s">
        <v>343</v>
      </c>
      <c r="M2684" s="105" t="s">
        <v>655</v>
      </c>
      <c r="N2684" s="105" t="s">
        <v>656</v>
      </c>
      <c r="O2684" s="105" t="s">
        <v>656</v>
      </c>
      <c r="P2684" s="105" t="s">
        <v>339</v>
      </c>
      <c r="Q2684" s="494">
        <v>0</v>
      </c>
      <c r="R2684" s="494">
        <v>0</v>
      </c>
      <c r="S2684" s="494">
        <v>8488</v>
      </c>
      <c r="T2684" s="494">
        <v>8488</v>
      </c>
      <c r="U2684" s="494">
        <v>2488</v>
      </c>
      <c r="V2684" s="493">
        <v>2024</v>
      </c>
      <c r="W2684" s="495"/>
      <c r="X2684" s="496">
        <f t="shared" si="173"/>
        <v>3.4115755627009645</v>
      </c>
      <c r="Y2684" s="497" t="str">
        <f t="shared" si="175"/>
        <v/>
      </c>
      <c r="Z2684" s="497" t="str">
        <f t="shared" si="175"/>
        <v/>
      </c>
    </row>
    <row r="2685" spans="1:26" s="82" customFormat="1" ht="48" x14ac:dyDescent="0.4">
      <c r="A2685" s="493">
        <v>66834</v>
      </c>
      <c r="B2685" s="105" t="s">
        <v>329</v>
      </c>
      <c r="C2685" s="493" t="s">
        <v>330</v>
      </c>
      <c r="D2685" s="105" t="s">
        <v>3210</v>
      </c>
      <c r="E2685" s="105" t="s">
        <v>3209</v>
      </c>
      <c r="F2685" s="493">
        <v>65785</v>
      </c>
      <c r="G2685" s="105" t="s">
        <v>34</v>
      </c>
      <c r="H2685" s="105" t="s">
        <v>342</v>
      </c>
      <c r="I2685" s="105" t="s">
        <v>334</v>
      </c>
      <c r="J2685" s="493">
        <v>22</v>
      </c>
      <c r="K2685" s="493">
        <v>2</v>
      </c>
      <c r="L2685" s="105" t="s">
        <v>343</v>
      </c>
      <c r="M2685" s="105" t="s">
        <v>655</v>
      </c>
      <c r="N2685" s="105" t="s">
        <v>656</v>
      </c>
      <c r="O2685" s="105" t="s">
        <v>656</v>
      </c>
      <c r="P2685" s="105" t="s">
        <v>339</v>
      </c>
      <c r="Q2685" s="494">
        <v>0</v>
      </c>
      <c r="R2685" s="494">
        <v>0</v>
      </c>
      <c r="S2685" s="494">
        <v>13271</v>
      </c>
      <c r="T2685" s="494">
        <v>13271</v>
      </c>
      <c r="U2685" s="494">
        <v>3889</v>
      </c>
      <c r="V2685" s="493">
        <v>2024</v>
      </c>
      <c r="W2685" s="495"/>
      <c r="X2685" s="496">
        <f t="shared" si="173"/>
        <v>3.4124453587040371</v>
      </c>
      <c r="Y2685" s="497" t="str">
        <f t="shared" si="175"/>
        <v/>
      </c>
      <c r="Z2685" s="497" t="str">
        <f t="shared" si="175"/>
        <v/>
      </c>
    </row>
    <row r="2686" spans="1:26" s="82" customFormat="1" ht="32" x14ac:dyDescent="0.4">
      <c r="A2686" s="493">
        <v>66835</v>
      </c>
      <c r="B2686" s="105" t="s">
        <v>329</v>
      </c>
      <c r="C2686" s="493" t="s">
        <v>330</v>
      </c>
      <c r="D2686" s="105" t="s">
        <v>3211</v>
      </c>
      <c r="E2686" s="105" t="s">
        <v>3178</v>
      </c>
      <c r="F2686" s="493">
        <v>64872</v>
      </c>
      <c r="G2686" s="105" t="s">
        <v>52</v>
      </c>
      <c r="H2686" s="105" t="s">
        <v>333</v>
      </c>
      <c r="I2686" s="105" t="s">
        <v>334</v>
      </c>
      <c r="J2686" s="493">
        <v>22</v>
      </c>
      <c r="K2686" s="493">
        <v>2</v>
      </c>
      <c r="L2686" s="105" t="s">
        <v>343</v>
      </c>
      <c r="M2686" s="105" t="s">
        <v>655</v>
      </c>
      <c r="N2686" s="105" t="s">
        <v>656</v>
      </c>
      <c r="O2686" s="105" t="s">
        <v>656</v>
      </c>
      <c r="P2686" s="105" t="s">
        <v>339</v>
      </c>
      <c r="Q2686" s="494">
        <v>0</v>
      </c>
      <c r="R2686" s="494">
        <v>0</v>
      </c>
      <c r="S2686" s="494">
        <v>18972</v>
      </c>
      <c r="T2686" s="494">
        <v>18972</v>
      </c>
      <c r="U2686" s="494">
        <v>5560</v>
      </c>
      <c r="V2686" s="493">
        <v>2024</v>
      </c>
      <c r="W2686" s="495"/>
      <c r="X2686" s="496">
        <f t="shared" si="173"/>
        <v>3.4122302158273383</v>
      </c>
      <c r="Y2686" s="497" t="str">
        <f t="shared" si="175"/>
        <v/>
      </c>
      <c r="Z2686" s="497" t="str">
        <f t="shared" si="175"/>
        <v/>
      </c>
    </row>
    <row r="2687" spans="1:26" s="82" customFormat="1" ht="32" x14ac:dyDescent="0.4">
      <c r="A2687" s="493">
        <v>66836</v>
      </c>
      <c r="B2687" s="105" t="s">
        <v>329</v>
      </c>
      <c r="C2687" s="493" t="s">
        <v>330</v>
      </c>
      <c r="D2687" s="105" t="s">
        <v>3212</v>
      </c>
      <c r="E2687" s="105" t="s">
        <v>3178</v>
      </c>
      <c r="F2687" s="493">
        <v>64872</v>
      </c>
      <c r="G2687" s="105" t="s">
        <v>52</v>
      </c>
      <c r="H2687" s="105" t="s">
        <v>333</v>
      </c>
      <c r="I2687" s="105" t="s">
        <v>334</v>
      </c>
      <c r="J2687" s="493">
        <v>22</v>
      </c>
      <c r="K2687" s="493">
        <v>2</v>
      </c>
      <c r="L2687" s="105" t="s">
        <v>343</v>
      </c>
      <c r="M2687" s="105" t="s">
        <v>655</v>
      </c>
      <c r="N2687" s="105" t="s">
        <v>656</v>
      </c>
      <c r="O2687" s="105" t="s">
        <v>656</v>
      </c>
      <c r="P2687" s="105" t="s">
        <v>339</v>
      </c>
      <c r="Q2687" s="494">
        <v>0</v>
      </c>
      <c r="R2687" s="494">
        <v>0</v>
      </c>
      <c r="S2687" s="494">
        <v>18721</v>
      </c>
      <c r="T2687" s="494">
        <v>18721</v>
      </c>
      <c r="U2687" s="494">
        <v>5487</v>
      </c>
      <c r="V2687" s="493">
        <v>2024</v>
      </c>
      <c r="W2687" s="495"/>
      <c r="X2687" s="496">
        <f t="shared" si="173"/>
        <v>3.4118826316748678</v>
      </c>
      <c r="Y2687" s="497" t="str">
        <f t="shared" si="175"/>
        <v/>
      </c>
      <c r="Z2687" s="497" t="str">
        <f t="shared" si="175"/>
        <v/>
      </c>
    </row>
    <row r="2688" spans="1:26" s="82" customFormat="1" x14ac:dyDescent="0.4">
      <c r="A2688" s="493">
        <v>66846</v>
      </c>
      <c r="B2688" s="105" t="s">
        <v>329</v>
      </c>
      <c r="C2688" s="493" t="s">
        <v>330</v>
      </c>
      <c r="D2688" s="105" t="s">
        <v>3213</v>
      </c>
      <c r="E2688" s="105" t="s">
        <v>2595</v>
      </c>
      <c r="F2688" s="493">
        <v>63991</v>
      </c>
      <c r="G2688" s="105" t="s">
        <v>52</v>
      </c>
      <c r="H2688" s="105" t="s">
        <v>333</v>
      </c>
      <c r="I2688" s="105" t="s">
        <v>334</v>
      </c>
      <c r="J2688" s="493">
        <v>22</v>
      </c>
      <c r="K2688" s="493">
        <v>2</v>
      </c>
      <c r="L2688" s="105" t="s">
        <v>343</v>
      </c>
      <c r="M2688" s="105" t="s">
        <v>655</v>
      </c>
      <c r="N2688" s="105" t="s">
        <v>656</v>
      </c>
      <c r="O2688" s="105" t="s">
        <v>656</v>
      </c>
      <c r="P2688" s="105" t="s">
        <v>339</v>
      </c>
      <c r="Q2688" s="494">
        <v>0</v>
      </c>
      <c r="R2688" s="494">
        <v>0</v>
      </c>
      <c r="S2688" s="494">
        <v>11526</v>
      </c>
      <c r="T2688" s="494">
        <v>11526</v>
      </c>
      <c r="U2688" s="494">
        <v>3378</v>
      </c>
      <c r="V2688" s="493">
        <v>2024</v>
      </c>
      <c r="W2688" s="495"/>
      <c r="X2688" s="496">
        <f t="shared" si="173"/>
        <v>3.4120781527531086</v>
      </c>
      <c r="Y2688" s="497" t="str">
        <f t="shared" ref="Y2688:Z2707" si="176">IF(AND($M2688=$Y$2,$N2688=$Y$3,NOT($Q2688=$R2688),NOT($U2688=0)),IF($K2688=5,$S2688/($U2688+(8/5)*$U2688),IF($K2688=7,$S2688/($U2688+(29/25)*$U2688),"")),"")</f>
        <v/>
      </c>
      <c r="Z2688" s="497" t="str">
        <f t="shared" si="176"/>
        <v/>
      </c>
    </row>
    <row r="2689" spans="1:26" s="82" customFormat="1" x14ac:dyDescent="0.4">
      <c r="A2689" s="493">
        <v>66855</v>
      </c>
      <c r="B2689" s="105" t="s">
        <v>329</v>
      </c>
      <c r="C2689" s="493" t="s">
        <v>330</v>
      </c>
      <c r="D2689" s="105" t="s">
        <v>3214</v>
      </c>
      <c r="E2689" s="105" t="s">
        <v>3215</v>
      </c>
      <c r="F2689" s="493">
        <v>65791</v>
      </c>
      <c r="G2689" s="105" t="s">
        <v>38</v>
      </c>
      <c r="H2689" s="105" t="s">
        <v>342</v>
      </c>
      <c r="I2689" s="105" t="s">
        <v>334</v>
      </c>
      <c r="J2689" s="493">
        <v>22</v>
      </c>
      <c r="K2689" s="493">
        <v>2</v>
      </c>
      <c r="L2689" s="105" t="s">
        <v>343</v>
      </c>
      <c r="M2689" s="105" t="s">
        <v>655</v>
      </c>
      <c r="N2689" s="105" t="s">
        <v>656</v>
      </c>
      <c r="O2689" s="105" t="s">
        <v>656</v>
      </c>
      <c r="P2689" s="105" t="s">
        <v>339</v>
      </c>
      <c r="Q2689" s="494">
        <v>0</v>
      </c>
      <c r="R2689" s="494">
        <v>0</v>
      </c>
      <c r="S2689" s="494">
        <v>234289</v>
      </c>
      <c r="T2689" s="494">
        <v>234289</v>
      </c>
      <c r="U2689" s="494">
        <v>68666</v>
      </c>
      <c r="V2689" s="493">
        <v>2024</v>
      </c>
      <c r="W2689" s="495"/>
      <c r="X2689" s="496">
        <f t="shared" si="173"/>
        <v>3.4120088544548977</v>
      </c>
      <c r="Y2689" s="497" t="str">
        <f t="shared" si="176"/>
        <v/>
      </c>
      <c r="Z2689" s="497" t="str">
        <f t="shared" si="176"/>
        <v/>
      </c>
    </row>
    <row r="2690" spans="1:26" s="82" customFormat="1" ht="32" x14ac:dyDescent="0.4">
      <c r="A2690" s="493">
        <v>66856</v>
      </c>
      <c r="B2690" s="105" t="s">
        <v>329</v>
      </c>
      <c r="C2690" s="493" t="s">
        <v>330</v>
      </c>
      <c r="D2690" s="105" t="s">
        <v>3216</v>
      </c>
      <c r="E2690" s="105" t="s">
        <v>3217</v>
      </c>
      <c r="F2690" s="493">
        <v>65793</v>
      </c>
      <c r="G2690" s="105" t="s">
        <v>52</v>
      </c>
      <c r="H2690" s="105" t="s">
        <v>333</v>
      </c>
      <c r="I2690" s="105" t="s">
        <v>334</v>
      </c>
      <c r="J2690" s="493">
        <v>22</v>
      </c>
      <c r="K2690" s="493">
        <v>2</v>
      </c>
      <c r="L2690" s="105" t="s">
        <v>343</v>
      </c>
      <c r="M2690" s="105" t="s">
        <v>655</v>
      </c>
      <c r="N2690" s="105" t="s">
        <v>656</v>
      </c>
      <c r="O2690" s="105" t="s">
        <v>656</v>
      </c>
      <c r="P2690" s="105" t="s">
        <v>339</v>
      </c>
      <c r="Q2690" s="494">
        <v>0</v>
      </c>
      <c r="R2690" s="494">
        <v>0</v>
      </c>
      <c r="S2690" s="494">
        <v>1641</v>
      </c>
      <c r="T2690" s="494">
        <v>1641</v>
      </c>
      <c r="U2690" s="494">
        <v>481</v>
      </c>
      <c r="V2690" s="493">
        <v>2024</v>
      </c>
      <c r="W2690" s="495"/>
      <c r="X2690" s="496">
        <f t="shared" si="173"/>
        <v>3.4116424116424118</v>
      </c>
      <c r="Y2690" s="497" t="str">
        <f t="shared" si="176"/>
        <v/>
      </c>
      <c r="Z2690" s="497" t="str">
        <f t="shared" si="176"/>
        <v/>
      </c>
    </row>
    <row r="2691" spans="1:26" s="82" customFormat="1" x14ac:dyDescent="0.4">
      <c r="A2691" s="493">
        <v>66873</v>
      </c>
      <c r="B2691" s="105" t="s">
        <v>329</v>
      </c>
      <c r="C2691" s="493" t="s">
        <v>330</v>
      </c>
      <c r="D2691" s="105" t="s">
        <v>3218</v>
      </c>
      <c r="E2691" s="105" t="s">
        <v>1650</v>
      </c>
      <c r="F2691" s="493">
        <v>58135</v>
      </c>
      <c r="G2691" s="105" t="s">
        <v>36</v>
      </c>
      <c r="H2691" s="105" t="s">
        <v>342</v>
      </c>
      <c r="I2691" s="105" t="s">
        <v>334</v>
      </c>
      <c r="J2691" s="493">
        <v>22</v>
      </c>
      <c r="K2691" s="493">
        <v>2</v>
      </c>
      <c r="L2691" s="105" t="s">
        <v>343</v>
      </c>
      <c r="M2691" s="105" t="s">
        <v>655</v>
      </c>
      <c r="N2691" s="105" t="s">
        <v>656</v>
      </c>
      <c r="O2691" s="105" t="s">
        <v>656</v>
      </c>
      <c r="P2691" s="105" t="s">
        <v>339</v>
      </c>
      <c r="Q2691" s="494">
        <v>0</v>
      </c>
      <c r="R2691" s="494">
        <v>0</v>
      </c>
      <c r="S2691" s="494">
        <v>11822</v>
      </c>
      <c r="T2691" s="494">
        <v>11822</v>
      </c>
      <c r="U2691" s="494">
        <v>3465</v>
      </c>
      <c r="V2691" s="493">
        <v>2024</v>
      </c>
      <c r="W2691" s="495"/>
      <c r="X2691" s="496">
        <f t="shared" si="173"/>
        <v>3.4118326118326117</v>
      </c>
      <c r="Y2691" s="497" t="str">
        <f t="shared" si="176"/>
        <v/>
      </c>
      <c r="Z2691" s="497" t="str">
        <f t="shared" si="176"/>
        <v/>
      </c>
    </row>
    <row r="2692" spans="1:26" s="82" customFormat="1" ht="48" x14ac:dyDescent="0.4">
      <c r="A2692" s="493">
        <v>66875</v>
      </c>
      <c r="B2692" s="105" t="s">
        <v>329</v>
      </c>
      <c r="C2692" s="493" t="s">
        <v>330</v>
      </c>
      <c r="D2692" s="105" t="s">
        <v>3219</v>
      </c>
      <c r="E2692" s="105" t="s">
        <v>3209</v>
      </c>
      <c r="F2692" s="493">
        <v>65785</v>
      </c>
      <c r="G2692" s="105" t="s">
        <v>34</v>
      </c>
      <c r="H2692" s="105" t="s">
        <v>342</v>
      </c>
      <c r="I2692" s="105" t="s">
        <v>334</v>
      </c>
      <c r="J2692" s="493">
        <v>22</v>
      </c>
      <c r="K2692" s="493">
        <v>2</v>
      </c>
      <c r="L2692" s="105" t="s">
        <v>343</v>
      </c>
      <c r="M2692" s="105" t="s">
        <v>655</v>
      </c>
      <c r="N2692" s="105" t="s">
        <v>656</v>
      </c>
      <c r="O2692" s="105" t="s">
        <v>656</v>
      </c>
      <c r="P2692" s="105" t="s">
        <v>339</v>
      </c>
      <c r="Q2692" s="494">
        <v>0</v>
      </c>
      <c r="R2692" s="494">
        <v>0</v>
      </c>
      <c r="S2692" s="494">
        <v>6080</v>
      </c>
      <c r="T2692" s="494">
        <v>6080</v>
      </c>
      <c r="U2692" s="494">
        <v>1782</v>
      </c>
      <c r="V2692" s="493">
        <v>2024</v>
      </c>
      <c r="W2692" s="495"/>
      <c r="X2692" s="496">
        <f t="shared" si="173"/>
        <v>3.4118967452300786</v>
      </c>
      <c r="Y2692" s="497" t="str">
        <f t="shared" si="176"/>
        <v/>
      </c>
      <c r="Z2692" s="497" t="str">
        <f t="shared" si="176"/>
        <v/>
      </c>
    </row>
    <row r="2693" spans="1:26" s="82" customFormat="1" ht="48" x14ac:dyDescent="0.4">
      <c r="A2693" s="493">
        <v>66876</v>
      </c>
      <c r="B2693" s="105" t="s">
        <v>329</v>
      </c>
      <c r="C2693" s="493" t="s">
        <v>330</v>
      </c>
      <c r="D2693" s="105" t="s">
        <v>3220</v>
      </c>
      <c r="E2693" s="105" t="s">
        <v>3209</v>
      </c>
      <c r="F2693" s="493">
        <v>65785</v>
      </c>
      <c r="G2693" s="105" t="s">
        <v>34</v>
      </c>
      <c r="H2693" s="105" t="s">
        <v>342</v>
      </c>
      <c r="I2693" s="105" t="s">
        <v>334</v>
      </c>
      <c r="J2693" s="493">
        <v>22</v>
      </c>
      <c r="K2693" s="493">
        <v>2</v>
      </c>
      <c r="L2693" s="105" t="s">
        <v>343</v>
      </c>
      <c r="M2693" s="105" t="s">
        <v>655</v>
      </c>
      <c r="N2693" s="105" t="s">
        <v>656</v>
      </c>
      <c r="O2693" s="105" t="s">
        <v>656</v>
      </c>
      <c r="P2693" s="105" t="s">
        <v>339</v>
      </c>
      <c r="Q2693" s="494">
        <v>0</v>
      </c>
      <c r="R2693" s="494">
        <v>0</v>
      </c>
      <c r="S2693" s="494">
        <v>31011</v>
      </c>
      <c r="T2693" s="494">
        <v>31011</v>
      </c>
      <c r="U2693" s="494">
        <v>9089</v>
      </c>
      <c r="V2693" s="493">
        <v>2024</v>
      </c>
      <c r="W2693" s="495"/>
      <c r="X2693" s="496">
        <f t="shared" si="173"/>
        <v>3.411926504565959</v>
      </c>
      <c r="Y2693" s="497" t="str">
        <f t="shared" si="176"/>
        <v/>
      </c>
      <c r="Z2693" s="497" t="str">
        <f t="shared" si="176"/>
        <v/>
      </c>
    </row>
    <row r="2694" spans="1:26" s="82" customFormat="1" ht="48" x14ac:dyDescent="0.4">
      <c r="A2694" s="493">
        <v>66877</v>
      </c>
      <c r="B2694" s="105" t="s">
        <v>329</v>
      </c>
      <c r="C2694" s="493" t="s">
        <v>330</v>
      </c>
      <c r="D2694" s="105" t="s">
        <v>3221</v>
      </c>
      <c r="E2694" s="105" t="s">
        <v>3209</v>
      </c>
      <c r="F2694" s="493">
        <v>65785</v>
      </c>
      <c r="G2694" s="105" t="s">
        <v>34</v>
      </c>
      <c r="H2694" s="105" t="s">
        <v>342</v>
      </c>
      <c r="I2694" s="105" t="s">
        <v>334</v>
      </c>
      <c r="J2694" s="493">
        <v>22</v>
      </c>
      <c r="K2694" s="493">
        <v>2</v>
      </c>
      <c r="L2694" s="105" t="s">
        <v>343</v>
      </c>
      <c r="M2694" s="105" t="s">
        <v>655</v>
      </c>
      <c r="N2694" s="105" t="s">
        <v>656</v>
      </c>
      <c r="O2694" s="105" t="s">
        <v>656</v>
      </c>
      <c r="P2694" s="105" t="s">
        <v>339</v>
      </c>
      <c r="Q2694" s="494">
        <v>0</v>
      </c>
      <c r="R2694" s="494">
        <v>0</v>
      </c>
      <c r="S2694" s="494">
        <v>6717</v>
      </c>
      <c r="T2694" s="494">
        <v>6717</v>
      </c>
      <c r="U2694" s="494">
        <v>1969</v>
      </c>
      <c r="V2694" s="493">
        <v>2024</v>
      </c>
      <c r="W2694" s="495"/>
      <c r="X2694" s="496">
        <f t="shared" si="173"/>
        <v>3.4113763331640428</v>
      </c>
      <c r="Y2694" s="497" t="str">
        <f t="shared" si="176"/>
        <v/>
      </c>
      <c r="Z2694" s="497" t="str">
        <f t="shared" si="176"/>
        <v/>
      </c>
    </row>
    <row r="2695" spans="1:26" s="82" customFormat="1" ht="48" x14ac:dyDescent="0.4">
      <c r="A2695" s="493">
        <v>66878</v>
      </c>
      <c r="B2695" s="105" t="s">
        <v>329</v>
      </c>
      <c r="C2695" s="493" t="s">
        <v>330</v>
      </c>
      <c r="D2695" s="105" t="s">
        <v>3222</v>
      </c>
      <c r="E2695" s="105" t="s">
        <v>3209</v>
      </c>
      <c r="F2695" s="493">
        <v>65785</v>
      </c>
      <c r="G2695" s="105" t="s">
        <v>34</v>
      </c>
      <c r="H2695" s="105" t="s">
        <v>342</v>
      </c>
      <c r="I2695" s="105" t="s">
        <v>334</v>
      </c>
      <c r="J2695" s="493">
        <v>22</v>
      </c>
      <c r="K2695" s="493">
        <v>2</v>
      </c>
      <c r="L2695" s="105" t="s">
        <v>343</v>
      </c>
      <c r="M2695" s="105" t="s">
        <v>655</v>
      </c>
      <c r="N2695" s="105" t="s">
        <v>656</v>
      </c>
      <c r="O2695" s="105" t="s">
        <v>656</v>
      </c>
      <c r="P2695" s="105" t="s">
        <v>339</v>
      </c>
      <c r="Q2695" s="494">
        <v>0</v>
      </c>
      <c r="R2695" s="494">
        <v>0</v>
      </c>
      <c r="S2695" s="494">
        <v>29080</v>
      </c>
      <c r="T2695" s="494">
        <v>29080</v>
      </c>
      <c r="U2695" s="494">
        <v>8523</v>
      </c>
      <c r="V2695" s="493">
        <v>2024</v>
      </c>
      <c r="W2695" s="495"/>
      <c r="X2695" s="496">
        <f t="shared" si="173"/>
        <v>3.4119441511204975</v>
      </c>
      <c r="Y2695" s="497" t="str">
        <f t="shared" si="176"/>
        <v/>
      </c>
      <c r="Z2695" s="497" t="str">
        <f t="shared" si="176"/>
        <v/>
      </c>
    </row>
    <row r="2696" spans="1:26" s="82" customFormat="1" ht="32" x14ac:dyDescent="0.4">
      <c r="A2696" s="493">
        <v>66907</v>
      </c>
      <c r="B2696" s="105" t="s">
        <v>329</v>
      </c>
      <c r="C2696" s="493" t="s">
        <v>330</v>
      </c>
      <c r="D2696" s="105" t="s">
        <v>3223</v>
      </c>
      <c r="E2696" s="105" t="s">
        <v>3224</v>
      </c>
      <c r="F2696" s="493">
        <v>65043</v>
      </c>
      <c r="G2696" s="105" t="s">
        <v>34</v>
      </c>
      <c r="H2696" s="105" t="s">
        <v>342</v>
      </c>
      <c r="I2696" s="105" t="s">
        <v>334</v>
      </c>
      <c r="J2696" s="493">
        <v>22</v>
      </c>
      <c r="K2696" s="493">
        <v>2</v>
      </c>
      <c r="L2696" s="105" t="s">
        <v>343</v>
      </c>
      <c r="M2696" s="105" t="s">
        <v>655</v>
      </c>
      <c r="N2696" s="105" t="s">
        <v>656</v>
      </c>
      <c r="O2696" s="105" t="s">
        <v>656</v>
      </c>
      <c r="P2696" s="105" t="s">
        <v>339</v>
      </c>
      <c r="Q2696" s="494">
        <v>0</v>
      </c>
      <c r="R2696" s="494">
        <v>0</v>
      </c>
      <c r="S2696" s="494">
        <v>22690</v>
      </c>
      <c r="T2696" s="494">
        <v>22690</v>
      </c>
      <c r="U2696" s="494">
        <v>6650</v>
      </c>
      <c r="V2696" s="493">
        <v>2024</v>
      </c>
      <c r="W2696" s="495"/>
      <c r="X2696" s="496">
        <f t="shared" si="173"/>
        <v>3.4120300751879697</v>
      </c>
      <c r="Y2696" s="497" t="str">
        <f t="shared" si="176"/>
        <v/>
      </c>
      <c r="Z2696" s="497" t="str">
        <f t="shared" si="176"/>
        <v/>
      </c>
    </row>
    <row r="2697" spans="1:26" s="82" customFormat="1" x14ac:dyDescent="0.4">
      <c r="A2697" s="493">
        <v>66940</v>
      </c>
      <c r="B2697" s="105" t="s">
        <v>329</v>
      </c>
      <c r="C2697" s="493" t="s">
        <v>330</v>
      </c>
      <c r="D2697" s="105" t="s">
        <v>3225</v>
      </c>
      <c r="E2697" s="105" t="s">
        <v>3226</v>
      </c>
      <c r="F2697" s="493">
        <v>65769</v>
      </c>
      <c r="G2697" s="105" t="s">
        <v>52</v>
      </c>
      <c r="H2697" s="105" t="s">
        <v>333</v>
      </c>
      <c r="I2697" s="105" t="s">
        <v>334</v>
      </c>
      <c r="J2697" s="493">
        <v>22</v>
      </c>
      <c r="K2697" s="493">
        <v>2</v>
      </c>
      <c r="L2697" s="105" t="s">
        <v>343</v>
      </c>
      <c r="M2697" s="105" t="s">
        <v>655</v>
      </c>
      <c r="N2697" s="105" t="s">
        <v>656</v>
      </c>
      <c r="O2697" s="105" t="s">
        <v>656</v>
      </c>
      <c r="P2697" s="105" t="s">
        <v>339</v>
      </c>
      <c r="Q2697" s="494">
        <v>0</v>
      </c>
      <c r="R2697" s="494">
        <v>0</v>
      </c>
      <c r="S2697" s="494">
        <v>27842</v>
      </c>
      <c r="T2697" s="494">
        <v>27842</v>
      </c>
      <c r="U2697" s="494">
        <v>8160</v>
      </c>
      <c r="V2697" s="493">
        <v>2024</v>
      </c>
      <c r="W2697" s="495"/>
      <c r="X2697" s="496">
        <f t="shared" ref="X2697:X2760" si="177">IF(OR(K2697&gt;3,T2697=0,NOT(U2697&gt;0)),"",T2697/U2697)</f>
        <v>3.4120098039215687</v>
      </c>
      <c r="Y2697" s="497" t="str">
        <f t="shared" si="176"/>
        <v/>
      </c>
      <c r="Z2697" s="497" t="str">
        <f t="shared" si="176"/>
        <v/>
      </c>
    </row>
    <row r="2698" spans="1:26" s="82" customFormat="1" x14ac:dyDescent="0.4">
      <c r="A2698" s="493">
        <v>66947</v>
      </c>
      <c r="B2698" s="105" t="s">
        <v>329</v>
      </c>
      <c r="C2698" s="493" t="s">
        <v>330</v>
      </c>
      <c r="D2698" s="105" t="s">
        <v>3227</v>
      </c>
      <c r="E2698" s="105" t="s">
        <v>2894</v>
      </c>
      <c r="F2698" s="493">
        <v>64904</v>
      </c>
      <c r="G2698" s="105" t="s">
        <v>52</v>
      </c>
      <c r="H2698" s="105" t="s">
        <v>333</v>
      </c>
      <c r="I2698" s="105" t="s">
        <v>334</v>
      </c>
      <c r="J2698" s="493">
        <v>22</v>
      </c>
      <c r="K2698" s="493">
        <v>2</v>
      </c>
      <c r="L2698" s="105" t="s">
        <v>343</v>
      </c>
      <c r="M2698" s="105" t="s">
        <v>655</v>
      </c>
      <c r="N2698" s="105" t="s">
        <v>656</v>
      </c>
      <c r="O2698" s="105" t="s">
        <v>656</v>
      </c>
      <c r="P2698" s="105" t="s">
        <v>339</v>
      </c>
      <c r="Q2698" s="494">
        <v>0</v>
      </c>
      <c r="R2698" s="494">
        <v>0</v>
      </c>
      <c r="S2698" s="494">
        <v>0</v>
      </c>
      <c r="T2698" s="494">
        <v>0</v>
      </c>
      <c r="U2698" s="494">
        <v>0</v>
      </c>
      <c r="V2698" s="493">
        <v>2024</v>
      </c>
      <c r="W2698" s="495"/>
      <c r="X2698" s="496" t="str">
        <f t="shared" si="177"/>
        <v/>
      </c>
      <c r="Y2698" s="497" t="str">
        <f t="shared" si="176"/>
        <v/>
      </c>
      <c r="Z2698" s="497" t="str">
        <f t="shared" si="176"/>
        <v/>
      </c>
    </row>
    <row r="2699" spans="1:26" s="82" customFormat="1" ht="32" x14ac:dyDescent="0.4">
      <c r="A2699" s="493">
        <v>66955</v>
      </c>
      <c r="B2699" s="105" t="s">
        <v>329</v>
      </c>
      <c r="C2699" s="493" t="s">
        <v>330</v>
      </c>
      <c r="D2699" s="105" t="s">
        <v>3228</v>
      </c>
      <c r="E2699" s="105" t="s">
        <v>3229</v>
      </c>
      <c r="F2699" s="493">
        <v>65863</v>
      </c>
      <c r="G2699" s="105" t="s">
        <v>34</v>
      </c>
      <c r="H2699" s="105" t="s">
        <v>342</v>
      </c>
      <c r="I2699" s="105" t="s">
        <v>334</v>
      </c>
      <c r="J2699" s="493">
        <v>22</v>
      </c>
      <c r="K2699" s="493">
        <v>2</v>
      </c>
      <c r="L2699" s="105" t="s">
        <v>343</v>
      </c>
      <c r="M2699" s="105" t="s">
        <v>655</v>
      </c>
      <c r="N2699" s="105" t="s">
        <v>656</v>
      </c>
      <c r="O2699" s="105" t="s">
        <v>656</v>
      </c>
      <c r="P2699" s="105" t="s">
        <v>339</v>
      </c>
      <c r="Q2699" s="494">
        <v>0</v>
      </c>
      <c r="R2699" s="494">
        <v>0</v>
      </c>
      <c r="S2699" s="494">
        <v>334940</v>
      </c>
      <c r="T2699" s="494">
        <v>334940</v>
      </c>
      <c r="U2699" s="494">
        <v>98165</v>
      </c>
      <c r="V2699" s="493">
        <v>2024</v>
      </c>
      <c r="W2699" s="495"/>
      <c r="X2699" s="496">
        <f t="shared" si="177"/>
        <v>3.412010390668772</v>
      </c>
      <c r="Y2699" s="497" t="str">
        <f t="shared" si="176"/>
        <v/>
      </c>
      <c r="Z2699" s="497" t="str">
        <f t="shared" si="176"/>
        <v/>
      </c>
    </row>
    <row r="2700" spans="1:26" s="82" customFormat="1" ht="32" x14ac:dyDescent="0.4">
      <c r="A2700" s="493">
        <v>66956</v>
      </c>
      <c r="B2700" s="105" t="s">
        <v>329</v>
      </c>
      <c r="C2700" s="493" t="s">
        <v>330</v>
      </c>
      <c r="D2700" s="105" t="s">
        <v>3230</v>
      </c>
      <c r="E2700" s="105" t="s">
        <v>3231</v>
      </c>
      <c r="F2700" s="493">
        <v>65864</v>
      </c>
      <c r="G2700" s="105" t="s">
        <v>34</v>
      </c>
      <c r="H2700" s="105" t="s">
        <v>342</v>
      </c>
      <c r="I2700" s="105" t="s">
        <v>334</v>
      </c>
      <c r="J2700" s="493">
        <v>22</v>
      </c>
      <c r="K2700" s="493">
        <v>2</v>
      </c>
      <c r="L2700" s="105" t="s">
        <v>343</v>
      </c>
      <c r="M2700" s="105" t="s">
        <v>655</v>
      </c>
      <c r="N2700" s="105" t="s">
        <v>656</v>
      </c>
      <c r="O2700" s="105" t="s">
        <v>656</v>
      </c>
      <c r="P2700" s="105" t="s">
        <v>339</v>
      </c>
      <c r="Q2700" s="494">
        <v>0</v>
      </c>
      <c r="R2700" s="494">
        <v>0</v>
      </c>
      <c r="S2700" s="494">
        <v>28707</v>
      </c>
      <c r="T2700" s="494">
        <v>28707</v>
      </c>
      <c r="U2700" s="494">
        <v>8414</v>
      </c>
      <c r="V2700" s="493">
        <v>2024</v>
      </c>
      <c r="W2700" s="495"/>
      <c r="X2700" s="496">
        <f t="shared" si="177"/>
        <v>3.4118136439267888</v>
      </c>
      <c r="Y2700" s="497" t="str">
        <f t="shared" si="176"/>
        <v/>
      </c>
      <c r="Z2700" s="497" t="str">
        <f t="shared" si="176"/>
        <v/>
      </c>
    </row>
    <row r="2701" spans="1:26" s="82" customFormat="1" ht="48" x14ac:dyDescent="0.4">
      <c r="A2701" s="493">
        <v>66961</v>
      </c>
      <c r="B2701" s="105" t="s">
        <v>329</v>
      </c>
      <c r="C2701" s="493" t="s">
        <v>330</v>
      </c>
      <c r="D2701" s="105" t="s">
        <v>3232</v>
      </c>
      <c r="E2701" s="105" t="s">
        <v>3209</v>
      </c>
      <c r="F2701" s="493">
        <v>65785</v>
      </c>
      <c r="G2701" s="105" t="s">
        <v>34</v>
      </c>
      <c r="H2701" s="105" t="s">
        <v>342</v>
      </c>
      <c r="I2701" s="105" t="s">
        <v>334</v>
      </c>
      <c r="J2701" s="493">
        <v>22</v>
      </c>
      <c r="K2701" s="493">
        <v>2</v>
      </c>
      <c r="L2701" s="105" t="s">
        <v>343</v>
      </c>
      <c r="M2701" s="105" t="s">
        <v>655</v>
      </c>
      <c r="N2701" s="105" t="s">
        <v>656</v>
      </c>
      <c r="O2701" s="105" t="s">
        <v>656</v>
      </c>
      <c r="P2701" s="105" t="s">
        <v>339</v>
      </c>
      <c r="Q2701" s="494">
        <v>0</v>
      </c>
      <c r="R2701" s="494">
        <v>0</v>
      </c>
      <c r="S2701" s="494">
        <v>2771</v>
      </c>
      <c r="T2701" s="494">
        <v>2771</v>
      </c>
      <c r="U2701" s="494">
        <v>812</v>
      </c>
      <c r="V2701" s="493">
        <v>2024</v>
      </c>
      <c r="W2701" s="495"/>
      <c r="X2701" s="496">
        <f t="shared" si="177"/>
        <v>3.4125615763546797</v>
      </c>
      <c r="Y2701" s="497" t="str">
        <f t="shared" si="176"/>
        <v/>
      </c>
      <c r="Z2701" s="497" t="str">
        <f t="shared" si="176"/>
        <v/>
      </c>
    </row>
    <row r="2702" spans="1:26" s="82" customFormat="1" ht="48" x14ac:dyDescent="0.4">
      <c r="A2702" s="493">
        <v>66962</v>
      </c>
      <c r="B2702" s="105" t="s">
        <v>329</v>
      </c>
      <c r="C2702" s="493" t="s">
        <v>330</v>
      </c>
      <c r="D2702" s="105" t="s">
        <v>3233</v>
      </c>
      <c r="E2702" s="105" t="s">
        <v>3209</v>
      </c>
      <c r="F2702" s="493">
        <v>65785</v>
      </c>
      <c r="G2702" s="105" t="s">
        <v>34</v>
      </c>
      <c r="H2702" s="105" t="s">
        <v>342</v>
      </c>
      <c r="I2702" s="105" t="s">
        <v>334</v>
      </c>
      <c r="J2702" s="493">
        <v>22</v>
      </c>
      <c r="K2702" s="493">
        <v>2</v>
      </c>
      <c r="L2702" s="105" t="s">
        <v>343</v>
      </c>
      <c r="M2702" s="105" t="s">
        <v>655</v>
      </c>
      <c r="N2702" s="105" t="s">
        <v>656</v>
      </c>
      <c r="O2702" s="105" t="s">
        <v>656</v>
      </c>
      <c r="P2702" s="105" t="s">
        <v>339</v>
      </c>
      <c r="Q2702" s="494">
        <v>0</v>
      </c>
      <c r="R2702" s="494">
        <v>0</v>
      </c>
      <c r="S2702" s="494">
        <v>17844</v>
      </c>
      <c r="T2702" s="494">
        <v>17844</v>
      </c>
      <c r="U2702" s="494">
        <v>5230</v>
      </c>
      <c r="V2702" s="493">
        <v>2024</v>
      </c>
      <c r="W2702" s="495"/>
      <c r="X2702" s="496">
        <f t="shared" si="177"/>
        <v>3.4118546845124285</v>
      </c>
      <c r="Y2702" s="497" t="str">
        <f t="shared" si="176"/>
        <v/>
      </c>
      <c r="Z2702" s="497" t="str">
        <f t="shared" si="176"/>
        <v/>
      </c>
    </row>
    <row r="2703" spans="1:26" s="82" customFormat="1" ht="48" x14ac:dyDescent="0.4">
      <c r="A2703" s="493">
        <v>66966</v>
      </c>
      <c r="B2703" s="105" t="s">
        <v>329</v>
      </c>
      <c r="C2703" s="493" t="s">
        <v>330</v>
      </c>
      <c r="D2703" s="105" t="s">
        <v>3234</v>
      </c>
      <c r="E2703" s="105" t="s">
        <v>2759</v>
      </c>
      <c r="F2703" s="493">
        <v>67085</v>
      </c>
      <c r="G2703" s="105" t="s">
        <v>33</v>
      </c>
      <c r="H2703" s="105" t="s">
        <v>342</v>
      </c>
      <c r="I2703" s="105" t="s">
        <v>334</v>
      </c>
      <c r="J2703" s="493">
        <v>22</v>
      </c>
      <c r="K2703" s="493">
        <v>2</v>
      </c>
      <c r="L2703" s="105" t="s">
        <v>343</v>
      </c>
      <c r="M2703" s="105" t="s">
        <v>403</v>
      </c>
      <c r="N2703" s="105" t="s">
        <v>404</v>
      </c>
      <c r="O2703" s="105" t="s">
        <v>232</v>
      </c>
      <c r="P2703" s="105" t="s">
        <v>346</v>
      </c>
      <c r="Q2703" s="494">
        <v>567</v>
      </c>
      <c r="R2703" s="494">
        <v>567</v>
      </c>
      <c r="S2703" s="494">
        <v>0</v>
      </c>
      <c r="T2703" s="494">
        <v>0</v>
      </c>
      <c r="U2703" s="494">
        <v>-100</v>
      </c>
      <c r="V2703" s="493">
        <v>2024</v>
      </c>
      <c r="W2703" s="495"/>
      <c r="X2703" s="496" t="str">
        <f t="shared" si="177"/>
        <v/>
      </c>
      <c r="Y2703" s="497" t="str">
        <f t="shared" si="176"/>
        <v/>
      </c>
      <c r="Z2703" s="497" t="str">
        <f t="shared" si="176"/>
        <v/>
      </c>
    </row>
    <row r="2704" spans="1:26" s="82" customFormat="1" ht="32" x14ac:dyDescent="0.4">
      <c r="A2704" s="493">
        <v>66967</v>
      </c>
      <c r="B2704" s="105" t="s">
        <v>329</v>
      </c>
      <c r="C2704" s="493" t="s">
        <v>330</v>
      </c>
      <c r="D2704" s="105" t="s">
        <v>3235</v>
      </c>
      <c r="E2704" s="105" t="s">
        <v>3236</v>
      </c>
      <c r="F2704" s="493">
        <v>65861</v>
      </c>
      <c r="G2704" s="105" t="s">
        <v>52</v>
      </c>
      <c r="H2704" s="105" t="s">
        <v>333</v>
      </c>
      <c r="I2704" s="105" t="s">
        <v>334</v>
      </c>
      <c r="J2704" s="493">
        <v>22</v>
      </c>
      <c r="K2704" s="493">
        <v>2</v>
      </c>
      <c r="L2704" s="105" t="s">
        <v>343</v>
      </c>
      <c r="M2704" s="105" t="s">
        <v>403</v>
      </c>
      <c r="N2704" s="105" t="s">
        <v>404</v>
      </c>
      <c r="O2704" s="105" t="s">
        <v>232</v>
      </c>
      <c r="P2704" s="105" t="s">
        <v>346</v>
      </c>
      <c r="Q2704" s="494">
        <v>0</v>
      </c>
      <c r="R2704" s="494">
        <v>0</v>
      </c>
      <c r="S2704" s="494">
        <v>0</v>
      </c>
      <c r="T2704" s="494">
        <v>0</v>
      </c>
      <c r="U2704" s="494">
        <v>0</v>
      </c>
      <c r="V2704" s="493">
        <v>2024</v>
      </c>
      <c r="W2704" s="495"/>
      <c r="X2704" s="496" t="str">
        <f t="shared" si="177"/>
        <v/>
      </c>
      <c r="Y2704" s="497" t="str">
        <f t="shared" si="176"/>
        <v/>
      </c>
      <c r="Z2704" s="497" t="str">
        <f t="shared" si="176"/>
        <v/>
      </c>
    </row>
    <row r="2705" spans="1:26" s="82" customFormat="1" ht="32" x14ac:dyDescent="0.4">
      <c r="A2705" s="493">
        <v>67011</v>
      </c>
      <c r="B2705" s="105" t="s">
        <v>329</v>
      </c>
      <c r="C2705" s="493" t="s">
        <v>330</v>
      </c>
      <c r="D2705" s="105" t="s">
        <v>3237</v>
      </c>
      <c r="E2705" s="105" t="s">
        <v>1313</v>
      </c>
      <c r="F2705" s="493">
        <v>60281</v>
      </c>
      <c r="G2705" s="105" t="s">
        <v>34</v>
      </c>
      <c r="H2705" s="105" t="s">
        <v>342</v>
      </c>
      <c r="I2705" s="105" t="s">
        <v>334</v>
      </c>
      <c r="J2705" s="493">
        <v>22</v>
      </c>
      <c r="K2705" s="493">
        <v>2</v>
      </c>
      <c r="L2705" s="105" t="s">
        <v>343</v>
      </c>
      <c r="M2705" s="105" t="s">
        <v>655</v>
      </c>
      <c r="N2705" s="105" t="s">
        <v>656</v>
      </c>
      <c r="O2705" s="105" t="s">
        <v>656</v>
      </c>
      <c r="P2705" s="105" t="s">
        <v>339</v>
      </c>
      <c r="Q2705" s="494">
        <v>0</v>
      </c>
      <c r="R2705" s="494">
        <v>0</v>
      </c>
      <c r="S2705" s="494">
        <v>0</v>
      </c>
      <c r="T2705" s="494">
        <v>0</v>
      </c>
      <c r="U2705" s="494">
        <v>0</v>
      </c>
      <c r="V2705" s="493">
        <v>2024</v>
      </c>
      <c r="W2705" s="495"/>
      <c r="X2705" s="496" t="str">
        <f t="shared" si="177"/>
        <v/>
      </c>
      <c r="Y2705" s="497" t="str">
        <f t="shared" si="176"/>
        <v/>
      </c>
      <c r="Z2705" s="497" t="str">
        <f t="shared" si="176"/>
        <v/>
      </c>
    </row>
    <row r="2706" spans="1:26" s="82" customFormat="1" ht="32" x14ac:dyDescent="0.4">
      <c r="A2706" s="493">
        <v>67012</v>
      </c>
      <c r="B2706" s="105" t="s">
        <v>329</v>
      </c>
      <c r="C2706" s="493" t="s">
        <v>330</v>
      </c>
      <c r="D2706" s="105" t="s">
        <v>3238</v>
      </c>
      <c r="E2706" s="105" t="s">
        <v>1606</v>
      </c>
      <c r="F2706" s="493">
        <v>61227</v>
      </c>
      <c r="G2706" s="105" t="s">
        <v>34</v>
      </c>
      <c r="H2706" s="105" t="s">
        <v>342</v>
      </c>
      <c r="I2706" s="105" t="s">
        <v>334</v>
      </c>
      <c r="J2706" s="493">
        <v>22</v>
      </c>
      <c r="K2706" s="493">
        <v>2</v>
      </c>
      <c r="L2706" s="105" t="s">
        <v>343</v>
      </c>
      <c r="M2706" s="105" t="s">
        <v>655</v>
      </c>
      <c r="N2706" s="105" t="s">
        <v>656</v>
      </c>
      <c r="O2706" s="105" t="s">
        <v>656</v>
      </c>
      <c r="P2706" s="105" t="s">
        <v>339</v>
      </c>
      <c r="Q2706" s="494">
        <v>0</v>
      </c>
      <c r="R2706" s="494">
        <v>0</v>
      </c>
      <c r="S2706" s="494">
        <v>703</v>
      </c>
      <c r="T2706" s="494">
        <v>703</v>
      </c>
      <c r="U2706" s="494">
        <v>206</v>
      </c>
      <c r="V2706" s="493">
        <v>2024</v>
      </c>
      <c r="W2706" s="495"/>
      <c r="X2706" s="496">
        <f t="shared" si="177"/>
        <v>3.412621359223301</v>
      </c>
      <c r="Y2706" s="497" t="str">
        <f t="shared" si="176"/>
        <v/>
      </c>
      <c r="Z2706" s="497" t="str">
        <f t="shared" si="176"/>
        <v/>
      </c>
    </row>
    <row r="2707" spans="1:26" s="82" customFormat="1" x14ac:dyDescent="0.4">
      <c r="A2707" s="493">
        <v>67013</v>
      </c>
      <c r="B2707" s="105" t="s">
        <v>329</v>
      </c>
      <c r="C2707" s="493" t="s">
        <v>330</v>
      </c>
      <c r="D2707" s="105" t="s">
        <v>3239</v>
      </c>
      <c r="E2707" s="105" t="s">
        <v>1606</v>
      </c>
      <c r="F2707" s="493">
        <v>61227</v>
      </c>
      <c r="G2707" s="105" t="s">
        <v>34</v>
      </c>
      <c r="H2707" s="105" t="s">
        <v>342</v>
      </c>
      <c r="I2707" s="105" t="s">
        <v>334</v>
      </c>
      <c r="J2707" s="493">
        <v>22</v>
      </c>
      <c r="K2707" s="493">
        <v>2</v>
      </c>
      <c r="L2707" s="105" t="s">
        <v>343</v>
      </c>
      <c r="M2707" s="105" t="s">
        <v>655</v>
      </c>
      <c r="N2707" s="105" t="s">
        <v>656</v>
      </c>
      <c r="O2707" s="105" t="s">
        <v>656</v>
      </c>
      <c r="P2707" s="105" t="s">
        <v>339</v>
      </c>
      <c r="Q2707" s="494">
        <v>0</v>
      </c>
      <c r="R2707" s="494">
        <v>0</v>
      </c>
      <c r="S2707" s="494">
        <v>1614</v>
      </c>
      <c r="T2707" s="494">
        <v>1614</v>
      </c>
      <c r="U2707" s="494">
        <v>473</v>
      </c>
      <c r="V2707" s="493">
        <v>2024</v>
      </c>
      <c r="W2707" s="495"/>
      <c r="X2707" s="496">
        <f t="shared" si="177"/>
        <v>3.412262156448203</v>
      </c>
      <c r="Y2707" s="497" t="str">
        <f t="shared" si="176"/>
        <v/>
      </c>
      <c r="Z2707" s="497" t="str">
        <f t="shared" si="176"/>
        <v/>
      </c>
    </row>
    <row r="2708" spans="1:26" s="82" customFormat="1" ht="32" x14ac:dyDescent="0.4">
      <c r="A2708" s="493">
        <v>67014</v>
      </c>
      <c r="B2708" s="105" t="s">
        <v>329</v>
      </c>
      <c r="C2708" s="493" t="s">
        <v>330</v>
      </c>
      <c r="D2708" s="105" t="s">
        <v>3240</v>
      </c>
      <c r="E2708" s="105" t="s">
        <v>1313</v>
      </c>
      <c r="F2708" s="493">
        <v>60281</v>
      </c>
      <c r="G2708" s="105" t="s">
        <v>34</v>
      </c>
      <c r="H2708" s="105" t="s">
        <v>342</v>
      </c>
      <c r="I2708" s="105" t="s">
        <v>334</v>
      </c>
      <c r="J2708" s="493">
        <v>22</v>
      </c>
      <c r="K2708" s="493">
        <v>2</v>
      </c>
      <c r="L2708" s="105" t="s">
        <v>343</v>
      </c>
      <c r="M2708" s="105" t="s">
        <v>655</v>
      </c>
      <c r="N2708" s="105" t="s">
        <v>656</v>
      </c>
      <c r="O2708" s="105" t="s">
        <v>656</v>
      </c>
      <c r="P2708" s="105" t="s">
        <v>339</v>
      </c>
      <c r="Q2708" s="494">
        <v>0</v>
      </c>
      <c r="R2708" s="494">
        <v>0</v>
      </c>
      <c r="S2708" s="494">
        <v>0</v>
      </c>
      <c r="T2708" s="494">
        <v>0</v>
      </c>
      <c r="U2708" s="494">
        <v>0</v>
      </c>
      <c r="V2708" s="493">
        <v>2024</v>
      </c>
      <c r="W2708" s="495"/>
      <c r="X2708" s="496" t="str">
        <f t="shared" si="177"/>
        <v/>
      </c>
      <c r="Y2708" s="497" t="str">
        <f t="shared" ref="Y2708:Z2727" si="178">IF(AND($M2708=$Y$2,$N2708=$Y$3,NOT($Q2708=$R2708),NOT($U2708=0)),IF($K2708=5,$S2708/($U2708+(8/5)*$U2708),IF($K2708=7,$S2708/($U2708+(29/25)*$U2708),"")),"")</f>
        <v/>
      </c>
      <c r="Z2708" s="497" t="str">
        <f t="shared" si="178"/>
        <v/>
      </c>
    </row>
    <row r="2709" spans="1:26" s="82" customFormat="1" ht="32" x14ac:dyDescent="0.4">
      <c r="A2709" s="493">
        <v>67015</v>
      </c>
      <c r="B2709" s="105" t="s">
        <v>329</v>
      </c>
      <c r="C2709" s="493" t="s">
        <v>330</v>
      </c>
      <c r="D2709" s="105" t="s">
        <v>3241</v>
      </c>
      <c r="E2709" s="105" t="s">
        <v>1313</v>
      </c>
      <c r="F2709" s="493">
        <v>60281</v>
      </c>
      <c r="G2709" s="105" t="s">
        <v>34</v>
      </c>
      <c r="H2709" s="105" t="s">
        <v>342</v>
      </c>
      <c r="I2709" s="105" t="s">
        <v>334</v>
      </c>
      <c r="J2709" s="493">
        <v>22</v>
      </c>
      <c r="K2709" s="493">
        <v>2</v>
      </c>
      <c r="L2709" s="105" t="s">
        <v>343</v>
      </c>
      <c r="M2709" s="105" t="s">
        <v>655</v>
      </c>
      <c r="N2709" s="105" t="s">
        <v>656</v>
      </c>
      <c r="O2709" s="105" t="s">
        <v>656</v>
      </c>
      <c r="P2709" s="105" t="s">
        <v>339</v>
      </c>
      <c r="Q2709" s="494">
        <v>0</v>
      </c>
      <c r="R2709" s="494">
        <v>0</v>
      </c>
      <c r="S2709" s="494">
        <v>1787</v>
      </c>
      <c r="T2709" s="494">
        <v>1787</v>
      </c>
      <c r="U2709" s="494">
        <v>524</v>
      </c>
      <c r="V2709" s="493">
        <v>2024</v>
      </c>
      <c r="W2709" s="495"/>
      <c r="X2709" s="496">
        <f t="shared" si="177"/>
        <v>3.4103053435114505</v>
      </c>
      <c r="Y2709" s="497" t="str">
        <f t="shared" si="178"/>
        <v/>
      </c>
      <c r="Z2709" s="497" t="str">
        <f t="shared" si="178"/>
        <v/>
      </c>
    </row>
    <row r="2710" spans="1:26" s="82" customFormat="1" ht="32" x14ac:dyDescent="0.4">
      <c r="A2710" s="493">
        <v>67016</v>
      </c>
      <c r="B2710" s="105" t="s">
        <v>329</v>
      </c>
      <c r="C2710" s="493" t="s">
        <v>330</v>
      </c>
      <c r="D2710" s="105" t="s">
        <v>3242</v>
      </c>
      <c r="E2710" s="105" t="s">
        <v>1313</v>
      </c>
      <c r="F2710" s="493">
        <v>60281</v>
      </c>
      <c r="G2710" s="105" t="s">
        <v>34</v>
      </c>
      <c r="H2710" s="105" t="s">
        <v>342</v>
      </c>
      <c r="I2710" s="105" t="s">
        <v>334</v>
      </c>
      <c r="J2710" s="493">
        <v>22</v>
      </c>
      <c r="K2710" s="493">
        <v>2</v>
      </c>
      <c r="L2710" s="105" t="s">
        <v>343</v>
      </c>
      <c r="M2710" s="105" t="s">
        <v>655</v>
      </c>
      <c r="N2710" s="105" t="s">
        <v>656</v>
      </c>
      <c r="O2710" s="105" t="s">
        <v>656</v>
      </c>
      <c r="P2710" s="105" t="s">
        <v>339</v>
      </c>
      <c r="Q2710" s="494">
        <v>0</v>
      </c>
      <c r="R2710" s="494">
        <v>0</v>
      </c>
      <c r="S2710" s="494">
        <v>3357</v>
      </c>
      <c r="T2710" s="494">
        <v>3357</v>
      </c>
      <c r="U2710" s="494">
        <v>984</v>
      </c>
      <c r="V2710" s="493">
        <v>2024</v>
      </c>
      <c r="W2710" s="495"/>
      <c r="X2710" s="496">
        <f t="shared" si="177"/>
        <v>3.4115853658536586</v>
      </c>
      <c r="Y2710" s="497" t="str">
        <f t="shared" si="178"/>
        <v/>
      </c>
      <c r="Z2710" s="497" t="str">
        <f t="shared" si="178"/>
        <v/>
      </c>
    </row>
    <row r="2711" spans="1:26" s="82" customFormat="1" ht="32" x14ac:dyDescent="0.4">
      <c r="A2711" s="493">
        <v>67017</v>
      </c>
      <c r="B2711" s="105" t="s">
        <v>329</v>
      </c>
      <c r="C2711" s="493" t="s">
        <v>330</v>
      </c>
      <c r="D2711" s="105" t="s">
        <v>3243</v>
      </c>
      <c r="E2711" s="105" t="s">
        <v>1313</v>
      </c>
      <c r="F2711" s="493">
        <v>60281</v>
      </c>
      <c r="G2711" s="105" t="s">
        <v>34</v>
      </c>
      <c r="H2711" s="105" t="s">
        <v>342</v>
      </c>
      <c r="I2711" s="105" t="s">
        <v>334</v>
      </c>
      <c r="J2711" s="493">
        <v>22</v>
      </c>
      <c r="K2711" s="493">
        <v>2</v>
      </c>
      <c r="L2711" s="105" t="s">
        <v>343</v>
      </c>
      <c r="M2711" s="105" t="s">
        <v>655</v>
      </c>
      <c r="N2711" s="105" t="s">
        <v>656</v>
      </c>
      <c r="O2711" s="105" t="s">
        <v>656</v>
      </c>
      <c r="P2711" s="105" t="s">
        <v>339</v>
      </c>
      <c r="Q2711" s="494">
        <v>0</v>
      </c>
      <c r="R2711" s="494">
        <v>0</v>
      </c>
      <c r="S2711" s="494">
        <v>0</v>
      </c>
      <c r="T2711" s="494">
        <v>0</v>
      </c>
      <c r="U2711" s="494">
        <v>0</v>
      </c>
      <c r="V2711" s="493">
        <v>2024</v>
      </c>
      <c r="W2711" s="495"/>
      <c r="X2711" s="496" t="str">
        <f t="shared" si="177"/>
        <v/>
      </c>
      <c r="Y2711" s="497" t="str">
        <f t="shared" si="178"/>
        <v/>
      </c>
      <c r="Z2711" s="497" t="str">
        <f t="shared" si="178"/>
        <v/>
      </c>
    </row>
    <row r="2712" spans="1:26" s="82" customFormat="1" ht="48" x14ac:dyDescent="0.4">
      <c r="A2712" s="493">
        <v>67031</v>
      </c>
      <c r="B2712" s="105" t="s">
        <v>329</v>
      </c>
      <c r="C2712" s="493" t="s">
        <v>330</v>
      </c>
      <c r="D2712" s="105" t="s">
        <v>3244</v>
      </c>
      <c r="E2712" s="105" t="s">
        <v>3245</v>
      </c>
      <c r="F2712" s="493">
        <v>65955</v>
      </c>
      <c r="G2712" s="105" t="s">
        <v>52</v>
      </c>
      <c r="H2712" s="105" t="s">
        <v>333</v>
      </c>
      <c r="I2712" s="105" t="s">
        <v>334</v>
      </c>
      <c r="J2712" s="493">
        <v>22</v>
      </c>
      <c r="K2712" s="493">
        <v>2</v>
      </c>
      <c r="L2712" s="105" t="s">
        <v>343</v>
      </c>
      <c r="M2712" s="105" t="s">
        <v>655</v>
      </c>
      <c r="N2712" s="105" t="s">
        <v>656</v>
      </c>
      <c r="O2712" s="105" t="s">
        <v>656</v>
      </c>
      <c r="P2712" s="105" t="s">
        <v>339</v>
      </c>
      <c r="Q2712" s="494">
        <v>0</v>
      </c>
      <c r="R2712" s="494">
        <v>0</v>
      </c>
      <c r="S2712" s="494">
        <v>2009</v>
      </c>
      <c r="T2712" s="494">
        <v>2009</v>
      </c>
      <c r="U2712" s="494">
        <v>589</v>
      </c>
      <c r="V2712" s="493">
        <v>2024</v>
      </c>
      <c r="W2712" s="495"/>
      <c r="X2712" s="496">
        <f t="shared" si="177"/>
        <v>3.4108658743633278</v>
      </c>
      <c r="Y2712" s="497" t="str">
        <f t="shared" si="178"/>
        <v/>
      </c>
      <c r="Z2712" s="497" t="str">
        <f t="shared" si="178"/>
        <v/>
      </c>
    </row>
    <row r="2713" spans="1:26" s="82" customFormat="1" x14ac:dyDescent="0.4">
      <c r="A2713" s="493">
        <v>67032</v>
      </c>
      <c r="B2713" s="105" t="s">
        <v>329</v>
      </c>
      <c r="C2713" s="493" t="s">
        <v>330</v>
      </c>
      <c r="D2713" s="105" t="s">
        <v>3246</v>
      </c>
      <c r="E2713" s="105" t="s">
        <v>3247</v>
      </c>
      <c r="F2713" s="493">
        <v>65956</v>
      </c>
      <c r="G2713" s="105" t="s">
        <v>34</v>
      </c>
      <c r="H2713" s="105" t="s">
        <v>342</v>
      </c>
      <c r="I2713" s="105" t="s">
        <v>334</v>
      </c>
      <c r="J2713" s="493">
        <v>22</v>
      </c>
      <c r="K2713" s="493">
        <v>2</v>
      </c>
      <c r="L2713" s="105" t="s">
        <v>343</v>
      </c>
      <c r="M2713" s="105" t="s">
        <v>655</v>
      </c>
      <c r="N2713" s="105" t="s">
        <v>656</v>
      </c>
      <c r="O2713" s="105" t="s">
        <v>656</v>
      </c>
      <c r="P2713" s="105" t="s">
        <v>339</v>
      </c>
      <c r="Q2713" s="494">
        <v>0</v>
      </c>
      <c r="R2713" s="494">
        <v>0</v>
      </c>
      <c r="S2713" s="494">
        <v>6031</v>
      </c>
      <c r="T2713" s="494">
        <v>6031</v>
      </c>
      <c r="U2713" s="494">
        <v>1768</v>
      </c>
      <c r="V2713" s="493">
        <v>2024</v>
      </c>
      <c r="W2713" s="495"/>
      <c r="X2713" s="496">
        <f t="shared" si="177"/>
        <v>3.4111990950226243</v>
      </c>
      <c r="Y2713" s="497" t="str">
        <f t="shared" si="178"/>
        <v/>
      </c>
      <c r="Z2713" s="497" t="str">
        <f t="shared" si="178"/>
        <v/>
      </c>
    </row>
    <row r="2714" spans="1:26" s="82" customFormat="1" x14ac:dyDescent="0.4">
      <c r="A2714" s="493">
        <v>67034</v>
      </c>
      <c r="B2714" s="105" t="s">
        <v>329</v>
      </c>
      <c r="C2714" s="493" t="s">
        <v>330</v>
      </c>
      <c r="D2714" s="105" t="s">
        <v>3248</v>
      </c>
      <c r="E2714" s="105" t="s">
        <v>3249</v>
      </c>
      <c r="F2714" s="493">
        <v>65958</v>
      </c>
      <c r="G2714" s="105" t="s">
        <v>52</v>
      </c>
      <c r="H2714" s="105" t="s">
        <v>333</v>
      </c>
      <c r="I2714" s="105" t="s">
        <v>334</v>
      </c>
      <c r="J2714" s="493">
        <v>22</v>
      </c>
      <c r="K2714" s="493">
        <v>2</v>
      </c>
      <c r="L2714" s="105" t="s">
        <v>343</v>
      </c>
      <c r="M2714" s="105" t="s">
        <v>655</v>
      </c>
      <c r="N2714" s="105" t="s">
        <v>656</v>
      </c>
      <c r="O2714" s="105" t="s">
        <v>656</v>
      </c>
      <c r="P2714" s="105" t="s">
        <v>339</v>
      </c>
      <c r="Q2714" s="494">
        <v>0</v>
      </c>
      <c r="R2714" s="494">
        <v>0</v>
      </c>
      <c r="S2714" s="494">
        <v>5050</v>
      </c>
      <c r="T2714" s="494">
        <v>5050</v>
      </c>
      <c r="U2714" s="494">
        <v>1480</v>
      </c>
      <c r="V2714" s="493">
        <v>2024</v>
      </c>
      <c r="W2714" s="495"/>
      <c r="X2714" s="496">
        <f t="shared" si="177"/>
        <v>3.4121621621621623</v>
      </c>
      <c r="Y2714" s="497" t="str">
        <f t="shared" si="178"/>
        <v/>
      </c>
      <c r="Z2714" s="497" t="str">
        <f t="shared" si="178"/>
        <v/>
      </c>
    </row>
    <row r="2715" spans="1:26" s="82" customFormat="1" x14ac:dyDescent="0.4">
      <c r="A2715" s="493">
        <v>67045</v>
      </c>
      <c r="B2715" s="105" t="s">
        <v>329</v>
      </c>
      <c r="C2715" s="493" t="s">
        <v>330</v>
      </c>
      <c r="D2715" s="105" t="s">
        <v>3250</v>
      </c>
      <c r="E2715" s="105" t="s">
        <v>3251</v>
      </c>
      <c r="F2715" s="493">
        <v>65960</v>
      </c>
      <c r="G2715" s="105" t="s">
        <v>52</v>
      </c>
      <c r="H2715" s="105" t="s">
        <v>333</v>
      </c>
      <c r="I2715" s="105" t="s">
        <v>334</v>
      </c>
      <c r="J2715" s="493">
        <v>22</v>
      </c>
      <c r="K2715" s="493">
        <v>2</v>
      </c>
      <c r="L2715" s="105" t="s">
        <v>343</v>
      </c>
      <c r="M2715" s="105" t="s">
        <v>655</v>
      </c>
      <c r="N2715" s="105" t="s">
        <v>656</v>
      </c>
      <c r="O2715" s="105" t="s">
        <v>656</v>
      </c>
      <c r="P2715" s="105" t="s">
        <v>339</v>
      </c>
      <c r="Q2715" s="494">
        <v>0</v>
      </c>
      <c r="R2715" s="494">
        <v>0</v>
      </c>
      <c r="S2715" s="494">
        <v>18903</v>
      </c>
      <c r="T2715" s="494">
        <v>18903</v>
      </c>
      <c r="U2715" s="494">
        <v>5540</v>
      </c>
      <c r="V2715" s="493">
        <v>2024</v>
      </c>
      <c r="W2715" s="495"/>
      <c r="X2715" s="496">
        <f t="shared" si="177"/>
        <v>3.4120938628158846</v>
      </c>
      <c r="Y2715" s="497" t="str">
        <f t="shared" si="178"/>
        <v/>
      </c>
      <c r="Z2715" s="497" t="str">
        <f t="shared" si="178"/>
        <v/>
      </c>
    </row>
    <row r="2716" spans="1:26" s="82" customFormat="1" x14ac:dyDescent="0.4">
      <c r="A2716" s="493">
        <v>67061</v>
      </c>
      <c r="B2716" s="105" t="s">
        <v>329</v>
      </c>
      <c r="C2716" s="493" t="s">
        <v>330</v>
      </c>
      <c r="D2716" s="105" t="s">
        <v>3252</v>
      </c>
      <c r="E2716" s="105" t="s">
        <v>2208</v>
      </c>
      <c r="F2716" s="493">
        <v>60531</v>
      </c>
      <c r="G2716" s="105" t="s">
        <v>34</v>
      </c>
      <c r="H2716" s="105" t="s">
        <v>342</v>
      </c>
      <c r="I2716" s="105" t="s">
        <v>334</v>
      </c>
      <c r="J2716" s="493">
        <v>22</v>
      </c>
      <c r="K2716" s="493">
        <v>2</v>
      </c>
      <c r="L2716" s="105" t="s">
        <v>343</v>
      </c>
      <c r="M2716" s="105" t="s">
        <v>655</v>
      </c>
      <c r="N2716" s="105" t="s">
        <v>656</v>
      </c>
      <c r="O2716" s="105" t="s">
        <v>656</v>
      </c>
      <c r="P2716" s="105" t="s">
        <v>339</v>
      </c>
      <c r="Q2716" s="494">
        <v>0</v>
      </c>
      <c r="R2716" s="494">
        <v>0</v>
      </c>
      <c r="S2716" s="494">
        <v>27558</v>
      </c>
      <c r="T2716" s="494">
        <v>27558</v>
      </c>
      <c r="U2716" s="494">
        <v>8077</v>
      </c>
      <c r="V2716" s="493">
        <v>2024</v>
      </c>
      <c r="W2716" s="495"/>
      <c r="X2716" s="496">
        <f t="shared" si="177"/>
        <v>3.4119103627584497</v>
      </c>
      <c r="Y2716" s="497" t="str">
        <f t="shared" si="178"/>
        <v/>
      </c>
      <c r="Z2716" s="497" t="str">
        <f t="shared" si="178"/>
        <v/>
      </c>
    </row>
    <row r="2717" spans="1:26" s="82" customFormat="1" ht="32" x14ac:dyDescent="0.4">
      <c r="A2717" s="493">
        <v>67110</v>
      </c>
      <c r="B2717" s="105" t="s">
        <v>329</v>
      </c>
      <c r="C2717" s="493" t="s">
        <v>330</v>
      </c>
      <c r="D2717" s="105" t="s">
        <v>3253</v>
      </c>
      <c r="E2717" s="105" t="s">
        <v>3254</v>
      </c>
      <c r="F2717" s="493">
        <v>65999</v>
      </c>
      <c r="G2717" s="105" t="s">
        <v>34</v>
      </c>
      <c r="H2717" s="105" t="s">
        <v>342</v>
      </c>
      <c r="I2717" s="105" t="s">
        <v>334</v>
      </c>
      <c r="J2717" s="493">
        <v>22</v>
      </c>
      <c r="K2717" s="493">
        <v>2</v>
      </c>
      <c r="L2717" s="105" t="s">
        <v>343</v>
      </c>
      <c r="M2717" s="105" t="s">
        <v>655</v>
      </c>
      <c r="N2717" s="105" t="s">
        <v>656</v>
      </c>
      <c r="O2717" s="105" t="s">
        <v>656</v>
      </c>
      <c r="P2717" s="105" t="s">
        <v>339</v>
      </c>
      <c r="Q2717" s="494">
        <v>0</v>
      </c>
      <c r="R2717" s="494">
        <v>0</v>
      </c>
      <c r="S2717" s="494">
        <v>17399</v>
      </c>
      <c r="T2717" s="494">
        <v>17399</v>
      </c>
      <c r="U2717" s="494">
        <v>5099</v>
      </c>
      <c r="V2717" s="493">
        <v>2024</v>
      </c>
      <c r="W2717" s="495"/>
      <c r="X2717" s="496">
        <f t="shared" si="177"/>
        <v>3.4122376936654244</v>
      </c>
      <c r="Y2717" s="497" t="str">
        <f t="shared" si="178"/>
        <v/>
      </c>
      <c r="Z2717" s="497" t="str">
        <f t="shared" si="178"/>
        <v/>
      </c>
    </row>
    <row r="2718" spans="1:26" s="82" customFormat="1" ht="32" x14ac:dyDescent="0.4">
      <c r="A2718" s="493">
        <v>67111</v>
      </c>
      <c r="B2718" s="105" t="s">
        <v>329</v>
      </c>
      <c r="C2718" s="493" t="s">
        <v>330</v>
      </c>
      <c r="D2718" s="105" t="s">
        <v>3255</v>
      </c>
      <c r="E2718" s="105" t="s">
        <v>3256</v>
      </c>
      <c r="F2718" s="493">
        <v>66000</v>
      </c>
      <c r="G2718" s="105" t="s">
        <v>34</v>
      </c>
      <c r="H2718" s="105" t="s">
        <v>342</v>
      </c>
      <c r="I2718" s="105" t="s">
        <v>334</v>
      </c>
      <c r="J2718" s="493">
        <v>22</v>
      </c>
      <c r="K2718" s="493">
        <v>2</v>
      </c>
      <c r="L2718" s="105" t="s">
        <v>343</v>
      </c>
      <c r="M2718" s="105" t="s">
        <v>655</v>
      </c>
      <c r="N2718" s="105" t="s">
        <v>656</v>
      </c>
      <c r="O2718" s="105" t="s">
        <v>656</v>
      </c>
      <c r="P2718" s="105" t="s">
        <v>339</v>
      </c>
      <c r="Q2718" s="494">
        <v>0</v>
      </c>
      <c r="R2718" s="494">
        <v>0</v>
      </c>
      <c r="S2718" s="494">
        <v>18504</v>
      </c>
      <c r="T2718" s="494">
        <v>18504</v>
      </c>
      <c r="U2718" s="494">
        <v>5423</v>
      </c>
      <c r="V2718" s="493">
        <v>2024</v>
      </c>
      <c r="W2718" s="495"/>
      <c r="X2718" s="496">
        <f t="shared" si="177"/>
        <v>3.4121335054397934</v>
      </c>
      <c r="Y2718" s="497" t="str">
        <f t="shared" si="178"/>
        <v/>
      </c>
      <c r="Z2718" s="497" t="str">
        <f t="shared" si="178"/>
        <v/>
      </c>
    </row>
    <row r="2719" spans="1:26" s="82" customFormat="1" x14ac:dyDescent="0.4">
      <c r="A2719" s="493">
        <v>67113</v>
      </c>
      <c r="B2719" s="105" t="s">
        <v>329</v>
      </c>
      <c r="C2719" s="493" t="s">
        <v>330</v>
      </c>
      <c r="D2719" s="105" t="s">
        <v>3257</v>
      </c>
      <c r="E2719" s="105" t="s">
        <v>3258</v>
      </c>
      <c r="F2719" s="493">
        <v>66003</v>
      </c>
      <c r="G2719" s="105" t="s">
        <v>52</v>
      </c>
      <c r="H2719" s="105" t="s">
        <v>333</v>
      </c>
      <c r="I2719" s="105" t="s">
        <v>334</v>
      </c>
      <c r="J2719" s="493">
        <v>22</v>
      </c>
      <c r="K2719" s="493">
        <v>2</v>
      </c>
      <c r="L2719" s="105" t="s">
        <v>343</v>
      </c>
      <c r="M2719" s="105" t="s">
        <v>655</v>
      </c>
      <c r="N2719" s="105" t="s">
        <v>656</v>
      </c>
      <c r="O2719" s="105" t="s">
        <v>656</v>
      </c>
      <c r="P2719" s="105" t="s">
        <v>339</v>
      </c>
      <c r="Q2719" s="494">
        <v>0</v>
      </c>
      <c r="R2719" s="494">
        <v>0</v>
      </c>
      <c r="S2719" s="494">
        <v>14857</v>
      </c>
      <c r="T2719" s="494">
        <v>14857</v>
      </c>
      <c r="U2719" s="494">
        <v>4354</v>
      </c>
      <c r="V2719" s="493">
        <v>2024</v>
      </c>
      <c r="W2719" s="495"/>
      <c r="X2719" s="496">
        <f t="shared" si="177"/>
        <v>3.4122645842903077</v>
      </c>
      <c r="Y2719" s="497" t="str">
        <f t="shared" si="178"/>
        <v/>
      </c>
      <c r="Z2719" s="497" t="str">
        <f t="shared" si="178"/>
        <v/>
      </c>
    </row>
    <row r="2720" spans="1:26" s="82" customFormat="1" ht="32" x14ac:dyDescent="0.4">
      <c r="A2720" s="493">
        <v>67116</v>
      </c>
      <c r="B2720" s="105" t="s">
        <v>329</v>
      </c>
      <c r="C2720" s="493" t="s">
        <v>330</v>
      </c>
      <c r="D2720" s="105" t="s">
        <v>3259</v>
      </c>
      <c r="E2720" s="105" t="s">
        <v>3259</v>
      </c>
      <c r="F2720" s="493">
        <v>66006</v>
      </c>
      <c r="G2720" s="105" t="s">
        <v>38</v>
      </c>
      <c r="H2720" s="105" t="s">
        <v>342</v>
      </c>
      <c r="I2720" s="105" t="s">
        <v>334</v>
      </c>
      <c r="J2720" s="493">
        <v>22</v>
      </c>
      <c r="K2720" s="493">
        <v>2</v>
      </c>
      <c r="L2720" s="105" t="s">
        <v>343</v>
      </c>
      <c r="M2720" s="105" t="s">
        <v>655</v>
      </c>
      <c r="N2720" s="105" t="s">
        <v>656</v>
      </c>
      <c r="O2720" s="105" t="s">
        <v>656</v>
      </c>
      <c r="P2720" s="105" t="s">
        <v>339</v>
      </c>
      <c r="Q2720" s="494">
        <v>0</v>
      </c>
      <c r="R2720" s="494">
        <v>0</v>
      </c>
      <c r="S2720" s="494">
        <v>112891</v>
      </c>
      <c r="T2720" s="494">
        <v>112891</v>
      </c>
      <c r="U2720" s="494">
        <v>33086</v>
      </c>
      <c r="V2720" s="493">
        <v>2024</v>
      </c>
      <c r="W2720" s="495"/>
      <c r="X2720" s="496">
        <f t="shared" si="177"/>
        <v>3.4120473916460132</v>
      </c>
      <c r="Y2720" s="497" t="str">
        <f t="shared" si="178"/>
        <v/>
      </c>
      <c r="Z2720" s="497" t="str">
        <f t="shared" si="178"/>
        <v/>
      </c>
    </row>
    <row r="2721" spans="1:26" s="82" customFormat="1" ht="48" x14ac:dyDescent="0.4">
      <c r="A2721" s="493">
        <v>67117</v>
      </c>
      <c r="B2721" s="105" t="s">
        <v>329</v>
      </c>
      <c r="C2721" s="493" t="s">
        <v>330</v>
      </c>
      <c r="D2721" s="105" t="s">
        <v>3260</v>
      </c>
      <c r="E2721" s="105" t="s">
        <v>3261</v>
      </c>
      <c r="F2721" s="493">
        <v>66005</v>
      </c>
      <c r="G2721" s="105" t="s">
        <v>38</v>
      </c>
      <c r="H2721" s="105" t="s">
        <v>342</v>
      </c>
      <c r="I2721" s="105" t="s">
        <v>334</v>
      </c>
      <c r="J2721" s="493">
        <v>22</v>
      </c>
      <c r="K2721" s="493">
        <v>2</v>
      </c>
      <c r="L2721" s="105" t="s">
        <v>343</v>
      </c>
      <c r="M2721" s="105" t="s">
        <v>655</v>
      </c>
      <c r="N2721" s="105" t="s">
        <v>656</v>
      </c>
      <c r="O2721" s="105" t="s">
        <v>656</v>
      </c>
      <c r="P2721" s="105" t="s">
        <v>339</v>
      </c>
      <c r="Q2721" s="494">
        <v>0</v>
      </c>
      <c r="R2721" s="494">
        <v>0</v>
      </c>
      <c r="S2721" s="494">
        <v>72852</v>
      </c>
      <c r="T2721" s="494">
        <v>72852</v>
      </c>
      <c r="U2721" s="494">
        <v>21352</v>
      </c>
      <c r="V2721" s="493">
        <v>2024</v>
      </c>
      <c r="W2721" s="495"/>
      <c r="X2721" s="496">
        <f t="shared" si="177"/>
        <v>3.4119520419632821</v>
      </c>
      <c r="Y2721" s="497" t="str">
        <f t="shared" si="178"/>
        <v/>
      </c>
      <c r="Z2721" s="497" t="str">
        <f t="shared" si="178"/>
        <v/>
      </c>
    </row>
    <row r="2722" spans="1:26" s="82" customFormat="1" x14ac:dyDescent="0.4">
      <c r="A2722" s="493">
        <v>67142</v>
      </c>
      <c r="B2722" s="105" t="s">
        <v>329</v>
      </c>
      <c r="C2722" s="493" t="s">
        <v>330</v>
      </c>
      <c r="D2722" s="105" t="s">
        <v>3262</v>
      </c>
      <c r="E2722" s="105" t="s">
        <v>3263</v>
      </c>
      <c r="F2722" s="493">
        <v>66015</v>
      </c>
      <c r="G2722" s="105" t="s">
        <v>38</v>
      </c>
      <c r="H2722" s="105" t="s">
        <v>342</v>
      </c>
      <c r="I2722" s="105" t="s">
        <v>334</v>
      </c>
      <c r="J2722" s="493">
        <v>22</v>
      </c>
      <c r="K2722" s="493">
        <v>2</v>
      </c>
      <c r="L2722" s="105" t="s">
        <v>343</v>
      </c>
      <c r="M2722" s="105" t="s">
        <v>655</v>
      </c>
      <c r="N2722" s="105" t="s">
        <v>656</v>
      </c>
      <c r="O2722" s="105" t="s">
        <v>656</v>
      </c>
      <c r="P2722" s="105" t="s">
        <v>339</v>
      </c>
      <c r="Q2722" s="494">
        <v>0</v>
      </c>
      <c r="R2722" s="494">
        <v>0</v>
      </c>
      <c r="S2722" s="494">
        <v>4691</v>
      </c>
      <c r="T2722" s="494">
        <v>4691</v>
      </c>
      <c r="U2722" s="494">
        <v>1375</v>
      </c>
      <c r="V2722" s="493">
        <v>2024</v>
      </c>
      <c r="W2722" s="495"/>
      <c r="X2722" s="496">
        <f t="shared" si="177"/>
        <v>3.4116363636363638</v>
      </c>
      <c r="Y2722" s="497" t="str">
        <f t="shared" si="178"/>
        <v/>
      </c>
      <c r="Z2722" s="497" t="str">
        <f t="shared" si="178"/>
        <v/>
      </c>
    </row>
    <row r="2723" spans="1:26" s="82" customFormat="1" x14ac:dyDescent="0.4">
      <c r="A2723" s="493">
        <v>67143</v>
      </c>
      <c r="B2723" s="105" t="s">
        <v>329</v>
      </c>
      <c r="C2723" s="493" t="s">
        <v>330</v>
      </c>
      <c r="D2723" s="105" t="s">
        <v>3264</v>
      </c>
      <c r="E2723" s="105" t="s">
        <v>3263</v>
      </c>
      <c r="F2723" s="493">
        <v>66015</v>
      </c>
      <c r="G2723" s="105" t="s">
        <v>38</v>
      </c>
      <c r="H2723" s="105" t="s">
        <v>342</v>
      </c>
      <c r="I2723" s="105" t="s">
        <v>334</v>
      </c>
      <c r="J2723" s="493">
        <v>22</v>
      </c>
      <c r="K2723" s="493">
        <v>2</v>
      </c>
      <c r="L2723" s="105" t="s">
        <v>343</v>
      </c>
      <c r="M2723" s="105" t="s">
        <v>655</v>
      </c>
      <c r="N2723" s="105" t="s">
        <v>656</v>
      </c>
      <c r="O2723" s="105" t="s">
        <v>656</v>
      </c>
      <c r="P2723" s="105" t="s">
        <v>339</v>
      </c>
      <c r="Q2723" s="494">
        <v>0</v>
      </c>
      <c r="R2723" s="494">
        <v>0</v>
      </c>
      <c r="S2723" s="494">
        <v>34633</v>
      </c>
      <c r="T2723" s="494">
        <v>34633</v>
      </c>
      <c r="U2723" s="494">
        <v>10150</v>
      </c>
      <c r="V2723" s="493">
        <v>2024</v>
      </c>
      <c r="W2723" s="495"/>
      <c r="X2723" s="496">
        <f t="shared" si="177"/>
        <v>3.4121182266009851</v>
      </c>
      <c r="Y2723" s="497" t="str">
        <f t="shared" si="178"/>
        <v/>
      </c>
      <c r="Z2723" s="497" t="str">
        <f t="shared" si="178"/>
        <v/>
      </c>
    </row>
    <row r="2724" spans="1:26" s="82" customFormat="1" ht="32" x14ac:dyDescent="0.4">
      <c r="A2724" s="493">
        <v>67144</v>
      </c>
      <c r="B2724" s="105" t="s">
        <v>329</v>
      </c>
      <c r="C2724" s="493" t="s">
        <v>330</v>
      </c>
      <c r="D2724" s="105" t="s">
        <v>3265</v>
      </c>
      <c r="E2724" s="105" t="s">
        <v>3266</v>
      </c>
      <c r="F2724" s="493">
        <v>66016</v>
      </c>
      <c r="G2724" s="105" t="s">
        <v>52</v>
      </c>
      <c r="H2724" s="105" t="s">
        <v>333</v>
      </c>
      <c r="I2724" s="105" t="s">
        <v>334</v>
      </c>
      <c r="J2724" s="493">
        <v>22</v>
      </c>
      <c r="K2724" s="493">
        <v>2</v>
      </c>
      <c r="L2724" s="105" t="s">
        <v>343</v>
      </c>
      <c r="M2724" s="105" t="s">
        <v>655</v>
      </c>
      <c r="N2724" s="105" t="s">
        <v>656</v>
      </c>
      <c r="O2724" s="105" t="s">
        <v>656</v>
      </c>
      <c r="P2724" s="105" t="s">
        <v>339</v>
      </c>
      <c r="Q2724" s="494">
        <v>0</v>
      </c>
      <c r="R2724" s="494">
        <v>0</v>
      </c>
      <c r="S2724" s="494">
        <v>14524</v>
      </c>
      <c r="T2724" s="494">
        <v>14524</v>
      </c>
      <c r="U2724" s="494">
        <v>4257</v>
      </c>
      <c r="V2724" s="493">
        <v>2024</v>
      </c>
      <c r="W2724" s="495"/>
      <c r="X2724" s="496">
        <f t="shared" si="177"/>
        <v>3.4117923420249001</v>
      </c>
      <c r="Y2724" s="497" t="str">
        <f t="shared" si="178"/>
        <v/>
      </c>
      <c r="Z2724" s="497" t="str">
        <f t="shared" si="178"/>
        <v/>
      </c>
    </row>
    <row r="2725" spans="1:26" s="82" customFormat="1" ht="32" x14ac:dyDescent="0.4">
      <c r="A2725" s="493">
        <v>67146</v>
      </c>
      <c r="B2725" s="105" t="s">
        <v>329</v>
      </c>
      <c r="C2725" s="493" t="s">
        <v>330</v>
      </c>
      <c r="D2725" s="105" t="s">
        <v>3267</v>
      </c>
      <c r="E2725" s="105" t="s">
        <v>1452</v>
      </c>
      <c r="F2725" s="493">
        <v>58871</v>
      </c>
      <c r="G2725" s="105" t="s">
        <v>33</v>
      </c>
      <c r="H2725" s="105" t="s">
        <v>342</v>
      </c>
      <c r="I2725" s="105" t="s">
        <v>334</v>
      </c>
      <c r="J2725" s="493">
        <v>22</v>
      </c>
      <c r="K2725" s="493">
        <v>2</v>
      </c>
      <c r="L2725" s="105" t="s">
        <v>343</v>
      </c>
      <c r="M2725" s="105" t="s">
        <v>655</v>
      </c>
      <c r="N2725" s="105" t="s">
        <v>656</v>
      </c>
      <c r="O2725" s="105" t="s">
        <v>656</v>
      </c>
      <c r="P2725" s="105" t="s">
        <v>339</v>
      </c>
      <c r="Q2725" s="494">
        <v>0</v>
      </c>
      <c r="R2725" s="494">
        <v>0</v>
      </c>
      <c r="S2725" s="494">
        <v>23243</v>
      </c>
      <c r="T2725" s="494">
        <v>23243</v>
      </c>
      <c r="U2725" s="494">
        <v>6812</v>
      </c>
      <c r="V2725" s="493">
        <v>2024</v>
      </c>
      <c r="W2725" s="495"/>
      <c r="X2725" s="496">
        <f t="shared" si="177"/>
        <v>3.412066940692895</v>
      </c>
      <c r="Y2725" s="497" t="str">
        <f t="shared" si="178"/>
        <v/>
      </c>
      <c r="Z2725" s="497" t="str">
        <f t="shared" si="178"/>
        <v/>
      </c>
    </row>
    <row r="2726" spans="1:26" s="82" customFormat="1" ht="32" x14ac:dyDescent="0.4">
      <c r="A2726" s="493">
        <v>67149</v>
      </c>
      <c r="B2726" s="105" t="s">
        <v>329</v>
      </c>
      <c r="C2726" s="493" t="s">
        <v>330</v>
      </c>
      <c r="D2726" s="105" t="s">
        <v>3268</v>
      </c>
      <c r="E2726" s="105" t="s">
        <v>1452</v>
      </c>
      <c r="F2726" s="493">
        <v>58871</v>
      </c>
      <c r="G2726" s="105" t="s">
        <v>33</v>
      </c>
      <c r="H2726" s="105" t="s">
        <v>342</v>
      </c>
      <c r="I2726" s="105" t="s">
        <v>334</v>
      </c>
      <c r="J2726" s="493">
        <v>22</v>
      </c>
      <c r="K2726" s="493">
        <v>2</v>
      </c>
      <c r="L2726" s="105" t="s">
        <v>343</v>
      </c>
      <c r="M2726" s="105" t="s">
        <v>655</v>
      </c>
      <c r="N2726" s="105" t="s">
        <v>656</v>
      </c>
      <c r="O2726" s="105" t="s">
        <v>656</v>
      </c>
      <c r="P2726" s="105" t="s">
        <v>339</v>
      </c>
      <c r="Q2726" s="494">
        <v>0</v>
      </c>
      <c r="R2726" s="494">
        <v>0</v>
      </c>
      <c r="S2726" s="494">
        <v>9185</v>
      </c>
      <c r="T2726" s="494">
        <v>9185</v>
      </c>
      <c r="U2726" s="494">
        <v>2692</v>
      </c>
      <c r="V2726" s="493">
        <v>2024</v>
      </c>
      <c r="W2726" s="495"/>
      <c r="X2726" s="496">
        <f t="shared" si="177"/>
        <v>3.4119613670133728</v>
      </c>
      <c r="Y2726" s="497" t="str">
        <f t="shared" si="178"/>
        <v/>
      </c>
      <c r="Z2726" s="497" t="str">
        <f t="shared" si="178"/>
        <v/>
      </c>
    </row>
    <row r="2727" spans="1:26" s="82" customFormat="1" ht="32" x14ac:dyDescent="0.4">
      <c r="A2727" s="493">
        <v>67150</v>
      </c>
      <c r="B2727" s="105" t="s">
        <v>329</v>
      </c>
      <c r="C2727" s="493" t="s">
        <v>330</v>
      </c>
      <c r="D2727" s="105" t="s">
        <v>3269</v>
      </c>
      <c r="E2727" s="105" t="s">
        <v>1452</v>
      </c>
      <c r="F2727" s="493">
        <v>58871</v>
      </c>
      <c r="G2727" s="105" t="s">
        <v>33</v>
      </c>
      <c r="H2727" s="105" t="s">
        <v>342</v>
      </c>
      <c r="I2727" s="105" t="s">
        <v>334</v>
      </c>
      <c r="J2727" s="493">
        <v>22</v>
      </c>
      <c r="K2727" s="493">
        <v>2</v>
      </c>
      <c r="L2727" s="105" t="s">
        <v>343</v>
      </c>
      <c r="M2727" s="105" t="s">
        <v>655</v>
      </c>
      <c r="N2727" s="105" t="s">
        <v>656</v>
      </c>
      <c r="O2727" s="105" t="s">
        <v>656</v>
      </c>
      <c r="P2727" s="105" t="s">
        <v>339</v>
      </c>
      <c r="Q2727" s="494">
        <v>0</v>
      </c>
      <c r="R2727" s="494">
        <v>0</v>
      </c>
      <c r="S2727" s="494">
        <v>21510</v>
      </c>
      <c r="T2727" s="494">
        <v>21510</v>
      </c>
      <c r="U2727" s="494">
        <v>6304</v>
      </c>
      <c r="V2727" s="493">
        <v>2024</v>
      </c>
      <c r="W2727" s="495"/>
      <c r="X2727" s="496">
        <f t="shared" si="177"/>
        <v>3.4121192893401013</v>
      </c>
      <c r="Y2727" s="497" t="str">
        <f t="shared" si="178"/>
        <v/>
      </c>
      <c r="Z2727" s="497" t="str">
        <f t="shared" si="178"/>
        <v/>
      </c>
    </row>
    <row r="2728" spans="1:26" s="82" customFormat="1" ht="32" x14ac:dyDescent="0.4">
      <c r="A2728" s="493">
        <v>67151</v>
      </c>
      <c r="B2728" s="105" t="s">
        <v>329</v>
      </c>
      <c r="C2728" s="493" t="s">
        <v>330</v>
      </c>
      <c r="D2728" s="105" t="s">
        <v>3270</v>
      </c>
      <c r="E2728" s="105" t="s">
        <v>1452</v>
      </c>
      <c r="F2728" s="493">
        <v>58871</v>
      </c>
      <c r="G2728" s="105" t="s">
        <v>33</v>
      </c>
      <c r="H2728" s="105" t="s">
        <v>342</v>
      </c>
      <c r="I2728" s="105" t="s">
        <v>334</v>
      </c>
      <c r="J2728" s="493">
        <v>22</v>
      </c>
      <c r="K2728" s="493">
        <v>2</v>
      </c>
      <c r="L2728" s="105" t="s">
        <v>343</v>
      </c>
      <c r="M2728" s="105" t="s">
        <v>655</v>
      </c>
      <c r="N2728" s="105" t="s">
        <v>656</v>
      </c>
      <c r="O2728" s="105" t="s">
        <v>656</v>
      </c>
      <c r="P2728" s="105" t="s">
        <v>339</v>
      </c>
      <c r="Q2728" s="494">
        <v>0</v>
      </c>
      <c r="R2728" s="494">
        <v>0</v>
      </c>
      <c r="S2728" s="494">
        <v>12441</v>
      </c>
      <c r="T2728" s="494">
        <v>12441</v>
      </c>
      <c r="U2728" s="494">
        <v>3646</v>
      </c>
      <c r="V2728" s="493">
        <v>2024</v>
      </c>
      <c r="W2728" s="495"/>
      <c r="X2728" s="496">
        <f t="shared" si="177"/>
        <v>3.4122325836533185</v>
      </c>
      <c r="Y2728" s="497" t="str">
        <f t="shared" ref="Y2728:Z2747" si="179">IF(AND($M2728=$Y$2,$N2728=$Y$3,NOT($Q2728=$R2728),NOT($U2728=0)),IF($K2728=5,$S2728/($U2728+(8/5)*$U2728),IF($K2728=7,$S2728/($U2728+(29/25)*$U2728),"")),"")</f>
        <v/>
      </c>
      <c r="Z2728" s="497" t="str">
        <f t="shared" si="179"/>
        <v/>
      </c>
    </row>
    <row r="2729" spans="1:26" s="82" customFormat="1" ht="48" x14ac:dyDescent="0.4">
      <c r="A2729" s="493">
        <v>67154</v>
      </c>
      <c r="B2729" s="105" t="s">
        <v>329</v>
      </c>
      <c r="C2729" s="493" t="s">
        <v>330</v>
      </c>
      <c r="D2729" s="105" t="s">
        <v>3271</v>
      </c>
      <c r="E2729" s="105" t="s">
        <v>1354</v>
      </c>
      <c r="F2729" s="493">
        <v>60025</v>
      </c>
      <c r="G2729" s="105" t="s">
        <v>34</v>
      </c>
      <c r="H2729" s="105" t="s">
        <v>342</v>
      </c>
      <c r="I2729" s="105" t="s">
        <v>334</v>
      </c>
      <c r="J2729" s="493">
        <v>22</v>
      </c>
      <c r="K2729" s="493">
        <v>2</v>
      </c>
      <c r="L2729" s="105" t="s">
        <v>343</v>
      </c>
      <c r="M2729" s="105" t="s">
        <v>655</v>
      </c>
      <c r="N2729" s="105" t="s">
        <v>656</v>
      </c>
      <c r="O2729" s="105" t="s">
        <v>656</v>
      </c>
      <c r="P2729" s="105" t="s">
        <v>339</v>
      </c>
      <c r="Q2729" s="494">
        <v>0</v>
      </c>
      <c r="R2729" s="494">
        <v>0</v>
      </c>
      <c r="S2729" s="494">
        <v>324</v>
      </c>
      <c r="T2729" s="494">
        <v>324</v>
      </c>
      <c r="U2729" s="494">
        <v>95</v>
      </c>
      <c r="V2729" s="493">
        <v>2024</v>
      </c>
      <c r="W2729" s="495"/>
      <c r="X2729" s="496">
        <f t="shared" si="177"/>
        <v>3.4105263157894736</v>
      </c>
      <c r="Y2729" s="497" t="str">
        <f t="shared" si="179"/>
        <v/>
      </c>
      <c r="Z2729" s="497" t="str">
        <f t="shared" si="179"/>
        <v/>
      </c>
    </row>
    <row r="2730" spans="1:26" s="82" customFormat="1" ht="48" x14ac:dyDescent="0.4">
      <c r="A2730" s="493">
        <v>67155</v>
      </c>
      <c r="B2730" s="105" t="s">
        <v>329</v>
      </c>
      <c r="C2730" s="493" t="s">
        <v>330</v>
      </c>
      <c r="D2730" s="105" t="s">
        <v>3272</v>
      </c>
      <c r="E2730" s="105" t="s">
        <v>1354</v>
      </c>
      <c r="F2730" s="493">
        <v>60025</v>
      </c>
      <c r="G2730" s="105" t="s">
        <v>34</v>
      </c>
      <c r="H2730" s="105" t="s">
        <v>342</v>
      </c>
      <c r="I2730" s="105" t="s">
        <v>334</v>
      </c>
      <c r="J2730" s="493">
        <v>22</v>
      </c>
      <c r="K2730" s="493">
        <v>2</v>
      </c>
      <c r="L2730" s="105" t="s">
        <v>343</v>
      </c>
      <c r="M2730" s="105" t="s">
        <v>655</v>
      </c>
      <c r="N2730" s="105" t="s">
        <v>656</v>
      </c>
      <c r="O2730" s="105" t="s">
        <v>656</v>
      </c>
      <c r="P2730" s="105" t="s">
        <v>339</v>
      </c>
      <c r="Q2730" s="494">
        <v>0</v>
      </c>
      <c r="R2730" s="494">
        <v>0</v>
      </c>
      <c r="S2730" s="494">
        <v>0</v>
      </c>
      <c r="T2730" s="494">
        <v>0</v>
      </c>
      <c r="U2730" s="494">
        <v>0</v>
      </c>
      <c r="V2730" s="493">
        <v>2024</v>
      </c>
      <c r="W2730" s="495"/>
      <c r="X2730" s="496" t="str">
        <f t="shared" si="177"/>
        <v/>
      </c>
      <c r="Y2730" s="497" t="str">
        <f t="shared" si="179"/>
        <v/>
      </c>
      <c r="Z2730" s="497" t="str">
        <f t="shared" si="179"/>
        <v/>
      </c>
    </row>
    <row r="2731" spans="1:26" s="82" customFormat="1" x14ac:dyDescent="0.4">
      <c r="A2731" s="493">
        <v>67162</v>
      </c>
      <c r="B2731" s="105" t="s">
        <v>329</v>
      </c>
      <c r="C2731" s="493" t="s">
        <v>330</v>
      </c>
      <c r="D2731" s="105" t="s">
        <v>3273</v>
      </c>
      <c r="E2731" s="105" t="s">
        <v>3274</v>
      </c>
      <c r="F2731" s="493">
        <v>66033</v>
      </c>
      <c r="G2731" s="105" t="s">
        <v>33</v>
      </c>
      <c r="H2731" s="105" t="s">
        <v>342</v>
      </c>
      <c r="I2731" s="105" t="s">
        <v>334</v>
      </c>
      <c r="J2731" s="493">
        <v>22</v>
      </c>
      <c r="K2731" s="493">
        <v>2</v>
      </c>
      <c r="L2731" s="105" t="s">
        <v>343</v>
      </c>
      <c r="M2731" s="105" t="s">
        <v>403</v>
      </c>
      <c r="N2731" s="105" t="s">
        <v>404</v>
      </c>
      <c r="O2731" s="105" t="s">
        <v>232</v>
      </c>
      <c r="P2731" s="105" t="s">
        <v>346</v>
      </c>
      <c r="Q2731" s="494">
        <v>526</v>
      </c>
      <c r="R2731" s="494">
        <v>526</v>
      </c>
      <c r="S2731" s="494">
        <v>0</v>
      </c>
      <c r="T2731" s="494">
        <v>0</v>
      </c>
      <c r="U2731" s="494">
        <v>-147</v>
      </c>
      <c r="V2731" s="493">
        <v>2024</v>
      </c>
      <c r="W2731" s="495"/>
      <c r="X2731" s="496" t="str">
        <f t="shared" si="177"/>
        <v/>
      </c>
      <c r="Y2731" s="497" t="str">
        <f t="shared" si="179"/>
        <v/>
      </c>
      <c r="Z2731" s="497" t="str">
        <f t="shared" si="179"/>
        <v/>
      </c>
    </row>
    <row r="2732" spans="1:26" s="82" customFormat="1" x14ac:dyDescent="0.4">
      <c r="A2732" s="493">
        <v>67181</v>
      </c>
      <c r="B2732" s="105" t="s">
        <v>329</v>
      </c>
      <c r="C2732" s="493" t="s">
        <v>330</v>
      </c>
      <c r="D2732" s="105" t="s">
        <v>3275</v>
      </c>
      <c r="E2732" s="105" t="s">
        <v>3276</v>
      </c>
      <c r="F2732" s="493">
        <v>66060</v>
      </c>
      <c r="G2732" s="105" t="s">
        <v>52</v>
      </c>
      <c r="H2732" s="105" t="s">
        <v>333</v>
      </c>
      <c r="I2732" s="105" t="s">
        <v>334</v>
      </c>
      <c r="J2732" s="493">
        <v>22</v>
      </c>
      <c r="K2732" s="493">
        <v>2</v>
      </c>
      <c r="L2732" s="105" t="s">
        <v>343</v>
      </c>
      <c r="M2732" s="105" t="s">
        <v>655</v>
      </c>
      <c r="N2732" s="105" t="s">
        <v>656</v>
      </c>
      <c r="O2732" s="105" t="s">
        <v>656</v>
      </c>
      <c r="P2732" s="105" t="s">
        <v>339</v>
      </c>
      <c r="Q2732" s="494">
        <v>0</v>
      </c>
      <c r="R2732" s="494">
        <v>0</v>
      </c>
      <c r="S2732" s="494">
        <v>18535</v>
      </c>
      <c r="T2732" s="494">
        <v>18535</v>
      </c>
      <c r="U2732" s="494">
        <v>5432</v>
      </c>
      <c r="V2732" s="493">
        <v>2024</v>
      </c>
      <c r="W2732" s="495"/>
      <c r="X2732" s="496">
        <f t="shared" si="177"/>
        <v>3.4121870397643592</v>
      </c>
      <c r="Y2732" s="497" t="str">
        <f t="shared" si="179"/>
        <v/>
      </c>
      <c r="Z2732" s="497" t="str">
        <f t="shared" si="179"/>
        <v/>
      </c>
    </row>
    <row r="2733" spans="1:26" s="82" customFormat="1" x14ac:dyDescent="0.4">
      <c r="A2733" s="493">
        <v>67185</v>
      </c>
      <c r="B2733" s="105" t="s">
        <v>329</v>
      </c>
      <c r="C2733" s="493" t="s">
        <v>330</v>
      </c>
      <c r="D2733" s="105" t="s">
        <v>3277</v>
      </c>
      <c r="E2733" s="105" t="s">
        <v>3278</v>
      </c>
      <c r="F2733" s="493">
        <v>66067</v>
      </c>
      <c r="G2733" s="105" t="s">
        <v>33</v>
      </c>
      <c r="H2733" s="105" t="s">
        <v>342</v>
      </c>
      <c r="I2733" s="105" t="s">
        <v>334</v>
      </c>
      <c r="J2733" s="493">
        <v>22</v>
      </c>
      <c r="K2733" s="493">
        <v>2</v>
      </c>
      <c r="L2733" s="105" t="s">
        <v>343</v>
      </c>
      <c r="M2733" s="105" t="s">
        <v>403</v>
      </c>
      <c r="N2733" s="105" t="s">
        <v>404</v>
      </c>
      <c r="O2733" s="105" t="s">
        <v>232</v>
      </c>
      <c r="P2733" s="105" t="s">
        <v>346</v>
      </c>
      <c r="Q2733" s="494">
        <v>715</v>
      </c>
      <c r="R2733" s="494">
        <v>715</v>
      </c>
      <c r="S2733" s="494">
        <v>0</v>
      </c>
      <c r="T2733" s="494">
        <v>0</v>
      </c>
      <c r="U2733" s="494">
        <v>-117</v>
      </c>
      <c r="V2733" s="493">
        <v>2024</v>
      </c>
      <c r="W2733" s="495"/>
      <c r="X2733" s="496" t="str">
        <f t="shared" si="177"/>
        <v/>
      </c>
      <c r="Y2733" s="497" t="str">
        <f t="shared" si="179"/>
        <v/>
      </c>
      <c r="Z2733" s="497" t="str">
        <f t="shared" si="179"/>
        <v/>
      </c>
    </row>
    <row r="2734" spans="1:26" s="82" customFormat="1" x14ac:dyDescent="0.4">
      <c r="A2734" s="493">
        <v>67186</v>
      </c>
      <c r="B2734" s="105" t="s">
        <v>329</v>
      </c>
      <c r="C2734" s="493" t="s">
        <v>330</v>
      </c>
      <c r="D2734" s="105" t="s">
        <v>3279</v>
      </c>
      <c r="E2734" s="105" t="s">
        <v>3280</v>
      </c>
      <c r="F2734" s="493">
        <v>66068</v>
      </c>
      <c r="G2734" s="105" t="s">
        <v>33</v>
      </c>
      <c r="H2734" s="105" t="s">
        <v>342</v>
      </c>
      <c r="I2734" s="105" t="s">
        <v>334</v>
      </c>
      <c r="J2734" s="493">
        <v>22</v>
      </c>
      <c r="K2734" s="493">
        <v>2</v>
      </c>
      <c r="L2734" s="105" t="s">
        <v>343</v>
      </c>
      <c r="M2734" s="105" t="s">
        <v>403</v>
      </c>
      <c r="N2734" s="105" t="s">
        <v>404</v>
      </c>
      <c r="O2734" s="105" t="s">
        <v>232</v>
      </c>
      <c r="P2734" s="105" t="s">
        <v>346</v>
      </c>
      <c r="Q2734" s="494">
        <v>655</v>
      </c>
      <c r="R2734" s="494">
        <v>655</v>
      </c>
      <c r="S2734" s="494">
        <v>0</v>
      </c>
      <c r="T2734" s="494">
        <v>0</v>
      </c>
      <c r="U2734" s="494">
        <v>-98</v>
      </c>
      <c r="V2734" s="493">
        <v>2024</v>
      </c>
      <c r="W2734" s="495"/>
      <c r="X2734" s="496" t="str">
        <f t="shared" si="177"/>
        <v/>
      </c>
      <c r="Y2734" s="497" t="str">
        <f t="shared" si="179"/>
        <v/>
      </c>
      <c r="Z2734" s="497" t="str">
        <f t="shared" si="179"/>
        <v/>
      </c>
    </row>
    <row r="2735" spans="1:26" s="82" customFormat="1" x14ac:dyDescent="0.4">
      <c r="A2735" s="493">
        <v>67187</v>
      </c>
      <c r="B2735" s="105" t="s">
        <v>329</v>
      </c>
      <c r="C2735" s="493" t="s">
        <v>330</v>
      </c>
      <c r="D2735" s="105" t="s">
        <v>3281</v>
      </c>
      <c r="E2735" s="105" t="s">
        <v>3282</v>
      </c>
      <c r="F2735" s="493">
        <v>66069</v>
      </c>
      <c r="G2735" s="105" t="s">
        <v>33</v>
      </c>
      <c r="H2735" s="105" t="s">
        <v>342</v>
      </c>
      <c r="I2735" s="105" t="s">
        <v>334</v>
      </c>
      <c r="J2735" s="493">
        <v>22</v>
      </c>
      <c r="K2735" s="493">
        <v>2</v>
      </c>
      <c r="L2735" s="105" t="s">
        <v>343</v>
      </c>
      <c r="M2735" s="105" t="s">
        <v>403</v>
      </c>
      <c r="N2735" s="105" t="s">
        <v>404</v>
      </c>
      <c r="O2735" s="105" t="s">
        <v>232</v>
      </c>
      <c r="P2735" s="105" t="s">
        <v>346</v>
      </c>
      <c r="Q2735" s="494">
        <v>283</v>
      </c>
      <c r="R2735" s="494">
        <v>283</v>
      </c>
      <c r="S2735" s="494">
        <v>0</v>
      </c>
      <c r="T2735" s="494">
        <v>0</v>
      </c>
      <c r="U2735" s="494">
        <v>-50</v>
      </c>
      <c r="V2735" s="493">
        <v>2024</v>
      </c>
      <c r="W2735" s="495"/>
      <c r="X2735" s="496" t="str">
        <f t="shared" si="177"/>
        <v/>
      </c>
      <c r="Y2735" s="497" t="str">
        <f t="shared" si="179"/>
        <v/>
      </c>
      <c r="Z2735" s="497" t="str">
        <f t="shared" si="179"/>
        <v/>
      </c>
    </row>
    <row r="2736" spans="1:26" s="82" customFormat="1" ht="32" x14ac:dyDescent="0.4">
      <c r="A2736" s="493">
        <v>67194</v>
      </c>
      <c r="B2736" s="105" t="s">
        <v>329</v>
      </c>
      <c r="C2736" s="493" t="s">
        <v>330</v>
      </c>
      <c r="D2736" s="105" t="s">
        <v>3283</v>
      </c>
      <c r="E2736" s="105" t="s">
        <v>3284</v>
      </c>
      <c r="F2736" s="493">
        <v>66074</v>
      </c>
      <c r="G2736" s="105" t="s">
        <v>34</v>
      </c>
      <c r="H2736" s="105" t="s">
        <v>342</v>
      </c>
      <c r="I2736" s="105" t="s">
        <v>334</v>
      </c>
      <c r="J2736" s="493">
        <v>22</v>
      </c>
      <c r="K2736" s="493">
        <v>2</v>
      </c>
      <c r="L2736" s="105" t="s">
        <v>343</v>
      </c>
      <c r="M2736" s="105" t="s">
        <v>655</v>
      </c>
      <c r="N2736" s="105" t="s">
        <v>656</v>
      </c>
      <c r="O2736" s="105" t="s">
        <v>656</v>
      </c>
      <c r="P2736" s="105" t="s">
        <v>339</v>
      </c>
      <c r="Q2736" s="494">
        <v>0</v>
      </c>
      <c r="R2736" s="494">
        <v>0</v>
      </c>
      <c r="S2736" s="494">
        <v>19681</v>
      </c>
      <c r="T2736" s="494">
        <v>19681</v>
      </c>
      <c r="U2736" s="494">
        <v>5768</v>
      </c>
      <c r="V2736" s="493">
        <v>2024</v>
      </c>
      <c r="W2736" s="495"/>
      <c r="X2736" s="496">
        <f t="shared" si="177"/>
        <v>3.4121012482662967</v>
      </c>
      <c r="Y2736" s="497" t="str">
        <f t="shared" si="179"/>
        <v/>
      </c>
      <c r="Z2736" s="497" t="str">
        <f t="shared" si="179"/>
        <v/>
      </c>
    </row>
    <row r="2737" spans="1:26" s="82" customFormat="1" x14ac:dyDescent="0.4">
      <c r="A2737" s="493">
        <v>67202</v>
      </c>
      <c r="B2737" s="105" t="s">
        <v>329</v>
      </c>
      <c r="C2737" s="493" t="s">
        <v>330</v>
      </c>
      <c r="D2737" s="105" t="s">
        <v>3285</v>
      </c>
      <c r="E2737" s="105" t="s">
        <v>3285</v>
      </c>
      <c r="F2737" s="493">
        <v>65749</v>
      </c>
      <c r="G2737" s="105" t="s">
        <v>52</v>
      </c>
      <c r="H2737" s="105" t="s">
        <v>333</v>
      </c>
      <c r="I2737" s="105" t="s">
        <v>334</v>
      </c>
      <c r="J2737" s="493">
        <v>22</v>
      </c>
      <c r="K2737" s="493">
        <v>2</v>
      </c>
      <c r="L2737" s="105" t="s">
        <v>343</v>
      </c>
      <c r="M2737" s="105" t="s">
        <v>655</v>
      </c>
      <c r="N2737" s="105" t="s">
        <v>656</v>
      </c>
      <c r="O2737" s="105" t="s">
        <v>656</v>
      </c>
      <c r="P2737" s="105" t="s">
        <v>339</v>
      </c>
      <c r="Q2737" s="494">
        <v>0</v>
      </c>
      <c r="R2737" s="494">
        <v>0</v>
      </c>
      <c r="S2737" s="494">
        <v>18903</v>
      </c>
      <c r="T2737" s="494">
        <v>18903</v>
      </c>
      <c r="U2737" s="494">
        <v>5540</v>
      </c>
      <c r="V2737" s="493">
        <v>2024</v>
      </c>
      <c r="W2737" s="495"/>
      <c r="X2737" s="496">
        <f t="shared" si="177"/>
        <v>3.4120938628158846</v>
      </c>
      <c r="Y2737" s="497" t="str">
        <f t="shared" si="179"/>
        <v/>
      </c>
      <c r="Z2737" s="497" t="str">
        <f t="shared" si="179"/>
        <v/>
      </c>
    </row>
    <row r="2738" spans="1:26" s="82" customFormat="1" x14ac:dyDescent="0.4">
      <c r="A2738" s="493">
        <v>67210</v>
      </c>
      <c r="B2738" s="105" t="s">
        <v>329</v>
      </c>
      <c r="C2738" s="493" t="s">
        <v>330</v>
      </c>
      <c r="D2738" s="105" t="s">
        <v>3286</v>
      </c>
      <c r="E2738" s="105" t="s">
        <v>3287</v>
      </c>
      <c r="F2738" s="493">
        <v>66093</v>
      </c>
      <c r="G2738" s="105" t="s">
        <v>33</v>
      </c>
      <c r="H2738" s="105" t="s">
        <v>342</v>
      </c>
      <c r="I2738" s="105" t="s">
        <v>334</v>
      </c>
      <c r="J2738" s="493">
        <v>22</v>
      </c>
      <c r="K2738" s="493">
        <v>2</v>
      </c>
      <c r="L2738" s="105" t="s">
        <v>343</v>
      </c>
      <c r="M2738" s="105" t="s">
        <v>655</v>
      </c>
      <c r="N2738" s="105" t="s">
        <v>656</v>
      </c>
      <c r="O2738" s="105" t="s">
        <v>656</v>
      </c>
      <c r="P2738" s="105" t="s">
        <v>339</v>
      </c>
      <c r="Q2738" s="494">
        <v>0</v>
      </c>
      <c r="R2738" s="494">
        <v>0</v>
      </c>
      <c r="S2738" s="494">
        <v>5804</v>
      </c>
      <c r="T2738" s="494">
        <v>5804</v>
      </c>
      <c r="U2738" s="494">
        <v>1701</v>
      </c>
      <c r="V2738" s="493">
        <v>2024</v>
      </c>
      <c r="W2738" s="495"/>
      <c r="X2738" s="496">
        <f t="shared" si="177"/>
        <v>3.4121105232216342</v>
      </c>
      <c r="Y2738" s="497" t="str">
        <f t="shared" si="179"/>
        <v/>
      </c>
      <c r="Z2738" s="497" t="str">
        <f t="shared" si="179"/>
        <v/>
      </c>
    </row>
    <row r="2739" spans="1:26" s="82" customFormat="1" ht="32" x14ac:dyDescent="0.4">
      <c r="A2739" s="493">
        <v>67212</v>
      </c>
      <c r="B2739" s="105" t="s">
        <v>329</v>
      </c>
      <c r="C2739" s="493" t="s">
        <v>330</v>
      </c>
      <c r="D2739" s="105" t="s">
        <v>3288</v>
      </c>
      <c r="E2739" s="105" t="s">
        <v>3289</v>
      </c>
      <c r="F2739" s="493">
        <v>66096</v>
      </c>
      <c r="G2739" s="105" t="s">
        <v>52</v>
      </c>
      <c r="H2739" s="105" t="s">
        <v>333</v>
      </c>
      <c r="I2739" s="105" t="s">
        <v>334</v>
      </c>
      <c r="J2739" s="493">
        <v>22</v>
      </c>
      <c r="K2739" s="493">
        <v>2</v>
      </c>
      <c r="L2739" s="105" t="s">
        <v>343</v>
      </c>
      <c r="M2739" s="105" t="s">
        <v>655</v>
      </c>
      <c r="N2739" s="105" t="s">
        <v>656</v>
      </c>
      <c r="O2739" s="105" t="s">
        <v>656</v>
      </c>
      <c r="P2739" s="105" t="s">
        <v>339</v>
      </c>
      <c r="Q2739" s="494">
        <v>0</v>
      </c>
      <c r="R2739" s="494">
        <v>0</v>
      </c>
      <c r="S2739" s="494">
        <v>26398</v>
      </c>
      <c r="T2739" s="494">
        <v>26398</v>
      </c>
      <c r="U2739" s="494">
        <v>7737</v>
      </c>
      <c r="V2739" s="493">
        <v>2024</v>
      </c>
      <c r="W2739" s="495"/>
      <c r="X2739" s="496">
        <f t="shared" si="177"/>
        <v>3.4119167636034637</v>
      </c>
      <c r="Y2739" s="497" t="str">
        <f t="shared" si="179"/>
        <v/>
      </c>
      <c r="Z2739" s="497" t="str">
        <f t="shared" si="179"/>
        <v/>
      </c>
    </row>
    <row r="2740" spans="1:26" s="82" customFormat="1" ht="32" x14ac:dyDescent="0.4">
      <c r="A2740" s="493">
        <v>67213</v>
      </c>
      <c r="B2740" s="105" t="s">
        <v>329</v>
      </c>
      <c r="C2740" s="493" t="s">
        <v>330</v>
      </c>
      <c r="D2740" s="105" t="s">
        <v>3290</v>
      </c>
      <c r="E2740" s="105" t="s">
        <v>3291</v>
      </c>
      <c r="F2740" s="493">
        <v>66097</v>
      </c>
      <c r="G2740" s="105" t="s">
        <v>52</v>
      </c>
      <c r="H2740" s="105" t="s">
        <v>333</v>
      </c>
      <c r="I2740" s="105" t="s">
        <v>334</v>
      </c>
      <c r="J2740" s="493">
        <v>22</v>
      </c>
      <c r="K2740" s="493">
        <v>2</v>
      </c>
      <c r="L2740" s="105" t="s">
        <v>343</v>
      </c>
      <c r="M2740" s="105" t="s">
        <v>655</v>
      </c>
      <c r="N2740" s="105" t="s">
        <v>656</v>
      </c>
      <c r="O2740" s="105" t="s">
        <v>656</v>
      </c>
      <c r="P2740" s="105" t="s">
        <v>339</v>
      </c>
      <c r="Q2740" s="494">
        <v>0</v>
      </c>
      <c r="R2740" s="494">
        <v>0</v>
      </c>
      <c r="S2740" s="494">
        <v>24388</v>
      </c>
      <c r="T2740" s="494">
        <v>24388</v>
      </c>
      <c r="U2740" s="494">
        <v>7148</v>
      </c>
      <c r="V2740" s="493">
        <v>2024</v>
      </c>
      <c r="W2740" s="495"/>
      <c r="X2740" s="496">
        <f t="shared" si="177"/>
        <v>3.4118634583100169</v>
      </c>
      <c r="Y2740" s="497" t="str">
        <f t="shared" si="179"/>
        <v/>
      </c>
      <c r="Z2740" s="497" t="str">
        <f t="shared" si="179"/>
        <v/>
      </c>
    </row>
    <row r="2741" spans="1:26" s="82" customFormat="1" x14ac:dyDescent="0.4">
      <c r="A2741" s="493">
        <v>67227</v>
      </c>
      <c r="B2741" s="105" t="s">
        <v>329</v>
      </c>
      <c r="C2741" s="493" t="s">
        <v>330</v>
      </c>
      <c r="D2741" s="105" t="s">
        <v>3292</v>
      </c>
      <c r="E2741" s="105" t="s">
        <v>2781</v>
      </c>
      <c r="F2741" s="493">
        <v>65752</v>
      </c>
      <c r="G2741" s="105" t="s">
        <v>52</v>
      </c>
      <c r="H2741" s="105" t="s">
        <v>333</v>
      </c>
      <c r="I2741" s="105" t="s">
        <v>334</v>
      </c>
      <c r="J2741" s="493">
        <v>22</v>
      </c>
      <c r="K2741" s="493">
        <v>2</v>
      </c>
      <c r="L2741" s="105" t="s">
        <v>343</v>
      </c>
      <c r="M2741" s="105" t="s">
        <v>655</v>
      </c>
      <c r="N2741" s="105" t="s">
        <v>656</v>
      </c>
      <c r="O2741" s="105" t="s">
        <v>656</v>
      </c>
      <c r="P2741" s="105" t="s">
        <v>339</v>
      </c>
      <c r="Q2741" s="494">
        <v>0</v>
      </c>
      <c r="R2741" s="494">
        <v>0</v>
      </c>
      <c r="S2741" s="494">
        <v>11093</v>
      </c>
      <c r="T2741" s="494">
        <v>11093</v>
      </c>
      <c r="U2741" s="494">
        <v>3251.48</v>
      </c>
      <c r="V2741" s="493">
        <v>2024</v>
      </c>
      <c r="W2741" s="495"/>
      <c r="X2741" s="496">
        <f t="shared" si="177"/>
        <v>3.4116771439467564</v>
      </c>
      <c r="Y2741" s="497" t="str">
        <f t="shared" si="179"/>
        <v/>
      </c>
      <c r="Z2741" s="497" t="str">
        <f t="shared" si="179"/>
        <v/>
      </c>
    </row>
    <row r="2742" spans="1:26" s="82" customFormat="1" ht="32" x14ac:dyDescent="0.4">
      <c r="A2742" s="493">
        <v>67228</v>
      </c>
      <c r="B2742" s="105" t="s">
        <v>329</v>
      </c>
      <c r="C2742" s="493" t="s">
        <v>330</v>
      </c>
      <c r="D2742" s="105" t="s">
        <v>3293</v>
      </c>
      <c r="E2742" s="105" t="s">
        <v>3293</v>
      </c>
      <c r="F2742" s="493">
        <v>66106</v>
      </c>
      <c r="G2742" s="105" t="s">
        <v>52</v>
      </c>
      <c r="H2742" s="105" t="s">
        <v>333</v>
      </c>
      <c r="I2742" s="105" t="s">
        <v>334</v>
      </c>
      <c r="J2742" s="493">
        <v>22</v>
      </c>
      <c r="K2742" s="493">
        <v>2</v>
      </c>
      <c r="L2742" s="105" t="s">
        <v>343</v>
      </c>
      <c r="M2742" s="105" t="s">
        <v>655</v>
      </c>
      <c r="N2742" s="105" t="s">
        <v>656</v>
      </c>
      <c r="O2742" s="105" t="s">
        <v>656</v>
      </c>
      <c r="P2742" s="105" t="s">
        <v>339</v>
      </c>
      <c r="Q2742" s="494">
        <v>0</v>
      </c>
      <c r="R2742" s="494">
        <v>0</v>
      </c>
      <c r="S2742" s="494">
        <v>24423</v>
      </c>
      <c r="T2742" s="494">
        <v>24423</v>
      </c>
      <c r="U2742" s="494">
        <v>7158</v>
      </c>
      <c r="V2742" s="493">
        <v>2024</v>
      </c>
      <c r="W2742" s="495"/>
      <c r="X2742" s="496">
        <f t="shared" si="177"/>
        <v>3.4119865884325229</v>
      </c>
      <c r="Y2742" s="497" t="str">
        <f t="shared" si="179"/>
        <v/>
      </c>
      <c r="Z2742" s="497" t="str">
        <f t="shared" si="179"/>
        <v/>
      </c>
    </row>
    <row r="2743" spans="1:26" s="82" customFormat="1" ht="32" x14ac:dyDescent="0.4">
      <c r="A2743" s="493">
        <v>67241</v>
      </c>
      <c r="B2743" s="105" t="s">
        <v>329</v>
      </c>
      <c r="C2743" s="493" t="s">
        <v>330</v>
      </c>
      <c r="D2743" s="105" t="s">
        <v>3294</v>
      </c>
      <c r="E2743" s="105" t="s">
        <v>3224</v>
      </c>
      <c r="F2743" s="493">
        <v>65043</v>
      </c>
      <c r="G2743" s="105" t="s">
        <v>33</v>
      </c>
      <c r="H2743" s="105" t="s">
        <v>342</v>
      </c>
      <c r="I2743" s="105" t="s">
        <v>334</v>
      </c>
      <c r="J2743" s="493">
        <v>22</v>
      </c>
      <c r="K2743" s="493">
        <v>2</v>
      </c>
      <c r="L2743" s="105" t="s">
        <v>343</v>
      </c>
      <c r="M2743" s="105" t="s">
        <v>403</v>
      </c>
      <c r="N2743" s="105" t="s">
        <v>404</v>
      </c>
      <c r="O2743" s="105" t="s">
        <v>232</v>
      </c>
      <c r="P2743" s="105" t="s">
        <v>346</v>
      </c>
      <c r="Q2743" s="494">
        <v>0</v>
      </c>
      <c r="R2743" s="494">
        <v>0</v>
      </c>
      <c r="S2743" s="494">
        <v>0</v>
      </c>
      <c r="T2743" s="494">
        <v>0</v>
      </c>
      <c r="U2743" s="494">
        <v>0</v>
      </c>
      <c r="V2743" s="493">
        <v>2024</v>
      </c>
      <c r="W2743" s="495"/>
      <c r="X2743" s="496" t="str">
        <f t="shared" si="177"/>
        <v/>
      </c>
      <c r="Y2743" s="497" t="str">
        <f t="shared" si="179"/>
        <v/>
      </c>
      <c r="Z2743" s="497" t="str">
        <f t="shared" si="179"/>
        <v/>
      </c>
    </row>
    <row r="2744" spans="1:26" s="82" customFormat="1" ht="32" x14ac:dyDescent="0.4">
      <c r="A2744" s="493">
        <v>67241</v>
      </c>
      <c r="B2744" s="105" t="s">
        <v>329</v>
      </c>
      <c r="C2744" s="493" t="s">
        <v>330</v>
      </c>
      <c r="D2744" s="105" t="s">
        <v>3294</v>
      </c>
      <c r="E2744" s="105" t="s">
        <v>3224</v>
      </c>
      <c r="F2744" s="493">
        <v>65043</v>
      </c>
      <c r="G2744" s="105" t="s">
        <v>33</v>
      </c>
      <c r="H2744" s="105" t="s">
        <v>342</v>
      </c>
      <c r="I2744" s="105" t="s">
        <v>334</v>
      </c>
      <c r="J2744" s="493">
        <v>22</v>
      </c>
      <c r="K2744" s="493">
        <v>2</v>
      </c>
      <c r="L2744" s="105" t="s">
        <v>343</v>
      </c>
      <c r="M2744" s="105" t="s">
        <v>655</v>
      </c>
      <c r="N2744" s="105" t="s">
        <v>656</v>
      </c>
      <c r="O2744" s="105" t="s">
        <v>656</v>
      </c>
      <c r="P2744" s="105" t="s">
        <v>339</v>
      </c>
      <c r="Q2744" s="494">
        <v>0</v>
      </c>
      <c r="R2744" s="494">
        <v>0</v>
      </c>
      <c r="S2744" s="494">
        <v>1375</v>
      </c>
      <c r="T2744" s="494">
        <v>1375</v>
      </c>
      <c r="U2744" s="494">
        <v>403</v>
      </c>
      <c r="V2744" s="493">
        <v>2024</v>
      </c>
      <c r="W2744" s="495"/>
      <c r="X2744" s="496">
        <f t="shared" si="177"/>
        <v>3.4119106699751862</v>
      </c>
      <c r="Y2744" s="497" t="str">
        <f t="shared" si="179"/>
        <v/>
      </c>
      <c r="Z2744" s="497" t="str">
        <f t="shared" si="179"/>
        <v/>
      </c>
    </row>
    <row r="2745" spans="1:26" s="82" customFormat="1" ht="32" x14ac:dyDescent="0.4">
      <c r="A2745" s="493">
        <v>67242</v>
      </c>
      <c r="B2745" s="105" t="s">
        <v>329</v>
      </c>
      <c r="C2745" s="493" t="s">
        <v>330</v>
      </c>
      <c r="D2745" s="105" t="s">
        <v>3295</v>
      </c>
      <c r="E2745" s="105" t="s">
        <v>3224</v>
      </c>
      <c r="F2745" s="493">
        <v>65043</v>
      </c>
      <c r="G2745" s="105" t="s">
        <v>33</v>
      </c>
      <c r="H2745" s="105" t="s">
        <v>342</v>
      </c>
      <c r="I2745" s="105" t="s">
        <v>334</v>
      </c>
      <c r="J2745" s="493">
        <v>22</v>
      </c>
      <c r="K2745" s="493">
        <v>2</v>
      </c>
      <c r="L2745" s="105" t="s">
        <v>343</v>
      </c>
      <c r="M2745" s="105" t="s">
        <v>403</v>
      </c>
      <c r="N2745" s="105" t="s">
        <v>404</v>
      </c>
      <c r="O2745" s="105" t="s">
        <v>232</v>
      </c>
      <c r="P2745" s="105" t="s">
        <v>346</v>
      </c>
      <c r="Q2745" s="494">
        <v>0</v>
      </c>
      <c r="R2745" s="494">
        <v>0</v>
      </c>
      <c r="S2745" s="494">
        <v>0</v>
      </c>
      <c r="T2745" s="494">
        <v>0</v>
      </c>
      <c r="U2745" s="494">
        <v>0</v>
      </c>
      <c r="V2745" s="493">
        <v>2024</v>
      </c>
      <c r="W2745" s="495"/>
      <c r="X2745" s="496" t="str">
        <f t="shared" si="177"/>
        <v/>
      </c>
      <c r="Y2745" s="497" t="str">
        <f t="shared" si="179"/>
        <v/>
      </c>
      <c r="Z2745" s="497" t="str">
        <f t="shared" si="179"/>
        <v/>
      </c>
    </row>
    <row r="2746" spans="1:26" s="82" customFormat="1" ht="32" x14ac:dyDescent="0.4">
      <c r="A2746" s="493">
        <v>67242</v>
      </c>
      <c r="B2746" s="105" t="s">
        <v>329</v>
      </c>
      <c r="C2746" s="493" t="s">
        <v>330</v>
      </c>
      <c r="D2746" s="105" t="s">
        <v>3295</v>
      </c>
      <c r="E2746" s="105" t="s">
        <v>3224</v>
      </c>
      <c r="F2746" s="493">
        <v>65043</v>
      </c>
      <c r="G2746" s="105" t="s">
        <v>33</v>
      </c>
      <c r="H2746" s="105" t="s">
        <v>342</v>
      </c>
      <c r="I2746" s="105" t="s">
        <v>334</v>
      </c>
      <c r="J2746" s="493">
        <v>22</v>
      </c>
      <c r="K2746" s="493">
        <v>2</v>
      </c>
      <c r="L2746" s="105" t="s">
        <v>343</v>
      </c>
      <c r="M2746" s="105" t="s">
        <v>655</v>
      </c>
      <c r="N2746" s="105" t="s">
        <v>656</v>
      </c>
      <c r="O2746" s="105" t="s">
        <v>656</v>
      </c>
      <c r="P2746" s="105" t="s">
        <v>339</v>
      </c>
      <c r="Q2746" s="494">
        <v>0</v>
      </c>
      <c r="R2746" s="494">
        <v>0</v>
      </c>
      <c r="S2746" s="494">
        <v>13287</v>
      </c>
      <c r="T2746" s="494">
        <v>13287</v>
      </c>
      <c r="U2746" s="494">
        <v>3894</v>
      </c>
      <c r="V2746" s="493">
        <v>2024</v>
      </c>
      <c r="W2746" s="495"/>
      <c r="X2746" s="496">
        <f t="shared" si="177"/>
        <v>3.4121725731895225</v>
      </c>
      <c r="Y2746" s="497" t="str">
        <f t="shared" si="179"/>
        <v/>
      </c>
      <c r="Z2746" s="497" t="str">
        <f t="shared" si="179"/>
        <v/>
      </c>
    </row>
    <row r="2747" spans="1:26" s="82" customFormat="1" x14ac:dyDescent="0.4">
      <c r="A2747" s="493">
        <v>67248</v>
      </c>
      <c r="B2747" s="105" t="s">
        <v>329</v>
      </c>
      <c r="C2747" s="493" t="s">
        <v>330</v>
      </c>
      <c r="D2747" s="105" t="s">
        <v>3296</v>
      </c>
      <c r="E2747" s="105" t="s">
        <v>3296</v>
      </c>
      <c r="F2747" s="493">
        <v>66120</v>
      </c>
      <c r="G2747" s="105" t="s">
        <v>52</v>
      </c>
      <c r="H2747" s="105" t="s">
        <v>333</v>
      </c>
      <c r="I2747" s="105" t="s">
        <v>334</v>
      </c>
      <c r="J2747" s="493">
        <v>22</v>
      </c>
      <c r="K2747" s="493">
        <v>2</v>
      </c>
      <c r="L2747" s="105" t="s">
        <v>343</v>
      </c>
      <c r="M2747" s="105" t="s">
        <v>655</v>
      </c>
      <c r="N2747" s="105" t="s">
        <v>656</v>
      </c>
      <c r="O2747" s="105" t="s">
        <v>656</v>
      </c>
      <c r="P2747" s="105" t="s">
        <v>339</v>
      </c>
      <c r="Q2747" s="494">
        <v>0</v>
      </c>
      <c r="R2747" s="494">
        <v>0</v>
      </c>
      <c r="S2747" s="494">
        <v>0</v>
      </c>
      <c r="T2747" s="494">
        <v>0</v>
      </c>
      <c r="U2747" s="494">
        <v>0</v>
      </c>
      <c r="V2747" s="493">
        <v>2024</v>
      </c>
      <c r="W2747" s="495"/>
      <c r="X2747" s="496" t="str">
        <f t="shared" si="177"/>
        <v/>
      </c>
      <c r="Y2747" s="497" t="str">
        <f t="shared" si="179"/>
        <v/>
      </c>
      <c r="Z2747" s="497" t="str">
        <f t="shared" si="179"/>
        <v/>
      </c>
    </row>
    <row r="2748" spans="1:26" s="82" customFormat="1" ht="32" x14ac:dyDescent="0.4">
      <c r="A2748" s="493">
        <v>67266</v>
      </c>
      <c r="B2748" s="105" t="s">
        <v>329</v>
      </c>
      <c r="C2748" s="493" t="s">
        <v>330</v>
      </c>
      <c r="D2748" s="105" t="s">
        <v>3297</v>
      </c>
      <c r="E2748" s="105" t="s">
        <v>3298</v>
      </c>
      <c r="F2748" s="493">
        <v>66128</v>
      </c>
      <c r="G2748" s="105" t="s">
        <v>33</v>
      </c>
      <c r="H2748" s="105" t="s">
        <v>342</v>
      </c>
      <c r="I2748" s="105" t="s">
        <v>334</v>
      </c>
      <c r="J2748" s="493">
        <v>22</v>
      </c>
      <c r="K2748" s="493">
        <v>2</v>
      </c>
      <c r="L2748" s="105" t="s">
        <v>343</v>
      </c>
      <c r="M2748" s="105" t="s">
        <v>655</v>
      </c>
      <c r="N2748" s="105" t="s">
        <v>656</v>
      </c>
      <c r="O2748" s="105" t="s">
        <v>656</v>
      </c>
      <c r="P2748" s="105" t="s">
        <v>339</v>
      </c>
      <c r="Q2748" s="494">
        <v>0</v>
      </c>
      <c r="R2748" s="494">
        <v>0</v>
      </c>
      <c r="S2748" s="494">
        <v>18684</v>
      </c>
      <c r="T2748" s="494">
        <v>18684</v>
      </c>
      <c r="U2748" s="494">
        <v>5476</v>
      </c>
      <c r="V2748" s="493">
        <v>2024</v>
      </c>
      <c r="W2748" s="495"/>
      <c r="X2748" s="496">
        <f t="shared" si="177"/>
        <v>3.4119795471146821</v>
      </c>
      <c r="Y2748" s="497" t="str">
        <f t="shared" ref="Y2748:Z2767" si="180">IF(AND($M2748=$Y$2,$N2748=$Y$3,NOT($Q2748=$R2748),NOT($U2748=0)),IF($K2748=5,$S2748/($U2748+(8/5)*$U2748),IF($K2748=7,$S2748/($U2748+(29/25)*$U2748),"")),"")</f>
        <v/>
      </c>
      <c r="Z2748" s="497" t="str">
        <f t="shared" si="180"/>
        <v/>
      </c>
    </row>
    <row r="2749" spans="1:26" s="82" customFormat="1" ht="32" x14ac:dyDescent="0.4">
      <c r="A2749" s="493">
        <v>67268</v>
      </c>
      <c r="B2749" s="105" t="s">
        <v>329</v>
      </c>
      <c r="C2749" s="493" t="s">
        <v>330</v>
      </c>
      <c r="D2749" s="105" t="s">
        <v>3299</v>
      </c>
      <c r="E2749" s="105" t="s">
        <v>3178</v>
      </c>
      <c r="F2749" s="493">
        <v>64872</v>
      </c>
      <c r="G2749" s="105" t="s">
        <v>52</v>
      </c>
      <c r="H2749" s="105" t="s">
        <v>333</v>
      </c>
      <c r="I2749" s="105" t="s">
        <v>334</v>
      </c>
      <c r="J2749" s="493">
        <v>22</v>
      </c>
      <c r="K2749" s="493">
        <v>2</v>
      </c>
      <c r="L2749" s="105" t="s">
        <v>343</v>
      </c>
      <c r="M2749" s="105" t="s">
        <v>655</v>
      </c>
      <c r="N2749" s="105" t="s">
        <v>656</v>
      </c>
      <c r="O2749" s="105" t="s">
        <v>656</v>
      </c>
      <c r="P2749" s="105" t="s">
        <v>339</v>
      </c>
      <c r="Q2749" s="494">
        <v>0</v>
      </c>
      <c r="R2749" s="494">
        <v>0</v>
      </c>
      <c r="S2749" s="494">
        <v>17176</v>
      </c>
      <c r="T2749" s="494">
        <v>17176</v>
      </c>
      <c r="U2749" s="494">
        <v>5034</v>
      </c>
      <c r="V2749" s="493">
        <v>2024</v>
      </c>
      <c r="W2749" s="495"/>
      <c r="X2749" s="496">
        <f t="shared" si="177"/>
        <v>3.4119984108065156</v>
      </c>
      <c r="Y2749" s="497" t="str">
        <f t="shared" si="180"/>
        <v/>
      </c>
      <c r="Z2749" s="497" t="str">
        <f t="shared" si="180"/>
        <v/>
      </c>
    </row>
    <row r="2750" spans="1:26" s="82" customFormat="1" ht="32" x14ac:dyDescent="0.4">
      <c r="A2750" s="493">
        <v>67271</v>
      </c>
      <c r="B2750" s="105" t="s">
        <v>329</v>
      </c>
      <c r="C2750" s="493" t="s">
        <v>330</v>
      </c>
      <c r="D2750" s="105" t="s">
        <v>3300</v>
      </c>
      <c r="E2750" s="105" t="s">
        <v>3178</v>
      </c>
      <c r="F2750" s="493">
        <v>64872</v>
      </c>
      <c r="G2750" s="105" t="s">
        <v>52</v>
      </c>
      <c r="H2750" s="105" t="s">
        <v>333</v>
      </c>
      <c r="I2750" s="105" t="s">
        <v>334</v>
      </c>
      <c r="J2750" s="493">
        <v>22</v>
      </c>
      <c r="K2750" s="493">
        <v>2</v>
      </c>
      <c r="L2750" s="105" t="s">
        <v>343</v>
      </c>
      <c r="M2750" s="105" t="s">
        <v>655</v>
      </c>
      <c r="N2750" s="105" t="s">
        <v>656</v>
      </c>
      <c r="O2750" s="105" t="s">
        <v>656</v>
      </c>
      <c r="P2750" s="105" t="s">
        <v>339</v>
      </c>
      <c r="Q2750" s="494">
        <v>0</v>
      </c>
      <c r="R2750" s="494">
        <v>0</v>
      </c>
      <c r="S2750" s="494">
        <v>5506</v>
      </c>
      <c r="T2750" s="494">
        <v>5506</v>
      </c>
      <c r="U2750" s="494">
        <v>1614</v>
      </c>
      <c r="V2750" s="493">
        <v>2024</v>
      </c>
      <c r="W2750" s="495"/>
      <c r="X2750" s="496">
        <f t="shared" si="177"/>
        <v>3.4114002478314744</v>
      </c>
      <c r="Y2750" s="497" t="str">
        <f t="shared" si="180"/>
        <v/>
      </c>
      <c r="Z2750" s="497" t="str">
        <f t="shared" si="180"/>
        <v/>
      </c>
    </row>
    <row r="2751" spans="1:26" s="82" customFormat="1" ht="32" x14ac:dyDescent="0.4">
      <c r="A2751" s="493">
        <v>67275</v>
      </c>
      <c r="B2751" s="105" t="s">
        <v>329</v>
      </c>
      <c r="C2751" s="493" t="s">
        <v>330</v>
      </c>
      <c r="D2751" s="105" t="s">
        <v>3301</v>
      </c>
      <c r="E2751" s="105" t="s">
        <v>3178</v>
      </c>
      <c r="F2751" s="493">
        <v>64872</v>
      </c>
      <c r="G2751" s="105" t="s">
        <v>52</v>
      </c>
      <c r="H2751" s="105" t="s">
        <v>333</v>
      </c>
      <c r="I2751" s="105" t="s">
        <v>334</v>
      </c>
      <c r="J2751" s="493">
        <v>22</v>
      </c>
      <c r="K2751" s="493">
        <v>2</v>
      </c>
      <c r="L2751" s="105" t="s">
        <v>343</v>
      </c>
      <c r="M2751" s="105" t="s">
        <v>403</v>
      </c>
      <c r="N2751" s="105" t="s">
        <v>404</v>
      </c>
      <c r="O2751" s="105" t="s">
        <v>232</v>
      </c>
      <c r="P2751" s="105" t="s">
        <v>346</v>
      </c>
      <c r="Q2751" s="494">
        <v>80</v>
      </c>
      <c r="R2751" s="494">
        <v>80</v>
      </c>
      <c r="S2751" s="494">
        <v>0</v>
      </c>
      <c r="T2751" s="494">
        <v>0</v>
      </c>
      <c r="U2751" s="494">
        <v>-35</v>
      </c>
      <c r="V2751" s="493">
        <v>2024</v>
      </c>
      <c r="W2751" s="495"/>
      <c r="X2751" s="496" t="str">
        <f t="shared" si="177"/>
        <v/>
      </c>
      <c r="Y2751" s="497" t="str">
        <f t="shared" si="180"/>
        <v/>
      </c>
      <c r="Z2751" s="497" t="str">
        <f t="shared" si="180"/>
        <v/>
      </c>
    </row>
    <row r="2752" spans="1:26" s="82" customFormat="1" ht="32" x14ac:dyDescent="0.4">
      <c r="A2752" s="493">
        <v>67275</v>
      </c>
      <c r="B2752" s="105" t="s">
        <v>329</v>
      </c>
      <c r="C2752" s="493" t="s">
        <v>330</v>
      </c>
      <c r="D2752" s="105" t="s">
        <v>3301</v>
      </c>
      <c r="E2752" s="105" t="s">
        <v>3178</v>
      </c>
      <c r="F2752" s="493">
        <v>64872</v>
      </c>
      <c r="G2752" s="105" t="s">
        <v>52</v>
      </c>
      <c r="H2752" s="105" t="s">
        <v>333</v>
      </c>
      <c r="I2752" s="105" t="s">
        <v>334</v>
      </c>
      <c r="J2752" s="493">
        <v>22</v>
      </c>
      <c r="K2752" s="493">
        <v>2</v>
      </c>
      <c r="L2752" s="105" t="s">
        <v>343</v>
      </c>
      <c r="M2752" s="105" t="s">
        <v>655</v>
      </c>
      <c r="N2752" s="105" t="s">
        <v>656</v>
      </c>
      <c r="O2752" s="105" t="s">
        <v>656</v>
      </c>
      <c r="P2752" s="105" t="s">
        <v>339</v>
      </c>
      <c r="Q2752" s="494">
        <v>0</v>
      </c>
      <c r="R2752" s="494">
        <v>0</v>
      </c>
      <c r="S2752" s="494">
        <v>9177</v>
      </c>
      <c r="T2752" s="494">
        <v>9177</v>
      </c>
      <c r="U2752" s="494">
        <v>2690</v>
      </c>
      <c r="V2752" s="493">
        <v>2024</v>
      </c>
      <c r="W2752" s="495"/>
      <c r="X2752" s="496">
        <f t="shared" si="177"/>
        <v>3.4115241635687732</v>
      </c>
      <c r="Y2752" s="497" t="str">
        <f t="shared" si="180"/>
        <v/>
      </c>
      <c r="Z2752" s="497" t="str">
        <f t="shared" si="180"/>
        <v/>
      </c>
    </row>
    <row r="2753" spans="1:26" s="82" customFormat="1" ht="32" x14ac:dyDescent="0.4">
      <c r="A2753" s="493">
        <v>67281</v>
      </c>
      <c r="B2753" s="105" t="s">
        <v>329</v>
      </c>
      <c r="C2753" s="493" t="s">
        <v>330</v>
      </c>
      <c r="D2753" s="105" t="s">
        <v>3302</v>
      </c>
      <c r="E2753" s="105" t="s">
        <v>3303</v>
      </c>
      <c r="F2753" s="493">
        <v>66147</v>
      </c>
      <c r="G2753" s="105" t="s">
        <v>52</v>
      </c>
      <c r="H2753" s="105" t="s">
        <v>333</v>
      </c>
      <c r="I2753" s="105" t="s">
        <v>334</v>
      </c>
      <c r="J2753" s="493">
        <v>22</v>
      </c>
      <c r="K2753" s="493">
        <v>2</v>
      </c>
      <c r="L2753" s="105" t="s">
        <v>343</v>
      </c>
      <c r="M2753" s="105" t="s">
        <v>403</v>
      </c>
      <c r="N2753" s="105" t="s">
        <v>404</v>
      </c>
      <c r="O2753" s="105" t="s">
        <v>232</v>
      </c>
      <c r="P2753" s="105" t="s">
        <v>346</v>
      </c>
      <c r="Q2753" s="494">
        <v>109</v>
      </c>
      <c r="R2753" s="494">
        <v>109</v>
      </c>
      <c r="S2753" s="494">
        <v>0</v>
      </c>
      <c r="T2753" s="494">
        <v>0</v>
      </c>
      <c r="U2753" s="494">
        <v>-37</v>
      </c>
      <c r="V2753" s="493">
        <v>2024</v>
      </c>
      <c r="W2753" s="495"/>
      <c r="X2753" s="496" t="str">
        <f t="shared" si="177"/>
        <v/>
      </c>
      <c r="Y2753" s="497" t="str">
        <f t="shared" si="180"/>
        <v/>
      </c>
      <c r="Z2753" s="497" t="str">
        <f t="shared" si="180"/>
        <v/>
      </c>
    </row>
    <row r="2754" spans="1:26" s="82" customFormat="1" ht="32" x14ac:dyDescent="0.4">
      <c r="A2754" s="493">
        <v>67281</v>
      </c>
      <c r="B2754" s="105" t="s">
        <v>329</v>
      </c>
      <c r="C2754" s="493" t="s">
        <v>330</v>
      </c>
      <c r="D2754" s="105" t="s">
        <v>3302</v>
      </c>
      <c r="E2754" s="105" t="s">
        <v>3303</v>
      </c>
      <c r="F2754" s="493">
        <v>66147</v>
      </c>
      <c r="G2754" s="105" t="s">
        <v>52</v>
      </c>
      <c r="H2754" s="105" t="s">
        <v>333</v>
      </c>
      <c r="I2754" s="105" t="s">
        <v>334</v>
      </c>
      <c r="J2754" s="493">
        <v>22</v>
      </c>
      <c r="K2754" s="493">
        <v>2</v>
      </c>
      <c r="L2754" s="105" t="s">
        <v>343</v>
      </c>
      <c r="M2754" s="105" t="s">
        <v>655</v>
      </c>
      <c r="N2754" s="105" t="s">
        <v>656</v>
      </c>
      <c r="O2754" s="105" t="s">
        <v>656</v>
      </c>
      <c r="P2754" s="105" t="s">
        <v>339</v>
      </c>
      <c r="Q2754" s="494">
        <v>0</v>
      </c>
      <c r="R2754" s="494">
        <v>0</v>
      </c>
      <c r="S2754" s="494">
        <v>16190</v>
      </c>
      <c r="T2754" s="494">
        <v>16190</v>
      </c>
      <c r="U2754" s="494">
        <v>4745</v>
      </c>
      <c r="V2754" s="493">
        <v>2024</v>
      </c>
      <c r="W2754" s="495"/>
      <c r="X2754" s="496">
        <f t="shared" si="177"/>
        <v>3.4120126448893573</v>
      </c>
      <c r="Y2754" s="497" t="str">
        <f t="shared" si="180"/>
        <v/>
      </c>
      <c r="Z2754" s="497" t="str">
        <f t="shared" si="180"/>
        <v/>
      </c>
    </row>
    <row r="2755" spans="1:26" s="82" customFormat="1" ht="32" x14ac:dyDescent="0.4">
      <c r="A2755" s="493">
        <v>67282</v>
      </c>
      <c r="B2755" s="105" t="s">
        <v>329</v>
      </c>
      <c r="C2755" s="493" t="s">
        <v>330</v>
      </c>
      <c r="D2755" s="105" t="s">
        <v>3304</v>
      </c>
      <c r="E2755" s="105" t="s">
        <v>3305</v>
      </c>
      <c r="F2755" s="493">
        <v>66148</v>
      </c>
      <c r="G2755" s="105" t="s">
        <v>52</v>
      </c>
      <c r="H2755" s="105" t="s">
        <v>333</v>
      </c>
      <c r="I2755" s="105" t="s">
        <v>334</v>
      </c>
      <c r="J2755" s="493">
        <v>22</v>
      </c>
      <c r="K2755" s="493">
        <v>2</v>
      </c>
      <c r="L2755" s="105" t="s">
        <v>343</v>
      </c>
      <c r="M2755" s="105" t="s">
        <v>403</v>
      </c>
      <c r="N2755" s="105" t="s">
        <v>404</v>
      </c>
      <c r="O2755" s="105" t="s">
        <v>232</v>
      </c>
      <c r="P2755" s="105" t="s">
        <v>346</v>
      </c>
      <c r="Q2755" s="494">
        <v>119</v>
      </c>
      <c r="R2755" s="494">
        <v>119</v>
      </c>
      <c r="S2755" s="494">
        <v>0</v>
      </c>
      <c r="T2755" s="494">
        <v>0</v>
      </c>
      <c r="U2755" s="494">
        <v>-46</v>
      </c>
      <c r="V2755" s="493">
        <v>2024</v>
      </c>
      <c r="W2755" s="495"/>
      <c r="X2755" s="496" t="str">
        <f t="shared" si="177"/>
        <v/>
      </c>
      <c r="Y2755" s="497" t="str">
        <f t="shared" si="180"/>
        <v/>
      </c>
      <c r="Z2755" s="497" t="str">
        <f t="shared" si="180"/>
        <v/>
      </c>
    </row>
    <row r="2756" spans="1:26" s="82" customFormat="1" ht="32" x14ac:dyDescent="0.4">
      <c r="A2756" s="493">
        <v>67282</v>
      </c>
      <c r="B2756" s="105" t="s">
        <v>329</v>
      </c>
      <c r="C2756" s="493" t="s">
        <v>330</v>
      </c>
      <c r="D2756" s="105" t="s">
        <v>3304</v>
      </c>
      <c r="E2756" s="105" t="s">
        <v>3305</v>
      </c>
      <c r="F2756" s="493">
        <v>66148</v>
      </c>
      <c r="G2756" s="105" t="s">
        <v>52</v>
      </c>
      <c r="H2756" s="105" t="s">
        <v>333</v>
      </c>
      <c r="I2756" s="105" t="s">
        <v>334</v>
      </c>
      <c r="J2756" s="493">
        <v>22</v>
      </c>
      <c r="K2756" s="493">
        <v>2</v>
      </c>
      <c r="L2756" s="105" t="s">
        <v>343</v>
      </c>
      <c r="M2756" s="105" t="s">
        <v>655</v>
      </c>
      <c r="N2756" s="105" t="s">
        <v>656</v>
      </c>
      <c r="O2756" s="105" t="s">
        <v>656</v>
      </c>
      <c r="P2756" s="105" t="s">
        <v>339</v>
      </c>
      <c r="Q2756" s="494">
        <v>0</v>
      </c>
      <c r="R2756" s="494">
        <v>0</v>
      </c>
      <c r="S2756" s="494">
        <v>21741</v>
      </c>
      <c r="T2756" s="494">
        <v>21741</v>
      </c>
      <c r="U2756" s="494">
        <v>6372</v>
      </c>
      <c r="V2756" s="493">
        <v>2024</v>
      </c>
      <c r="W2756" s="495"/>
      <c r="X2756" s="496">
        <f t="shared" si="177"/>
        <v>3.4119585687382297</v>
      </c>
      <c r="Y2756" s="497" t="str">
        <f t="shared" si="180"/>
        <v/>
      </c>
      <c r="Z2756" s="497" t="str">
        <f t="shared" si="180"/>
        <v/>
      </c>
    </row>
    <row r="2757" spans="1:26" s="82" customFormat="1" x14ac:dyDescent="0.4">
      <c r="A2757" s="493">
        <v>67286</v>
      </c>
      <c r="B2757" s="105" t="s">
        <v>329</v>
      </c>
      <c r="C2757" s="493" t="s">
        <v>330</v>
      </c>
      <c r="D2757" s="105" t="s">
        <v>3306</v>
      </c>
      <c r="E2757" s="105" t="s">
        <v>1606</v>
      </c>
      <c r="F2757" s="493">
        <v>61227</v>
      </c>
      <c r="G2757" s="105" t="s">
        <v>34</v>
      </c>
      <c r="H2757" s="105" t="s">
        <v>342</v>
      </c>
      <c r="I2757" s="105" t="s">
        <v>334</v>
      </c>
      <c r="J2757" s="493">
        <v>22</v>
      </c>
      <c r="K2757" s="493">
        <v>2</v>
      </c>
      <c r="L2757" s="105" t="s">
        <v>343</v>
      </c>
      <c r="M2757" s="105" t="s">
        <v>655</v>
      </c>
      <c r="N2757" s="105" t="s">
        <v>656</v>
      </c>
      <c r="O2757" s="105" t="s">
        <v>656</v>
      </c>
      <c r="P2757" s="105" t="s">
        <v>339</v>
      </c>
      <c r="Q2757" s="494">
        <v>0</v>
      </c>
      <c r="R2757" s="494">
        <v>0</v>
      </c>
      <c r="S2757" s="494">
        <v>23080</v>
      </c>
      <c r="T2757" s="494">
        <v>23080</v>
      </c>
      <c r="U2757" s="494">
        <v>6764</v>
      </c>
      <c r="V2757" s="493">
        <v>2024</v>
      </c>
      <c r="W2757" s="495"/>
      <c r="X2757" s="496">
        <f t="shared" si="177"/>
        <v>3.4121821407451214</v>
      </c>
      <c r="Y2757" s="497" t="str">
        <f t="shared" si="180"/>
        <v/>
      </c>
      <c r="Z2757" s="497" t="str">
        <f t="shared" si="180"/>
        <v/>
      </c>
    </row>
    <row r="2758" spans="1:26" s="82" customFormat="1" x14ac:dyDescent="0.4">
      <c r="A2758" s="493">
        <v>67290</v>
      </c>
      <c r="B2758" s="105" t="s">
        <v>329</v>
      </c>
      <c r="C2758" s="493" t="s">
        <v>330</v>
      </c>
      <c r="D2758" s="105" t="s">
        <v>3307</v>
      </c>
      <c r="E2758" s="105" t="s">
        <v>3308</v>
      </c>
      <c r="F2758" s="493">
        <v>66132</v>
      </c>
      <c r="G2758" s="105" t="s">
        <v>34</v>
      </c>
      <c r="H2758" s="105" t="s">
        <v>342</v>
      </c>
      <c r="I2758" s="105" t="s">
        <v>334</v>
      </c>
      <c r="J2758" s="493">
        <v>22</v>
      </c>
      <c r="K2758" s="493">
        <v>2</v>
      </c>
      <c r="L2758" s="105" t="s">
        <v>343</v>
      </c>
      <c r="M2758" s="105" t="s">
        <v>655</v>
      </c>
      <c r="N2758" s="105" t="s">
        <v>656</v>
      </c>
      <c r="O2758" s="105" t="s">
        <v>656</v>
      </c>
      <c r="P2758" s="105" t="s">
        <v>339</v>
      </c>
      <c r="Q2758" s="494">
        <v>0</v>
      </c>
      <c r="R2758" s="494">
        <v>0</v>
      </c>
      <c r="S2758" s="494">
        <v>13037</v>
      </c>
      <c r="T2758" s="494">
        <v>13037</v>
      </c>
      <c r="U2758" s="494">
        <v>3821</v>
      </c>
      <c r="V2758" s="493">
        <v>2024</v>
      </c>
      <c r="W2758" s="495"/>
      <c r="X2758" s="496">
        <f t="shared" si="177"/>
        <v>3.4119340486783565</v>
      </c>
      <c r="Y2758" s="497" t="str">
        <f t="shared" si="180"/>
        <v/>
      </c>
      <c r="Z2758" s="497" t="str">
        <f t="shared" si="180"/>
        <v/>
      </c>
    </row>
    <row r="2759" spans="1:26" s="82" customFormat="1" ht="32" x14ac:dyDescent="0.4">
      <c r="A2759" s="493">
        <v>67293</v>
      </c>
      <c r="B2759" s="105" t="s">
        <v>329</v>
      </c>
      <c r="C2759" s="493" t="s">
        <v>330</v>
      </c>
      <c r="D2759" s="105" t="s">
        <v>3309</v>
      </c>
      <c r="E2759" s="105" t="s">
        <v>3310</v>
      </c>
      <c r="F2759" s="493">
        <v>66155</v>
      </c>
      <c r="G2759" s="105" t="s">
        <v>52</v>
      </c>
      <c r="H2759" s="105" t="s">
        <v>333</v>
      </c>
      <c r="I2759" s="105" t="s">
        <v>334</v>
      </c>
      <c r="J2759" s="493">
        <v>22</v>
      </c>
      <c r="K2759" s="493">
        <v>2</v>
      </c>
      <c r="L2759" s="105" t="s">
        <v>343</v>
      </c>
      <c r="M2759" s="105" t="s">
        <v>655</v>
      </c>
      <c r="N2759" s="105" t="s">
        <v>656</v>
      </c>
      <c r="O2759" s="105" t="s">
        <v>656</v>
      </c>
      <c r="P2759" s="105" t="s">
        <v>339</v>
      </c>
      <c r="Q2759" s="494">
        <v>0</v>
      </c>
      <c r="R2759" s="494">
        <v>0</v>
      </c>
      <c r="S2759" s="494">
        <v>5974</v>
      </c>
      <c r="T2759" s="494">
        <v>5974</v>
      </c>
      <c r="U2759" s="494">
        <v>1751</v>
      </c>
      <c r="V2759" s="493">
        <v>2024</v>
      </c>
      <c r="W2759" s="495"/>
      <c r="X2759" s="496">
        <f t="shared" si="177"/>
        <v>3.4117647058823528</v>
      </c>
      <c r="Y2759" s="497" t="str">
        <f t="shared" si="180"/>
        <v/>
      </c>
      <c r="Z2759" s="497" t="str">
        <f t="shared" si="180"/>
        <v/>
      </c>
    </row>
    <row r="2760" spans="1:26" s="82" customFormat="1" x14ac:dyDescent="0.4">
      <c r="A2760" s="493">
        <v>67295</v>
      </c>
      <c r="B2760" s="105" t="s">
        <v>329</v>
      </c>
      <c r="C2760" s="493" t="s">
        <v>330</v>
      </c>
      <c r="D2760" s="105" t="s">
        <v>3311</v>
      </c>
      <c r="E2760" s="105" t="s">
        <v>3312</v>
      </c>
      <c r="F2760" s="493">
        <v>66158</v>
      </c>
      <c r="G2760" s="105" t="s">
        <v>52</v>
      </c>
      <c r="H2760" s="105" t="s">
        <v>333</v>
      </c>
      <c r="I2760" s="105" t="s">
        <v>334</v>
      </c>
      <c r="J2760" s="493">
        <v>22</v>
      </c>
      <c r="K2760" s="493">
        <v>2</v>
      </c>
      <c r="L2760" s="105" t="s">
        <v>343</v>
      </c>
      <c r="M2760" s="105" t="s">
        <v>655</v>
      </c>
      <c r="N2760" s="105" t="s">
        <v>656</v>
      </c>
      <c r="O2760" s="105" t="s">
        <v>656</v>
      </c>
      <c r="P2760" s="105" t="s">
        <v>339</v>
      </c>
      <c r="Q2760" s="494">
        <v>0</v>
      </c>
      <c r="R2760" s="494">
        <v>0</v>
      </c>
      <c r="S2760" s="494">
        <v>25975</v>
      </c>
      <c r="T2760" s="494">
        <v>25975</v>
      </c>
      <c r="U2760" s="494">
        <v>7613</v>
      </c>
      <c r="V2760" s="493">
        <v>2024</v>
      </c>
      <c r="W2760" s="495"/>
      <c r="X2760" s="496">
        <f t="shared" si="177"/>
        <v>3.4119269670300802</v>
      </c>
      <c r="Y2760" s="497" t="str">
        <f t="shared" si="180"/>
        <v/>
      </c>
      <c r="Z2760" s="497" t="str">
        <f t="shared" si="180"/>
        <v/>
      </c>
    </row>
    <row r="2761" spans="1:26" s="82" customFormat="1" ht="32" x14ac:dyDescent="0.4">
      <c r="A2761" s="493">
        <v>67296</v>
      </c>
      <c r="B2761" s="105" t="s">
        <v>329</v>
      </c>
      <c r="C2761" s="493" t="s">
        <v>330</v>
      </c>
      <c r="D2761" s="105" t="s">
        <v>3313</v>
      </c>
      <c r="E2761" s="105" t="s">
        <v>3314</v>
      </c>
      <c r="F2761" s="493">
        <v>66160</v>
      </c>
      <c r="G2761" s="105" t="s">
        <v>33</v>
      </c>
      <c r="H2761" s="105" t="s">
        <v>342</v>
      </c>
      <c r="I2761" s="105" t="s">
        <v>334</v>
      </c>
      <c r="J2761" s="493">
        <v>22</v>
      </c>
      <c r="K2761" s="493">
        <v>2</v>
      </c>
      <c r="L2761" s="105" t="s">
        <v>343</v>
      </c>
      <c r="M2761" s="105" t="s">
        <v>403</v>
      </c>
      <c r="N2761" s="105" t="s">
        <v>404</v>
      </c>
      <c r="O2761" s="105" t="s">
        <v>232</v>
      </c>
      <c r="P2761" s="105" t="s">
        <v>346</v>
      </c>
      <c r="Q2761" s="494">
        <v>53</v>
      </c>
      <c r="R2761" s="494">
        <v>53</v>
      </c>
      <c r="S2761" s="494">
        <v>0</v>
      </c>
      <c r="T2761" s="494">
        <v>0</v>
      </c>
      <c r="U2761" s="494">
        <v>-10</v>
      </c>
      <c r="V2761" s="493">
        <v>2024</v>
      </c>
      <c r="W2761" s="495"/>
      <c r="X2761" s="496" t="str">
        <f t="shared" ref="X2761:X2824" si="181">IF(OR(K2761&gt;3,T2761=0,NOT(U2761&gt;0)),"",T2761/U2761)</f>
        <v/>
      </c>
      <c r="Y2761" s="497" t="str">
        <f t="shared" si="180"/>
        <v/>
      </c>
      <c r="Z2761" s="497" t="str">
        <f t="shared" si="180"/>
        <v/>
      </c>
    </row>
    <row r="2762" spans="1:26" s="82" customFormat="1" ht="32" x14ac:dyDescent="0.4">
      <c r="A2762" s="493">
        <v>67296</v>
      </c>
      <c r="B2762" s="105" t="s">
        <v>329</v>
      </c>
      <c r="C2762" s="493" t="s">
        <v>330</v>
      </c>
      <c r="D2762" s="105" t="s">
        <v>3313</v>
      </c>
      <c r="E2762" s="105" t="s">
        <v>3314</v>
      </c>
      <c r="F2762" s="493">
        <v>66160</v>
      </c>
      <c r="G2762" s="105" t="s">
        <v>33</v>
      </c>
      <c r="H2762" s="105" t="s">
        <v>342</v>
      </c>
      <c r="I2762" s="105" t="s">
        <v>334</v>
      </c>
      <c r="J2762" s="493">
        <v>22</v>
      </c>
      <c r="K2762" s="493">
        <v>2</v>
      </c>
      <c r="L2762" s="105" t="s">
        <v>343</v>
      </c>
      <c r="M2762" s="105" t="s">
        <v>655</v>
      </c>
      <c r="N2762" s="105" t="s">
        <v>656</v>
      </c>
      <c r="O2762" s="105" t="s">
        <v>656</v>
      </c>
      <c r="P2762" s="105" t="s">
        <v>339</v>
      </c>
      <c r="Q2762" s="494">
        <v>0</v>
      </c>
      <c r="R2762" s="494">
        <v>0</v>
      </c>
      <c r="S2762" s="494">
        <v>3763</v>
      </c>
      <c r="T2762" s="494">
        <v>3763</v>
      </c>
      <c r="U2762" s="494">
        <v>1103</v>
      </c>
      <c r="V2762" s="493">
        <v>2024</v>
      </c>
      <c r="W2762" s="495"/>
      <c r="X2762" s="496">
        <f t="shared" si="181"/>
        <v>3.4116047144152311</v>
      </c>
      <c r="Y2762" s="497" t="str">
        <f t="shared" si="180"/>
        <v/>
      </c>
      <c r="Z2762" s="497" t="str">
        <f t="shared" si="180"/>
        <v/>
      </c>
    </row>
    <row r="2763" spans="1:26" s="82" customFormat="1" ht="32" x14ac:dyDescent="0.4">
      <c r="A2763" s="493">
        <v>67326</v>
      </c>
      <c r="B2763" s="105" t="s">
        <v>329</v>
      </c>
      <c r="C2763" s="493" t="s">
        <v>330</v>
      </c>
      <c r="D2763" s="105" t="s">
        <v>3315</v>
      </c>
      <c r="E2763" s="105" t="s">
        <v>3316</v>
      </c>
      <c r="F2763" s="493">
        <v>66167</v>
      </c>
      <c r="G2763" s="105" t="s">
        <v>37</v>
      </c>
      <c r="H2763" s="105" t="s">
        <v>342</v>
      </c>
      <c r="I2763" s="105" t="s">
        <v>334</v>
      </c>
      <c r="J2763" s="493">
        <v>22</v>
      </c>
      <c r="K2763" s="493">
        <v>2</v>
      </c>
      <c r="L2763" s="105" t="s">
        <v>343</v>
      </c>
      <c r="M2763" s="105" t="s">
        <v>655</v>
      </c>
      <c r="N2763" s="105" t="s">
        <v>656</v>
      </c>
      <c r="O2763" s="105" t="s">
        <v>656</v>
      </c>
      <c r="P2763" s="105" t="s">
        <v>339</v>
      </c>
      <c r="Q2763" s="494">
        <v>0</v>
      </c>
      <c r="R2763" s="494">
        <v>0</v>
      </c>
      <c r="S2763" s="494">
        <v>12172</v>
      </c>
      <c r="T2763" s="494">
        <v>12172</v>
      </c>
      <c r="U2763" s="494">
        <v>3568</v>
      </c>
      <c r="V2763" s="493">
        <v>2024</v>
      </c>
      <c r="W2763" s="495"/>
      <c r="X2763" s="496">
        <f t="shared" si="181"/>
        <v>3.4114349775784754</v>
      </c>
      <c r="Y2763" s="497" t="str">
        <f t="shared" si="180"/>
        <v/>
      </c>
      <c r="Z2763" s="497" t="str">
        <f t="shared" si="180"/>
        <v/>
      </c>
    </row>
    <row r="2764" spans="1:26" s="82" customFormat="1" x14ac:dyDescent="0.4">
      <c r="A2764" s="493">
        <v>67327</v>
      </c>
      <c r="B2764" s="105" t="s">
        <v>329</v>
      </c>
      <c r="C2764" s="493" t="s">
        <v>330</v>
      </c>
      <c r="D2764" s="105" t="s">
        <v>3317</v>
      </c>
      <c r="E2764" s="105" t="s">
        <v>3318</v>
      </c>
      <c r="F2764" s="493">
        <v>66168</v>
      </c>
      <c r="G2764" s="105" t="s">
        <v>37</v>
      </c>
      <c r="H2764" s="105" t="s">
        <v>342</v>
      </c>
      <c r="I2764" s="105" t="s">
        <v>334</v>
      </c>
      <c r="J2764" s="493">
        <v>22</v>
      </c>
      <c r="K2764" s="493">
        <v>2</v>
      </c>
      <c r="L2764" s="105" t="s">
        <v>343</v>
      </c>
      <c r="M2764" s="105" t="s">
        <v>655</v>
      </c>
      <c r="N2764" s="105" t="s">
        <v>656</v>
      </c>
      <c r="O2764" s="105" t="s">
        <v>656</v>
      </c>
      <c r="P2764" s="105" t="s">
        <v>339</v>
      </c>
      <c r="Q2764" s="494">
        <v>0</v>
      </c>
      <c r="R2764" s="494">
        <v>0</v>
      </c>
      <c r="S2764" s="494">
        <v>11879</v>
      </c>
      <c r="T2764" s="494">
        <v>11879</v>
      </c>
      <c r="U2764" s="494">
        <v>3482</v>
      </c>
      <c r="V2764" s="493">
        <v>2024</v>
      </c>
      <c r="W2764" s="495"/>
      <c r="X2764" s="496">
        <f t="shared" si="181"/>
        <v>3.4115450890292935</v>
      </c>
      <c r="Y2764" s="497" t="str">
        <f t="shared" si="180"/>
        <v/>
      </c>
      <c r="Z2764" s="497" t="str">
        <f t="shared" si="180"/>
        <v/>
      </c>
    </row>
    <row r="2765" spans="1:26" s="82" customFormat="1" x14ac:dyDescent="0.4">
      <c r="A2765" s="493">
        <v>67329</v>
      </c>
      <c r="B2765" s="105" t="s">
        <v>329</v>
      </c>
      <c r="C2765" s="493" t="s">
        <v>330</v>
      </c>
      <c r="D2765" s="105" t="s">
        <v>3319</v>
      </c>
      <c r="E2765" s="105" t="s">
        <v>1606</v>
      </c>
      <c r="F2765" s="493">
        <v>61227</v>
      </c>
      <c r="G2765" s="105" t="s">
        <v>52</v>
      </c>
      <c r="H2765" s="105" t="s">
        <v>333</v>
      </c>
      <c r="I2765" s="105" t="s">
        <v>334</v>
      </c>
      <c r="J2765" s="493">
        <v>22</v>
      </c>
      <c r="K2765" s="493">
        <v>2</v>
      </c>
      <c r="L2765" s="105" t="s">
        <v>343</v>
      </c>
      <c r="M2765" s="105" t="s">
        <v>655</v>
      </c>
      <c r="N2765" s="105" t="s">
        <v>656</v>
      </c>
      <c r="O2765" s="105" t="s">
        <v>656</v>
      </c>
      <c r="P2765" s="105" t="s">
        <v>339</v>
      </c>
      <c r="Q2765" s="494">
        <v>0</v>
      </c>
      <c r="R2765" s="494">
        <v>0</v>
      </c>
      <c r="S2765" s="494">
        <v>51</v>
      </c>
      <c r="T2765" s="494">
        <v>51</v>
      </c>
      <c r="U2765" s="494">
        <v>15</v>
      </c>
      <c r="V2765" s="493">
        <v>2024</v>
      </c>
      <c r="W2765" s="495"/>
      <c r="X2765" s="496">
        <f t="shared" si="181"/>
        <v>3.4</v>
      </c>
      <c r="Y2765" s="497" t="str">
        <f t="shared" si="180"/>
        <v/>
      </c>
      <c r="Z2765" s="497" t="str">
        <f t="shared" si="180"/>
        <v/>
      </c>
    </row>
    <row r="2766" spans="1:26" s="82" customFormat="1" x14ac:dyDescent="0.4">
      <c r="A2766" s="493">
        <v>67330</v>
      </c>
      <c r="B2766" s="105" t="s">
        <v>329</v>
      </c>
      <c r="C2766" s="493" t="s">
        <v>330</v>
      </c>
      <c r="D2766" s="105" t="s">
        <v>3320</v>
      </c>
      <c r="E2766" s="105" t="s">
        <v>1606</v>
      </c>
      <c r="F2766" s="493">
        <v>61227</v>
      </c>
      <c r="G2766" s="105" t="s">
        <v>34</v>
      </c>
      <c r="H2766" s="105" t="s">
        <v>342</v>
      </c>
      <c r="I2766" s="105" t="s">
        <v>334</v>
      </c>
      <c r="J2766" s="493">
        <v>22</v>
      </c>
      <c r="K2766" s="493">
        <v>2</v>
      </c>
      <c r="L2766" s="105" t="s">
        <v>343</v>
      </c>
      <c r="M2766" s="105" t="s">
        <v>655</v>
      </c>
      <c r="N2766" s="105" t="s">
        <v>656</v>
      </c>
      <c r="O2766" s="105" t="s">
        <v>656</v>
      </c>
      <c r="P2766" s="105" t="s">
        <v>339</v>
      </c>
      <c r="Q2766" s="494">
        <v>0</v>
      </c>
      <c r="R2766" s="494">
        <v>0</v>
      </c>
      <c r="S2766" s="494">
        <v>7960</v>
      </c>
      <c r="T2766" s="494">
        <v>7960</v>
      </c>
      <c r="U2766" s="494">
        <v>2333</v>
      </c>
      <c r="V2766" s="493">
        <v>2024</v>
      </c>
      <c r="W2766" s="495"/>
      <c r="X2766" s="496">
        <f t="shared" si="181"/>
        <v>3.4119159879982854</v>
      </c>
      <c r="Y2766" s="497" t="str">
        <f t="shared" si="180"/>
        <v/>
      </c>
      <c r="Z2766" s="497" t="str">
        <f t="shared" si="180"/>
        <v/>
      </c>
    </row>
    <row r="2767" spans="1:26" s="82" customFormat="1" x14ac:dyDescent="0.4">
      <c r="A2767" s="493">
        <v>67333</v>
      </c>
      <c r="B2767" s="105" t="s">
        <v>329</v>
      </c>
      <c r="C2767" s="493" t="s">
        <v>330</v>
      </c>
      <c r="D2767" s="105" t="s">
        <v>3321</v>
      </c>
      <c r="E2767" s="105" t="s">
        <v>1606</v>
      </c>
      <c r="F2767" s="493">
        <v>61227</v>
      </c>
      <c r="G2767" s="105" t="s">
        <v>34</v>
      </c>
      <c r="H2767" s="105" t="s">
        <v>342</v>
      </c>
      <c r="I2767" s="105" t="s">
        <v>334</v>
      </c>
      <c r="J2767" s="493">
        <v>22</v>
      </c>
      <c r="K2767" s="493">
        <v>2</v>
      </c>
      <c r="L2767" s="105" t="s">
        <v>343</v>
      </c>
      <c r="M2767" s="105" t="s">
        <v>655</v>
      </c>
      <c r="N2767" s="105" t="s">
        <v>656</v>
      </c>
      <c r="O2767" s="105" t="s">
        <v>656</v>
      </c>
      <c r="P2767" s="105" t="s">
        <v>339</v>
      </c>
      <c r="Q2767" s="494">
        <v>0</v>
      </c>
      <c r="R2767" s="494">
        <v>0</v>
      </c>
      <c r="S2767" s="494">
        <v>24877</v>
      </c>
      <c r="T2767" s="494">
        <v>24877</v>
      </c>
      <c r="U2767" s="494">
        <v>7291</v>
      </c>
      <c r="V2767" s="493">
        <v>2024</v>
      </c>
      <c r="W2767" s="495"/>
      <c r="X2767" s="496">
        <f t="shared" si="181"/>
        <v>3.4120148127828829</v>
      </c>
      <c r="Y2767" s="497" t="str">
        <f t="shared" si="180"/>
        <v/>
      </c>
      <c r="Z2767" s="497" t="str">
        <f t="shared" si="180"/>
        <v/>
      </c>
    </row>
    <row r="2768" spans="1:26" s="82" customFormat="1" x14ac:dyDescent="0.4">
      <c r="A2768" s="493">
        <v>67335</v>
      </c>
      <c r="B2768" s="105" t="s">
        <v>329</v>
      </c>
      <c r="C2768" s="493" t="s">
        <v>330</v>
      </c>
      <c r="D2768" s="105" t="s">
        <v>3322</v>
      </c>
      <c r="E2768" s="105" t="s">
        <v>1606</v>
      </c>
      <c r="F2768" s="493">
        <v>61227</v>
      </c>
      <c r="G2768" s="105" t="s">
        <v>52</v>
      </c>
      <c r="H2768" s="105" t="s">
        <v>333</v>
      </c>
      <c r="I2768" s="105" t="s">
        <v>334</v>
      </c>
      <c r="J2768" s="493">
        <v>22</v>
      </c>
      <c r="K2768" s="493">
        <v>2</v>
      </c>
      <c r="L2768" s="105" t="s">
        <v>343</v>
      </c>
      <c r="M2768" s="105" t="s">
        <v>655</v>
      </c>
      <c r="N2768" s="105" t="s">
        <v>656</v>
      </c>
      <c r="O2768" s="105" t="s">
        <v>656</v>
      </c>
      <c r="P2768" s="105" t="s">
        <v>339</v>
      </c>
      <c r="Q2768" s="494">
        <v>0</v>
      </c>
      <c r="R2768" s="494">
        <v>0</v>
      </c>
      <c r="S2768" s="494">
        <v>27506</v>
      </c>
      <c r="T2768" s="494">
        <v>27506</v>
      </c>
      <c r="U2768" s="494">
        <v>8062</v>
      </c>
      <c r="V2768" s="493">
        <v>2024</v>
      </c>
      <c r="W2768" s="495"/>
      <c r="X2768" s="496">
        <f t="shared" si="181"/>
        <v>3.4118084842470853</v>
      </c>
      <c r="Y2768" s="497" t="str">
        <f t="shared" ref="Y2768:Z2787" si="182">IF(AND($M2768=$Y$2,$N2768=$Y$3,NOT($Q2768=$R2768),NOT($U2768=0)),IF($K2768=5,$S2768/($U2768+(8/5)*$U2768),IF($K2768=7,$S2768/($U2768+(29/25)*$U2768),"")),"")</f>
        <v/>
      </c>
      <c r="Z2768" s="497" t="str">
        <f t="shared" si="182"/>
        <v/>
      </c>
    </row>
    <row r="2769" spans="1:26" s="82" customFormat="1" x14ac:dyDescent="0.4">
      <c r="A2769" s="493">
        <v>67336</v>
      </c>
      <c r="B2769" s="105" t="s">
        <v>329</v>
      </c>
      <c r="C2769" s="493" t="s">
        <v>330</v>
      </c>
      <c r="D2769" s="105" t="s">
        <v>3323</v>
      </c>
      <c r="E2769" s="105" t="s">
        <v>1606</v>
      </c>
      <c r="F2769" s="493">
        <v>61227</v>
      </c>
      <c r="G2769" s="105" t="s">
        <v>34</v>
      </c>
      <c r="H2769" s="105" t="s">
        <v>342</v>
      </c>
      <c r="I2769" s="105" t="s">
        <v>334</v>
      </c>
      <c r="J2769" s="493">
        <v>22</v>
      </c>
      <c r="K2769" s="493">
        <v>2</v>
      </c>
      <c r="L2769" s="105" t="s">
        <v>343</v>
      </c>
      <c r="M2769" s="105" t="s">
        <v>655</v>
      </c>
      <c r="N2769" s="105" t="s">
        <v>656</v>
      </c>
      <c r="O2769" s="105" t="s">
        <v>656</v>
      </c>
      <c r="P2769" s="105" t="s">
        <v>339</v>
      </c>
      <c r="Q2769" s="494">
        <v>0</v>
      </c>
      <c r="R2769" s="494">
        <v>0</v>
      </c>
      <c r="S2769" s="494">
        <v>27916</v>
      </c>
      <c r="T2769" s="494">
        <v>27916</v>
      </c>
      <c r="U2769" s="494">
        <v>8182</v>
      </c>
      <c r="V2769" s="493">
        <v>2024</v>
      </c>
      <c r="W2769" s="495"/>
      <c r="X2769" s="496">
        <f t="shared" si="181"/>
        <v>3.4118797360058664</v>
      </c>
      <c r="Y2769" s="497" t="str">
        <f t="shared" si="182"/>
        <v/>
      </c>
      <c r="Z2769" s="497" t="str">
        <f t="shared" si="182"/>
        <v/>
      </c>
    </row>
    <row r="2770" spans="1:26" s="82" customFormat="1" x14ac:dyDescent="0.4">
      <c r="A2770" s="493">
        <v>67337</v>
      </c>
      <c r="B2770" s="105" t="s">
        <v>329</v>
      </c>
      <c r="C2770" s="493" t="s">
        <v>330</v>
      </c>
      <c r="D2770" s="105" t="s">
        <v>3324</v>
      </c>
      <c r="E2770" s="105" t="s">
        <v>1606</v>
      </c>
      <c r="F2770" s="493">
        <v>61227</v>
      </c>
      <c r="G2770" s="105" t="s">
        <v>52</v>
      </c>
      <c r="H2770" s="105" t="s">
        <v>333</v>
      </c>
      <c r="I2770" s="105" t="s">
        <v>334</v>
      </c>
      <c r="J2770" s="493">
        <v>22</v>
      </c>
      <c r="K2770" s="493">
        <v>2</v>
      </c>
      <c r="L2770" s="105" t="s">
        <v>343</v>
      </c>
      <c r="M2770" s="105" t="s">
        <v>655</v>
      </c>
      <c r="N2770" s="105" t="s">
        <v>656</v>
      </c>
      <c r="O2770" s="105" t="s">
        <v>656</v>
      </c>
      <c r="P2770" s="105" t="s">
        <v>339</v>
      </c>
      <c r="Q2770" s="494">
        <v>0</v>
      </c>
      <c r="R2770" s="494">
        <v>0</v>
      </c>
      <c r="S2770" s="494">
        <v>0</v>
      </c>
      <c r="T2770" s="494">
        <v>0</v>
      </c>
      <c r="U2770" s="494">
        <v>0</v>
      </c>
      <c r="V2770" s="493">
        <v>2024</v>
      </c>
      <c r="W2770" s="495"/>
      <c r="X2770" s="496" t="str">
        <f t="shared" si="181"/>
        <v/>
      </c>
      <c r="Y2770" s="497" t="str">
        <f t="shared" si="182"/>
        <v/>
      </c>
      <c r="Z2770" s="497" t="str">
        <f t="shared" si="182"/>
        <v/>
      </c>
    </row>
    <row r="2771" spans="1:26" s="82" customFormat="1" x14ac:dyDescent="0.4">
      <c r="A2771" s="493">
        <v>67338</v>
      </c>
      <c r="B2771" s="105" t="s">
        <v>329</v>
      </c>
      <c r="C2771" s="493" t="s">
        <v>330</v>
      </c>
      <c r="D2771" s="105" t="s">
        <v>3325</v>
      </c>
      <c r="E2771" s="105" t="s">
        <v>1606</v>
      </c>
      <c r="F2771" s="493">
        <v>61227</v>
      </c>
      <c r="G2771" s="105" t="s">
        <v>52</v>
      </c>
      <c r="H2771" s="105" t="s">
        <v>333</v>
      </c>
      <c r="I2771" s="105" t="s">
        <v>334</v>
      </c>
      <c r="J2771" s="493">
        <v>22</v>
      </c>
      <c r="K2771" s="493">
        <v>2</v>
      </c>
      <c r="L2771" s="105" t="s">
        <v>343</v>
      </c>
      <c r="M2771" s="105" t="s">
        <v>655</v>
      </c>
      <c r="N2771" s="105" t="s">
        <v>656</v>
      </c>
      <c r="O2771" s="105" t="s">
        <v>656</v>
      </c>
      <c r="P2771" s="105" t="s">
        <v>339</v>
      </c>
      <c r="Q2771" s="494">
        <v>0</v>
      </c>
      <c r="R2771" s="494">
        <v>0</v>
      </c>
      <c r="S2771" s="494">
        <v>0</v>
      </c>
      <c r="T2771" s="494">
        <v>0</v>
      </c>
      <c r="U2771" s="494">
        <v>0</v>
      </c>
      <c r="V2771" s="493">
        <v>2024</v>
      </c>
      <c r="W2771" s="495"/>
      <c r="X2771" s="496" t="str">
        <f t="shared" si="181"/>
        <v/>
      </c>
      <c r="Y2771" s="497" t="str">
        <f t="shared" si="182"/>
        <v/>
      </c>
      <c r="Z2771" s="497" t="str">
        <f t="shared" si="182"/>
        <v/>
      </c>
    </row>
    <row r="2772" spans="1:26" s="82" customFormat="1" x14ac:dyDescent="0.4">
      <c r="A2772" s="493">
        <v>67339</v>
      </c>
      <c r="B2772" s="105" t="s">
        <v>329</v>
      </c>
      <c r="C2772" s="493" t="s">
        <v>330</v>
      </c>
      <c r="D2772" s="105" t="s">
        <v>3326</v>
      </c>
      <c r="E2772" s="105" t="s">
        <v>1606</v>
      </c>
      <c r="F2772" s="493">
        <v>61227</v>
      </c>
      <c r="G2772" s="105" t="s">
        <v>34</v>
      </c>
      <c r="H2772" s="105" t="s">
        <v>342</v>
      </c>
      <c r="I2772" s="105" t="s">
        <v>334</v>
      </c>
      <c r="J2772" s="493">
        <v>22</v>
      </c>
      <c r="K2772" s="493">
        <v>2</v>
      </c>
      <c r="L2772" s="105" t="s">
        <v>343</v>
      </c>
      <c r="M2772" s="105" t="s">
        <v>655</v>
      </c>
      <c r="N2772" s="105" t="s">
        <v>656</v>
      </c>
      <c r="O2772" s="105" t="s">
        <v>656</v>
      </c>
      <c r="P2772" s="105" t="s">
        <v>339</v>
      </c>
      <c r="Q2772" s="494">
        <v>0</v>
      </c>
      <c r="R2772" s="494">
        <v>0</v>
      </c>
      <c r="S2772" s="494">
        <v>19196</v>
      </c>
      <c r="T2772" s="494">
        <v>19196</v>
      </c>
      <c r="U2772" s="494">
        <v>5626</v>
      </c>
      <c r="V2772" s="493">
        <v>2024</v>
      </c>
      <c r="W2772" s="495"/>
      <c r="X2772" s="496">
        <f t="shared" si="181"/>
        <v>3.4120156416637042</v>
      </c>
      <c r="Y2772" s="497" t="str">
        <f t="shared" si="182"/>
        <v/>
      </c>
      <c r="Z2772" s="497" t="str">
        <f t="shared" si="182"/>
        <v/>
      </c>
    </row>
    <row r="2773" spans="1:26" s="82" customFormat="1" x14ac:dyDescent="0.4">
      <c r="A2773" s="493">
        <v>67340</v>
      </c>
      <c r="B2773" s="105" t="s">
        <v>329</v>
      </c>
      <c r="C2773" s="493" t="s">
        <v>330</v>
      </c>
      <c r="D2773" s="105" t="s">
        <v>3327</v>
      </c>
      <c r="E2773" s="105" t="s">
        <v>1606</v>
      </c>
      <c r="F2773" s="493">
        <v>61227</v>
      </c>
      <c r="G2773" s="105" t="s">
        <v>34</v>
      </c>
      <c r="H2773" s="105" t="s">
        <v>342</v>
      </c>
      <c r="I2773" s="105" t="s">
        <v>334</v>
      </c>
      <c r="J2773" s="493">
        <v>22</v>
      </c>
      <c r="K2773" s="493">
        <v>2</v>
      </c>
      <c r="L2773" s="105" t="s">
        <v>343</v>
      </c>
      <c r="M2773" s="105" t="s">
        <v>655</v>
      </c>
      <c r="N2773" s="105" t="s">
        <v>656</v>
      </c>
      <c r="O2773" s="105" t="s">
        <v>656</v>
      </c>
      <c r="P2773" s="105" t="s">
        <v>339</v>
      </c>
      <c r="Q2773" s="494">
        <v>0</v>
      </c>
      <c r="R2773" s="494">
        <v>0</v>
      </c>
      <c r="S2773" s="494">
        <v>21973</v>
      </c>
      <c r="T2773" s="494">
        <v>21973</v>
      </c>
      <c r="U2773" s="494">
        <v>6440</v>
      </c>
      <c r="V2773" s="493">
        <v>2024</v>
      </c>
      <c r="W2773" s="495"/>
      <c r="X2773" s="496">
        <f t="shared" si="181"/>
        <v>3.4119565217391306</v>
      </c>
      <c r="Y2773" s="497" t="str">
        <f t="shared" si="182"/>
        <v/>
      </c>
      <c r="Z2773" s="497" t="str">
        <f t="shared" si="182"/>
        <v/>
      </c>
    </row>
    <row r="2774" spans="1:26" s="82" customFormat="1" x14ac:dyDescent="0.4">
      <c r="A2774" s="493">
        <v>67345</v>
      </c>
      <c r="B2774" s="105" t="s">
        <v>329</v>
      </c>
      <c r="C2774" s="493" t="s">
        <v>330</v>
      </c>
      <c r="D2774" s="105" t="s">
        <v>3328</v>
      </c>
      <c r="E2774" s="105" t="s">
        <v>3329</v>
      </c>
      <c r="F2774" s="493">
        <v>66177</v>
      </c>
      <c r="G2774" s="105" t="s">
        <v>52</v>
      </c>
      <c r="H2774" s="105" t="s">
        <v>333</v>
      </c>
      <c r="I2774" s="105" t="s">
        <v>334</v>
      </c>
      <c r="J2774" s="493">
        <v>22</v>
      </c>
      <c r="K2774" s="493">
        <v>2</v>
      </c>
      <c r="L2774" s="105" t="s">
        <v>343</v>
      </c>
      <c r="M2774" s="105" t="s">
        <v>655</v>
      </c>
      <c r="N2774" s="105" t="s">
        <v>656</v>
      </c>
      <c r="O2774" s="105" t="s">
        <v>656</v>
      </c>
      <c r="P2774" s="105" t="s">
        <v>339</v>
      </c>
      <c r="Q2774" s="494">
        <v>0</v>
      </c>
      <c r="R2774" s="494">
        <v>0</v>
      </c>
      <c r="S2774" s="494">
        <v>21195</v>
      </c>
      <c r="T2774" s="494">
        <v>21195</v>
      </c>
      <c r="U2774" s="494">
        <v>6212</v>
      </c>
      <c r="V2774" s="493">
        <v>2024</v>
      </c>
      <c r="W2774" s="495"/>
      <c r="X2774" s="496">
        <f t="shared" si="181"/>
        <v>3.411944623309723</v>
      </c>
      <c r="Y2774" s="497" t="str">
        <f t="shared" si="182"/>
        <v/>
      </c>
      <c r="Z2774" s="497" t="str">
        <f t="shared" si="182"/>
        <v/>
      </c>
    </row>
    <row r="2775" spans="1:26" s="82" customFormat="1" x14ac:dyDescent="0.4">
      <c r="A2775" s="493">
        <v>67349</v>
      </c>
      <c r="B2775" s="105" t="s">
        <v>329</v>
      </c>
      <c r="C2775" s="493" t="s">
        <v>330</v>
      </c>
      <c r="D2775" s="105" t="s">
        <v>3330</v>
      </c>
      <c r="E2775" s="105" t="s">
        <v>3331</v>
      </c>
      <c r="F2775" s="493">
        <v>66182</v>
      </c>
      <c r="G2775" s="105" t="s">
        <v>34</v>
      </c>
      <c r="H2775" s="105" t="s">
        <v>342</v>
      </c>
      <c r="I2775" s="105" t="s">
        <v>334</v>
      </c>
      <c r="J2775" s="493">
        <v>22</v>
      </c>
      <c r="K2775" s="493">
        <v>2</v>
      </c>
      <c r="L2775" s="105" t="s">
        <v>343</v>
      </c>
      <c r="M2775" s="105" t="s">
        <v>655</v>
      </c>
      <c r="N2775" s="105" t="s">
        <v>656</v>
      </c>
      <c r="O2775" s="105" t="s">
        <v>656</v>
      </c>
      <c r="P2775" s="105" t="s">
        <v>339</v>
      </c>
      <c r="Q2775" s="494">
        <v>0</v>
      </c>
      <c r="R2775" s="494">
        <v>0</v>
      </c>
      <c r="S2775" s="494">
        <v>23664</v>
      </c>
      <c r="T2775" s="494">
        <v>23664</v>
      </c>
      <c r="U2775" s="494">
        <v>6936</v>
      </c>
      <c r="V2775" s="493">
        <v>2024</v>
      </c>
      <c r="W2775" s="495"/>
      <c r="X2775" s="496">
        <f t="shared" si="181"/>
        <v>3.4117647058823528</v>
      </c>
      <c r="Y2775" s="497" t="str">
        <f t="shared" si="182"/>
        <v/>
      </c>
      <c r="Z2775" s="497" t="str">
        <f t="shared" si="182"/>
        <v/>
      </c>
    </row>
    <row r="2776" spans="1:26" s="82" customFormat="1" ht="32" x14ac:dyDescent="0.4">
      <c r="A2776" s="493">
        <v>67350</v>
      </c>
      <c r="B2776" s="105" t="s">
        <v>329</v>
      </c>
      <c r="C2776" s="493" t="s">
        <v>330</v>
      </c>
      <c r="D2776" s="105" t="s">
        <v>3332</v>
      </c>
      <c r="E2776" s="105" t="s">
        <v>3333</v>
      </c>
      <c r="F2776" s="493">
        <v>66183</v>
      </c>
      <c r="G2776" s="105" t="s">
        <v>34</v>
      </c>
      <c r="H2776" s="105" t="s">
        <v>342</v>
      </c>
      <c r="I2776" s="105" t="s">
        <v>334</v>
      </c>
      <c r="J2776" s="493">
        <v>22</v>
      </c>
      <c r="K2776" s="493">
        <v>2</v>
      </c>
      <c r="L2776" s="105" t="s">
        <v>343</v>
      </c>
      <c r="M2776" s="105" t="s">
        <v>655</v>
      </c>
      <c r="N2776" s="105" t="s">
        <v>656</v>
      </c>
      <c r="O2776" s="105" t="s">
        <v>656</v>
      </c>
      <c r="P2776" s="105" t="s">
        <v>339</v>
      </c>
      <c r="Q2776" s="494">
        <v>0</v>
      </c>
      <c r="R2776" s="494">
        <v>0</v>
      </c>
      <c r="S2776" s="494">
        <v>25607</v>
      </c>
      <c r="T2776" s="494">
        <v>25607</v>
      </c>
      <c r="U2776" s="494">
        <v>7505</v>
      </c>
      <c r="V2776" s="493">
        <v>2024</v>
      </c>
      <c r="W2776" s="495"/>
      <c r="X2776" s="496">
        <f t="shared" si="181"/>
        <v>3.4119920053297803</v>
      </c>
      <c r="Y2776" s="497" t="str">
        <f t="shared" si="182"/>
        <v/>
      </c>
      <c r="Z2776" s="497" t="str">
        <f t="shared" si="182"/>
        <v/>
      </c>
    </row>
    <row r="2777" spans="1:26" s="82" customFormat="1" x14ac:dyDescent="0.4">
      <c r="A2777" s="493">
        <v>67351</v>
      </c>
      <c r="B2777" s="105" t="s">
        <v>329</v>
      </c>
      <c r="C2777" s="493" t="s">
        <v>330</v>
      </c>
      <c r="D2777" s="105" t="s">
        <v>3334</v>
      </c>
      <c r="E2777" s="105" t="s">
        <v>1650</v>
      </c>
      <c r="F2777" s="493">
        <v>58135</v>
      </c>
      <c r="G2777" s="105" t="s">
        <v>37</v>
      </c>
      <c r="H2777" s="105" t="s">
        <v>342</v>
      </c>
      <c r="I2777" s="105" t="s">
        <v>334</v>
      </c>
      <c r="J2777" s="493">
        <v>22</v>
      </c>
      <c r="K2777" s="493">
        <v>2</v>
      </c>
      <c r="L2777" s="105" t="s">
        <v>343</v>
      </c>
      <c r="M2777" s="105" t="s">
        <v>655</v>
      </c>
      <c r="N2777" s="105" t="s">
        <v>656</v>
      </c>
      <c r="O2777" s="105" t="s">
        <v>656</v>
      </c>
      <c r="P2777" s="105" t="s">
        <v>339</v>
      </c>
      <c r="Q2777" s="494">
        <v>0</v>
      </c>
      <c r="R2777" s="494">
        <v>0</v>
      </c>
      <c r="S2777" s="494">
        <v>2955</v>
      </c>
      <c r="T2777" s="494">
        <v>2955</v>
      </c>
      <c r="U2777" s="494">
        <v>866</v>
      </c>
      <c r="V2777" s="493">
        <v>2024</v>
      </c>
      <c r="W2777" s="495"/>
      <c r="X2777" s="496">
        <f t="shared" si="181"/>
        <v>3.4122401847575059</v>
      </c>
      <c r="Y2777" s="497" t="str">
        <f t="shared" si="182"/>
        <v/>
      </c>
      <c r="Z2777" s="497" t="str">
        <f t="shared" si="182"/>
        <v/>
      </c>
    </row>
    <row r="2778" spans="1:26" s="82" customFormat="1" x14ac:dyDescent="0.4">
      <c r="A2778" s="493">
        <v>67366</v>
      </c>
      <c r="B2778" s="105" t="s">
        <v>329</v>
      </c>
      <c r="C2778" s="493" t="s">
        <v>330</v>
      </c>
      <c r="D2778" s="105" t="s">
        <v>3335</v>
      </c>
      <c r="E2778" s="105" t="s">
        <v>2894</v>
      </c>
      <c r="F2778" s="493">
        <v>64904</v>
      </c>
      <c r="G2778" s="105" t="s">
        <v>34</v>
      </c>
      <c r="H2778" s="105" t="s">
        <v>342</v>
      </c>
      <c r="I2778" s="105" t="s">
        <v>334</v>
      </c>
      <c r="J2778" s="493">
        <v>22</v>
      </c>
      <c r="K2778" s="493">
        <v>2</v>
      </c>
      <c r="L2778" s="105" t="s">
        <v>343</v>
      </c>
      <c r="M2778" s="105" t="s">
        <v>655</v>
      </c>
      <c r="N2778" s="105" t="s">
        <v>656</v>
      </c>
      <c r="O2778" s="105" t="s">
        <v>656</v>
      </c>
      <c r="P2778" s="105" t="s">
        <v>339</v>
      </c>
      <c r="Q2778" s="494">
        <v>0</v>
      </c>
      <c r="R2778" s="494">
        <v>0</v>
      </c>
      <c r="S2778" s="494">
        <v>30135</v>
      </c>
      <c r="T2778" s="494">
        <v>30135</v>
      </c>
      <c r="U2778" s="494">
        <v>8832</v>
      </c>
      <c r="V2778" s="493">
        <v>2024</v>
      </c>
      <c r="W2778" s="495"/>
      <c r="X2778" s="496">
        <f t="shared" si="181"/>
        <v>3.4120244565217392</v>
      </c>
      <c r="Y2778" s="497" t="str">
        <f t="shared" si="182"/>
        <v/>
      </c>
      <c r="Z2778" s="497" t="str">
        <f t="shared" si="182"/>
        <v/>
      </c>
    </row>
    <row r="2779" spans="1:26" s="82" customFormat="1" x14ac:dyDescent="0.4">
      <c r="A2779" s="493">
        <v>67367</v>
      </c>
      <c r="B2779" s="105" t="s">
        <v>329</v>
      </c>
      <c r="C2779" s="493" t="s">
        <v>330</v>
      </c>
      <c r="D2779" s="105" t="s">
        <v>3336</v>
      </c>
      <c r="E2779" s="105" t="s">
        <v>1666</v>
      </c>
      <c r="F2779" s="493">
        <v>62836</v>
      </c>
      <c r="G2779" s="105" t="s">
        <v>33</v>
      </c>
      <c r="H2779" s="105" t="s">
        <v>342</v>
      </c>
      <c r="I2779" s="105" t="s">
        <v>334</v>
      </c>
      <c r="J2779" s="493">
        <v>22</v>
      </c>
      <c r="K2779" s="493">
        <v>2</v>
      </c>
      <c r="L2779" s="105" t="s">
        <v>343</v>
      </c>
      <c r="M2779" s="105" t="s">
        <v>655</v>
      </c>
      <c r="N2779" s="105" t="s">
        <v>656</v>
      </c>
      <c r="O2779" s="105" t="s">
        <v>656</v>
      </c>
      <c r="P2779" s="105" t="s">
        <v>339</v>
      </c>
      <c r="Q2779" s="494">
        <v>0</v>
      </c>
      <c r="R2779" s="494">
        <v>0</v>
      </c>
      <c r="S2779" s="494">
        <v>5222</v>
      </c>
      <c r="T2779" s="494">
        <v>5222</v>
      </c>
      <c r="U2779" s="494">
        <v>1530</v>
      </c>
      <c r="V2779" s="493">
        <v>2024</v>
      </c>
      <c r="W2779" s="495"/>
      <c r="X2779" s="496">
        <f t="shared" si="181"/>
        <v>3.4130718954248365</v>
      </c>
      <c r="Y2779" s="497" t="str">
        <f t="shared" si="182"/>
        <v/>
      </c>
      <c r="Z2779" s="497" t="str">
        <f t="shared" si="182"/>
        <v/>
      </c>
    </row>
    <row r="2780" spans="1:26" s="82" customFormat="1" x14ac:dyDescent="0.4">
      <c r="A2780" s="493">
        <v>67369</v>
      </c>
      <c r="B2780" s="105" t="s">
        <v>329</v>
      </c>
      <c r="C2780" s="493" t="s">
        <v>330</v>
      </c>
      <c r="D2780" s="105" t="s">
        <v>3337</v>
      </c>
      <c r="E2780" s="105" t="s">
        <v>1666</v>
      </c>
      <c r="F2780" s="493">
        <v>62836</v>
      </c>
      <c r="G2780" s="105" t="s">
        <v>33</v>
      </c>
      <c r="H2780" s="105" t="s">
        <v>342</v>
      </c>
      <c r="I2780" s="105" t="s">
        <v>334</v>
      </c>
      <c r="J2780" s="493">
        <v>22</v>
      </c>
      <c r="K2780" s="493">
        <v>2</v>
      </c>
      <c r="L2780" s="105" t="s">
        <v>343</v>
      </c>
      <c r="M2780" s="105" t="s">
        <v>655</v>
      </c>
      <c r="N2780" s="105" t="s">
        <v>656</v>
      </c>
      <c r="O2780" s="105" t="s">
        <v>656</v>
      </c>
      <c r="P2780" s="105" t="s">
        <v>339</v>
      </c>
      <c r="Q2780" s="494">
        <v>0</v>
      </c>
      <c r="R2780" s="494">
        <v>0</v>
      </c>
      <c r="S2780" s="494">
        <v>10851</v>
      </c>
      <c r="T2780" s="494">
        <v>10851</v>
      </c>
      <c r="U2780" s="494">
        <v>3180</v>
      </c>
      <c r="V2780" s="493">
        <v>2024</v>
      </c>
      <c r="W2780" s="495"/>
      <c r="X2780" s="496">
        <f t="shared" si="181"/>
        <v>3.4122641509433964</v>
      </c>
      <c r="Y2780" s="497" t="str">
        <f t="shared" si="182"/>
        <v/>
      </c>
      <c r="Z2780" s="497" t="str">
        <f t="shared" si="182"/>
        <v/>
      </c>
    </row>
    <row r="2781" spans="1:26" s="82" customFormat="1" x14ac:dyDescent="0.4">
      <c r="A2781" s="493">
        <v>67370</v>
      </c>
      <c r="B2781" s="105" t="s">
        <v>329</v>
      </c>
      <c r="C2781" s="493" t="s">
        <v>330</v>
      </c>
      <c r="D2781" s="105" t="s">
        <v>3338</v>
      </c>
      <c r="E2781" s="105" t="s">
        <v>1666</v>
      </c>
      <c r="F2781" s="493">
        <v>62836</v>
      </c>
      <c r="G2781" s="105" t="s">
        <v>33</v>
      </c>
      <c r="H2781" s="105" t="s">
        <v>342</v>
      </c>
      <c r="I2781" s="105" t="s">
        <v>334</v>
      </c>
      <c r="J2781" s="493">
        <v>22</v>
      </c>
      <c r="K2781" s="493">
        <v>2</v>
      </c>
      <c r="L2781" s="105" t="s">
        <v>343</v>
      </c>
      <c r="M2781" s="105" t="s">
        <v>655</v>
      </c>
      <c r="N2781" s="105" t="s">
        <v>656</v>
      </c>
      <c r="O2781" s="105" t="s">
        <v>656</v>
      </c>
      <c r="P2781" s="105" t="s">
        <v>339</v>
      </c>
      <c r="Q2781" s="494">
        <v>0</v>
      </c>
      <c r="R2781" s="494">
        <v>0</v>
      </c>
      <c r="S2781" s="494">
        <v>10989</v>
      </c>
      <c r="T2781" s="494">
        <v>10989</v>
      </c>
      <c r="U2781" s="494">
        <v>3221</v>
      </c>
      <c r="V2781" s="493">
        <v>2024</v>
      </c>
      <c r="W2781" s="495"/>
      <c r="X2781" s="496">
        <f t="shared" si="181"/>
        <v>3.4116733933561005</v>
      </c>
      <c r="Y2781" s="497" t="str">
        <f t="shared" si="182"/>
        <v/>
      </c>
      <c r="Z2781" s="497" t="str">
        <f t="shared" si="182"/>
        <v/>
      </c>
    </row>
    <row r="2782" spans="1:26" s="82" customFormat="1" x14ac:dyDescent="0.4">
      <c r="A2782" s="493">
        <v>67371</v>
      </c>
      <c r="B2782" s="105" t="s">
        <v>329</v>
      </c>
      <c r="C2782" s="493" t="s">
        <v>330</v>
      </c>
      <c r="D2782" s="105" t="s">
        <v>3339</v>
      </c>
      <c r="E2782" s="105" t="s">
        <v>1666</v>
      </c>
      <c r="F2782" s="493">
        <v>62836</v>
      </c>
      <c r="G2782" s="105" t="s">
        <v>33</v>
      </c>
      <c r="H2782" s="105" t="s">
        <v>342</v>
      </c>
      <c r="I2782" s="105" t="s">
        <v>334</v>
      </c>
      <c r="J2782" s="493">
        <v>22</v>
      </c>
      <c r="K2782" s="493">
        <v>2</v>
      </c>
      <c r="L2782" s="105" t="s">
        <v>343</v>
      </c>
      <c r="M2782" s="105" t="s">
        <v>655</v>
      </c>
      <c r="N2782" s="105" t="s">
        <v>656</v>
      </c>
      <c r="O2782" s="105" t="s">
        <v>656</v>
      </c>
      <c r="P2782" s="105" t="s">
        <v>339</v>
      </c>
      <c r="Q2782" s="494">
        <v>0</v>
      </c>
      <c r="R2782" s="494">
        <v>0</v>
      </c>
      <c r="S2782" s="494">
        <v>9267</v>
      </c>
      <c r="T2782" s="494">
        <v>9267</v>
      </c>
      <c r="U2782" s="494">
        <v>2716</v>
      </c>
      <c r="V2782" s="493">
        <v>2024</v>
      </c>
      <c r="W2782" s="495"/>
      <c r="X2782" s="496">
        <f t="shared" si="181"/>
        <v>3.4120029455081</v>
      </c>
      <c r="Y2782" s="497" t="str">
        <f t="shared" si="182"/>
        <v/>
      </c>
      <c r="Z2782" s="497" t="str">
        <f t="shared" si="182"/>
        <v/>
      </c>
    </row>
    <row r="2783" spans="1:26" s="82" customFormat="1" x14ac:dyDescent="0.4">
      <c r="A2783" s="493">
        <v>67372</v>
      </c>
      <c r="B2783" s="105" t="s">
        <v>329</v>
      </c>
      <c r="C2783" s="493" t="s">
        <v>330</v>
      </c>
      <c r="D2783" s="105" t="s">
        <v>3340</v>
      </c>
      <c r="E2783" s="105" t="s">
        <v>1666</v>
      </c>
      <c r="F2783" s="493">
        <v>62836</v>
      </c>
      <c r="G2783" s="105" t="s">
        <v>33</v>
      </c>
      <c r="H2783" s="105" t="s">
        <v>342</v>
      </c>
      <c r="I2783" s="105" t="s">
        <v>334</v>
      </c>
      <c r="J2783" s="493">
        <v>22</v>
      </c>
      <c r="K2783" s="493">
        <v>2</v>
      </c>
      <c r="L2783" s="105" t="s">
        <v>343</v>
      </c>
      <c r="M2783" s="105" t="s">
        <v>655</v>
      </c>
      <c r="N2783" s="105" t="s">
        <v>656</v>
      </c>
      <c r="O2783" s="105" t="s">
        <v>656</v>
      </c>
      <c r="P2783" s="105" t="s">
        <v>339</v>
      </c>
      <c r="Q2783" s="494">
        <v>0</v>
      </c>
      <c r="R2783" s="494">
        <v>0</v>
      </c>
      <c r="S2783" s="494">
        <v>7695</v>
      </c>
      <c r="T2783" s="494">
        <v>7695</v>
      </c>
      <c r="U2783" s="494">
        <v>2255</v>
      </c>
      <c r="V2783" s="493">
        <v>2024</v>
      </c>
      <c r="W2783" s="495"/>
      <c r="X2783" s="496">
        <f t="shared" si="181"/>
        <v>3.4124168514412418</v>
      </c>
      <c r="Y2783" s="497" t="str">
        <f t="shared" si="182"/>
        <v/>
      </c>
      <c r="Z2783" s="497" t="str">
        <f t="shared" si="182"/>
        <v/>
      </c>
    </row>
    <row r="2784" spans="1:26" s="82" customFormat="1" x14ac:dyDescent="0.4">
      <c r="A2784" s="493">
        <v>67375</v>
      </c>
      <c r="B2784" s="105" t="s">
        <v>329</v>
      </c>
      <c r="C2784" s="493" t="s">
        <v>330</v>
      </c>
      <c r="D2784" s="105" t="s">
        <v>3341</v>
      </c>
      <c r="E2784" s="105" t="s">
        <v>1666</v>
      </c>
      <c r="F2784" s="493">
        <v>62836</v>
      </c>
      <c r="G2784" s="105" t="s">
        <v>34</v>
      </c>
      <c r="H2784" s="105" t="s">
        <v>342</v>
      </c>
      <c r="I2784" s="105" t="s">
        <v>334</v>
      </c>
      <c r="J2784" s="493">
        <v>22</v>
      </c>
      <c r="K2784" s="493">
        <v>2</v>
      </c>
      <c r="L2784" s="105" t="s">
        <v>343</v>
      </c>
      <c r="M2784" s="105" t="s">
        <v>655</v>
      </c>
      <c r="N2784" s="105" t="s">
        <v>656</v>
      </c>
      <c r="O2784" s="105" t="s">
        <v>656</v>
      </c>
      <c r="P2784" s="105" t="s">
        <v>339</v>
      </c>
      <c r="Q2784" s="494">
        <v>0</v>
      </c>
      <c r="R2784" s="494">
        <v>0</v>
      </c>
      <c r="S2784" s="494">
        <v>25663</v>
      </c>
      <c r="T2784" s="494">
        <v>25663</v>
      </c>
      <c r="U2784" s="494">
        <v>7521</v>
      </c>
      <c r="V2784" s="493">
        <v>2024</v>
      </c>
      <c r="W2784" s="495"/>
      <c r="X2784" s="496">
        <f t="shared" si="181"/>
        <v>3.4121792314851747</v>
      </c>
      <c r="Y2784" s="497" t="str">
        <f t="shared" si="182"/>
        <v/>
      </c>
      <c r="Z2784" s="497" t="str">
        <f t="shared" si="182"/>
        <v/>
      </c>
    </row>
    <row r="2785" spans="1:26" s="82" customFormat="1" x14ac:dyDescent="0.4">
      <c r="A2785" s="493">
        <v>67376</v>
      </c>
      <c r="B2785" s="105" t="s">
        <v>329</v>
      </c>
      <c r="C2785" s="493" t="s">
        <v>330</v>
      </c>
      <c r="D2785" s="105" t="s">
        <v>3342</v>
      </c>
      <c r="E2785" s="105" t="s">
        <v>1666</v>
      </c>
      <c r="F2785" s="493">
        <v>62836</v>
      </c>
      <c r="G2785" s="105" t="s">
        <v>33</v>
      </c>
      <c r="H2785" s="105" t="s">
        <v>342</v>
      </c>
      <c r="I2785" s="105" t="s">
        <v>334</v>
      </c>
      <c r="J2785" s="493">
        <v>22</v>
      </c>
      <c r="K2785" s="493">
        <v>2</v>
      </c>
      <c r="L2785" s="105" t="s">
        <v>343</v>
      </c>
      <c r="M2785" s="105" t="s">
        <v>655</v>
      </c>
      <c r="N2785" s="105" t="s">
        <v>656</v>
      </c>
      <c r="O2785" s="105" t="s">
        <v>656</v>
      </c>
      <c r="P2785" s="105" t="s">
        <v>339</v>
      </c>
      <c r="Q2785" s="494">
        <v>0</v>
      </c>
      <c r="R2785" s="494">
        <v>0</v>
      </c>
      <c r="S2785" s="494">
        <v>20033</v>
      </c>
      <c r="T2785" s="494">
        <v>20033</v>
      </c>
      <c r="U2785" s="494">
        <v>5871</v>
      </c>
      <c r="V2785" s="493">
        <v>2024</v>
      </c>
      <c r="W2785" s="495"/>
      <c r="X2785" s="496">
        <f t="shared" si="181"/>
        <v>3.4121955373871571</v>
      </c>
      <c r="Y2785" s="497" t="str">
        <f t="shared" si="182"/>
        <v/>
      </c>
      <c r="Z2785" s="497" t="str">
        <f t="shared" si="182"/>
        <v/>
      </c>
    </row>
    <row r="2786" spans="1:26" s="82" customFormat="1" x14ac:dyDescent="0.4">
      <c r="A2786" s="493">
        <v>67377</v>
      </c>
      <c r="B2786" s="105" t="s">
        <v>329</v>
      </c>
      <c r="C2786" s="493" t="s">
        <v>330</v>
      </c>
      <c r="D2786" s="105" t="s">
        <v>3343</v>
      </c>
      <c r="E2786" s="105" t="s">
        <v>1666</v>
      </c>
      <c r="F2786" s="493">
        <v>62836</v>
      </c>
      <c r="G2786" s="105" t="s">
        <v>38</v>
      </c>
      <c r="H2786" s="105" t="s">
        <v>342</v>
      </c>
      <c r="I2786" s="105" t="s">
        <v>334</v>
      </c>
      <c r="J2786" s="493">
        <v>22</v>
      </c>
      <c r="K2786" s="493">
        <v>2</v>
      </c>
      <c r="L2786" s="105" t="s">
        <v>343</v>
      </c>
      <c r="M2786" s="105" t="s">
        <v>655</v>
      </c>
      <c r="N2786" s="105" t="s">
        <v>656</v>
      </c>
      <c r="O2786" s="105" t="s">
        <v>656</v>
      </c>
      <c r="P2786" s="105" t="s">
        <v>339</v>
      </c>
      <c r="Q2786" s="494">
        <v>0</v>
      </c>
      <c r="R2786" s="494">
        <v>0</v>
      </c>
      <c r="S2786" s="494">
        <v>11136</v>
      </c>
      <c r="T2786" s="494">
        <v>11136</v>
      </c>
      <c r="U2786" s="494">
        <v>3264</v>
      </c>
      <c r="V2786" s="493">
        <v>2024</v>
      </c>
      <c r="W2786" s="495"/>
      <c r="X2786" s="496">
        <f t="shared" si="181"/>
        <v>3.4117647058823528</v>
      </c>
      <c r="Y2786" s="497" t="str">
        <f t="shared" si="182"/>
        <v/>
      </c>
      <c r="Z2786" s="497" t="str">
        <f t="shared" si="182"/>
        <v/>
      </c>
    </row>
    <row r="2787" spans="1:26" s="82" customFormat="1" x14ac:dyDescent="0.4">
      <c r="A2787" s="493">
        <v>67388</v>
      </c>
      <c r="B2787" s="105" t="s">
        <v>329</v>
      </c>
      <c r="C2787" s="493" t="s">
        <v>330</v>
      </c>
      <c r="D2787" s="105" t="s">
        <v>3344</v>
      </c>
      <c r="E2787" s="105" t="s">
        <v>1606</v>
      </c>
      <c r="F2787" s="493">
        <v>61227</v>
      </c>
      <c r="G2787" s="105" t="s">
        <v>34</v>
      </c>
      <c r="H2787" s="105" t="s">
        <v>342</v>
      </c>
      <c r="I2787" s="105" t="s">
        <v>334</v>
      </c>
      <c r="J2787" s="493">
        <v>22</v>
      </c>
      <c r="K2787" s="493">
        <v>2</v>
      </c>
      <c r="L2787" s="105" t="s">
        <v>343</v>
      </c>
      <c r="M2787" s="105" t="s">
        <v>655</v>
      </c>
      <c r="N2787" s="105" t="s">
        <v>656</v>
      </c>
      <c r="O2787" s="105" t="s">
        <v>656</v>
      </c>
      <c r="P2787" s="105" t="s">
        <v>339</v>
      </c>
      <c r="Q2787" s="494">
        <v>0</v>
      </c>
      <c r="R2787" s="494">
        <v>0</v>
      </c>
      <c r="S2787" s="494">
        <v>26058</v>
      </c>
      <c r="T2787" s="494">
        <v>26058</v>
      </c>
      <c r="U2787" s="494">
        <v>7637</v>
      </c>
      <c r="V2787" s="493">
        <v>2024</v>
      </c>
      <c r="W2787" s="495"/>
      <c r="X2787" s="496">
        <f t="shared" si="181"/>
        <v>3.4120728034568546</v>
      </c>
      <c r="Y2787" s="497" t="str">
        <f t="shared" si="182"/>
        <v/>
      </c>
      <c r="Z2787" s="497" t="str">
        <f t="shared" si="182"/>
        <v/>
      </c>
    </row>
    <row r="2788" spans="1:26" s="82" customFormat="1" x14ac:dyDescent="0.4">
      <c r="A2788" s="493">
        <v>67389</v>
      </c>
      <c r="B2788" s="105" t="s">
        <v>329</v>
      </c>
      <c r="C2788" s="493" t="s">
        <v>330</v>
      </c>
      <c r="D2788" s="105" t="s">
        <v>3345</v>
      </c>
      <c r="E2788" s="105" t="s">
        <v>1606</v>
      </c>
      <c r="F2788" s="493">
        <v>61227</v>
      </c>
      <c r="G2788" s="105" t="s">
        <v>34</v>
      </c>
      <c r="H2788" s="105" t="s">
        <v>342</v>
      </c>
      <c r="I2788" s="105" t="s">
        <v>334</v>
      </c>
      <c r="J2788" s="493">
        <v>22</v>
      </c>
      <c r="K2788" s="493">
        <v>2</v>
      </c>
      <c r="L2788" s="105" t="s">
        <v>343</v>
      </c>
      <c r="M2788" s="105" t="s">
        <v>655</v>
      </c>
      <c r="N2788" s="105" t="s">
        <v>656</v>
      </c>
      <c r="O2788" s="105" t="s">
        <v>656</v>
      </c>
      <c r="P2788" s="105" t="s">
        <v>339</v>
      </c>
      <c r="Q2788" s="494">
        <v>0</v>
      </c>
      <c r="R2788" s="494">
        <v>0</v>
      </c>
      <c r="S2788" s="494">
        <v>31972</v>
      </c>
      <c r="T2788" s="494">
        <v>31972</v>
      </c>
      <c r="U2788" s="494">
        <v>9371</v>
      </c>
      <c r="V2788" s="493">
        <v>2024</v>
      </c>
      <c r="W2788" s="495"/>
      <c r="X2788" s="496">
        <f t="shared" si="181"/>
        <v>3.4118023690107777</v>
      </c>
      <c r="Y2788" s="497" t="str">
        <f t="shared" ref="Y2788:Z2807" si="183">IF(AND($M2788=$Y$2,$N2788=$Y$3,NOT($Q2788=$R2788),NOT($U2788=0)),IF($K2788=5,$S2788/($U2788+(8/5)*$U2788),IF($K2788=7,$S2788/($U2788+(29/25)*$U2788),"")),"")</f>
        <v/>
      </c>
      <c r="Z2788" s="497" t="str">
        <f t="shared" si="183"/>
        <v/>
      </c>
    </row>
    <row r="2789" spans="1:26" s="82" customFormat="1" x14ac:dyDescent="0.4">
      <c r="A2789" s="493">
        <v>67396</v>
      </c>
      <c r="B2789" s="105" t="s">
        <v>329</v>
      </c>
      <c r="C2789" s="493" t="s">
        <v>330</v>
      </c>
      <c r="D2789" s="105" t="s">
        <v>3346</v>
      </c>
      <c r="E2789" s="105" t="s">
        <v>1606</v>
      </c>
      <c r="F2789" s="493">
        <v>61227</v>
      </c>
      <c r="G2789" s="105" t="s">
        <v>34</v>
      </c>
      <c r="H2789" s="105" t="s">
        <v>342</v>
      </c>
      <c r="I2789" s="105" t="s">
        <v>334</v>
      </c>
      <c r="J2789" s="493">
        <v>22</v>
      </c>
      <c r="K2789" s="493">
        <v>2</v>
      </c>
      <c r="L2789" s="105" t="s">
        <v>343</v>
      </c>
      <c r="M2789" s="105" t="s">
        <v>655</v>
      </c>
      <c r="N2789" s="105" t="s">
        <v>656</v>
      </c>
      <c r="O2789" s="105" t="s">
        <v>656</v>
      </c>
      <c r="P2789" s="105" t="s">
        <v>339</v>
      </c>
      <c r="Q2789" s="494">
        <v>0</v>
      </c>
      <c r="R2789" s="494">
        <v>0</v>
      </c>
      <c r="S2789" s="494">
        <v>10</v>
      </c>
      <c r="T2789" s="494">
        <v>10</v>
      </c>
      <c r="U2789" s="494">
        <v>3</v>
      </c>
      <c r="V2789" s="493">
        <v>2024</v>
      </c>
      <c r="W2789" s="495"/>
      <c r="X2789" s="496">
        <f t="shared" si="181"/>
        <v>3.3333333333333335</v>
      </c>
      <c r="Y2789" s="497" t="str">
        <f t="shared" si="183"/>
        <v/>
      </c>
      <c r="Z2789" s="497" t="str">
        <f t="shared" si="183"/>
        <v/>
      </c>
    </row>
    <row r="2790" spans="1:26" s="82" customFormat="1" x14ac:dyDescent="0.4">
      <c r="A2790" s="493">
        <v>67398</v>
      </c>
      <c r="B2790" s="105" t="s">
        <v>329</v>
      </c>
      <c r="C2790" s="493" t="s">
        <v>330</v>
      </c>
      <c r="D2790" s="105" t="s">
        <v>3347</v>
      </c>
      <c r="E2790" s="105" t="s">
        <v>1606</v>
      </c>
      <c r="F2790" s="493">
        <v>61227</v>
      </c>
      <c r="G2790" s="105" t="s">
        <v>34</v>
      </c>
      <c r="H2790" s="105" t="s">
        <v>342</v>
      </c>
      <c r="I2790" s="105" t="s">
        <v>334</v>
      </c>
      <c r="J2790" s="493">
        <v>22</v>
      </c>
      <c r="K2790" s="493">
        <v>2</v>
      </c>
      <c r="L2790" s="105" t="s">
        <v>343</v>
      </c>
      <c r="M2790" s="105" t="s">
        <v>655</v>
      </c>
      <c r="N2790" s="105" t="s">
        <v>656</v>
      </c>
      <c r="O2790" s="105" t="s">
        <v>656</v>
      </c>
      <c r="P2790" s="105" t="s">
        <v>339</v>
      </c>
      <c r="Q2790" s="494">
        <v>0</v>
      </c>
      <c r="R2790" s="494">
        <v>0</v>
      </c>
      <c r="S2790" s="494">
        <v>14</v>
      </c>
      <c r="T2790" s="494">
        <v>14</v>
      </c>
      <c r="U2790" s="494">
        <v>4</v>
      </c>
      <c r="V2790" s="493">
        <v>2024</v>
      </c>
      <c r="W2790" s="495"/>
      <c r="X2790" s="496">
        <f t="shared" si="181"/>
        <v>3.5</v>
      </c>
      <c r="Y2790" s="497" t="str">
        <f t="shared" si="183"/>
        <v/>
      </c>
      <c r="Z2790" s="497" t="str">
        <f t="shared" si="183"/>
        <v/>
      </c>
    </row>
    <row r="2791" spans="1:26" s="82" customFormat="1" x14ac:dyDescent="0.4">
      <c r="A2791" s="493">
        <v>67400</v>
      </c>
      <c r="B2791" s="105" t="s">
        <v>329</v>
      </c>
      <c r="C2791" s="493" t="s">
        <v>330</v>
      </c>
      <c r="D2791" s="105" t="s">
        <v>3348</v>
      </c>
      <c r="E2791" s="105" t="s">
        <v>1606</v>
      </c>
      <c r="F2791" s="493">
        <v>61227</v>
      </c>
      <c r="G2791" s="105" t="s">
        <v>34</v>
      </c>
      <c r="H2791" s="105" t="s">
        <v>342</v>
      </c>
      <c r="I2791" s="105" t="s">
        <v>334</v>
      </c>
      <c r="J2791" s="493">
        <v>22</v>
      </c>
      <c r="K2791" s="493">
        <v>2</v>
      </c>
      <c r="L2791" s="105" t="s">
        <v>343</v>
      </c>
      <c r="M2791" s="105" t="s">
        <v>655</v>
      </c>
      <c r="N2791" s="105" t="s">
        <v>656</v>
      </c>
      <c r="O2791" s="105" t="s">
        <v>656</v>
      </c>
      <c r="P2791" s="105" t="s">
        <v>339</v>
      </c>
      <c r="Q2791" s="494">
        <v>0</v>
      </c>
      <c r="R2791" s="494">
        <v>0</v>
      </c>
      <c r="S2791" s="494">
        <v>28493</v>
      </c>
      <c r="T2791" s="494">
        <v>28493</v>
      </c>
      <c r="U2791" s="494">
        <v>8351</v>
      </c>
      <c r="V2791" s="493">
        <v>2024</v>
      </c>
      <c r="W2791" s="495"/>
      <c r="X2791" s="496">
        <f t="shared" si="181"/>
        <v>3.4119267153634296</v>
      </c>
      <c r="Y2791" s="497" t="str">
        <f t="shared" si="183"/>
        <v/>
      </c>
      <c r="Z2791" s="497" t="str">
        <f t="shared" si="183"/>
        <v/>
      </c>
    </row>
    <row r="2792" spans="1:26" s="82" customFormat="1" x14ac:dyDescent="0.4">
      <c r="A2792" s="493">
        <v>67402</v>
      </c>
      <c r="B2792" s="105" t="s">
        <v>329</v>
      </c>
      <c r="C2792" s="493" t="s">
        <v>330</v>
      </c>
      <c r="D2792" s="105" t="s">
        <v>3349</v>
      </c>
      <c r="E2792" s="105" t="s">
        <v>3350</v>
      </c>
      <c r="F2792" s="493">
        <v>66162</v>
      </c>
      <c r="G2792" s="105" t="s">
        <v>34</v>
      </c>
      <c r="H2792" s="105" t="s">
        <v>342</v>
      </c>
      <c r="I2792" s="105" t="s">
        <v>334</v>
      </c>
      <c r="J2792" s="493">
        <v>22</v>
      </c>
      <c r="K2792" s="493">
        <v>2</v>
      </c>
      <c r="L2792" s="105" t="s">
        <v>343</v>
      </c>
      <c r="M2792" s="105" t="s">
        <v>655</v>
      </c>
      <c r="N2792" s="105" t="s">
        <v>656</v>
      </c>
      <c r="O2792" s="105" t="s">
        <v>656</v>
      </c>
      <c r="P2792" s="105" t="s">
        <v>339</v>
      </c>
      <c r="Q2792" s="494">
        <v>0</v>
      </c>
      <c r="R2792" s="494">
        <v>0</v>
      </c>
      <c r="S2792" s="494">
        <v>16252</v>
      </c>
      <c r="T2792" s="494">
        <v>16252</v>
      </c>
      <c r="U2792" s="494">
        <v>4763</v>
      </c>
      <c r="V2792" s="493">
        <v>2024</v>
      </c>
      <c r="W2792" s="495"/>
      <c r="X2792" s="496">
        <f t="shared" si="181"/>
        <v>3.4121352089019528</v>
      </c>
      <c r="Y2792" s="497" t="str">
        <f t="shared" si="183"/>
        <v/>
      </c>
      <c r="Z2792" s="497" t="str">
        <f t="shared" si="183"/>
        <v/>
      </c>
    </row>
    <row r="2793" spans="1:26" s="82" customFormat="1" x14ac:dyDescent="0.4">
      <c r="A2793" s="493">
        <v>67403</v>
      </c>
      <c r="B2793" s="105" t="s">
        <v>329</v>
      </c>
      <c r="C2793" s="493" t="s">
        <v>330</v>
      </c>
      <c r="D2793" s="105" t="s">
        <v>3351</v>
      </c>
      <c r="E2793" s="105" t="s">
        <v>1606</v>
      </c>
      <c r="F2793" s="493">
        <v>61227</v>
      </c>
      <c r="G2793" s="105" t="s">
        <v>52</v>
      </c>
      <c r="H2793" s="105" t="s">
        <v>333</v>
      </c>
      <c r="I2793" s="105" t="s">
        <v>334</v>
      </c>
      <c r="J2793" s="493">
        <v>22</v>
      </c>
      <c r="K2793" s="493">
        <v>2</v>
      </c>
      <c r="L2793" s="105" t="s">
        <v>343</v>
      </c>
      <c r="M2793" s="105" t="s">
        <v>655</v>
      </c>
      <c r="N2793" s="105" t="s">
        <v>656</v>
      </c>
      <c r="O2793" s="105" t="s">
        <v>656</v>
      </c>
      <c r="P2793" s="105" t="s">
        <v>339</v>
      </c>
      <c r="Q2793" s="494">
        <v>0</v>
      </c>
      <c r="R2793" s="494">
        <v>0</v>
      </c>
      <c r="S2793" s="494">
        <v>41</v>
      </c>
      <c r="T2793" s="494">
        <v>41</v>
      </c>
      <c r="U2793" s="494">
        <v>12</v>
      </c>
      <c r="V2793" s="493">
        <v>2024</v>
      </c>
      <c r="W2793" s="495"/>
      <c r="X2793" s="496">
        <f t="shared" si="181"/>
        <v>3.4166666666666665</v>
      </c>
      <c r="Y2793" s="497" t="str">
        <f t="shared" si="183"/>
        <v/>
      </c>
      <c r="Z2793" s="497" t="str">
        <f t="shared" si="183"/>
        <v/>
      </c>
    </row>
    <row r="2794" spans="1:26" s="82" customFormat="1" x14ac:dyDescent="0.4">
      <c r="A2794" s="493">
        <v>67406</v>
      </c>
      <c r="B2794" s="105" t="s">
        <v>329</v>
      </c>
      <c r="C2794" s="493" t="s">
        <v>330</v>
      </c>
      <c r="D2794" s="105" t="s">
        <v>3352</v>
      </c>
      <c r="E2794" s="105" t="s">
        <v>1606</v>
      </c>
      <c r="F2794" s="493">
        <v>61227</v>
      </c>
      <c r="G2794" s="105" t="s">
        <v>52</v>
      </c>
      <c r="H2794" s="105" t="s">
        <v>333</v>
      </c>
      <c r="I2794" s="105" t="s">
        <v>334</v>
      </c>
      <c r="J2794" s="493">
        <v>22</v>
      </c>
      <c r="K2794" s="493">
        <v>2</v>
      </c>
      <c r="L2794" s="105" t="s">
        <v>343</v>
      </c>
      <c r="M2794" s="105" t="s">
        <v>655</v>
      </c>
      <c r="N2794" s="105" t="s">
        <v>656</v>
      </c>
      <c r="O2794" s="105" t="s">
        <v>656</v>
      </c>
      <c r="P2794" s="105" t="s">
        <v>339</v>
      </c>
      <c r="Q2794" s="494">
        <v>0</v>
      </c>
      <c r="R2794" s="494">
        <v>0</v>
      </c>
      <c r="S2794" s="494">
        <v>5575</v>
      </c>
      <c r="T2794" s="494">
        <v>5575</v>
      </c>
      <c r="U2794" s="494">
        <v>1634</v>
      </c>
      <c r="V2794" s="493">
        <v>2024</v>
      </c>
      <c r="W2794" s="495"/>
      <c r="X2794" s="496">
        <f t="shared" si="181"/>
        <v>3.4118727050183599</v>
      </c>
      <c r="Y2794" s="497" t="str">
        <f t="shared" si="183"/>
        <v/>
      </c>
      <c r="Z2794" s="497" t="str">
        <f t="shared" si="183"/>
        <v/>
      </c>
    </row>
    <row r="2795" spans="1:26" s="82" customFormat="1" x14ac:dyDescent="0.4">
      <c r="A2795" s="493">
        <v>67407</v>
      </c>
      <c r="B2795" s="105" t="s">
        <v>329</v>
      </c>
      <c r="C2795" s="493" t="s">
        <v>330</v>
      </c>
      <c r="D2795" s="105" t="s">
        <v>3353</v>
      </c>
      <c r="E2795" s="105" t="s">
        <v>3354</v>
      </c>
      <c r="F2795" s="493">
        <v>66194</v>
      </c>
      <c r="G2795" s="105" t="s">
        <v>52</v>
      </c>
      <c r="H2795" s="105" t="s">
        <v>333</v>
      </c>
      <c r="I2795" s="105" t="s">
        <v>334</v>
      </c>
      <c r="J2795" s="493">
        <v>22</v>
      </c>
      <c r="K2795" s="493">
        <v>2</v>
      </c>
      <c r="L2795" s="105" t="s">
        <v>343</v>
      </c>
      <c r="M2795" s="105" t="s">
        <v>655</v>
      </c>
      <c r="N2795" s="105" t="s">
        <v>656</v>
      </c>
      <c r="O2795" s="105" t="s">
        <v>656</v>
      </c>
      <c r="P2795" s="105" t="s">
        <v>339</v>
      </c>
      <c r="Q2795" s="494">
        <v>0</v>
      </c>
      <c r="R2795" s="494">
        <v>0</v>
      </c>
      <c r="S2795" s="494">
        <v>3517</v>
      </c>
      <c r="T2795" s="494">
        <v>3517</v>
      </c>
      <c r="U2795" s="494">
        <v>1031</v>
      </c>
      <c r="V2795" s="493">
        <v>2024</v>
      </c>
      <c r="W2795" s="495"/>
      <c r="X2795" s="496">
        <f t="shared" si="181"/>
        <v>3.4112512124151309</v>
      </c>
      <c r="Y2795" s="497" t="str">
        <f t="shared" si="183"/>
        <v/>
      </c>
      <c r="Z2795" s="497" t="str">
        <f t="shared" si="183"/>
        <v/>
      </c>
    </row>
    <row r="2796" spans="1:26" s="82" customFormat="1" x14ac:dyDescent="0.4">
      <c r="A2796" s="493">
        <v>67408</v>
      </c>
      <c r="B2796" s="105" t="s">
        <v>329</v>
      </c>
      <c r="C2796" s="493" t="s">
        <v>330</v>
      </c>
      <c r="D2796" s="105" t="s">
        <v>3355</v>
      </c>
      <c r="E2796" s="105" t="s">
        <v>3356</v>
      </c>
      <c r="F2796" s="493">
        <v>66195</v>
      </c>
      <c r="G2796" s="105" t="s">
        <v>52</v>
      </c>
      <c r="H2796" s="105" t="s">
        <v>333</v>
      </c>
      <c r="I2796" s="105" t="s">
        <v>334</v>
      </c>
      <c r="J2796" s="493">
        <v>22</v>
      </c>
      <c r="K2796" s="493">
        <v>2</v>
      </c>
      <c r="L2796" s="105" t="s">
        <v>343</v>
      </c>
      <c r="M2796" s="105" t="s">
        <v>655</v>
      </c>
      <c r="N2796" s="105" t="s">
        <v>656</v>
      </c>
      <c r="O2796" s="105" t="s">
        <v>656</v>
      </c>
      <c r="P2796" s="105" t="s">
        <v>339</v>
      </c>
      <c r="Q2796" s="494">
        <v>0</v>
      </c>
      <c r="R2796" s="494">
        <v>0</v>
      </c>
      <c r="S2796" s="494">
        <v>5205</v>
      </c>
      <c r="T2796" s="494">
        <v>5205</v>
      </c>
      <c r="U2796" s="494">
        <v>1525</v>
      </c>
      <c r="V2796" s="493">
        <v>2024</v>
      </c>
      <c r="W2796" s="495"/>
      <c r="X2796" s="496">
        <f t="shared" si="181"/>
        <v>3.4131147540983608</v>
      </c>
      <c r="Y2796" s="497" t="str">
        <f t="shared" si="183"/>
        <v/>
      </c>
      <c r="Z2796" s="497" t="str">
        <f t="shared" si="183"/>
        <v/>
      </c>
    </row>
    <row r="2797" spans="1:26" s="82" customFormat="1" x14ac:dyDescent="0.4">
      <c r="A2797" s="493">
        <v>67409</v>
      </c>
      <c r="B2797" s="105" t="s">
        <v>329</v>
      </c>
      <c r="C2797" s="493" t="s">
        <v>330</v>
      </c>
      <c r="D2797" s="105" t="s">
        <v>3357</v>
      </c>
      <c r="E2797" s="105" t="s">
        <v>3358</v>
      </c>
      <c r="F2797" s="493">
        <v>66196</v>
      </c>
      <c r="G2797" s="105" t="s">
        <v>52</v>
      </c>
      <c r="H2797" s="105" t="s">
        <v>333</v>
      </c>
      <c r="I2797" s="105" t="s">
        <v>334</v>
      </c>
      <c r="J2797" s="493">
        <v>22</v>
      </c>
      <c r="K2797" s="493">
        <v>2</v>
      </c>
      <c r="L2797" s="105" t="s">
        <v>343</v>
      </c>
      <c r="M2797" s="105" t="s">
        <v>655</v>
      </c>
      <c r="N2797" s="105" t="s">
        <v>656</v>
      </c>
      <c r="O2797" s="105" t="s">
        <v>656</v>
      </c>
      <c r="P2797" s="105" t="s">
        <v>339</v>
      </c>
      <c r="Q2797" s="494">
        <v>0</v>
      </c>
      <c r="R2797" s="494">
        <v>0</v>
      </c>
      <c r="S2797" s="494">
        <v>3217</v>
      </c>
      <c r="T2797" s="494">
        <v>3217</v>
      </c>
      <c r="U2797" s="494">
        <v>943</v>
      </c>
      <c r="V2797" s="493">
        <v>2024</v>
      </c>
      <c r="W2797" s="495"/>
      <c r="X2797" s="496">
        <f t="shared" si="181"/>
        <v>3.4114528101802759</v>
      </c>
      <c r="Y2797" s="497" t="str">
        <f t="shared" si="183"/>
        <v/>
      </c>
      <c r="Z2797" s="497" t="str">
        <f t="shared" si="183"/>
        <v/>
      </c>
    </row>
    <row r="2798" spans="1:26" s="82" customFormat="1" x14ac:dyDescent="0.4">
      <c r="A2798" s="493">
        <v>67410</v>
      </c>
      <c r="B2798" s="105" t="s">
        <v>329</v>
      </c>
      <c r="C2798" s="493" t="s">
        <v>330</v>
      </c>
      <c r="D2798" s="105" t="s">
        <v>3359</v>
      </c>
      <c r="E2798" s="105" t="s">
        <v>1606</v>
      </c>
      <c r="F2798" s="493">
        <v>61227</v>
      </c>
      <c r="G2798" s="105" t="s">
        <v>38</v>
      </c>
      <c r="H2798" s="105" t="s">
        <v>342</v>
      </c>
      <c r="I2798" s="105" t="s">
        <v>334</v>
      </c>
      <c r="J2798" s="493">
        <v>22</v>
      </c>
      <c r="K2798" s="493">
        <v>2</v>
      </c>
      <c r="L2798" s="105" t="s">
        <v>343</v>
      </c>
      <c r="M2798" s="105" t="s">
        <v>655</v>
      </c>
      <c r="N2798" s="105" t="s">
        <v>656</v>
      </c>
      <c r="O2798" s="105" t="s">
        <v>656</v>
      </c>
      <c r="P2798" s="105" t="s">
        <v>339</v>
      </c>
      <c r="Q2798" s="494">
        <v>0</v>
      </c>
      <c r="R2798" s="494">
        <v>0</v>
      </c>
      <c r="S2798" s="494">
        <v>34</v>
      </c>
      <c r="T2798" s="494">
        <v>34</v>
      </c>
      <c r="U2798" s="494">
        <v>10</v>
      </c>
      <c r="V2798" s="493">
        <v>2024</v>
      </c>
      <c r="W2798" s="495"/>
      <c r="X2798" s="496">
        <f t="shared" si="181"/>
        <v>3.4</v>
      </c>
      <c r="Y2798" s="497" t="str">
        <f t="shared" si="183"/>
        <v/>
      </c>
      <c r="Z2798" s="497" t="str">
        <f t="shared" si="183"/>
        <v/>
      </c>
    </row>
    <row r="2799" spans="1:26" s="82" customFormat="1" x14ac:dyDescent="0.4">
      <c r="A2799" s="493">
        <v>67414</v>
      </c>
      <c r="B2799" s="105" t="s">
        <v>329</v>
      </c>
      <c r="C2799" s="493" t="s">
        <v>330</v>
      </c>
      <c r="D2799" s="105" t="s">
        <v>3360</v>
      </c>
      <c r="E2799" s="105" t="s">
        <v>2894</v>
      </c>
      <c r="F2799" s="493">
        <v>64904</v>
      </c>
      <c r="G2799" s="105" t="s">
        <v>52</v>
      </c>
      <c r="H2799" s="105" t="s">
        <v>333</v>
      </c>
      <c r="I2799" s="105" t="s">
        <v>334</v>
      </c>
      <c r="J2799" s="493">
        <v>22</v>
      </c>
      <c r="K2799" s="493">
        <v>2</v>
      </c>
      <c r="L2799" s="105" t="s">
        <v>343</v>
      </c>
      <c r="M2799" s="105" t="s">
        <v>655</v>
      </c>
      <c r="N2799" s="105" t="s">
        <v>656</v>
      </c>
      <c r="O2799" s="105" t="s">
        <v>656</v>
      </c>
      <c r="P2799" s="105" t="s">
        <v>339</v>
      </c>
      <c r="Q2799" s="494">
        <v>0</v>
      </c>
      <c r="R2799" s="494">
        <v>0</v>
      </c>
      <c r="S2799" s="494">
        <v>754</v>
      </c>
      <c r="T2799" s="494">
        <v>754</v>
      </c>
      <c r="U2799" s="494">
        <v>221</v>
      </c>
      <c r="V2799" s="493">
        <v>2024</v>
      </c>
      <c r="W2799" s="495"/>
      <c r="X2799" s="496">
        <f t="shared" si="181"/>
        <v>3.4117647058823528</v>
      </c>
      <c r="Y2799" s="497" t="str">
        <f t="shared" si="183"/>
        <v/>
      </c>
      <c r="Z2799" s="497" t="str">
        <f t="shared" si="183"/>
        <v/>
      </c>
    </row>
    <row r="2800" spans="1:26" s="82" customFormat="1" x14ac:dyDescent="0.4">
      <c r="A2800" s="493">
        <v>67417</v>
      </c>
      <c r="B2800" s="105" t="s">
        <v>329</v>
      </c>
      <c r="C2800" s="493" t="s">
        <v>330</v>
      </c>
      <c r="D2800" s="105" t="s">
        <v>3361</v>
      </c>
      <c r="E2800" s="105" t="s">
        <v>2894</v>
      </c>
      <c r="F2800" s="493">
        <v>64904</v>
      </c>
      <c r="G2800" s="105" t="s">
        <v>38</v>
      </c>
      <c r="H2800" s="105" t="s">
        <v>342</v>
      </c>
      <c r="I2800" s="105" t="s">
        <v>334</v>
      </c>
      <c r="J2800" s="493">
        <v>22</v>
      </c>
      <c r="K2800" s="493">
        <v>2</v>
      </c>
      <c r="L2800" s="105" t="s">
        <v>343</v>
      </c>
      <c r="M2800" s="105" t="s">
        <v>655</v>
      </c>
      <c r="N2800" s="105" t="s">
        <v>656</v>
      </c>
      <c r="O2800" s="105" t="s">
        <v>656</v>
      </c>
      <c r="P2800" s="105" t="s">
        <v>339</v>
      </c>
      <c r="Q2800" s="494">
        <v>0</v>
      </c>
      <c r="R2800" s="494">
        <v>0</v>
      </c>
      <c r="S2800" s="494">
        <v>0</v>
      </c>
      <c r="T2800" s="494">
        <v>0</v>
      </c>
      <c r="U2800" s="494">
        <v>0</v>
      </c>
      <c r="V2800" s="493">
        <v>2024</v>
      </c>
      <c r="W2800" s="495"/>
      <c r="X2800" s="496" t="str">
        <f t="shared" si="181"/>
        <v/>
      </c>
      <c r="Y2800" s="497" t="str">
        <f t="shared" si="183"/>
        <v/>
      </c>
      <c r="Z2800" s="497" t="str">
        <f t="shared" si="183"/>
        <v/>
      </c>
    </row>
    <row r="2801" spans="1:26" s="82" customFormat="1" x14ac:dyDescent="0.4">
      <c r="A2801" s="493">
        <v>67422</v>
      </c>
      <c r="B2801" s="105" t="s">
        <v>329</v>
      </c>
      <c r="C2801" s="493" t="s">
        <v>330</v>
      </c>
      <c r="D2801" s="105" t="s">
        <v>3362</v>
      </c>
      <c r="E2801" s="105" t="s">
        <v>3363</v>
      </c>
      <c r="F2801" s="493">
        <v>66197</v>
      </c>
      <c r="G2801" s="105" t="s">
        <v>37</v>
      </c>
      <c r="H2801" s="105" t="s">
        <v>342</v>
      </c>
      <c r="I2801" s="105" t="s">
        <v>334</v>
      </c>
      <c r="J2801" s="493">
        <v>22</v>
      </c>
      <c r="K2801" s="493">
        <v>2</v>
      </c>
      <c r="L2801" s="105" t="s">
        <v>343</v>
      </c>
      <c r="M2801" s="105" t="s">
        <v>655</v>
      </c>
      <c r="N2801" s="105" t="s">
        <v>656</v>
      </c>
      <c r="O2801" s="105" t="s">
        <v>656</v>
      </c>
      <c r="P2801" s="105" t="s">
        <v>339</v>
      </c>
      <c r="Q2801" s="494">
        <v>0</v>
      </c>
      <c r="R2801" s="494">
        <v>0</v>
      </c>
      <c r="S2801" s="494">
        <v>11348</v>
      </c>
      <c r="T2801" s="494">
        <v>11348</v>
      </c>
      <c r="U2801" s="494">
        <v>3326</v>
      </c>
      <c r="V2801" s="493">
        <v>2024</v>
      </c>
      <c r="W2801" s="495"/>
      <c r="X2801" s="496">
        <f t="shared" si="181"/>
        <v>3.4119061936259771</v>
      </c>
      <c r="Y2801" s="497" t="str">
        <f t="shared" si="183"/>
        <v/>
      </c>
      <c r="Z2801" s="497" t="str">
        <f t="shared" si="183"/>
        <v/>
      </c>
    </row>
    <row r="2802" spans="1:26" s="82" customFormat="1" x14ac:dyDescent="0.4">
      <c r="A2802" s="493">
        <v>67423</v>
      </c>
      <c r="B2802" s="105" t="s">
        <v>329</v>
      </c>
      <c r="C2802" s="493" t="s">
        <v>330</v>
      </c>
      <c r="D2802" s="105" t="s">
        <v>3364</v>
      </c>
      <c r="E2802" s="105" t="s">
        <v>3365</v>
      </c>
      <c r="F2802" s="493">
        <v>66198</v>
      </c>
      <c r="G2802" s="105" t="s">
        <v>37</v>
      </c>
      <c r="H2802" s="105" t="s">
        <v>342</v>
      </c>
      <c r="I2802" s="105" t="s">
        <v>334</v>
      </c>
      <c r="J2802" s="493">
        <v>22</v>
      </c>
      <c r="K2802" s="493">
        <v>2</v>
      </c>
      <c r="L2802" s="105" t="s">
        <v>343</v>
      </c>
      <c r="M2802" s="105" t="s">
        <v>655</v>
      </c>
      <c r="N2802" s="105" t="s">
        <v>656</v>
      </c>
      <c r="O2802" s="105" t="s">
        <v>656</v>
      </c>
      <c r="P2802" s="105" t="s">
        <v>339</v>
      </c>
      <c r="Q2802" s="494">
        <v>0</v>
      </c>
      <c r="R2802" s="494">
        <v>0</v>
      </c>
      <c r="S2802" s="494">
        <v>8199</v>
      </c>
      <c r="T2802" s="494">
        <v>8199</v>
      </c>
      <c r="U2802" s="494">
        <v>2403</v>
      </c>
      <c r="V2802" s="493">
        <v>2024</v>
      </c>
      <c r="W2802" s="495"/>
      <c r="X2802" s="496">
        <f t="shared" si="181"/>
        <v>3.4119850187265919</v>
      </c>
      <c r="Y2802" s="497" t="str">
        <f t="shared" si="183"/>
        <v/>
      </c>
      <c r="Z2802" s="497" t="str">
        <f t="shared" si="183"/>
        <v/>
      </c>
    </row>
    <row r="2803" spans="1:26" s="82" customFormat="1" x14ac:dyDescent="0.4">
      <c r="A2803" s="493">
        <v>67426</v>
      </c>
      <c r="B2803" s="105" t="s">
        <v>329</v>
      </c>
      <c r="C2803" s="493" t="s">
        <v>330</v>
      </c>
      <c r="D2803" s="105" t="s">
        <v>3366</v>
      </c>
      <c r="E2803" s="105" t="s">
        <v>1606</v>
      </c>
      <c r="F2803" s="493">
        <v>61227</v>
      </c>
      <c r="G2803" s="105" t="s">
        <v>52</v>
      </c>
      <c r="H2803" s="105" t="s">
        <v>333</v>
      </c>
      <c r="I2803" s="105" t="s">
        <v>334</v>
      </c>
      <c r="J2803" s="493">
        <v>22</v>
      </c>
      <c r="K2803" s="493">
        <v>2</v>
      </c>
      <c r="L2803" s="105" t="s">
        <v>343</v>
      </c>
      <c r="M2803" s="105" t="s">
        <v>655</v>
      </c>
      <c r="N2803" s="105" t="s">
        <v>656</v>
      </c>
      <c r="O2803" s="105" t="s">
        <v>656</v>
      </c>
      <c r="P2803" s="105" t="s">
        <v>339</v>
      </c>
      <c r="Q2803" s="494">
        <v>0</v>
      </c>
      <c r="R2803" s="494">
        <v>0</v>
      </c>
      <c r="S2803" s="494">
        <v>119</v>
      </c>
      <c r="T2803" s="494">
        <v>119</v>
      </c>
      <c r="U2803" s="494">
        <v>35</v>
      </c>
      <c r="V2803" s="493">
        <v>2024</v>
      </c>
      <c r="W2803" s="495"/>
      <c r="X2803" s="496">
        <f t="shared" si="181"/>
        <v>3.4</v>
      </c>
      <c r="Y2803" s="497" t="str">
        <f t="shared" si="183"/>
        <v/>
      </c>
      <c r="Z2803" s="497" t="str">
        <f t="shared" si="183"/>
        <v/>
      </c>
    </row>
    <row r="2804" spans="1:26" s="82" customFormat="1" x14ac:dyDescent="0.4">
      <c r="A2804" s="493">
        <v>67427</v>
      </c>
      <c r="B2804" s="105" t="s">
        <v>329</v>
      </c>
      <c r="C2804" s="493" t="s">
        <v>330</v>
      </c>
      <c r="D2804" s="105" t="s">
        <v>3367</v>
      </c>
      <c r="E2804" s="105" t="s">
        <v>1606</v>
      </c>
      <c r="F2804" s="493">
        <v>61227</v>
      </c>
      <c r="G2804" s="105" t="s">
        <v>34</v>
      </c>
      <c r="H2804" s="105" t="s">
        <v>342</v>
      </c>
      <c r="I2804" s="105" t="s">
        <v>334</v>
      </c>
      <c r="J2804" s="493">
        <v>22</v>
      </c>
      <c r="K2804" s="493">
        <v>2</v>
      </c>
      <c r="L2804" s="105" t="s">
        <v>343</v>
      </c>
      <c r="M2804" s="105" t="s">
        <v>655</v>
      </c>
      <c r="N2804" s="105" t="s">
        <v>656</v>
      </c>
      <c r="O2804" s="105" t="s">
        <v>656</v>
      </c>
      <c r="P2804" s="105" t="s">
        <v>339</v>
      </c>
      <c r="Q2804" s="494">
        <v>0</v>
      </c>
      <c r="R2804" s="494">
        <v>0</v>
      </c>
      <c r="S2804" s="494">
        <v>0</v>
      </c>
      <c r="T2804" s="494">
        <v>0</v>
      </c>
      <c r="U2804" s="494">
        <v>0</v>
      </c>
      <c r="V2804" s="493">
        <v>2024</v>
      </c>
      <c r="W2804" s="495"/>
      <c r="X2804" s="496" t="str">
        <f t="shared" si="181"/>
        <v/>
      </c>
      <c r="Y2804" s="497" t="str">
        <f t="shared" si="183"/>
        <v/>
      </c>
      <c r="Z2804" s="497" t="str">
        <f t="shared" si="183"/>
        <v/>
      </c>
    </row>
    <row r="2805" spans="1:26" s="82" customFormat="1" x14ac:dyDescent="0.4">
      <c r="A2805" s="493">
        <v>67428</v>
      </c>
      <c r="B2805" s="105" t="s">
        <v>329</v>
      </c>
      <c r="C2805" s="493" t="s">
        <v>330</v>
      </c>
      <c r="D2805" s="105" t="s">
        <v>3368</v>
      </c>
      <c r="E2805" s="105" t="s">
        <v>1606</v>
      </c>
      <c r="F2805" s="493">
        <v>61227</v>
      </c>
      <c r="G2805" s="105" t="s">
        <v>34</v>
      </c>
      <c r="H2805" s="105" t="s">
        <v>342</v>
      </c>
      <c r="I2805" s="105" t="s">
        <v>334</v>
      </c>
      <c r="J2805" s="493">
        <v>22</v>
      </c>
      <c r="K2805" s="493">
        <v>2</v>
      </c>
      <c r="L2805" s="105" t="s">
        <v>343</v>
      </c>
      <c r="M2805" s="105" t="s">
        <v>655</v>
      </c>
      <c r="N2805" s="105" t="s">
        <v>656</v>
      </c>
      <c r="O2805" s="105" t="s">
        <v>656</v>
      </c>
      <c r="P2805" s="105" t="s">
        <v>339</v>
      </c>
      <c r="Q2805" s="494">
        <v>0</v>
      </c>
      <c r="R2805" s="494">
        <v>0</v>
      </c>
      <c r="S2805" s="494">
        <v>700</v>
      </c>
      <c r="T2805" s="494">
        <v>700</v>
      </c>
      <c r="U2805" s="494">
        <v>205</v>
      </c>
      <c r="V2805" s="493">
        <v>2024</v>
      </c>
      <c r="W2805" s="495"/>
      <c r="X2805" s="496">
        <f t="shared" si="181"/>
        <v>3.4146341463414633</v>
      </c>
      <c r="Y2805" s="497" t="str">
        <f t="shared" si="183"/>
        <v/>
      </c>
      <c r="Z2805" s="497" t="str">
        <f t="shared" si="183"/>
        <v/>
      </c>
    </row>
    <row r="2806" spans="1:26" s="82" customFormat="1" x14ac:dyDescent="0.4">
      <c r="A2806" s="493">
        <v>67429</v>
      </c>
      <c r="B2806" s="105" t="s">
        <v>329</v>
      </c>
      <c r="C2806" s="493" t="s">
        <v>330</v>
      </c>
      <c r="D2806" s="105" t="s">
        <v>3369</v>
      </c>
      <c r="E2806" s="105" t="s">
        <v>1606</v>
      </c>
      <c r="F2806" s="493">
        <v>61227</v>
      </c>
      <c r="G2806" s="105" t="s">
        <v>34</v>
      </c>
      <c r="H2806" s="105" t="s">
        <v>342</v>
      </c>
      <c r="I2806" s="105" t="s">
        <v>334</v>
      </c>
      <c r="J2806" s="493">
        <v>22</v>
      </c>
      <c r="K2806" s="493">
        <v>2</v>
      </c>
      <c r="L2806" s="105" t="s">
        <v>343</v>
      </c>
      <c r="M2806" s="105" t="s">
        <v>655</v>
      </c>
      <c r="N2806" s="105" t="s">
        <v>656</v>
      </c>
      <c r="O2806" s="105" t="s">
        <v>656</v>
      </c>
      <c r="P2806" s="105" t="s">
        <v>339</v>
      </c>
      <c r="Q2806" s="494">
        <v>0</v>
      </c>
      <c r="R2806" s="494">
        <v>0</v>
      </c>
      <c r="S2806" s="494">
        <v>583</v>
      </c>
      <c r="T2806" s="494">
        <v>583</v>
      </c>
      <c r="U2806" s="494">
        <v>171</v>
      </c>
      <c r="V2806" s="493">
        <v>2024</v>
      </c>
      <c r="W2806" s="495"/>
      <c r="X2806" s="496">
        <f t="shared" si="181"/>
        <v>3.4093567251461989</v>
      </c>
      <c r="Y2806" s="497" t="str">
        <f t="shared" si="183"/>
        <v/>
      </c>
      <c r="Z2806" s="497" t="str">
        <f t="shared" si="183"/>
        <v/>
      </c>
    </row>
    <row r="2807" spans="1:26" s="82" customFormat="1" x14ac:dyDescent="0.4">
      <c r="A2807" s="493">
        <v>67431</v>
      </c>
      <c r="B2807" s="105" t="s">
        <v>329</v>
      </c>
      <c r="C2807" s="493" t="s">
        <v>330</v>
      </c>
      <c r="D2807" s="105" t="s">
        <v>3370</v>
      </c>
      <c r="E2807" s="105" t="s">
        <v>1606</v>
      </c>
      <c r="F2807" s="493">
        <v>61227</v>
      </c>
      <c r="G2807" s="105" t="s">
        <v>34</v>
      </c>
      <c r="H2807" s="105" t="s">
        <v>342</v>
      </c>
      <c r="I2807" s="105" t="s">
        <v>334</v>
      </c>
      <c r="J2807" s="493">
        <v>22</v>
      </c>
      <c r="K2807" s="493">
        <v>2</v>
      </c>
      <c r="L2807" s="105" t="s">
        <v>343</v>
      </c>
      <c r="M2807" s="105" t="s">
        <v>655</v>
      </c>
      <c r="N2807" s="105" t="s">
        <v>656</v>
      </c>
      <c r="O2807" s="105" t="s">
        <v>656</v>
      </c>
      <c r="P2807" s="105" t="s">
        <v>339</v>
      </c>
      <c r="Q2807" s="494">
        <v>0</v>
      </c>
      <c r="R2807" s="494">
        <v>0</v>
      </c>
      <c r="S2807" s="494">
        <v>488</v>
      </c>
      <c r="T2807" s="494">
        <v>488</v>
      </c>
      <c r="U2807" s="494">
        <v>143</v>
      </c>
      <c r="V2807" s="493">
        <v>2024</v>
      </c>
      <c r="W2807" s="495"/>
      <c r="X2807" s="496">
        <f t="shared" si="181"/>
        <v>3.4125874125874125</v>
      </c>
      <c r="Y2807" s="497" t="str">
        <f t="shared" si="183"/>
        <v/>
      </c>
      <c r="Z2807" s="497" t="str">
        <f t="shared" si="183"/>
        <v/>
      </c>
    </row>
    <row r="2808" spans="1:26" s="82" customFormat="1" x14ac:dyDescent="0.4">
      <c r="A2808" s="493">
        <v>67438</v>
      </c>
      <c r="B2808" s="105" t="s">
        <v>329</v>
      </c>
      <c r="C2808" s="493" t="s">
        <v>330</v>
      </c>
      <c r="D2808" s="105" t="s">
        <v>3371</v>
      </c>
      <c r="E2808" s="105" t="s">
        <v>1606</v>
      </c>
      <c r="F2808" s="493">
        <v>61227</v>
      </c>
      <c r="G2808" s="105" t="s">
        <v>34</v>
      </c>
      <c r="H2808" s="105" t="s">
        <v>342</v>
      </c>
      <c r="I2808" s="105" t="s">
        <v>334</v>
      </c>
      <c r="J2808" s="493">
        <v>22</v>
      </c>
      <c r="K2808" s="493">
        <v>2</v>
      </c>
      <c r="L2808" s="105" t="s">
        <v>343</v>
      </c>
      <c r="M2808" s="105" t="s">
        <v>655</v>
      </c>
      <c r="N2808" s="105" t="s">
        <v>656</v>
      </c>
      <c r="O2808" s="105" t="s">
        <v>656</v>
      </c>
      <c r="P2808" s="105" t="s">
        <v>339</v>
      </c>
      <c r="Q2808" s="494">
        <v>0</v>
      </c>
      <c r="R2808" s="494">
        <v>0</v>
      </c>
      <c r="S2808" s="494">
        <v>30703</v>
      </c>
      <c r="T2808" s="494">
        <v>30703</v>
      </c>
      <c r="U2808" s="494">
        <v>8999</v>
      </c>
      <c r="V2808" s="493">
        <v>2024</v>
      </c>
      <c r="W2808" s="495"/>
      <c r="X2808" s="496">
        <f t="shared" si="181"/>
        <v>3.4118235359484386</v>
      </c>
      <c r="Y2808" s="497" t="str">
        <f t="shared" ref="Y2808:Z2827" si="184">IF(AND($M2808=$Y$2,$N2808=$Y$3,NOT($Q2808=$R2808),NOT($U2808=0)),IF($K2808=5,$S2808/($U2808+(8/5)*$U2808),IF($K2808=7,$S2808/($U2808+(29/25)*$U2808),"")),"")</f>
        <v/>
      </c>
      <c r="Z2808" s="497" t="str">
        <f t="shared" si="184"/>
        <v/>
      </c>
    </row>
    <row r="2809" spans="1:26" s="82" customFormat="1" x14ac:dyDescent="0.4">
      <c r="A2809" s="493">
        <v>67440</v>
      </c>
      <c r="B2809" s="105" t="s">
        <v>329</v>
      </c>
      <c r="C2809" s="493" t="s">
        <v>330</v>
      </c>
      <c r="D2809" s="105" t="s">
        <v>3372</v>
      </c>
      <c r="E2809" s="105" t="s">
        <v>1606</v>
      </c>
      <c r="F2809" s="493">
        <v>61227</v>
      </c>
      <c r="G2809" s="105" t="s">
        <v>52</v>
      </c>
      <c r="H2809" s="105" t="s">
        <v>333</v>
      </c>
      <c r="I2809" s="105" t="s">
        <v>334</v>
      </c>
      <c r="J2809" s="493">
        <v>22</v>
      </c>
      <c r="K2809" s="493">
        <v>2</v>
      </c>
      <c r="L2809" s="105" t="s">
        <v>343</v>
      </c>
      <c r="M2809" s="105" t="s">
        <v>655</v>
      </c>
      <c r="N2809" s="105" t="s">
        <v>656</v>
      </c>
      <c r="O2809" s="105" t="s">
        <v>656</v>
      </c>
      <c r="P2809" s="105" t="s">
        <v>339</v>
      </c>
      <c r="Q2809" s="494">
        <v>0</v>
      </c>
      <c r="R2809" s="494">
        <v>0</v>
      </c>
      <c r="S2809" s="494">
        <v>9112</v>
      </c>
      <c r="T2809" s="494">
        <v>9112</v>
      </c>
      <c r="U2809" s="494">
        <v>2671</v>
      </c>
      <c r="V2809" s="493">
        <v>2024</v>
      </c>
      <c r="W2809" s="495"/>
      <c r="X2809" s="496">
        <f t="shared" si="181"/>
        <v>3.4114563833770122</v>
      </c>
      <c r="Y2809" s="497" t="str">
        <f t="shared" si="184"/>
        <v/>
      </c>
      <c r="Z2809" s="497" t="str">
        <f t="shared" si="184"/>
        <v/>
      </c>
    </row>
    <row r="2810" spans="1:26" s="82" customFormat="1" x14ac:dyDescent="0.4">
      <c r="A2810" s="493">
        <v>67448</v>
      </c>
      <c r="B2810" s="105" t="s">
        <v>329</v>
      </c>
      <c r="C2810" s="493" t="s">
        <v>330</v>
      </c>
      <c r="D2810" s="105" t="s">
        <v>3373</v>
      </c>
      <c r="E2810" s="105" t="s">
        <v>1606</v>
      </c>
      <c r="F2810" s="493">
        <v>61227</v>
      </c>
      <c r="G2810" s="105" t="s">
        <v>34</v>
      </c>
      <c r="H2810" s="105" t="s">
        <v>342</v>
      </c>
      <c r="I2810" s="105" t="s">
        <v>334</v>
      </c>
      <c r="J2810" s="493">
        <v>22</v>
      </c>
      <c r="K2810" s="493">
        <v>2</v>
      </c>
      <c r="L2810" s="105" t="s">
        <v>343</v>
      </c>
      <c r="M2810" s="105" t="s">
        <v>655</v>
      </c>
      <c r="N2810" s="105" t="s">
        <v>656</v>
      </c>
      <c r="O2810" s="105" t="s">
        <v>656</v>
      </c>
      <c r="P2810" s="105" t="s">
        <v>339</v>
      </c>
      <c r="Q2810" s="494">
        <v>0</v>
      </c>
      <c r="R2810" s="494">
        <v>0</v>
      </c>
      <c r="S2810" s="494">
        <v>35346</v>
      </c>
      <c r="T2810" s="494">
        <v>35346</v>
      </c>
      <c r="U2810" s="494">
        <v>10359</v>
      </c>
      <c r="V2810" s="493">
        <v>2024</v>
      </c>
      <c r="W2810" s="495"/>
      <c r="X2810" s="496">
        <f t="shared" si="181"/>
        <v>3.4121054155806547</v>
      </c>
      <c r="Y2810" s="497" t="str">
        <f t="shared" si="184"/>
        <v/>
      </c>
      <c r="Z2810" s="497" t="str">
        <f t="shared" si="184"/>
        <v/>
      </c>
    </row>
    <row r="2811" spans="1:26" s="82" customFormat="1" x14ac:dyDescent="0.4">
      <c r="A2811" s="493">
        <v>67449</v>
      </c>
      <c r="B2811" s="105" t="s">
        <v>329</v>
      </c>
      <c r="C2811" s="493" t="s">
        <v>330</v>
      </c>
      <c r="D2811" s="105" t="s">
        <v>3374</v>
      </c>
      <c r="E2811" s="105" t="s">
        <v>1606</v>
      </c>
      <c r="F2811" s="493">
        <v>61227</v>
      </c>
      <c r="G2811" s="105" t="s">
        <v>34</v>
      </c>
      <c r="H2811" s="105" t="s">
        <v>342</v>
      </c>
      <c r="I2811" s="105" t="s">
        <v>334</v>
      </c>
      <c r="J2811" s="493">
        <v>22</v>
      </c>
      <c r="K2811" s="493">
        <v>2</v>
      </c>
      <c r="L2811" s="105" t="s">
        <v>343</v>
      </c>
      <c r="M2811" s="105" t="s">
        <v>655</v>
      </c>
      <c r="N2811" s="105" t="s">
        <v>656</v>
      </c>
      <c r="O2811" s="105" t="s">
        <v>656</v>
      </c>
      <c r="P2811" s="105" t="s">
        <v>339</v>
      </c>
      <c r="Q2811" s="494">
        <v>0</v>
      </c>
      <c r="R2811" s="494">
        <v>0</v>
      </c>
      <c r="S2811" s="494">
        <v>9651</v>
      </c>
      <c r="T2811" s="494">
        <v>9651</v>
      </c>
      <c r="U2811" s="494">
        <v>2829</v>
      </c>
      <c r="V2811" s="493">
        <v>2024</v>
      </c>
      <c r="W2811" s="495"/>
      <c r="X2811" s="496">
        <f t="shared" si="181"/>
        <v>3.4114528101802759</v>
      </c>
      <c r="Y2811" s="497" t="str">
        <f t="shared" si="184"/>
        <v/>
      </c>
      <c r="Z2811" s="497" t="str">
        <f t="shared" si="184"/>
        <v/>
      </c>
    </row>
    <row r="2812" spans="1:26" s="82" customFormat="1" x14ac:dyDescent="0.4">
      <c r="A2812" s="493">
        <v>67450</v>
      </c>
      <c r="B2812" s="105" t="s">
        <v>329</v>
      </c>
      <c r="C2812" s="493" t="s">
        <v>330</v>
      </c>
      <c r="D2812" s="105" t="s">
        <v>3375</v>
      </c>
      <c r="E2812" s="105" t="s">
        <v>1606</v>
      </c>
      <c r="F2812" s="493">
        <v>61227</v>
      </c>
      <c r="G2812" s="105" t="s">
        <v>34</v>
      </c>
      <c r="H2812" s="105" t="s">
        <v>342</v>
      </c>
      <c r="I2812" s="105" t="s">
        <v>334</v>
      </c>
      <c r="J2812" s="493">
        <v>22</v>
      </c>
      <c r="K2812" s="493">
        <v>2</v>
      </c>
      <c r="L2812" s="105" t="s">
        <v>343</v>
      </c>
      <c r="M2812" s="105" t="s">
        <v>655</v>
      </c>
      <c r="N2812" s="105" t="s">
        <v>656</v>
      </c>
      <c r="O2812" s="105" t="s">
        <v>656</v>
      </c>
      <c r="P2812" s="105" t="s">
        <v>339</v>
      </c>
      <c r="Q2812" s="494">
        <v>0</v>
      </c>
      <c r="R2812" s="494">
        <v>0</v>
      </c>
      <c r="S2812" s="494">
        <v>25743</v>
      </c>
      <c r="T2812" s="494">
        <v>25743</v>
      </c>
      <c r="U2812" s="494">
        <v>7545</v>
      </c>
      <c r="V2812" s="493">
        <v>2024</v>
      </c>
      <c r="W2812" s="495"/>
      <c r="X2812" s="496">
        <f t="shared" si="181"/>
        <v>3.4119284294234591</v>
      </c>
      <c r="Y2812" s="497" t="str">
        <f t="shared" si="184"/>
        <v/>
      </c>
      <c r="Z2812" s="497" t="str">
        <f t="shared" si="184"/>
        <v/>
      </c>
    </row>
    <row r="2813" spans="1:26" s="82" customFormat="1" x14ac:dyDescent="0.4">
      <c r="A2813" s="493">
        <v>67451</v>
      </c>
      <c r="B2813" s="105" t="s">
        <v>329</v>
      </c>
      <c r="C2813" s="493" t="s">
        <v>330</v>
      </c>
      <c r="D2813" s="105" t="s">
        <v>3376</v>
      </c>
      <c r="E2813" s="105" t="s">
        <v>1606</v>
      </c>
      <c r="F2813" s="493">
        <v>61227</v>
      </c>
      <c r="G2813" s="105" t="s">
        <v>34</v>
      </c>
      <c r="H2813" s="105" t="s">
        <v>342</v>
      </c>
      <c r="I2813" s="105" t="s">
        <v>334</v>
      </c>
      <c r="J2813" s="493">
        <v>22</v>
      </c>
      <c r="K2813" s="493">
        <v>2</v>
      </c>
      <c r="L2813" s="105" t="s">
        <v>343</v>
      </c>
      <c r="M2813" s="105" t="s">
        <v>655</v>
      </c>
      <c r="N2813" s="105" t="s">
        <v>656</v>
      </c>
      <c r="O2813" s="105" t="s">
        <v>656</v>
      </c>
      <c r="P2813" s="105" t="s">
        <v>339</v>
      </c>
      <c r="Q2813" s="494">
        <v>0</v>
      </c>
      <c r="R2813" s="494">
        <v>0</v>
      </c>
      <c r="S2813" s="494">
        <v>784</v>
      </c>
      <c r="T2813" s="494">
        <v>784</v>
      </c>
      <c r="U2813" s="494">
        <v>230</v>
      </c>
      <c r="V2813" s="493">
        <v>2024</v>
      </c>
      <c r="W2813" s="495"/>
      <c r="X2813" s="496">
        <f t="shared" si="181"/>
        <v>3.4086956521739129</v>
      </c>
      <c r="Y2813" s="497" t="str">
        <f t="shared" si="184"/>
        <v/>
      </c>
      <c r="Z2813" s="497" t="str">
        <f t="shared" si="184"/>
        <v/>
      </c>
    </row>
    <row r="2814" spans="1:26" s="82" customFormat="1" x14ac:dyDescent="0.4">
      <c r="A2814" s="493">
        <v>67452</v>
      </c>
      <c r="B2814" s="105" t="s">
        <v>329</v>
      </c>
      <c r="C2814" s="493" t="s">
        <v>330</v>
      </c>
      <c r="D2814" s="105" t="s">
        <v>3377</v>
      </c>
      <c r="E2814" s="105" t="s">
        <v>1606</v>
      </c>
      <c r="F2814" s="493">
        <v>61227</v>
      </c>
      <c r="G2814" s="105" t="s">
        <v>34</v>
      </c>
      <c r="H2814" s="105" t="s">
        <v>342</v>
      </c>
      <c r="I2814" s="105" t="s">
        <v>334</v>
      </c>
      <c r="J2814" s="493">
        <v>22</v>
      </c>
      <c r="K2814" s="493">
        <v>2</v>
      </c>
      <c r="L2814" s="105" t="s">
        <v>343</v>
      </c>
      <c r="M2814" s="105" t="s">
        <v>655</v>
      </c>
      <c r="N2814" s="105" t="s">
        <v>656</v>
      </c>
      <c r="O2814" s="105" t="s">
        <v>656</v>
      </c>
      <c r="P2814" s="105" t="s">
        <v>339</v>
      </c>
      <c r="Q2814" s="494">
        <v>0</v>
      </c>
      <c r="R2814" s="494">
        <v>0</v>
      </c>
      <c r="S2814" s="494">
        <v>24106</v>
      </c>
      <c r="T2814" s="494">
        <v>24106</v>
      </c>
      <c r="U2814" s="494">
        <v>7065</v>
      </c>
      <c r="V2814" s="493">
        <v>2024</v>
      </c>
      <c r="W2814" s="495"/>
      <c r="X2814" s="496">
        <f t="shared" si="181"/>
        <v>3.4120311394196743</v>
      </c>
      <c r="Y2814" s="497" t="str">
        <f t="shared" si="184"/>
        <v/>
      </c>
      <c r="Z2814" s="497" t="str">
        <f t="shared" si="184"/>
        <v/>
      </c>
    </row>
    <row r="2815" spans="1:26" s="82" customFormat="1" x14ac:dyDescent="0.4">
      <c r="A2815" s="493">
        <v>67453</v>
      </c>
      <c r="B2815" s="105" t="s">
        <v>329</v>
      </c>
      <c r="C2815" s="493" t="s">
        <v>330</v>
      </c>
      <c r="D2815" s="105" t="s">
        <v>3378</v>
      </c>
      <c r="E2815" s="105" t="s">
        <v>1606</v>
      </c>
      <c r="F2815" s="493">
        <v>61227</v>
      </c>
      <c r="G2815" s="105" t="s">
        <v>34</v>
      </c>
      <c r="H2815" s="105" t="s">
        <v>342</v>
      </c>
      <c r="I2815" s="105" t="s">
        <v>334</v>
      </c>
      <c r="J2815" s="493">
        <v>22</v>
      </c>
      <c r="K2815" s="493">
        <v>2</v>
      </c>
      <c r="L2815" s="105" t="s">
        <v>343</v>
      </c>
      <c r="M2815" s="105" t="s">
        <v>655</v>
      </c>
      <c r="N2815" s="105" t="s">
        <v>656</v>
      </c>
      <c r="O2815" s="105" t="s">
        <v>656</v>
      </c>
      <c r="P2815" s="105" t="s">
        <v>339</v>
      </c>
      <c r="Q2815" s="494">
        <v>0</v>
      </c>
      <c r="R2815" s="494">
        <v>0</v>
      </c>
      <c r="S2815" s="494">
        <v>22158</v>
      </c>
      <c r="T2815" s="494">
        <v>22158</v>
      </c>
      <c r="U2815" s="494">
        <v>6494</v>
      </c>
      <c r="V2815" s="493">
        <v>2024</v>
      </c>
      <c r="W2815" s="495"/>
      <c r="X2815" s="496">
        <f t="shared" si="181"/>
        <v>3.4120726824761318</v>
      </c>
      <c r="Y2815" s="497" t="str">
        <f t="shared" si="184"/>
        <v/>
      </c>
      <c r="Z2815" s="497" t="str">
        <f t="shared" si="184"/>
        <v/>
      </c>
    </row>
    <row r="2816" spans="1:26" s="82" customFormat="1" ht="32" x14ac:dyDescent="0.4">
      <c r="A2816" s="493">
        <v>67456</v>
      </c>
      <c r="B2816" s="105" t="s">
        <v>329</v>
      </c>
      <c r="C2816" s="493" t="s">
        <v>330</v>
      </c>
      <c r="D2816" s="105" t="s">
        <v>3379</v>
      </c>
      <c r="E2816" s="105" t="s">
        <v>3224</v>
      </c>
      <c r="F2816" s="493">
        <v>65043</v>
      </c>
      <c r="G2816" s="105" t="s">
        <v>52</v>
      </c>
      <c r="H2816" s="105" t="s">
        <v>333</v>
      </c>
      <c r="I2816" s="105" t="s">
        <v>334</v>
      </c>
      <c r="J2816" s="493">
        <v>22</v>
      </c>
      <c r="K2816" s="493">
        <v>2</v>
      </c>
      <c r="L2816" s="105" t="s">
        <v>343</v>
      </c>
      <c r="M2816" s="105" t="s">
        <v>655</v>
      </c>
      <c r="N2816" s="105" t="s">
        <v>656</v>
      </c>
      <c r="O2816" s="105" t="s">
        <v>656</v>
      </c>
      <c r="P2816" s="105" t="s">
        <v>339</v>
      </c>
      <c r="Q2816" s="494">
        <v>0</v>
      </c>
      <c r="R2816" s="494">
        <v>0</v>
      </c>
      <c r="S2816" s="494">
        <v>5364</v>
      </c>
      <c r="T2816" s="494">
        <v>5364</v>
      </c>
      <c r="U2816" s="494">
        <v>1572</v>
      </c>
      <c r="V2816" s="493">
        <v>2024</v>
      </c>
      <c r="W2816" s="495"/>
      <c r="X2816" s="496">
        <f t="shared" si="181"/>
        <v>3.4122137404580153</v>
      </c>
      <c r="Y2816" s="497" t="str">
        <f t="shared" si="184"/>
        <v/>
      </c>
      <c r="Z2816" s="497" t="str">
        <f t="shared" si="184"/>
        <v/>
      </c>
    </row>
    <row r="2817" spans="1:26" s="82" customFormat="1" ht="32" x14ac:dyDescent="0.4">
      <c r="A2817" s="493">
        <v>67457</v>
      </c>
      <c r="B2817" s="105" t="s">
        <v>329</v>
      </c>
      <c r="C2817" s="493" t="s">
        <v>330</v>
      </c>
      <c r="D2817" s="105" t="s">
        <v>3380</v>
      </c>
      <c r="E2817" s="105" t="s">
        <v>3224</v>
      </c>
      <c r="F2817" s="493">
        <v>65043</v>
      </c>
      <c r="G2817" s="105" t="s">
        <v>33</v>
      </c>
      <c r="H2817" s="105" t="s">
        <v>342</v>
      </c>
      <c r="I2817" s="105" t="s">
        <v>334</v>
      </c>
      <c r="J2817" s="493">
        <v>22</v>
      </c>
      <c r="K2817" s="493">
        <v>2</v>
      </c>
      <c r="L2817" s="105" t="s">
        <v>343</v>
      </c>
      <c r="M2817" s="105" t="s">
        <v>403</v>
      </c>
      <c r="N2817" s="105" t="s">
        <v>404</v>
      </c>
      <c r="O2817" s="105" t="s">
        <v>232</v>
      </c>
      <c r="P2817" s="105" t="s">
        <v>346</v>
      </c>
      <c r="Q2817" s="494">
        <v>0</v>
      </c>
      <c r="R2817" s="494">
        <v>0</v>
      </c>
      <c r="S2817" s="494">
        <v>0</v>
      </c>
      <c r="T2817" s="494">
        <v>0</v>
      </c>
      <c r="U2817" s="494">
        <v>0</v>
      </c>
      <c r="V2817" s="493">
        <v>2024</v>
      </c>
      <c r="W2817" s="495"/>
      <c r="X2817" s="496" t="str">
        <f t="shared" si="181"/>
        <v/>
      </c>
      <c r="Y2817" s="497" t="str">
        <f t="shared" si="184"/>
        <v/>
      </c>
      <c r="Z2817" s="497" t="str">
        <f t="shared" si="184"/>
        <v/>
      </c>
    </row>
    <row r="2818" spans="1:26" s="82" customFormat="1" ht="32" x14ac:dyDescent="0.4">
      <c r="A2818" s="493">
        <v>67457</v>
      </c>
      <c r="B2818" s="105" t="s">
        <v>329</v>
      </c>
      <c r="C2818" s="493" t="s">
        <v>330</v>
      </c>
      <c r="D2818" s="105" t="s">
        <v>3380</v>
      </c>
      <c r="E2818" s="105" t="s">
        <v>3224</v>
      </c>
      <c r="F2818" s="493">
        <v>65043</v>
      </c>
      <c r="G2818" s="105" t="s">
        <v>33</v>
      </c>
      <c r="H2818" s="105" t="s">
        <v>342</v>
      </c>
      <c r="I2818" s="105" t="s">
        <v>334</v>
      </c>
      <c r="J2818" s="493">
        <v>22</v>
      </c>
      <c r="K2818" s="493">
        <v>2</v>
      </c>
      <c r="L2818" s="105" t="s">
        <v>343</v>
      </c>
      <c r="M2818" s="105" t="s">
        <v>655</v>
      </c>
      <c r="N2818" s="105" t="s">
        <v>656</v>
      </c>
      <c r="O2818" s="105" t="s">
        <v>656</v>
      </c>
      <c r="P2818" s="105" t="s">
        <v>339</v>
      </c>
      <c r="Q2818" s="494">
        <v>0</v>
      </c>
      <c r="R2818" s="494">
        <v>0</v>
      </c>
      <c r="S2818" s="494">
        <v>0</v>
      </c>
      <c r="T2818" s="494">
        <v>0</v>
      </c>
      <c r="U2818" s="494">
        <v>0</v>
      </c>
      <c r="V2818" s="493">
        <v>2024</v>
      </c>
      <c r="W2818" s="495"/>
      <c r="X2818" s="496" t="str">
        <f t="shared" si="181"/>
        <v/>
      </c>
      <c r="Y2818" s="497" t="str">
        <f t="shared" si="184"/>
        <v/>
      </c>
      <c r="Z2818" s="497" t="str">
        <f t="shared" si="184"/>
        <v/>
      </c>
    </row>
    <row r="2819" spans="1:26" s="82" customFormat="1" ht="32" x14ac:dyDescent="0.4">
      <c r="A2819" s="493">
        <v>67462</v>
      </c>
      <c r="B2819" s="105" t="s">
        <v>329</v>
      </c>
      <c r="C2819" s="493" t="s">
        <v>330</v>
      </c>
      <c r="D2819" s="105" t="s">
        <v>3381</v>
      </c>
      <c r="E2819" s="105" t="s">
        <v>3224</v>
      </c>
      <c r="F2819" s="493">
        <v>65043</v>
      </c>
      <c r="G2819" s="105" t="s">
        <v>34</v>
      </c>
      <c r="H2819" s="105" t="s">
        <v>342</v>
      </c>
      <c r="I2819" s="105" t="s">
        <v>334</v>
      </c>
      <c r="J2819" s="493">
        <v>22</v>
      </c>
      <c r="K2819" s="493">
        <v>2</v>
      </c>
      <c r="L2819" s="105" t="s">
        <v>343</v>
      </c>
      <c r="M2819" s="105" t="s">
        <v>655</v>
      </c>
      <c r="N2819" s="105" t="s">
        <v>656</v>
      </c>
      <c r="O2819" s="105" t="s">
        <v>656</v>
      </c>
      <c r="P2819" s="105" t="s">
        <v>339</v>
      </c>
      <c r="Q2819" s="494">
        <v>0</v>
      </c>
      <c r="R2819" s="494">
        <v>0</v>
      </c>
      <c r="S2819" s="494">
        <v>18770</v>
      </c>
      <c r="T2819" s="494">
        <v>18770</v>
      </c>
      <c r="U2819" s="494">
        <v>5501</v>
      </c>
      <c r="V2819" s="493">
        <v>2024</v>
      </c>
      <c r="W2819" s="495"/>
      <c r="X2819" s="496">
        <f t="shared" si="181"/>
        <v>3.4121068896564259</v>
      </c>
      <c r="Y2819" s="497" t="str">
        <f t="shared" si="184"/>
        <v/>
      </c>
      <c r="Z2819" s="497" t="str">
        <f t="shared" si="184"/>
        <v/>
      </c>
    </row>
    <row r="2820" spans="1:26" s="82" customFormat="1" ht="32" x14ac:dyDescent="0.4">
      <c r="A2820" s="493">
        <v>67464</v>
      </c>
      <c r="B2820" s="105" t="s">
        <v>329</v>
      </c>
      <c r="C2820" s="493" t="s">
        <v>330</v>
      </c>
      <c r="D2820" s="105" t="s">
        <v>3382</v>
      </c>
      <c r="E2820" s="105" t="s">
        <v>3224</v>
      </c>
      <c r="F2820" s="493">
        <v>65043</v>
      </c>
      <c r="G2820" s="105" t="s">
        <v>33</v>
      </c>
      <c r="H2820" s="105" t="s">
        <v>342</v>
      </c>
      <c r="I2820" s="105" t="s">
        <v>334</v>
      </c>
      <c r="J2820" s="493">
        <v>22</v>
      </c>
      <c r="K2820" s="493">
        <v>2</v>
      </c>
      <c r="L2820" s="105" t="s">
        <v>343</v>
      </c>
      <c r="M2820" s="105" t="s">
        <v>403</v>
      </c>
      <c r="N2820" s="105" t="s">
        <v>404</v>
      </c>
      <c r="O2820" s="105" t="s">
        <v>232</v>
      </c>
      <c r="P2820" s="105" t="s">
        <v>346</v>
      </c>
      <c r="Q2820" s="494">
        <v>0</v>
      </c>
      <c r="R2820" s="494">
        <v>0</v>
      </c>
      <c r="S2820" s="494">
        <v>0</v>
      </c>
      <c r="T2820" s="494">
        <v>0</v>
      </c>
      <c r="U2820" s="494">
        <v>0</v>
      </c>
      <c r="V2820" s="493">
        <v>2024</v>
      </c>
      <c r="W2820" s="495"/>
      <c r="X2820" s="496" t="str">
        <f t="shared" si="181"/>
        <v/>
      </c>
      <c r="Y2820" s="497" t="str">
        <f t="shared" si="184"/>
        <v/>
      </c>
      <c r="Z2820" s="497" t="str">
        <f t="shared" si="184"/>
        <v/>
      </c>
    </row>
    <row r="2821" spans="1:26" s="82" customFormat="1" ht="32" x14ac:dyDescent="0.4">
      <c r="A2821" s="493">
        <v>67464</v>
      </c>
      <c r="B2821" s="105" t="s">
        <v>329</v>
      </c>
      <c r="C2821" s="493" t="s">
        <v>330</v>
      </c>
      <c r="D2821" s="105" t="s">
        <v>3382</v>
      </c>
      <c r="E2821" s="105" t="s">
        <v>3224</v>
      </c>
      <c r="F2821" s="493">
        <v>65043</v>
      </c>
      <c r="G2821" s="105" t="s">
        <v>33</v>
      </c>
      <c r="H2821" s="105" t="s">
        <v>342</v>
      </c>
      <c r="I2821" s="105" t="s">
        <v>334</v>
      </c>
      <c r="J2821" s="493">
        <v>22</v>
      </c>
      <c r="K2821" s="493">
        <v>2</v>
      </c>
      <c r="L2821" s="105" t="s">
        <v>343</v>
      </c>
      <c r="M2821" s="105" t="s">
        <v>655</v>
      </c>
      <c r="N2821" s="105" t="s">
        <v>656</v>
      </c>
      <c r="O2821" s="105" t="s">
        <v>656</v>
      </c>
      <c r="P2821" s="105" t="s">
        <v>339</v>
      </c>
      <c r="Q2821" s="494">
        <v>0</v>
      </c>
      <c r="R2821" s="494">
        <v>0</v>
      </c>
      <c r="S2821" s="494">
        <v>2626</v>
      </c>
      <c r="T2821" s="494">
        <v>2626</v>
      </c>
      <c r="U2821" s="494">
        <v>770</v>
      </c>
      <c r="V2821" s="493">
        <v>2024</v>
      </c>
      <c r="W2821" s="495"/>
      <c r="X2821" s="496">
        <f t="shared" si="181"/>
        <v>3.4103896103896103</v>
      </c>
      <c r="Y2821" s="497" t="str">
        <f t="shared" si="184"/>
        <v/>
      </c>
      <c r="Z2821" s="497" t="str">
        <f t="shared" si="184"/>
        <v/>
      </c>
    </row>
    <row r="2822" spans="1:26" s="82" customFormat="1" ht="32" x14ac:dyDescent="0.4">
      <c r="A2822" s="493">
        <v>67468</v>
      </c>
      <c r="B2822" s="105" t="s">
        <v>329</v>
      </c>
      <c r="C2822" s="493" t="s">
        <v>330</v>
      </c>
      <c r="D2822" s="105" t="s">
        <v>3383</v>
      </c>
      <c r="E2822" s="105" t="s">
        <v>2234</v>
      </c>
      <c r="F2822" s="493">
        <v>62719</v>
      </c>
      <c r="G2822" s="105" t="s">
        <v>52</v>
      </c>
      <c r="H2822" s="105" t="s">
        <v>333</v>
      </c>
      <c r="I2822" s="105" t="s">
        <v>334</v>
      </c>
      <c r="J2822" s="493">
        <v>22</v>
      </c>
      <c r="K2822" s="493">
        <v>2</v>
      </c>
      <c r="L2822" s="105" t="s">
        <v>343</v>
      </c>
      <c r="M2822" s="105" t="s">
        <v>655</v>
      </c>
      <c r="N2822" s="105" t="s">
        <v>656</v>
      </c>
      <c r="O2822" s="105" t="s">
        <v>656</v>
      </c>
      <c r="P2822" s="105" t="s">
        <v>339</v>
      </c>
      <c r="Q2822" s="494">
        <v>0</v>
      </c>
      <c r="R2822" s="494">
        <v>0</v>
      </c>
      <c r="S2822" s="494">
        <v>25966</v>
      </c>
      <c r="T2822" s="494">
        <v>25966</v>
      </c>
      <c r="U2822" s="494">
        <v>7610</v>
      </c>
      <c r="V2822" s="493">
        <v>2024</v>
      </c>
      <c r="W2822" s="495"/>
      <c r="X2822" s="496">
        <f t="shared" si="181"/>
        <v>3.4120893561103811</v>
      </c>
      <c r="Y2822" s="497" t="str">
        <f t="shared" si="184"/>
        <v/>
      </c>
      <c r="Z2822" s="497" t="str">
        <f t="shared" si="184"/>
        <v/>
      </c>
    </row>
    <row r="2823" spans="1:26" s="82" customFormat="1" ht="32" x14ac:dyDescent="0.4">
      <c r="A2823" s="493">
        <v>67469</v>
      </c>
      <c r="B2823" s="105" t="s">
        <v>329</v>
      </c>
      <c r="C2823" s="493" t="s">
        <v>330</v>
      </c>
      <c r="D2823" s="105" t="s">
        <v>3384</v>
      </c>
      <c r="E2823" s="105" t="s">
        <v>2234</v>
      </c>
      <c r="F2823" s="493">
        <v>62719</v>
      </c>
      <c r="G2823" s="105" t="s">
        <v>33</v>
      </c>
      <c r="H2823" s="105" t="s">
        <v>342</v>
      </c>
      <c r="I2823" s="105" t="s">
        <v>334</v>
      </c>
      <c r="J2823" s="493">
        <v>22</v>
      </c>
      <c r="K2823" s="493">
        <v>2</v>
      </c>
      <c r="L2823" s="105" t="s">
        <v>343</v>
      </c>
      <c r="M2823" s="105" t="s">
        <v>655</v>
      </c>
      <c r="N2823" s="105" t="s">
        <v>656</v>
      </c>
      <c r="O2823" s="105" t="s">
        <v>656</v>
      </c>
      <c r="P2823" s="105" t="s">
        <v>339</v>
      </c>
      <c r="Q2823" s="494">
        <v>0</v>
      </c>
      <c r="R2823" s="494">
        <v>0</v>
      </c>
      <c r="S2823" s="494">
        <v>5431</v>
      </c>
      <c r="T2823" s="494">
        <v>5431</v>
      </c>
      <c r="U2823" s="494">
        <v>1592</v>
      </c>
      <c r="V2823" s="493">
        <v>2024</v>
      </c>
      <c r="W2823" s="495"/>
      <c r="X2823" s="496">
        <f t="shared" si="181"/>
        <v>3.4114321608040199</v>
      </c>
      <c r="Y2823" s="497" t="str">
        <f t="shared" si="184"/>
        <v/>
      </c>
      <c r="Z2823" s="497" t="str">
        <f t="shared" si="184"/>
        <v/>
      </c>
    </row>
    <row r="2824" spans="1:26" s="82" customFormat="1" ht="32" x14ac:dyDescent="0.4">
      <c r="A2824" s="493">
        <v>67470</v>
      </c>
      <c r="B2824" s="105" t="s">
        <v>329</v>
      </c>
      <c r="C2824" s="493" t="s">
        <v>330</v>
      </c>
      <c r="D2824" s="105" t="s">
        <v>3385</v>
      </c>
      <c r="E2824" s="105" t="s">
        <v>2234</v>
      </c>
      <c r="F2824" s="493">
        <v>62719</v>
      </c>
      <c r="G2824" s="105" t="s">
        <v>52</v>
      </c>
      <c r="H2824" s="105" t="s">
        <v>333</v>
      </c>
      <c r="I2824" s="105" t="s">
        <v>334</v>
      </c>
      <c r="J2824" s="493">
        <v>22</v>
      </c>
      <c r="K2824" s="493">
        <v>2</v>
      </c>
      <c r="L2824" s="105" t="s">
        <v>343</v>
      </c>
      <c r="M2824" s="105" t="s">
        <v>655</v>
      </c>
      <c r="N2824" s="105" t="s">
        <v>656</v>
      </c>
      <c r="O2824" s="105" t="s">
        <v>656</v>
      </c>
      <c r="P2824" s="105" t="s">
        <v>339</v>
      </c>
      <c r="Q2824" s="494">
        <v>0</v>
      </c>
      <c r="R2824" s="494">
        <v>0</v>
      </c>
      <c r="S2824" s="494">
        <v>27390</v>
      </c>
      <c r="T2824" s="494">
        <v>27390</v>
      </c>
      <c r="U2824" s="494">
        <v>8027</v>
      </c>
      <c r="V2824" s="493">
        <v>2024</v>
      </c>
      <c r="W2824" s="495"/>
      <c r="X2824" s="496">
        <f t="shared" si="181"/>
        <v>3.412233711224617</v>
      </c>
      <c r="Y2824" s="497" t="str">
        <f t="shared" si="184"/>
        <v/>
      </c>
      <c r="Z2824" s="497" t="str">
        <f t="shared" si="184"/>
        <v/>
      </c>
    </row>
    <row r="2825" spans="1:26" s="82" customFormat="1" ht="32" x14ac:dyDescent="0.4">
      <c r="A2825" s="493">
        <v>67471</v>
      </c>
      <c r="B2825" s="105" t="s">
        <v>329</v>
      </c>
      <c r="C2825" s="493" t="s">
        <v>330</v>
      </c>
      <c r="D2825" s="105" t="s">
        <v>3386</v>
      </c>
      <c r="E2825" s="105" t="s">
        <v>2234</v>
      </c>
      <c r="F2825" s="493">
        <v>62719</v>
      </c>
      <c r="G2825" s="105" t="s">
        <v>52</v>
      </c>
      <c r="H2825" s="105" t="s">
        <v>333</v>
      </c>
      <c r="I2825" s="105" t="s">
        <v>334</v>
      </c>
      <c r="J2825" s="493">
        <v>22</v>
      </c>
      <c r="K2825" s="493">
        <v>2</v>
      </c>
      <c r="L2825" s="105" t="s">
        <v>343</v>
      </c>
      <c r="M2825" s="105" t="s">
        <v>655</v>
      </c>
      <c r="N2825" s="105" t="s">
        <v>656</v>
      </c>
      <c r="O2825" s="105" t="s">
        <v>656</v>
      </c>
      <c r="P2825" s="105" t="s">
        <v>339</v>
      </c>
      <c r="Q2825" s="494">
        <v>0</v>
      </c>
      <c r="R2825" s="494">
        <v>0</v>
      </c>
      <c r="S2825" s="494">
        <v>11022</v>
      </c>
      <c r="T2825" s="494">
        <v>11022</v>
      </c>
      <c r="U2825" s="494">
        <v>3230</v>
      </c>
      <c r="V2825" s="493">
        <v>2024</v>
      </c>
      <c r="W2825" s="495"/>
      <c r="X2825" s="496">
        <f t="shared" ref="X2825:X2888" si="185">IF(OR(K2825&gt;3,T2825=0,NOT(U2825&gt;0)),"",T2825/U2825)</f>
        <v>3.4123839009287926</v>
      </c>
      <c r="Y2825" s="497" t="str">
        <f t="shared" si="184"/>
        <v/>
      </c>
      <c r="Z2825" s="497" t="str">
        <f t="shared" si="184"/>
        <v/>
      </c>
    </row>
    <row r="2826" spans="1:26" s="82" customFormat="1" ht="32" x14ac:dyDescent="0.4">
      <c r="A2826" s="493">
        <v>67472</v>
      </c>
      <c r="B2826" s="105" t="s">
        <v>329</v>
      </c>
      <c r="C2826" s="493" t="s">
        <v>330</v>
      </c>
      <c r="D2826" s="105" t="s">
        <v>3387</v>
      </c>
      <c r="E2826" s="105" t="s">
        <v>2234</v>
      </c>
      <c r="F2826" s="493">
        <v>62719</v>
      </c>
      <c r="G2826" s="105" t="s">
        <v>52</v>
      </c>
      <c r="H2826" s="105" t="s">
        <v>333</v>
      </c>
      <c r="I2826" s="105" t="s">
        <v>334</v>
      </c>
      <c r="J2826" s="493">
        <v>22</v>
      </c>
      <c r="K2826" s="493">
        <v>2</v>
      </c>
      <c r="L2826" s="105" t="s">
        <v>343</v>
      </c>
      <c r="M2826" s="105" t="s">
        <v>655</v>
      </c>
      <c r="N2826" s="105" t="s">
        <v>656</v>
      </c>
      <c r="O2826" s="105" t="s">
        <v>656</v>
      </c>
      <c r="P2826" s="105" t="s">
        <v>339</v>
      </c>
      <c r="Q2826" s="494">
        <v>0</v>
      </c>
      <c r="R2826" s="494">
        <v>0</v>
      </c>
      <c r="S2826" s="494">
        <v>14413</v>
      </c>
      <c r="T2826" s="494">
        <v>14413</v>
      </c>
      <c r="U2826" s="494">
        <v>4224</v>
      </c>
      <c r="V2826" s="493">
        <v>2024</v>
      </c>
      <c r="W2826" s="495"/>
      <c r="X2826" s="496">
        <f t="shared" si="185"/>
        <v>3.4121685606060606</v>
      </c>
      <c r="Y2826" s="497" t="str">
        <f t="shared" si="184"/>
        <v/>
      </c>
      <c r="Z2826" s="497" t="str">
        <f t="shared" si="184"/>
        <v/>
      </c>
    </row>
    <row r="2827" spans="1:26" s="82" customFormat="1" ht="32" x14ac:dyDescent="0.4">
      <c r="A2827" s="493">
        <v>67475</v>
      </c>
      <c r="B2827" s="105" t="s">
        <v>329</v>
      </c>
      <c r="C2827" s="493" t="s">
        <v>330</v>
      </c>
      <c r="D2827" s="105" t="s">
        <v>3388</v>
      </c>
      <c r="E2827" s="105" t="s">
        <v>2234</v>
      </c>
      <c r="F2827" s="493">
        <v>62719</v>
      </c>
      <c r="G2827" s="105" t="s">
        <v>52</v>
      </c>
      <c r="H2827" s="105" t="s">
        <v>333</v>
      </c>
      <c r="I2827" s="105" t="s">
        <v>334</v>
      </c>
      <c r="J2827" s="493">
        <v>22</v>
      </c>
      <c r="K2827" s="493">
        <v>2</v>
      </c>
      <c r="L2827" s="105" t="s">
        <v>343</v>
      </c>
      <c r="M2827" s="105" t="s">
        <v>655</v>
      </c>
      <c r="N2827" s="105" t="s">
        <v>656</v>
      </c>
      <c r="O2827" s="105" t="s">
        <v>656</v>
      </c>
      <c r="P2827" s="105" t="s">
        <v>339</v>
      </c>
      <c r="Q2827" s="494">
        <v>0</v>
      </c>
      <c r="R2827" s="494">
        <v>0</v>
      </c>
      <c r="S2827" s="494">
        <v>19529</v>
      </c>
      <c r="T2827" s="494">
        <v>19529</v>
      </c>
      <c r="U2827" s="494">
        <v>5724</v>
      </c>
      <c r="V2827" s="493">
        <v>2024</v>
      </c>
      <c r="W2827" s="495"/>
      <c r="X2827" s="496">
        <f t="shared" si="185"/>
        <v>3.4117749825296997</v>
      </c>
      <c r="Y2827" s="497" t="str">
        <f t="shared" si="184"/>
        <v/>
      </c>
      <c r="Z2827" s="497" t="str">
        <f t="shared" si="184"/>
        <v/>
      </c>
    </row>
    <row r="2828" spans="1:26" s="82" customFormat="1" ht="32" x14ac:dyDescent="0.4">
      <c r="A2828" s="493">
        <v>67476</v>
      </c>
      <c r="B2828" s="105" t="s">
        <v>329</v>
      </c>
      <c r="C2828" s="493" t="s">
        <v>330</v>
      </c>
      <c r="D2828" s="105" t="s">
        <v>3389</v>
      </c>
      <c r="E2828" s="105" t="s">
        <v>2234</v>
      </c>
      <c r="F2828" s="493">
        <v>62719</v>
      </c>
      <c r="G2828" s="105" t="s">
        <v>52</v>
      </c>
      <c r="H2828" s="105" t="s">
        <v>333</v>
      </c>
      <c r="I2828" s="105" t="s">
        <v>334</v>
      </c>
      <c r="J2828" s="493">
        <v>22</v>
      </c>
      <c r="K2828" s="493">
        <v>2</v>
      </c>
      <c r="L2828" s="105" t="s">
        <v>343</v>
      </c>
      <c r="M2828" s="105" t="s">
        <v>655</v>
      </c>
      <c r="N2828" s="105" t="s">
        <v>656</v>
      </c>
      <c r="O2828" s="105" t="s">
        <v>656</v>
      </c>
      <c r="P2828" s="105" t="s">
        <v>339</v>
      </c>
      <c r="Q2828" s="494">
        <v>0</v>
      </c>
      <c r="R2828" s="494">
        <v>0</v>
      </c>
      <c r="S2828" s="494">
        <v>14409</v>
      </c>
      <c r="T2828" s="494">
        <v>14409</v>
      </c>
      <c r="U2828" s="494">
        <v>4223</v>
      </c>
      <c r="V2828" s="493">
        <v>2024</v>
      </c>
      <c r="W2828" s="495"/>
      <c r="X2828" s="496">
        <f t="shared" si="185"/>
        <v>3.4120293630120768</v>
      </c>
      <c r="Y2828" s="497" t="str">
        <f t="shared" ref="Y2828:Z2847" si="186">IF(AND($M2828=$Y$2,$N2828=$Y$3,NOT($Q2828=$R2828),NOT($U2828=0)),IF($K2828=5,$S2828/($U2828+(8/5)*$U2828),IF($K2828=7,$S2828/($U2828+(29/25)*$U2828),"")),"")</f>
        <v/>
      </c>
      <c r="Z2828" s="497" t="str">
        <f t="shared" si="186"/>
        <v/>
      </c>
    </row>
    <row r="2829" spans="1:26" s="82" customFormat="1" x14ac:dyDescent="0.4">
      <c r="A2829" s="493">
        <v>67477</v>
      </c>
      <c r="B2829" s="105" t="s">
        <v>329</v>
      </c>
      <c r="C2829" s="493" t="s">
        <v>330</v>
      </c>
      <c r="D2829" s="105" t="s">
        <v>3390</v>
      </c>
      <c r="E2829" s="105" t="s">
        <v>3391</v>
      </c>
      <c r="F2829" s="493">
        <v>66216</v>
      </c>
      <c r="G2829" s="105" t="s">
        <v>33</v>
      </c>
      <c r="H2829" s="105" t="s">
        <v>342</v>
      </c>
      <c r="I2829" s="105" t="s">
        <v>334</v>
      </c>
      <c r="J2829" s="493">
        <v>22</v>
      </c>
      <c r="K2829" s="493">
        <v>2</v>
      </c>
      <c r="L2829" s="105" t="s">
        <v>343</v>
      </c>
      <c r="M2829" s="105" t="s">
        <v>655</v>
      </c>
      <c r="N2829" s="105" t="s">
        <v>656</v>
      </c>
      <c r="O2829" s="105" t="s">
        <v>656</v>
      </c>
      <c r="P2829" s="105" t="s">
        <v>339</v>
      </c>
      <c r="Q2829" s="494">
        <v>0</v>
      </c>
      <c r="R2829" s="494">
        <v>0</v>
      </c>
      <c r="S2829" s="494">
        <v>24604</v>
      </c>
      <c r="T2829" s="494">
        <v>24604</v>
      </c>
      <c r="U2829" s="494">
        <v>7211</v>
      </c>
      <c r="V2829" s="493">
        <v>2024</v>
      </c>
      <c r="W2829" s="495"/>
      <c r="X2829" s="496">
        <f t="shared" si="185"/>
        <v>3.4120094300374428</v>
      </c>
      <c r="Y2829" s="497" t="str">
        <f t="shared" si="186"/>
        <v/>
      </c>
      <c r="Z2829" s="497" t="str">
        <f t="shared" si="186"/>
        <v/>
      </c>
    </row>
    <row r="2830" spans="1:26" s="82" customFormat="1" x14ac:dyDescent="0.4">
      <c r="A2830" s="493">
        <v>67478</v>
      </c>
      <c r="B2830" s="105" t="s">
        <v>329</v>
      </c>
      <c r="C2830" s="493" t="s">
        <v>330</v>
      </c>
      <c r="D2830" s="105" t="s">
        <v>3392</v>
      </c>
      <c r="E2830" s="105" t="s">
        <v>3393</v>
      </c>
      <c r="F2830" s="493">
        <v>66215</v>
      </c>
      <c r="G2830" s="105" t="s">
        <v>37</v>
      </c>
      <c r="H2830" s="105" t="s">
        <v>342</v>
      </c>
      <c r="I2830" s="105" t="s">
        <v>334</v>
      </c>
      <c r="J2830" s="493">
        <v>22</v>
      </c>
      <c r="K2830" s="493">
        <v>2</v>
      </c>
      <c r="L2830" s="105" t="s">
        <v>343</v>
      </c>
      <c r="M2830" s="105" t="s">
        <v>655</v>
      </c>
      <c r="N2830" s="105" t="s">
        <v>656</v>
      </c>
      <c r="O2830" s="105" t="s">
        <v>656</v>
      </c>
      <c r="P2830" s="105" t="s">
        <v>339</v>
      </c>
      <c r="Q2830" s="494">
        <v>0</v>
      </c>
      <c r="R2830" s="494">
        <v>0</v>
      </c>
      <c r="S2830" s="494">
        <v>12100</v>
      </c>
      <c r="T2830" s="494">
        <v>12100</v>
      </c>
      <c r="U2830" s="494">
        <v>3546</v>
      </c>
      <c r="V2830" s="493">
        <v>2024</v>
      </c>
      <c r="W2830" s="495"/>
      <c r="X2830" s="496">
        <f t="shared" si="185"/>
        <v>3.4122955442752398</v>
      </c>
      <c r="Y2830" s="497" t="str">
        <f t="shared" si="186"/>
        <v/>
      </c>
      <c r="Z2830" s="497" t="str">
        <f t="shared" si="186"/>
        <v/>
      </c>
    </row>
    <row r="2831" spans="1:26" s="82" customFormat="1" x14ac:dyDescent="0.4">
      <c r="A2831" s="493">
        <v>67479</v>
      </c>
      <c r="B2831" s="105" t="s">
        <v>329</v>
      </c>
      <c r="C2831" s="493" t="s">
        <v>330</v>
      </c>
      <c r="D2831" s="105" t="s">
        <v>3394</v>
      </c>
      <c r="E2831" s="105" t="s">
        <v>2370</v>
      </c>
      <c r="F2831" s="493">
        <v>62923</v>
      </c>
      <c r="G2831" s="105" t="s">
        <v>52</v>
      </c>
      <c r="H2831" s="105" t="s">
        <v>333</v>
      </c>
      <c r="I2831" s="105" t="s">
        <v>334</v>
      </c>
      <c r="J2831" s="493">
        <v>22</v>
      </c>
      <c r="K2831" s="493">
        <v>2</v>
      </c>
      <c r="L2831" s="105" t="s">
        <v>343</v>
      </c>
      <c r="M2831" s="105" t="s">
        <v>655</v>
      </c>
      <c r="N2831" s="105" t="s">
        <v>656</v>
      </c>
      <c r="O2831" s="105" t="s">
        <v>656</v>
      </c>
      <c r="P2831" s="105" t="s">
        <v>339</v>
      </c>
      <c r="Q2831" s="494">
        <v>0</v>
      </c>
      <c r="R2831" s="494">
        <v>0</v>
      </c>
      <c r="S2831" s="494">
        <v>13593</v>
      </c>
      <c r="T2831" s="494">
        <v>13593</v>
      </c>
      <c r="U2831" s="494">
        <v>3984</v>
      </c>
      <c r="V2831" s="493">
        <v>2024</v>
      </c>
      <c r="W2831" s="495"/>
      <c r="X2831" s="496">
        <f t="shared" si="185"/>
        <v>3.4118975903614457</v>
      </c>
      <c r="Y2831" s="497" t="str">
        <f t="shared" si="186"/>
        <v/>
      </c>
      <c r="Z2831" s="497" t="str">
        <f t="shared" si="186"/>
        <v/>
      </c>
    </row>
    <row r="2832" spans="1:26" s="82" customFormat="1" x14ac:dyDescent="0.4">
      <c r="A2832" s="493">
        <v>67480</v>
      </c>
      <c r="B2832" s="105" t="s">
        <v>329</v>
      </c>
      <c r="C2832" s="493" t="s">
        <v>330</v>
      </c>
      <c r="D2832" s="105" t="s">
        <v>3395</v>
      </c>
      <c r="E2832" s="105" t="s">
        <v>3396</v>
      </c>
      <c r="F2832" s="493">
        <v>66221</v>
      </c>
      <c r="G2832" s="105" t="s">
        <v>52</v>
      </c>
      <c r="H2832" s="105" t="s">
        <v>333</v>
      </c>
      <c r="I2832" s="105" t="s">
        <v>334</v>
      </c>
      <c r="J2832" s="493">
        <v>22</v>
      </c>
      <c r="K2832" s="493">
        <v>2</v>
      </c>
      <c r="L2832" s="105" t="s">
        <v>343</v>
      </c>
      <c r="M2832" s="105" t="s">
        <v>655</v>
      </c>
      <c r="N2832" s="105" t="s">
        <v>656</v>
      </c>
      <c r="O2832" s="105" t="s">
        <v>656</v>
      </c>
      <c r="P2832" s="105" t="s">
        <v>339</v>
      </c>
      <c r="Q2832" s="494">
        <v>0</v>
      </c>
      <c r="R2832" s="494">
        <v>0</v>
      </c>
      <c r="S2832" s="494">
        <v>0</v>
      </c>
      <c r="T2832" s="494">
        <v>0</v>
      </c>
      <c r="U2832" s="494">
        <v>0</v>
      </c>
      <c r="V2832" s="493">
        <v>2024</v>
      </c>
      <c r="W2832" s="495"/>
      <c r="X2832" s="496" t="str">
        <f t="shared" si="185"/>
        <v/>
      </c>
      <c r="Y2832" s="497" t="str">
        <f t="shared" si="186"/>
        <v/>
      </c>
      <c r="Z2832" s="497" t="str">
        <f t="shared" si="186"/>
        <v/>
      </c>
    </row>
    <row r="2833" spans="1:26" s="82" customFormat="1" x14ac:dyDescent="0.4">
      <c r="A2833" s="493">
        <v>67481</v>
      </c>
      <c r="B2833" s="105" t="s">
        <v>329</v>
      </c>
      <c r="C2833" s="493" t="s">
        <v>330</v>
      </c>
      <c r="D2833" s="105" t="s">
        <v>3397</v>
      </c>
      <c r="E2833" s="105" t="s">
        <v>3398</v>
      </c>
      <c r="F2833" s="493">
        <v>66222</v>
      </c>
      <c r="G2833" s="105" t="s">
        <v>52</v>
      </c>
      <c r="H2833" s="105" t="s">
        <v>333</v>
      </c>
      <c r="I2833" s="105" t="s">
        <v>334</v>
      </c>
      <c r="J2833" s="493">
        <v>22</v>
      </c>
      <c r="K2833" s="493">
        <v>2</v>
      </c>
      <c r="L2833" s="105" t="s">
        <v>343</v>
      </c>
      <c r="M2833" s="105" t="s">
        <v>655</v>
      </c>
      <c r="N2833" s="105" t="s">
        <v>656</v>
      </c>
      <c r="O2833" s="105" t="s">
        <v>656</v>
      </c>
      <c r="P2833" s="105" t="s">
        <v>339</v>
      </c>
      <c r="Q2833" s="494">
        <v>0</v>
      </c>
      <c r="R2833" s="494">
        <v>0</v>
      </c>
      <c r="S2833" s="494">
        <v>10226</v>
      </c>
      <c r="T2833" s="494">
        <v>10226</v>
      </c>
      <c r="U2833" s="494">
        <v>2997</v>
      </c>
      <c r="V2833" s="493">
        <v>2024</v>
      </c>
      <c r="W2833" s="495"/>
      <c r="X2833" s="496">
        <f t="shared" si="185"/>
        <v>3.4120787454120789</v>
      </c>
      <c r="Y2833" s="497" t="str">
        <f t="shared" si="186"/>
        <v/>
      </c>
      <c r="Z2833" s="497" t="str">
        <f t="shared" si="186"/>
        <v/>
      </c>
    </row>
    <row r="2834" spans="1:26" s="82" customFormat="1" x14ac:dyDescent="0.4">
      <c r="A2834" s="493">
        <v>67482</v>
      </c>
      <c r="B2834" s="105" t="s">
        <v>329</v>
      </c>
      <c r="C2834" s="493" t="s">
        <v>330</v>
      </c>
      <c r="D2834" s="105" t="s">
        <v>3399</v>
      </c>
      <c r="E2834" s="105" t="s">
        <v>3400</v>
      </c>
      <c r="F2834" s="493">
        <v>66223</v>
      </c>
      <c r="G2834" s="105" t="s">
        <v>52</v>
      </c>
      <c r="H2834" s="105" t="s">
        <v>333</v>
      </c>
      <c r="I2834" s="105" t="s">
        <v>334</v>
      </c>
      <c r="J2834" s="493">
        <v>22</v>
      </c>
      <c r="K2834" s="493">
        <v>2</v>
      </c>
      <c r="L2834" s="105" t="s">
        <v>343</v>
      </c>
      <c r="M2834" s="105" t="s">
        <v>655</v>
      </c>
      <c r="N2834" s="105" t="s">
        <v>656</v>
      </c>
      <c r="O2834" s="105" t="s">
        <v>656</v>
      </c>
      <c r="P2834" s="105" t="s">
        <v>339</v>
      </c>
      <c r="Q2834" s="494">
        <v>0</v>
      </c>
      <c r="R2834" s="494">
        <v>0</v>
      </c>
      <c r="S2834" s="494">
        <v>12510</v>
      </c>
      <c r="T2834" s="494">
        <v>12510</v>
      </c>
      <c r="U2834" s="494">
        <v>3666</v>
      </c>
      <c r="V2834" s="493">
        <v>2024</v>
      </c>
      <c r="W2834" s="495"/>
      <c r="X2834" s="496">
        <f t="shared" si="185"/>
        <v>3.4124386252045826</v>
      </c>
      <c r="Y2834" s="497" t="str">
        <f t="shared" si="186"/>
        <v/>
      </c>
      <c r="Z2834" s="497" t="str">
        <f t="shared" si="186"/>
        <v/>
      </c>
    </row>
    <row r="2835" spans="1:26" s="82" customFormat="1" ht="32" x14ac:dyDescent="0.4">
      <c r="A2835" s="493">
        <v>67483</v>
      </c>
      <c r="B2835" s="105" t="s">
        <v>329</v>
      </c>
      <c r="C2835" s="493" t="s">
        <v>330</v>
      </c>
      <c r="D2835" s="105" t="s">
        <v>3401</v>
      </c>
      <c r="E2835" s="105" t="s">
        <v>2837</v>
      </c>
      <c r="F2835" s="493">
        <v>56990</v>
      </c>
      <c r="G2835" s="105" t="s">
        <v>37</v>
      </c>
      <c r="H2835" s="105" t="s">
        <v>342</v>
      </c>
      <c r="I2835" s="105" t="s">
        <v>2117</v>
      </c>
      <c r="J2835" s="493">
        <v>22</v>
      </c>
      <c r="K2835" s="493">
        <v>2</v>
      </c>
      <c r="L2835" s="105" t="s">
        <v>343</v>
      </c>
      <c r="M2835" s="105" t="s">
        <v>655</v>
      </c>
      <c r="N2835" s="105" t="s">
        <v>656</v>
      </c>
      <c r="O2835" s="105" t="s">
        <v>656</v>
      </c>
      <c r="P2835" s="105" t="s">
        <v>339</v>
      </c>
      <c r="Q2835" s="494">
        <v>0</v>
      </c>
      <c r="R2835" s="494">
        <v>0</v>
      </c>
      <c r="S2835" s="494">
        <v>1686</v>
      </c>
      <c r="T2835" s="494">
        <v>1686</v>
      </c>
      <c r="U2835" s="494">
        <v>494</v>
      </c>
      <c r="V2835" s="493">
        <v>2024</v>
      </c>
      <c r="W2835" s="495"/>
      <c r="X2835" s="496">
        <f t="shared" si="185"/>
        <v>3.4129554655870447</v>
      </c>
      <c r="Y2835" s="497" t="str">
        <f t="shared" si="186"/>
        <v/>
      </c>
      <c r="Z2835" s="497" t="str">
        <f t="shared" si="186"/>
        <v/>
      </c>
    </row>
    <row r="2836" spans="1:26" s="82" customFormat="1" ht="32" x14ac:dyDescent="0.4">
      <c r="A2836" s="493">
        <v>67484</v>
      </c>
      <c r="B2836" s="105" t="s">
        <v>329</v>
      </c>
      <c r="C2836" s="493" t="s">
        <v>330</v>
      </c>
      <c r="D2836" s="105" t="s">
        <v>3402</v>
      </c>
      <c r="E2836" s="105" t="s">
        <v>2837</v>
      </c>
      <c r="F2836" s="493">
        <v>56990</v>
      </c>
      <c r="G2836" s="105" t="s">
        <v>37</v>
      </c>
      <c r="H2836" s="105" t="s">
        <v>342</v>
      </c>
      <c r="I2836" s="105" t="s">
        <v>2117</v>
      </c>
      <c r="J2836" s="493">
        <v>22</v>
      </c>
      <c r="K2836" s="493">
        <v>2</v>
      </c>
      <c r="L2836" s="105" t="s">
        <v>343</v>
      </c>
      <c r="M2836" s="105" t="s">
        <v>655</v>
      </c>
      <c r="N2836" s="105" t="s">
        <v>656</v>
      </c>
      <c r="O2836" s="105" t="s">
        <v>656</v>
      </c>
      <c r="P2836" s="105" t="s">
        <v>339</v>
      </c>
      <c r="Q2836" s="494">
        <v>0</v>
      </c>
      <c r="R2836" s="494">
        <v>0</v>
      </c>
      <c r="S2836" s="494">
        <v>38</v>
      </c>
      <c r="T2836" s="494">
        <v>38</v>
      </c>
      <c r="U2836" s="494">
        <v>11</v>
      </c>
      <c r="V2836" s="493">
        <v>2024</v>
      </c>
      <c r="W2836" s="495"/>
      <c r="X2836" s="496">
        <f t="shared" si="185"/>
        <v>3.4545454545454546</v>
      </c>
      <c r="Y2836" s="497" t="str">
        <f t="shared" si="186"/>
        <v/>
      </c>
      <c r="Z2836" s="497" t="str">
        <f t="shared" si="186"/>
        <v/>
      </c>
    </row>
    <row r="2837" spans="1:26" s="82" customFormat="1" x14ac:dyDescent="0.4">
      <c r="A2837" s="493">
        <v>67499</v>
      </c>
      <c r="B2837" s="105" t="s">
        <v>329</v>
      </c>
      <c r="C2837" s="493" t="s">
        <v>330</v>
      </c>
      <c r="D2837" s="105" t="s">
        <v>3403</v>
      </c>
      <c r="E2837" s="105" t="s">
        <v>1606</v>
      </c>
      <c r="F2837" s="493">
        <v>61227</v>
      </c>
      <c r="G2837" s="105" t="s">
        <v>34</v>
      </c>
      <c r="H2837" s="105" t="s">
        <v>342</v>
      </c>
      <c r="I2837" s="105" t="s">
        <v>334</v>
      </c>
      <c r="J2837" s="493">
        <v>22</v>
      </c>
      <c r="K2837" s="493">
        <v>2</v>
      </c>
      <c r="L2837" s="105" t="s">
        <v>343</v>
      </c>
      <c r="M2837" s="105" t="s">
        <v>655</v>
      </c>
      <c r="N2837" s="105" t="s">
        <v>656</v>
      </c>
      <c r="O2837" s="105" t="s">
        <v>656</v>
      </c>
      <c r="P2837" s="105" t="s">
        <v>339</v>
      </c>
      <c r="Q2837" s="494">
        <v>0</v>
      </c>
      <c r="R2837" s="494">
        <v>0</v>
      </c>
      <c r="S2837" s="494">
        <v>6626</v>
      </c>
      <c r="T2837" s="494">
        <v>6626</v>
      </c>
      <c r="U2837" s="494">
        <v>1942</v>
      </c>
      <c r="V2837" s="493">
        <v>2024</v>
      </c>
      <c r="W2837" s="495"/>
      <c r="X2837" s="496">
        <f t="shared" si="185"/>
        <v>3.411946446961895</v>
      </c>
      <c r="Y2837" s="497" t="str">
        <f t="shared" si="186"/>
        <v/>
      </c>
      <c r="Z2837" s="497" t="str">
        <f t="shared" si="186"/>
        <v/>
      </c>
    </row>
    <row r="2838" spans="1:26" s="82" customFormat="1" x14ac:dyDescent="0.4">
      <c r="A2838" s="493">
        <v>67505</v>
      </c>
      <c r="B2838" s="105" t="s">
        <v>329</v>
      </c>
      <c r="C2838" s="493" t="s">
        <v>330</v>
      </c>
      <c r="D2838" s="105" t="s">
        <v>3404</v>
      </c>
      <c r="E2838" s="105" t="s">
        <v>3405</v>
      </c>
      <c r="F2838" s="493">
        <v>66230</v>
      </c>
      <c r="G2838" s="105" t="s">
        <v>33</v>
      </c>
      <c r="H2838" s="105" t="s">
        <v>342</v>
      </c>
      <c r="I2838" s="105" t="s">
        <v>334</v>
      </c>
      <c r="J2838" s="493">
        <v>22</v>
      </c>
      <c r="K2838" s="493">
        <v>2</v>
      </c>
      <c r="L2838" s="105" t="s">
        <v>343</v>
      </c>
      <c r="M2838" s="105" t="s">
        <v>655</v>
      </c>
      <c r="N2838" s="105" t="s">
        <v>656</v>
      </c>
      <c r="O2838" s="105" t="s">
        <v>656</v>
      </c>
      <c r="P2838" s="105" t="s">
        <v>339</v>
      </c>
      <c r="Q2838" s="494">
        <v>0</v>
      </c>
      <c r="R2838" s="494">
        <v>0</v>
      </c>
      <c r="S2838" s="494">
        <v>5798</v>
      </c>
      <c r="T2838" s="494">
        <v>5798</v>
      </c>
      <c r="U2838" s="494">
        <v>1699</v>
      </c>
      <c r="V2838" s="493">
        <v>2024</v>
      </c>
      <c r="W2838" s="495"/>
      <c r="X2838" s="496">
        <f t="shared" si="185"/>
        <v>3.4125956444967627</v>
      </c>
      <c r="Y2838" s="497" t="str">
        <f t="shared" si="186"/>
        <v/>
      </c>
      <c r="Z2838" s="497" t="str">
        <f t="shared" si="186"/>
        <v/>
      </c>
    </row>
    <row r="2839" spans="1:26" s="82" customFormat="1" x14ac:dyDescent="0.4">
      <c r="A2839" s="493">
        <v>67506</v>
      </c>
      <c r="B2839" s="105" t="s">
        <v>329</v>
      </c>
      <c r="C2839" s="493" t="s">
        <v>330</v>
      </c>
      <c r="D2839" s="105" t="s">
        <v>3406</v>
      </c>
      <c r="E2839" s="105" t="s">
        <v>3407</v>
      </c>
      <c r="F2839" s="493">
        <v>66231</v>
      </c>
      <c r="G2839" s="105" t="s">
        <v>37</v>
      </c>
      <c r="H2839" s="105" t="s">
        <v>342</v>
      </c>
      <c r="I2839" s="105" t="s">
        <v>334</v>
      </c>
      <c r="J2839" s="493">
        <v>22</v>
      </c>
      <c r="K2839" s="493">
        <v>2</v>
      </c>
      <c r="L2839" s="105" t="s">
        <v>343</v>
      </c>
      <c r="M2839" s="105" t="s">
        <v>655</v>
      </c>
      <c r="N2839" s="105" t="s">
        <v>656</v>
      </c>
      <c r="O2839" s="105" t="s">
        <v>656</v>
      </c>
      <c r="P2839" s="105" t="s">
        <v>339</v>
      </c>
      <c r="Q2839" s="494">
        <v>0</v>
      </c>
      <c r="R2839" s="494">
        <v>0</v>
      </c>
      <c r="S2839" s="494">
        <v>11311</v>
      </c>
      <c r="T2839" s="494">
        <v>11311</v>
      </c>
      <c r="U2839" s="494">
        <v>3315</v>
      </c>
      <c r="V2839" s="493">
        <v>2024</v>
      </c>
      <c r="W2839" s="495"/>
      <c r="X2839" s="496">
        <f t="shared" si="185"/>
        <v>3.4120663650075413</v>
      </c>
      <c r="Y2839" s="497" t="str">
        <f t="shared" si="186"/>
        <v/>
      </c>
      <c r="Z2839" s="497" t="str">
        <f t="shared" si="186"/>
        <v/>
      </c>
    </row>
    <row r="2840" spans="1:26" s="82" customFormat="1" ht="32" x14ac:dyDescent="0.4">
      <c r="A2840" s="493">
        <v>67550</v>
      </c>
      <c r="B2840" s="105" t="s">
        <v>329</v>
      </c>
      <c r="C2840" s="493" t="s">
        <v>330</v>
      </c>
      <c r="D2840" s="105" t="s">
        <v>3408</v>
      </c>
      <c r="E2840" s="105" t="s">
        <v>3409</v>
      </c>
      <c r="F2840" s="493">
        <v>66264</v>
      </c>
      <c r="G2840" s="105" t="s">
        <v>52</v>
      </c>
      <c r="H2840" s="105" t="s">
        <v>333</v>
      </c>
      <c r="I2840" s="105" t="s">
        <v>334</v>
      </c>
      <c r="J2840" s="493">
        <v>22</v>
      </c>
      <c r="K2840" s="493">
        <v>2</v>
      </c>
      <c r="L2840" s="105" t="s">
        <v>343</v>
      </c>
      <c r="M2840" s="105" t="s">
        <v>655</v>
      </c>
      <c r="N2840" s="105" t="s">
        <v>656</v>
      </c>
      <c r="O2840" s="105" t="s">
        <v>656</v>
      </c>
      <c r="P2840" s="105" t="s">
        <v>339</v>
      </c>
      <c r="Q2840" s="494">
        <v>0</v>
      </c>
      <c r="R2840" s="494">
        <v>0</v>
      </c>
      <c r="S2840" s="494">
        <v>22458</v>
      </c>
      <c r="T2840" s="494">
        <v>22458</v>
      </c>
      <c r="U2840" s="494">
        <v>6582</v>
      </c>
      <c r="V2840" s="493">
        <v>2024</v>
      </c>
      <c r="W2840" s="495"/>
      <c r="X2840" s="496">
        <f t="shared" si="185"/>
        <v>3.4120328167730172</v>
      </c>
      <c r="Y2840" s="497" t="str">
        <f t="shared" si="186"/>
        <v/>
      </c>
      <c r="Z2840" s="497" t="str">
        <f t="shared" si="186"/>
        <v/>
      </c>
    </row>
    <row r="2841" spans="1:26" s="82" customFormat="1" ht="32" x14ac:dyDescent="0.4">
      <c r="A2841" s="493">
        <v>67571</v>
      </c>
      <c r="B2841" s="105" t="s">
        <v>329</v>
      </c>
      <c r="C2841" s="493" t="s">
        <v>330</v>
      </c>
      <c r="D2841" s="105" t="s">
        <v>3410</v>
      </c>
      <c r="E2841" s="105" t="s">
        <v>3411</v>
      </c>
      <c r="F2841" s="493">
        <v>66273</v>
      </c>
      <c r="G2841" s="105" t="s">
        <v>52</v>
      </c>
      <c r="H2841" s="105" t="s">
        <v>333</v>
      </c>
      <c r="I2841" s="105" t="s">
        <v>334</v>
      </c>
      <c r="J2841" s="493">
        <v>22</v>
      </c>
      <c r="K2841" s="493">
        <v>2</v>
      </c>
      <c r="L2841" s="105" t="s">
        <v>343</v>
      </c>
      <c r="M2841" s="105" t="s">
        <v>655</v>
      </c>
      <c r="N2841" s="105" t="s">
        <v>656</v>
      </c>
      <c r="O2841" s="105" t="s">
        <v>656</v>
      </c>
      <c r="P2841" s="105" t="s">
        <v>339</v>
      </c>
      <c r="Q2841" s="494">
        <v>0</v>
      </c>
      <c r="R2841" s="494">
        <v>0</v>
      </c>
      <c r="S2841" s="494">
        <v>0</v>
      </c>
      <c r="T2841" s="494">
        <v>0</v>
      </c>
      <c r="U2841" s="494">
        <v>0</v>
      </c>
      <c r="V2841" s="493">
        <v>2024</v>
      </c>
      <c r="W2841" s="495"/>
      <c r="X2841" s="496" t="str">
        <f t="shared" si="185"/>
        <v/>
      </c>
      <c r="Y2841" s="497" t="str">
        <f t="shared" si="186"/>
        <v/>
      </c>
      <c r="Z2841" s="497" t="str">
        <f t="shared" si="186"/>
        <v/>
      </c>
    </row>
    <row r="2842" spans="1:26" s="82" customFormat="1" ht="32" x14ac:dyDescent="0.4">
      <c r="A2842" s="493">
        <v>67574</v>
      </c>
      <c r="B2842" s="105" t="s">
        <v>329</v>
      </c>
      <c r="C2842" s="493" t="s">
        <v>330</v>
      </c>
      <c r="D2842" s="105" t="s">
        <v>3412</v>
      </c>
      <c r="E2842" s="105" t="s">
        <v>3413</v>
      </c>
      <c r="F2842" s="493">
        <v>66276</v>
      </c>
      <c r="G2842" s="105" t="s">
        <v>52</v>
      </c>
      <c r="H2842" s="105" t="s">
        <v>333</v>
      </c>
      <c r="I2842" s="105" t="s">
        <v>334</v>
      </c>
      <c r="J2842" s="493">
        <v>22</v>
      </c>
      <c r="K2842" s="493">
        <v>2</v>
      </c>
      <c r="L2842" s="105" t="s">
        <v>343</v>
      </c>
      <c r="M2842" s="105" t="s">
        <v>655</v>
      </c>
      <c r="N2842" s="105" t="s">
        <v>656</v>
      </c>
      <c r="O2842" s="105" t="s">
        <v>656</v>
      </c>
      <c r="P2842" s="105" t="s">
        <v>339</v>
      </c>
      <c r="Q2842" s="494">
        <v>0</v>
      </c>
      <c r="R2842" s="494">
        <v>0</v>
      </c>
      <c r="S2842" s="494">
        <v>27839</v>
      </c>
      <c r="T2842" s="494">
        <v>27839</v>
      </c>
      <c r="U2842" s="494">
        <v>8159</v>
      </c>
      <c r="V2842" s="493">
        <v>2024</v>
      </c>
      <c r="W2842" s="495"/>
      <c r="X2842" s="496">
        <f t="shared" si="185"/>
        <v>3.4120603015075375</v>
      </c>
      <c r="Y2842" s="497" t="str">
        <f t="shared" si="186"/>
        <v/>
      </c>
      <c r="Z2842" s="497" t="str">
        <f t="shared" si="186"/>
        <v/>
      </c>
    </row>
    <row r="2843" spans="1:26" s="82" customFormat="1" x14ac:dyDescent="0.4">
      <c r="A2843" s="493">
        <v>67577</v>
      </c>
      <c r="B2843" s="105" t="s">
        <v>329</v>
      </c>
      <c r="C2843" s="493" t="s">
        <v>330</v>
      </c>
      <c r="D2843" s="105" t="s">
        <v>3414</v>
      </c>
      <c r="E2843" s="105" t="s">
        <v>3415</v>
      </c>
      <c r="F2843" s="493">
        <v>66256</v>
      </c>
      <c r="G2843" s="105" t="s">
        <v>33</v>
      </c>
      <c r="H2843" s="105" t="s">
        <v>342</v>
      </c>
      <c r="I2843" s="105" t="s">
        <v>334</v>
      </c>
      <c r="J2843" s="493">
        <v>22</v>
      </c>
      <c r="K2843" s="493">
        <v>2</v>
      </c>
      <c r="L2843" s="105" t="s">
        <v>343</v>
      </c>
      <c r="M2843" s="105" t="s">
        <v>403</v>
      </c>
      <c r="N2843" s="105" t="s">
        <v>404</v>
      </c>
      <c r="O2843" s="105" t="s">
        <v>232</v>
      </c>
      <c r="P2843" s="105" t="s">
        <v>346</v>
      </c>
      <c r="Q2843" s="494">
        <v>3193</v>
      </c>
      <c r="R2843" s="494">
        <v>3193</v>
      </c>
      <c r="S2843" s="494">
        <v>0</v>
      </c>
      <c r="T2843" s="494">
        <v>0</v>
      </c>
      <c r="U2843" s="494">
        <v>-24</v>
      </c>
      <c r="V2843" s="493">
        <v>2024</v>
      </c>
      <c r="W2843" s="495"/>
      <c r="X2843" s="496" t="str">
        <f t="shared" si="185"/>
        <v/>
      </c>
      <c r="Y2843" s="497" t="str">
        <f t="shared" si="186"/>
        <v/>
      </c>
      <c r="Z2843" s="497" t="str">
        <f t="shared" si="186"/>
        <v/>
      </c>
    </row>
    <row r="2844" spans="1:26" s="82" customFormat="1" x14ac:dyDescent="0.4">
      <c r="A2844" s="493">
        <v>67577</v>
      </c>
      <c r="B2844" s="105" t="s">
        <v>329</v>
      </c>
      <c r="C2844" s="493" t="s">
        <v>330</v>
      </c>
      <c r="D2844" s="105" t="s">
        <v>3414</v>
      </c>
      <c r="E2844" s="105" t="s">
        <v>3415</v>
      </c>
      <c r="F2844" s="493">
        <v>66256</v>
      </c>
      <c r="G2844" s="105" t="s">
        <v>33</v>
      </c>
      <c r="H2844" s="105" t="s">
        <v>342</v>
      </c>
      <c r="I2844" s="105" t="s">
        <v>334</v>
      </c>
      <c r="J2844" s="493">
        <v>22</v>
      </c>
      <c r="K2844" s="493">
        <v>2</v>
      </c>
      <c r="L2844" s="105" t="s">
        <v>343</v>
      </c>
      <c r="M2844" s="105" t="s">
        <v>655</v>
      </c>
      <c r="N2844" s="105" t="s">
        <v>656</v>
      </c>
      <c r="O2844" s="105" t="s">
        <v>656</v>
      </c>
      <c r="P2844" s="105" t="s">
        <v>339</v>
      </c>
      <c r="Q2844" s="494">
        <v>0</v>
      </c>
      <c r="R2844" s="494">
        <v>0</v>
      </c>
      <c r="S2844" s="494">
        <v>10825</v>
      </c>
      <c r="T2844" s="494">
        <v>10825</v>
      </c>
      <c r="U2844" s="494">
        <v>3173</v>
      </c>
      <c r="V2844" s="493">
        <v>2024</v>
      </c>
      <c r="W2844" s="495"/>
      <c r="X2844" s="496">
        <f t="shared" si="185"/>
        <v>3.4115978569177434</v>
      </c>
      <c r="Y2844" s="497" t="str">
        <f t="shared" si="186"/>
        <v/>
      </c>
      <c r="Z2844" s="497" t="str">
        <f t="shared" si="186"/>
        <v/>
      </c>
    </row>
    <row r="2845" spans="1:26" s="82" customFormat="1" x14ac:dyDescent="0.4">
      <c r="A2845" s="493">
        <v>67578</v>
      </c>
      <c r="B2845" s="105" t="s">
        <v>329</v>
      </c>
      <c r="C2845" s="493" t="s">
        <v>330</v>
      </c>
      <c r="D2845" s="105" t="s">
        <v>3416</v>
      </c>
      <c r="E2845" s="105" t="s">
        <v>3417</v>
      </c>
      <c r="F2845" s="493">
        <v>66257</v>
      </c>
      <c r="G2845" s="105" t="s">
        <v>33</v>
      </c>
      <c r="H2845" s="105" t="s">
        <v>342</v>
      </c>
      <c r="I2845" s="105" t="s">
        <v>334</v>
      </c>
      <c r="J2845" s="493">
        <v>22</v>
      </c>
      <c r="K2845" s="493">
        <v>2</v>
      </c>
      <c r="L2845" s="105" t="s">
        <v>343</v>
      </c>
      <c r="M2845" s="105" t="s">
        <v>403</v>
      </c>
      <c r="N2845" s="105" t="s">
        <v>404</v>
      </c>
      <c r="O2845" s="105" t="s">
        <v>232</v>
      </c>
      <c r="P2845" s="105" t="s">
        <v>346</v>
      </c>
      <c r="Q2845" s="494">
        <v>4565</v>
      </c>
      <c r="R2845" s="494">
        <v>4565</v>
      </c>
      <c r="S2845" s="494">
        <v>0</v>
      </c>
      <c r="T2845" s="494">
        <v>0</v>
      </c>
      <c r="U2845" s="494">
        <v>-3</v>
      </c>
      <c r="V2845" s="493">
        <v>2024</v>
      </c>
      <c r="W2845" s="495"/>
      <c r="X2845" s="496" t="str">
        <f t="shared" si="185"/>
        <v/>
      </c>
      <c r="Y2845" s="497" t="str">
        <f t="shared" si="186"/>
        <v/>
      </c>
      <c r="Z2845" s="497" t="str">
        <f t="shared" si="186"/>
        <v/>
      </c>
    </row>
    <row r="2846" spans="1:26" s="82" customFormat="1" x14ac:dyDescent="0.4">
      <c r="A2846" s="493">
        <v>67578</v>
      </c>
      <c r="B2846" s="105" t="s">
        <v>329</v>
      </c>
      <c r="C2846" s="493" t="s">
        <v>330</v>
      </c>
      <c r="D2846" s="105" t="s">
        <v>3416</v>
      </c>
      <c r="E2846" s="105" t="s">
        <v>3417</v>
      </c>
      <c r="F2846" s="493">
        <v>66257</v>
      </c>
      <c r="G2846" s="105" t="s">
        <v>33</v>
      </c>
      <c r="H2846" s="105" t="s">
        <v>342</v>
      </c>
      <c r="I2846" s="105" t="s">
        <v>334</v>
      </c>
      <c r="J2846" s="493">
        <v>22</v>
      </c>
      <c r="K2846" s="493">
        <v>2</v>
      </c>
      <c r="L2846" s="105" t="s">
        <v>343</v>
      </c>
      <c r="M2846" s="105" t="s">
        <v>655</v>
      </c>
      <c r="N2846" s="105" t="s">
        <v>656</v>
      </c>
      <c r="O2846" s="105" t="s">
        <v>656</v>
      </c>
      <c r="P2846" s="105" t="s">
        <v>339</v>
      </c>
      <c r="Q2846" s="494">
        <v>0</v>
      </c>
      <c r="R2846" s="494">
        <v>0</v>
      </c>
      <c r="S2846" s="494">
        <v>15564</v>
      </c>
      <c r="T2846" s="494">
        <v>15564</v>
      </c>
      <c r="U2846" s="494">
        <v>4562</v>
      </c>
      <c r="V2846" s="493">
        <v>2024</v>
      </c>
      <c r="W2846" s="495"/>
      <c r="X2846" s="496">
        <f t="shared" si="185"/>
        <v>3.4116615519508988</v>
      </c>
      <c r="Y2846" s="497" t="str">
        <f t="shared" si="186"/>
        <v/>
      </c>
      <c r="Z2846" s="497" t="str">
        <f t="shared" si="186"/>
        <v/>
      </c>
    </row>
    <row r="2847" spans="1:26" s="82" customFormat="1" ht="32" x14ac:dyDescent="0.4">
      <c r="A2847" s="493">
        <v>67582</v>
      </c>
      <c r="B2847" s="105" t="s">
        <v>329</v>
      </c>
      <c r="C2847" s="493" t="s">
        <v>330</v>
      </c>
      <c r="D2847" s="105" t="s">
        <v>3418</v>
      </c>
      <c r="E2847" s="105" t="s">
        <v>2806</v>
      </c>
      <c r="F2847" s="493">
        <v>64516</v>
      </c>
      <c r="G2847" s="105" t="s">
        <v>52</v>
      </c>
      <c r="H2847" s="105" t="s">
        <v>333</v>
      </c>
      <c r="I2847" s="105" t="s">
        <v>334</v>
      </c>
      <c r="J2847" s="493">
        <v>22</v>
      </c>
      <c r="K2847" s="493">
        <v>2</v>
      </c>
      <c r="L2847" s="105" t="s">
        <v>343</v>
      </c>
      <c r="M2847" s="105" t="s">
        <v>655</v>
      </c>
      <c r="N2847" s="105" t="s">
        <v>656</v>
      </c>
      <c r="O2847" s="105" t="s">
        <v>656</v>
      </c>
      <c r="P2847" s="105" t="s">
        <v>339</v>
      </c>
      <c r="Q2847" s="494">
        <v>0</v>
      </c>
      <c r="R2847" s="494">
        <v>0</v>
      </c>
      <c r="S2847" s="494">
        <v>0</v>
      </c>
      <c r="T2847" s="494">
        <v>0</v>
      </c>
      <c r="U2847" s="494">
        <v>0</v>
      </c>
      <c r="V2847" s="493">
        <v>2024</v>
      </c>
      <c r="W2847" s="495"/>
      <c r="X2847" s="496" t="str">
        <f t="shared" si="185"/>
        <v/>
      </c>
      <c r="Y2847" s="497" t="str">
        <f t="shared" si="186"/>
        <v/>
      </c>
      <c r="Z2847" s="497" t="str">
        <f t="shared" si="186"/>
        <v/>
      </c>
    </row>
    <row r="2848" spans="1:26" s="82" customFormat="1" ht="32" x14ac:dyDescent="0.4">
      <c r="A2848" s="493">
        <v>67585</v>
      </c>
      <c r="B2848" s="105" t="s">
        <v>329</v>
      </c>
      <c r="C2848" s="493" t="s">
        <v>330</v>
      </c>
      <c r="D2848" s="105" t="s">
        <v>3419</v>
      </c>
      <c r="E2848" s="105" t="s">
        <v>3420</v>
      </c>
      <c r="F2848" s="493">
        <v>66282</v>
      </c>
      <c r="G2848" s="105" t="s">
        <v>52</v>
      </c>
      <c r="H2848" s="105" t="s">
        <v>333</v>
      </c>
      <c r="I2848" s="105" t="s">
        <v>334</v>
      </c>
      <c r="J2848" s="493">
        <v>22</v>
      </c>
      <c r="K2848" s="493">
        <v>2</v>
      </c>
      <c r="L2848" s="105" t="s">
        <v>343</v>
      </c>
      <c r="M2848" s="105" t="s">
        <v>655</v>
      </c>
      <c r="N2848" s="105" t="s">
        <v>656</v>
      </c>
      <c r="O2848" s="105" t="s">
        <v>656</v>
      </c>
      <c r="P2848" s="105" t="s">
        <v>339</v>
      </c>
      <c r="Q2848" s="494">
        <v>0</v>
      </c>
      <c r="R2848" s="494">
        <v>0</v>
      </c>
      <c r="S2848" s="494">
        <v>7988</v>
      </c>
      <c r="T2848" s="494">
        <v>7988</v>
      </c>
      <c r="U2848" s="494">
        <v>2341</v>
      </c>
      <c r="V2848" s="493">
        <v>2024</v>
      </c>
      <c r="W2848" s="495"/>
      <c r="X2848" s="496">
        <f t="shared" si="185"/>
        <v>3.4122170012815038</v>
      </c>
      <c r="Y2848" s="497" t="str">
        <f t="shared" ref="Y2848:Z2867" si="187">IF(AND($M2848=$Y$2,$N2848=$Y$3,NOT($Q2848=$R2848),NOT($U2848=0)),IF($K2848=5,$S2848/($U2848+(8/5)*$U2848),IF($K2848=7,$S2848/($U2848+(29/25)*$U2848),"")),"")</f>
        <v/>
      </c>
      <c r="Z2848" s="497" t="str">
        <f t="shared" si="187"/>
        <v/>
      </c>
    </row>
    <row r="2849" spans="1:26" s="82" customFormat="1" ht="32" x14ac:dyDescent="0.4">
      <c r="A2849" s="493">
        <v>67586</v>
      </c>
      <c r="B2849" s="105" t="s">
        <v>329</v>
      </c>
      <c r="C2849" s="493" t="s">
        <v>330</v>
      </c>
      <c r="D2849" s="105" t="s">
        <v>3421</v>
      </c>
      <c r="E2849" s="105" t="s">
        <v>3422</v>
      </c>
      <c r="F2849" s="493">
        <v>66283</v>
      </c>
      <c r="G2849" s="105" t="s">
        <v>52</v>
      </c>
      <c r="H2849" s="105" t="s">
        <v>333</v>
      </c>
      <c r="I2849" s="105" t="s">
        <v>334</v>
      </c>
      <c r="J2849" s="493">
        <v>22</v>
      </c>
      <c r="K2849" s="493">
        <v>2</v>
      </c>
      <c r="L2849" s="105" t="s">
        <v>343</v>
      </c>
      <c r="M2849" s="105" t="s">
        <v>655</v>
      </c>
      <c r="N2849" s="105" t="s">
        <v>656</v>
      </c>
      <c r="O2849" s="105" t="s">
        <v>656</v>
      </c>
      <c r="P2849" s="105" t="s">
        <v>339</v>
      </c>
      <c r="Q2849" s="494">
        <v>0</v>
      </c>
      <c r="R2849" s="494">
        <v>0</v>
      </c>
      <c r="S2849" s="494">
        <v>0</v>
      </c>
      <c r="T2849" s="494">
        <v>0</v>
      </c>
      <c r="U2849" s="494">
        <v>0</v>
      </c>
      <c r="V2849" s="493">
        <v>2024</v>
      </c>
      <c r="W2849" s="495"/>
      <c r="X2849" s="496" t="str">
        <f t="shared" si="185"/>
        <v/>
      </c>
      <c r="Y2849" s="497" t="str">
        <f t="shared" si="187"/>
        <v/>
      </c>
      <c r="Z2849" s="497" t="str">
        <f t="shared" si="187"/>
        <v/>
      </c>
    </row>
    <row r="2850" spans="1:26" s="82" customFormat="1" x14ac:dyDescent="0.4">
      <c r="A2850" s="493">
        <v>67592</v>
      </c>
      <c r="B2850" s="105" t="s">
        <v>329</v>
      </c>
      <c r="C2850" s="493" t="s">
        <v>330</v>
      </c>
      <c r="D2850" s="105" t="s">
        <v>3423</v>
      </c>
      <c r="E2850" s="105" t="s">
        <v>3424</v>
      </c>
      <c r="F2850" s="493">
        <v>66290</v>
      </c>
      <c r="G2850" s="105" t="s">
        <v>52</v>
      </c>
      <c r="H2850" s="105" t="s">
        <v>333</v>
      </c>
      <c r="I2850" s="105" t="s">
        <v>334</v>
      </c>
      <c r="J2850" s="493">
        <v>22</v>
      </c>
      <c r="K2850" s="493">
        <v>2</v>
      </c>
      <c r="L2850" s="105" t="s">
        <v>343</v>
      </c>
      <c r="M2850" s="105" t="s">
        <v>655</v>
      </c>
      <c r="N2850" s="105" t="s">
        <v>656</v>
      </c>
      <c r="O2850" s="105" t="s">
        <v>656</v>
      </c>
      <c r="P2850" s="105" t="s">
        <v>339</v>
      </c>
      <c r="Q2850" s="494">
        <v>0</v>
      </c>
      <c r="R2850" s="494">
        <v>0</v>
      </c>
      <c r="S2850" s="494">
        <v>15381</v>
      </c>
      <c r="T2850" s="494">
        <v>15381</v>
      </c>
      <c r="U2850" s="494">
        <v>4508</v>
      </c>
      <c r="V2850" s="493">
        <v>2024</v>
      </c>
      <c r="W2850" s="495"/>
      <c r="X2850" s="496">
        <f t="shared" si="185"/>
        <v>3.4119343389529724</v>
      </c>
      <c r="Y2850" s="497" t="str">
        <f t="shared" si="187"/>
        <v/>
      </c>
      <c r="Z2850" s="497" t="str">
        <f t="shared" si="187"/>
        <v/>
      </c>
    </row>
    <row r="2851" spans="1:26" s="82" customFormat="1" x14ac:dyDescent="0.4">
      <c r="A2851" s="493">
        <v>67593</v>
      </c>
      <c r="B2851" s="105" t="s">
        <v>329</v>
      </c>
      <c r="C2851" s="493" t="s">
        <v>330</v>
      </c>
      <c r="D2851" s="105" t="s">
        <v>3425</v>
      </c>
      <c r="E2851" s="105" t="s">
        <v>3424</v>
      </c>
      <c r="F2851" s="493">
        <v>66290</v>
      </c>
      <c r="G2851" s="105" t="s">
        <v>52</v>
      </c>
      <c r="H2851" s="105" t="s">
        <v>333</v>
      </c>
      <c r="I2851" s="105" t="s">
        <v>334</v>
      </c>
      <c r="J2851" s="493">
        <v>22</v>
      </c>
      <c r="K2851" s="493">
        <v>2</v>
      </c>
      <c r="L2851" s="105" t="s">
        <v>343</v>
      </c>
      <c r="M2851" s="105" t="s">
        <v>655</v>
      </c>
      <c r="N2851" s="105" t="s">
        <v>656</v>
      </c>
      <c r="O2851" s="105" t="s">
        <v>656</v>
      </c>
      <c r="P2851" s="105" t="s">
        <v>339</v>
      </c>
      <c r="Q2851" s="494">
        <v>0</v>
      </c>
      <c r="R2851" s="494">
        <v>0</v>
      </c>
      <c r="S2851" s="494">
        <v>13604</v>
      </c>
      <c r="T2851" s="494">
        <v>13604</v>
      </c>
      <c r="U2851" s="494">
        <v>3987</v>
      </c>
      <c r="V2851" s="493">
        <v>2024</v>
      </c>
      <c r="W2851" s="495"/>
      <c r="X2851" s="496">
        <f t="shared" si="185"/>
        <v>3.4120892901931277</v>
      </c>
      <c r="Y2851" s="497" t="str">
        <f t="shared" si="187"/>
        <v/>
      </c>
      <c r="Z2851" s="497" t="str">
        <f t="shared" si="187"/>
        <v/>
      </c>
    </row>
    <row r="2852" spans="1:26" s="82" customFormat="1" x14ac:dyDescent="0.4">
      <c r="A2852" s="493">
        <v>67594</v>
      </c>
      <c r="B2852" s="105" t="s">
        <v>329</v>
      </c>
      <c r="C2852" s="493" t="s">
        <v>330</v>
      </c>
      <c r="D2852" s="105" t="s">
        <v>3426</v>
      </c>
      <c r="E2852" s="105" t="s">
        <v>3424</v>
      </c>
      <c r="F2852" s="493">
        <v>66290</v>
      </c>
      <c r="G2852" s="105" t="s">
        <v>52</v>
      </c>
      <c r="H2852" s="105" t="s">
        <v>333</v>
      </c>
      <c r="I2852" s="105" t="s">
        <v>334</v>
      </c>
      <c r="J2852" s="493">
        <v>22</v>
      </c>
      <c r="K2852" s="493">
        <v>2</v>
      </c>
      <c r="L2852" s="105" t="s">
        <v>343</v>
      </c>
      <c r="M2852" s="105" t="s">
        <v>655</v>
      </c>
      <c r="N2852" s="105" t="s">
        <v>656</v>
      </c>
      <c r="O2852" s="105" t="s">
        <v>656</v>
      </c>
      <c r="P2852" s="105" t="s">
        <v>339</v>
      </c>
      <c r="Q2852" s="494">
        <v>0</v>
      </c>
      <c r="R2852" s="494">
        <v>0</v>
      </c>
      <c r="S2852" s="494">
        <v>18781</v>
      </c>
      <c r="T2852" s="494">
        <v>18781</v>
      </c>
      <c r="U2852" s="494">
        <v>5505</v>
      </c>
      <c r="V2852" s="493">
        <v>2024</v>
      </c>
      <c r="W2852" s="495"/>
      <c r="X2852" s="496">
        <f t="shared" si="185"/>
        <v>3.4116257947320618</v>
      </c>
      <c r="Y2852" s="497" t="str">
        <f t="shared" si="187"/>
        <v/>
      </c>
      <c r="Z2852" s="497" t="str">
        <f t="shared" si="187"/>
        <v/>
      </c>
    </row>
    <row r="2853" spans="1:26" s="82" customFormat="1" x14ac:dyDescent="0.4">
      <c r="A2853" s="493">
        <v>67595</v>
      </c>
      <c r="B2853" s="105" t="s">
        <v>329</v>
      </c>
      <c r="C2853" s="493" t="s">
        <v>330</v>
      </c>
      <c r="D2853" s="105" t="s">
        <v>3427</v>
      </c>
      <c r="E2853" s="105" t="s">
        <v>3424</v>
      </c>
      <c r="F2853" s="493">
        <v>66290</v>
      </c>
      <c r="G2853" s="105" t="s">
        <v>52</v>
      </c>
      <c r="H2853" s="105" t="s">
        <v>333</v>
      </c>
      <c r="I2853" s="105" t="s">
        <v>334</v>
      </c>
      <c r="J2853" s="493">
        <v>22</v>
      </c>
      <c r="K2853" s="493">
        <v>2</v>
      </c>
      <c r="L2853" s="105" t="s">
        <v>343</v>
      </c>
      <c r="M2853" s="105" t="s">
        <v>655</v>
      </c>
      <c r="N2853" s="105" t="s">
        <v>656</v>
      </c>
      <c r="O2853" s="105" t="s">
        <v>656</v>
      </c>
      <c r="P2853" s="105" t="s">
        <v>339</v>
      </c>
      <c r="Q2853" s="494">
        <v>0</v>
      </c>
      <c r="R2853" s="494">
        <v>0</v>
      </c>
      <c r="S2853" s="494">
        <v>17755</v>
      </c>
      <c r="T2853" s="494">
        <v>17755</v>
      </c>
      <c r="U2853" s="494">
        <v>5204</v>
      </c>
      <c r="V2853" s="493">
        <v>2024</v>
      </c>
      <c r="W2853" s="495"/>
      <c r="X2853" s="496">
        <f t="shared" si="185"/>
        <v>3.4117986164488854</v>
      </c>
      <c r="Y2853" s="497" t="str">
        <f t="shared" si="187"/>
        <v/>
      </c>
      <c r="Z2853" s="497" t="str">
        <f t="shared" si="187"/>
        <v/>
      </c>
    </row>
    <row r="2854" spans="1:26" s="82" customFormat="1" ht="32" x14ac:dyDescent="0.4">
      <c r="A2854" s="493">
        <v>67599</v>
      </c>
      <c r="B2854" s="105" t="s">
        <v>329</v>
      </c>
      <c r="C2854" s="493" t="s">
        <v>330</v>
      </c>
      <c r="D2854" s="105" t="s">
        <v>3428</v>
      </c>
      <c r="E2854" s="105" t="s">
        <v>3429</v>
      </c>
      <c r="F2854" s="493">
        <v>66288</v>
      </c>
      <c r="G2854" s="105" t="s">
        <v>52</v>
      </c>
      <c r="H2854" s="105" t="s">
        <v>333</v>
      </c>
      <c r="I2854" s="105" t="s">
        <v>334</v>
      </c>
      <c r="J2854" s="493">
        <v>22</v>
      </c>
      <c r="K2854" s="493">
        <v>2</v>
      </c>
      <c r="L2854" s="105" t="s">
        <v>343</v>
      </c>
      <c r="M2854" s="105" t="s">
        <v>655</v>
      </c>
      <c r="N2854" s="105" t="s">
        <v>656</v>
      </c>
      <c r="O2854" s="105" t="s">
        <v>656</v>
      </c>
      <c r="P2854" s="105" t="s">
        <v>339</v>
      </c>
      <c r="Q2854" s="494">
        <v>0</v>
      </c>
      <c r="R2854" s="494">
        <v>0</v>
      </c>
      <c r="S2854" s="494">
        <v>0</v>
      </c>
      <c r="T2854" s="494">
        <v>0</v>
      </c>
      <c r="U2854" s="494">
        <v>0</v>
      </c>
      <c r="V2854" s="493">
        <v>2024</v>
      </c>
      <c r="W2854" s="495"/>
      <c r="X2854" s="496" t="str">
        <f t="shared" si="185"/>
        <v/>
      </c>
      <c r="Y2854" s="497" t="str">
        <f t="shared" si="187"/>
        <v/>
      </c>
      <c r="Z2854" s="497" t="str">
        <f t="shared" si="187"/>
        <v/>
      </c>
    </row>
    <row r="2855" spans="1:26" s="82" customFormat="1" ht="32" x14ac:dyDescent="0.4">
      <c r="A2855" s="493">
        <v>67600</v>
      </c>
      <c r="B2855" s="105" t="s">
        <v>329</v>
      </c>
      <c r="C2855" s="493" t="s">
        <v>330</v>
      </c>
      <c r="D2855" s="105" t="s">
        <v>3430</v>
      </c>
      <c r="E2855" s="105" t="s">
        <v>3431</v>
      </c>
      <c r="F2855" s="493">
        <v>66289</v>
      </c>
      <c r="G2855" s="105" t="s">
        <v>52</v>
      </c>
      <c r="H2855" s="105" t="s">
        <v>333</v>
      </c>
      <c r="I2855" s="105" t="s">
        <v>334</v>
      </c>
      <c r="J2855" s="493">
        <v>22</v>
      </c>
      <c r="K2855" s="493">
        <v>2</v>
      </c>
      <c r="L2855" s="105" t="s">
        <v>343</v>
      </c>
      <c r="M2855" s="105" t="s">
        <v>655</v>
      </c>
      <c r="N2855" s="105" t="s">
        <v>656</v>
      </c>
      <c r="O2855" s="105" t="s">
        <v>656</v>
      </c>
      <c r="P2855" s="105" t="s">
        <v>339</v>
      </c>
      <c r="Q2855" s="494">
        <v>0</v>
      </c>
      <c r="R2855" s="494">
        <v>0</v>
      </c>
      <c r="S2855" s="494">
        <v>0</v>
      </c>
      <c r="T2855" s="494">
        <v>0</v>
      </c>
      <c r="U2855" s="494">
        <v>0</v>
      </c>
      <c r="V2855" s="493">
        <v>2024</v>
      </c>
      <c r="W2855" s="495"/>
      <c r="X2855" s="496" t="str">
        <f t="shared" si="185"/>
        <v/>
      </c>
      <c r="Y2855" s="497" t="str">
        <f t="shared" si="187"/>
        <v/>
      </c>
      <c r="Z2855" s="497" t="str">
        <f t="shared" si="187"/>
        <v/>
      </c>
    </row>
    <row r="2856" spans="1:26" s="82" customFormat="1" x14ac:dyDescent="0.4">
      <c r="A2856" s="493">
        <v>67604</v>
      </c>
      <c r="B2856" s="105" t="s">
        <v>329</v>
      </c>
      <c r="C2856" s="493" t="s">
        <v>330</v>
      </c>
      <c r="D2856" s="105" t="s">
        <v>3432</v>
      </c>
      <c r="E2856" s="105" t="s">
        <v>3433</v>
      </c>
      <c r="F2856" s="493">
        <v>66293</v>
      </c>
      <c r="G2856" s="105" t="s">
        <v>52</v>
      </c>
      <c r="H2856" s="105" t="s">
        <v>333</v>
      </c>
      <c r="I2856" s="105" t="s">
        <v>334</v>
      </c>
      <c r="J2856" s="493">
        <v>22</v>
      </c>
      <c r="K2856" s="493">
        <v>2</v>
      </c>
      <c r="L2856" s="105" t="s">
        <v>343</v>
      </c>
      <c r="M2856" s="105" t="s">
        <v>655</v>
      </c>
      <c r="N2856" s="105" t="s">
        <v>656</v>
      </c>
      <c r="O2856" s="105" t="s">
        <v>656</v>
      </c>
      <c r="P2856" s="105" t="s">
        <v>339</v>
      </c>
      <c r="Q2856" s="494">
        <v>0</v>
      </c>
      <c r="R2856" s="494">
        <v>0</v>
      </c>
      <c r="S2856" s="494">
        <v>28585</v>
      </c>
      <c r="T2856" s="494">
        <v>28585</v>
      </c>
      <c r="U2856" s="494">
        <v>8378</v>
      </c>
      <c r="V2856" s="493">
        <v>2024</v>
      </c>
      <c r="W2856" s="495"/>
      <c r="X2856" s="496">
        <f t="shared" si="185"/>
        <v>3.4119121508713297</v>
      </c>
      <c r="Y2856" s="497" t="str">
        <f t="shared" si="187"/>
        <v/>
      </c>
      <c r="Z2856" s="497" t="str">
        <f t="shared" si="187"/>
        <v/>
      </c>
    </row>
    <row r="2857" spans="1:26" s="82" customFormat="1" x14ac:dyDescent="0.4">
      <c r="A2857" s="493">
        <v>67605</v>
      </c>
      <c r="B2857" s="105" t="s">
        <v>329</v>
      </c>
      <c r="C2857" s="493" t="s">
        <v>330</v>
      </c>
      <c r="D2857" s="105" t="s">
        <v>3434</v>
      </c>
      <c r="E2857" s="105" t="s">
        <v>3435</v>
      </c>
      <c r="F2857" s="493">
        <v>66294</v>
      </c>
      <c r="G2857" s="105" t="s">
        <v>52</v>
      </c>
      <c r="H2857" s="105" t="s">
        <v>333</v>
      </c>
      <c r="I2857" s="105" t="s">
        <v>334</v>
      </c>
      <c r="J2857" s="493">
        <v>22</v>
      </c>
      <c r="K2857" s="493">
        <v>2</v>
      </c>
      <c r="L2857" s="105" t="s">
        <v>343</v>
      </c>
      <c r="M2857" s="105" t="s">
        <v>655</v>
      </c>
      <c r="N2857" s="105" t="s">
        <v>656</v>
      </c>
      <c r="O2857" s="105" t="s">
        <v>656</v>
      </c>
      <c r="P2857" s="105" t="s">
        <v>339</v>
      </c>
      <c r="Q2857" s="494">
        <v>0</v>
      </c>
      <c r="R2857" s="494">
        <v>0</v>
      </c>
      <c r="S2857" s="494">
        <v>28585</v>
      </c>
      <c r="T2857" s="494">
        <v>28585</v>
      </c>
      <c r="U2857" s="494">
        <v>8378</v>
      </c>
      <c r="V2857" s="493">
        <v>2024</v>
      </c>
      <c r="W2857" s="495"/>
      <c r="X2857" s="496">
        <f t="shared" si="185"/>
        <v>3.4119121508713297</v>
      </c>
      <c r="Y2857" s="497" t="str">
        <f t="shared" si="187"/>
        <v/>
      </c>
      <c r="Z2857" s="497" t="str">
        <f t="shared" si="187"/>
        <v/>
      </c>
    </row>
    <row r="2858" spans="1:26" s="82" customFormat="1" x14ac:dyDescent="0.4">
      <c r="A2858" s="493">
        <v>67606</v>
      </c>
      <c r="B2858" s="105" t="s">
        <v>329</v>
      </c>
      <c r="C2858" s="493" t="s">
        <v>330</v>
      </c>
      <c r="D2858" s="105" t="s">
        <v>3436</v>
      </c>
      <c r="E2858" s="105" t="s">
        <v>3437</v>
      </c>
      <c r="F2858" s="493">
        <v>66295</v>
      </c>
      <c r="G2858" s="105" t="s">
        <v>52</v>
      </c>
      <c r="H2858" s="105" t="s">
        <v>333</v>
      </c>
      <c r="I2858" s="105" t="s">
        <v>334</v>
      </c>
      <c r="J2858" s="493">
        <v>22</v>
      </c>
      <c r="K2858" s="493">
        <v>2</v>
      </c>
      <c r="L2858" s="105" t="s">
        <v>343</v>
      </c>
      <c r="M2858" s="105" t="s">
        <v>655</v>
      </c>
      <c r="N2858" s="105" t="s">
        <v>656</v>
      </c>
      <c r="O2858" s="105" t="s">
        <v>656</v>
      </c>
      <c r="P2858" s="105" t="s">
        <v>339</v>
      </c>
      <c r="Q2858" s="494">
        <v>0</v>
      </c>
      <c r="R2858" s="494">
        <v>0</v>
      </c>
      <c r="S2858" s="494">
        <v>28585</v>
      </c>
      <c r="T2858" s="494">
        <v>28585</v>
      </c>
      <c r="U2858" s="494">
        <v>8378</v>
      </c>
      <c r="V2858" s="493">
        <v>2024</v>
      </c>
      <c r="W2858" s="495"/>
      <c r="X2858" s="496">
        <f t="shared" si="185"/>
        <v>3.4119121508713297</v>
      </c>
      <c r="Y2858" s="497" t="str">
        <f t="shared" si="187"/>
        <v/>
      </c>
      <c r="Z2858" s="497" t="str">
        <f t="shared" si="187"/>
        <v/>
      </c>
    </row>
    <row r="2859" spans="1:26" s="82" customFormat="1" x14ac:dyDescent="0.4">
      <c r="A2859" s="493">
        <v>67611</v>
      </c>
      <c r="B2859" s="105" t="s">
        <v>329</v>
      </c>
      <c r="C2859" s="493" t="s">
        <v>330</v>
      </c>
      <c r="D2859" s="105" t="s">
        <v>3438</v>
      </c>
      <c r="E2859" s="105" t="s">
        <v>2050</v>
      </c>
      <c r="F2859" s="493">
        <v>61194</v>
      </c>
      <c r="G2859" s="105" t="s">
        <v>52</v>
      </c>
      <c r="H2859" s="105" t="s">
        <v>333</v>
      </c>
      <c r="I2859" s="105" t="s">
        <v>334</v>
      </c>
      <c r="J2859" s="493">
        <v>22</v>
      </c>
      <c r="K2859" s="493">
        <v>2</v>
      </c>
      <c r="L2859" s="105" t="s">
        <v>343</v>
      </c>
      <c r="M2859" s="105" t="s">
        <v>655</v>
      </c>
      <c r="N2859" s="105" t="s">
        <v>656</v>
      </c>
      <c r="O2859" s="105" t="s">
        <v>656</v>
      </c>
      <c r="P2859" s="105" t="s">
        <v>339</v>
      </c>
      <c r="Q2859" s="494">
        <v>0</v>
      </c>
      <c r="R2859" s="494">
        <v>0</v>
      </c>
      <c r="S2859" s="494">
        <v>27982</v>
      </c>
      <c r="T2859" s="494">
        <v>27982</v>
      </c>
      <c r="U2859" s="494">
        <v>8201</v>
      </c>
      <c r="V2859" s="493">
        <v>2024</v>
      </c>
      <c r="W2859" s="495"/>
      <c r="X2859" s="496">
        <f t="shared" si="185"/>
        <v>3.4120229240336544</v>
      </c>
      <c r="Y2859" s="497" t="str">
        <f t="shared" si="187"/>
        <v/>
      </c>
      <c r="Z2859" s="497" t="str">
        <f t="shared" si="187"/>
        <v/>
      </c>
    </row>
    <row r="2860" spans="1:26" s="82" customFormat="1" x14ac:dyDescent="0.4">
      <c r="A2860" s="493">
        <v>67612</v>
      </c>
      <c r="B2860" s="105" t="s">
        <v>329</v>
      </c>
      <c r="C2860" s="493" t="s">
        <v>330</v>
      </c>
      <c r="D2860" s="105" t="s">
        <v>3439</v>
      </c>
      <c r="E2860" s="105" t="s">
        <v>2050</v>
      </c>
      <c r="F2860" s="493">
        <v>61194</v>
      </c>
      <c r="G2860" s="105" t="s">
        <v>52</v>
      </c>
      <c r="H2860" s="105" t="s">
        <v>333</v>
      </c>
      <c r="I2860" s="105" t="s">
        <v>334</v>
      </c>
      <c r="J2860" s="493">
        <v>22</v>
      </c>
      <c r="K2860" s="493">
        <v>2</v>
      </c>
      <c r="L2860" s="105" t="s">
        <v>343</v>
      </c>
      <c r="M2860" s="105" t="s">
        <v>655</v>
      </c>
      <c r="N2860" s="105" t="s">
        <v>656</v>
      </c>
      <c r="O2860" s="105" t="s">
        <v>656</v>
      </c>
      <c r="P2860" s="105" t="s">
        <v>339</v>
      </c>
      <c r="Q2860" s="494">
        <v>0</v>
      </c>
      <c r="R2860" s="494">
        <v>0</v>
      </c>
      <c r="S2860" s="494">
        <v>12411</v>
      </c>
      <c r="T2860" s="494">
        <v>12411</v>
      </c>
      <c r="U2860" s="494">
        <v>3638</v>
      </c>
      <c r="V2860" s="493">
        <v>2024</v>
      </c>
      <c r="W2860" s="495"/>
      <c r="X2860" s="496">
        <f t="shared" si="185"/>
        <v>3.4114898295766904</v>
      </c>
      <c r="Y2860" s="497" t="str">
        <f t="shared" si="187"/>
        <v/>
      </c>
      <c r="Z2860" s="497" t="str">
        <f t="shared" si="187"/>
        <v/>
      </c>
    </row>
    <row r="2861" spans="1:26" s="82" customFormat="1" x14ac:dyDescent="0.4">
      <c r="A2861" s="493">
        <v>67613</v>
      </c>
      <c r="B2861" s="105" t="s">
        <v>329</v>
      </c>
      <c r="C2861" s="493" t="s">
        <v>330</v>
      </c>
      <c r="D2861" s="105" t="s">
        <v>3440</v>
      </c>
      <c r="E2861" s="105" t="s">
        <v>2050</v>
      </c>
      <c r="F2861" s="493">
        <v>61194</v>
      </c>
      <c r="G2861" s="105" t="s">
        <v>52</v>
      </c>
      <c r="H2861" s="105" t="s">
        <v>333</v>
      </c>
      <c r="I2861" s="105" t="s">
        <v>334</v>
      </c>
      <c r="J2861" s="493">
        <v>22</v>
      </c>
      <c r="K2861" s="493">
        <v>2</v>
      </c>
      <c r="L2861" s="105" t="s">
        <v>343</v>
      </c>
      <c r="M2861" s="105" t="s">
        <v>655</v>
      </c>
      <c r="N2861" s="105" t="s">
        <v>656</v>
      </c>
      <c r="O2861" s="105" t="s">
        <v>656</v>
      </c>
      <c r="P2861" s="105" t="s">
        <v>339</v>
      </c>
      <c r="Q2861" s="494">
        <v>0</v>
      </c>
      <c r="R2861" s="494">
        <v>0</v>
      </c>
      <c r="S2861" s="494">
        <v>13597</v>
      </c>
      <c r="T2861" s="494">
        <v>13597</v>
      </c>
      <c r="U2861" s="494">
        <v>3985</v>
      </c>
      <c r="V2861" s="493">
        <v>2024</v>
      </c>
      <c r="W2861" s="495"/>
      <c r="X2861" s="496">
        <f t="shared" si="185"/>
        <v>3.4120451693851943</v>
      </c>
      <c r="Y2861" s="497" t="str">
        <f t="shared" si="187"/>
        <v/>
      </c>
      <c r="Z2861" s="497" t="str">
        <f t="shared" si="187"/>
        <v/>
      </c>
    </row>
    <row r="2862" spans="1:26" s="82" customFormat="1" x14ac:dyDescent="0.4">
      <c r="A2862" s="493">
        <v>67615</v>
      </c>
      <c r="B2862" s="105" t="s">
        <v>329</v>
      </c>
      <c r="C2862" s="493" t="s">
        <v>330</v>
      </c>
      <c r="D2862" s="105" t="s">
        <v>3441</v>
      </c>
      <c r="E2862" s="105" t="s">
        <v>2050</v>
      </c>
      <c r="F2862" s="493">
        <v>61194</v>
      </c>
      <c r="G2862" s="105" t="s">
        <v>52</v>
      </c>
      <c r="H2862" s="105" t="s">
        <v>333</v>
      </c>
      <c r="I2862" s="105" t="s">
        <v>334</v>
      </c>
      <c r="J2862" s="493">
        <v>22</v>
      </c>
      <c r="K2862" s="493">
        <v>2</v>
      </c>
      <c r="L2862" s="105" t="s">
        <v>343</v>
      </c>
      <c r="M2862" s="105" t="s">
        <v>655</v>
      </c>
      <c r="N2862" s="105" t="s">
        <v>656</v>
      </c>
      <c r="O2862" s="105" t="s">
        <v>656</v>
      </c>
      <c r="P2862" s="105" t="s">
        <v>339</v>
      </c>
      <c r="Q2862" s="494">
        <v>0</v>
      </c>
      <c r="R2862" s="494">
        <v>0</v>
      </c>
      <c r="S2862" s="494">
        <v>8878</v>
      </c>
      <c r="T2862" s="494">
        <v>8878</v>
      </c>
      <c r="U2862" s="494">
        <v>2602</v>
      </c>
      <c r="V2862" s="493">
        <v>2024</v>
      </c>
      <c r="W2862" s="495"/>
      <c r="X2862" s="496">
        <f t="shared" si="185"/>
        <v>3.411990776325903</v>
      </c>
      <c r="Y2862" s="497" t="str">
        <f t="shared" si="187"/>
        <v/>
      </c>
      <c r="Z2862" s="497" t="str">
        <f t="shared" si="187"/>
        <v/>
      </c>
    </row>
    <row r="2863" spans="1:26" s="82" customFormat="1" x14ac:dyDescent="0.4">
      <c r="A2863" s="493">
        <v>67616</v>
      </c>
      <c r="B2863" s="105" t="s">
        <v>329</v>
      </c>
      <c r="C2863" s="493" t="s">
        <v>330</v>
      </c>
      <c r="D2863" s="105" t="s">
        <v>3442</v>
      </c>
      <c r="E2863" s="105" t="s">
        <v>2050</v>
      </c>
      <c r="F2863" s="493">
        <v>61194</v>
      </c>
      <c r="G2863" s="105" t="s">
        <v>52</v>
      </c>
      <c r="H2863" s="105" t="s">
        <v>333</v>
      </c>
      <c r="I2863" s="105" t="s">
        <v>334</v>
      </c>
      <c r="J2863" s="493">
        <v>22</v>
      </c>
      <c r="K2863" s="493">
        <v>2</v>
      </c>
      <c r="L2863" s="105" t="s">
        <v>343</v>
      </c>
      <c r="M2863" s="105" t="s">
        <v>655</v>
      </c>
      <c r="N2863" s="105" t="s">
        <v>656</v>
      </c>
      <c r="O2863" s="105" t="s">
        <v>656</v>
      </c>
      <c r="P2863" s="105" t="s">
        <v>339</v>
      </c>
      <c r="Q2863" s="494">
        <v>0</v>
      </c>
      <c r="R2863" s="494">
        <v>0</v>
      </c>
      <c r="S2863" s="494">
        <v>9619</v>
      </c>
      <c r="T2863" s="494">
        <v>9619</v>
      </c>
      <c r="U2863" s="494">
        <v>2819</v>
      </c>
      <c r="V2863" s="493">
        <v>2024</v>
      </c>
      <c r="W2863" s="495"/>
      <c r="X2863" s="496">
        <f t="shared" si="185"/>
        <v>3.4122029088329193</v>
      </c>
      <c r="Y2863" s="497" t="str">
        <f t="shared" si="187"/>
        <v/>
      </c>
      <c r="Z2863" s="497" t="str">
        <f t="shared" si="187"/>
        <v/>
      </c>
    </row>
    <row r="2864" spans="1:26" s="82" customFormat="1" x14ac:dyDescent="0.4">
      <c r="A2864" s="493">
        <v>67617</v>
      </c>
      <c r="B2864" s="105" t="s">
        <v>329</v>
      </c>
      <c r="C2864" s="493" t="s">
        <v>330</v>
      </c>
      <c r="D2864" s="105" t="s">
        <v>3443</v>
      </c>
      <c r="E2864" s="105" t="s">
        <v>2050</v>
      </c>
      <c r="F2864" s="493">
        <v>61194</v>
      </c>
      <c r="G2864" s="105" t="s">
        <v>52</v>
      </c>
      <c r="H2864" s="105" t="s">
        <v>333</v>
      </c>
      <c r="I2864" s="105" t="s">
        <v>334</v>
      </c>
      <c r="J2864" s="493">
        <v>22</v>
      </c>
      <c r="K2864" s="493">
        <v>2</v>
      </c>
      <c r="L2864" s="105" t="s">
        <v>343</v>
      </c>
      <c r="M2864" s="105" t="s">
        <v>655</v>
      </c>
      <c r="N2864" s="105" t="s">
        <v>656</v>
      </c>
      <c r="O2864" s="105" t="s">
        <v>656</v>
      </c>
      <c r="P2864" s="105" t="s">
        <v>339</v>
      </c>
      <c r="Q2864" s="494">
        <v>0</v>
      </c>
      <c r="R2864" s="494">
        <v>0</v>
      </c>
      <c r="S2864" s="494">
        <v>24017</v>
      </c>
      <c r="T2864" s="494">
        <v>24017</v>
      </c>
      <c r="U2864" s="494">
        <v>7039</v>
      </c>
      <c r="V2864" s="493">
        <v>2024</v>
      </c>
      <c r="W2864" s="495"/>
      <c r="X2864" s="496">
        <f t="shared" si="185"/>
        <v>3.411990339536866</v>
      </c>
      <c r="Y2864" s="497" t="str">
        <f t="shared" si="187"/>
        <v/>
      </c>
      <c r="Z2864" s="497" t="str">
        <f t="shared" si="187"/>
        <v/>
      </c>
    </row>
    <row r="2865" spans="1:26" s="82" customFormat="1" x14ac:dyDescent="0.4">
      <c r="A2865" s="493">
        <v>67618</v>
      </c>
      <c r="B2865" s="105" t="s">
        <v>329</v>
      </c>
      <c r="C2865" s="493" t="s">
        <v>330</v>
      </c>
      <c r="D2865" s="105" t="s">
        <v>3444</v>
      </c>
      <c r="E2865" s="105" t="s">
        <v>2050</v>
      </c>
      <c r="F2865" s="493">
        <v>61194</v>
      </c>
      <c r="G2865" s="105" t="s">
        <v>52</v>
      </c>
      <c r="H2865" s="105" t="s">
        <v>333</v>
      </c>
      <c r="I2865" s="105" t="s">
        <v>334</v>
      </c>
      <c r="J2865" s="493">
        <v>22</v>
      </c>
      <c r="K2865" s="493">
        <v>2</v>
      </c>
      <c r="L2865" s="105" t="s">
        <v>343</v>
      </c>
      <c r="M2865" s="105" t="s">
        <v>655</v>
      </c>
      <c r="N2865" s="105" t="s">
        <v>656</v>
      </c>
      <c r="O2865" s="105" t="s">
        <v>656</v>
      </c>
      <c r="P2865" s="105" t="s">
        <v>339</v>
      </c>
      <c r="Q2865" s="494">
        <v>0</v>
      </c>
      <c r="R2865" s="494">
        <v>0</v>
      </c>
      <c r="S2865" s="494">
        <v>13697</v>
      </c>
      <c r="T2865" s="494">
        <v>13697</v>
      </c>
      <c r="U2865" s="494">
        <v>4014</v>
      </c>
      <c r="V2865" s="493">
        <v>2024</v>
      </c>
      <c r="W2865" s="495"/>
      <c r="X2865" s="496">
        <f t="shared" si="185"/>
        <v>3.4123069257598404</v>
      </c>
      <c r="Y2865" s="497" t="str">
        <f t="shared" si="187"/>
        <v/>
      </c>
      <c r="Z2865" s="497" t="str">
        <f t="shared" si="187"/>
        <v/>
      </c>
    </row>
    <row r="2866" spans="1:26" s="82" customFormat="1" x14ac:dyDescent="0.4">
      <c r="A2866" s="493">
        <v>67619</v>
      </c>
      <c r="B2866" s="105" t="s">
        <v>329</v>
      </c>
      <c r="C2866" s="493" t="s">
        <v>330</v>
      </c>
      <c r="D2866" s="105" t="s">
        <v>3445</v>
      </c>
      <c r="E2866" s="105" t="s">
        <v>2050</v>
      </c>
      <c r="F2866" s="493">
        <v>61194</v>
      </c>
      <c r="G2866" s="105" t="s">
        <v>52</v>
      </c>
      <c r="H2866" s="105" t="s">
        <v>333</v>
      </c>
      <c r="I2866" s="105" t="s">
        <v>334</v>
      </c>
      <c r="J2866" s="493">
        <v>22</v>
      </c>
      <c r="K2866" s="493">
        <v>2</v>
      </c>
      <c r="L2866" s="105" t="s">
        <v>343</v>
      </c>
      <c r="M2866" s="105" t="s">
        <v>655</v>
      </c>
      <c r="N2866" s="105" t="s">
        <v>656</v>
      </c>
      <c r="O2866" s="105" t="s">
        <v>656</v>
      </c>
      <c r="P2866" s="105" t="s">
        <v>339</v>
      </c>
      <c r="Q2866" s="494">
        <v>0</v>
      </c>
      <c r="R2866" s="494">
        <v>0</v>
      </c>
      <c r="S2866" s="494">
        <v>12181</v>
      </c>
      <c r="T2866" s="494">
        <v>12181</v>
      </c>
      <c r="U2866" s="494">
        <v>3570</v>
      </c>
      <c r="V2866" s="493">
        <v>2024</v>
      </c>
      <c r="W2866" s="495"/>
      <c r="X2866" s="496">
        <f t="shared" si="185"/>
        <v>3.4120448179271707</v>
      </c>
      <c r="Y2866" s="497" t="str">
        <f t="shared" si="187"/>
        <v/>
      </c>
      <c r="Z2866" s="497" t="str">
        <f t="shared" si="187"/>
        <v/>
      </c>
    </row>
    <row r="2867" spans="1:26" s="82" customFormat="1" x14ac:dyDescent="0.4">
      <c r="A2867" s="493">
        <v>67620</v>
      </c>
      <c r="B2867" s="105" t="s">
        <v>329</v>
      </c>
      <c r="C2867" s="493" t="s">
        <v>330</v>
      </c>
      <c r="D2867" s="105" t="s">
        <v>3446</v>
      </c>
      <c r="E2867" s="105" t="s">
        <v>2050</v>
      </c>
      <c r="F2867" s="493">
        <v>61194</v>
      </c>
      <c r="G2867" s="105" t="s">
        <v>52</v>
      </c>
      <c r="H2867" s="105" t="s">
        <v>333</v>
      </c>
      <c r="I2867" s="105" t="s">
        <v>334</v>
      </c>
      <c r="J2867" s="493">
        <v>22</v>
      </c>
      <c r="K2867" s="493">
        <v>2</v>
      </c>
      <c r="L2867" s="105" t="s">
        <v>343</v>
      </c>
      <c r="M2867" s="105" t="s">
        <v>655</v>
      </c>
      <c r="N2867" s="105" t="s">
        <v>656</v>
      </c>
      <c r="O2867" s="105" t="s">
        <v>656</v>
      </c>
      <c r="P2867" s="105" t="s">
        <v>339</v>
      </c>
      <c r="Q2867" s="494">
        <v>0</v>
      </c>
      <c r="R2867" s="494">
        <v>0</v>
      </c>
      <c r="S2867" s="494">
        <v>32002</v>
      </c>
      <c r="T2867" s="494">
        <v>32002</v>
      </c>
      <c r="U2867" s="494">
        <v>9379</v>
      </c>
      <c r="V2867" s="493">
        <v>2024</v>
      </c>
      <c r="W2867" s="495"/>
      <c r="X2867" s="496">
        <f t="shared" si="185"/>
        <v>3.4120908412410706</v>
      </c>
      <c r="Y2867" s="497" t="str">
        <f t="shared" si="187"/>
        <v/>
      </c>
      <c r="Z2867" s="497" t="str">
        <f t="shared" si="187"/>
        <v/>
      </c>
    </row>
    <row r="2868" spans="1:26" s="82" customFormat="1" x14ac:dyDescent="0.4">
      <c r="A2868" s="493">
        <v>67621</v>
      </c>
      <c r="B2868" s="105" t="s">
        <v>329</v>
      </c>
      <c r="C2868" s="493" t="s">
        <v>330</v>
      </c>
      <c r="D2868" s="105" t="s">
        <v>3447</v>
      </c>
      <c r="E2868" s="105" t="s">
        <v>2050</v>
      </c>
      <c r="F2868" s="493">
        <v>61194</v>
      </c>
      <c r="G2868" s="105" t="s">
        <v>52</v>
      </c>
      <c r="H2868" s="105" t="s">
        <v>333</v>
      </c>
      <c r="I2868" s="105" t="s">
        <v>334</v>
      </c>
      <c r="J2868" s="493">
        <v>22</v>
      </c>
      <c r="K2868" s="493">
        <v>2</v>
      </c>
      <c r="L2868" s="105" t="s">
        <v>343</v>
      </c>
      <c r="M2868" s="105" t="s">
        <v>655</v>
      </c>
      <c r="N2868" s="105" t="s">
        <v>656</v>
      </c>
      <c r="O2868" s="105" t="s">
        <v>656</v>
      </c>
      <c r="P2868" s="105" t="s">
        <v>339</v>
      </c>
      <c r="Q2868" s="494">
        <v>0</v>
      </c>
      <c r="R2868" s="494">
        <v>0</v>
      </c>
      <c r="S2868" s="494">
        <v>24512</v>
      </c>
      <c r="T2868" s="494">
        <v>24512</v>
      </c>
      <c r="U2868" s="494">
        <v>7184</v>
      </c>
      <c r="V2868" s="493">
        <v>2024</v>
      </c>
      <c r="W2868" s="495"/>
      <c r="X2868" s="496">
        <f t="shared" si="185"/>
        <v>3.4120267260579062</v>
      </c>
      <c r="Y2868" s="497" t="str">
        <f t="shared" ref="Y2868:Z2887" si="188">IF(AND($M2868=$Y$2,$N2868=$Y$3,NOT($Q2868=$R2868),NOT($U2868=0)),IF($K2868=5,$S2868/($U2868+(8/5)*$U2868),IF($K2868=7,$S2868/($U2868+(29/25)*$U2868),"")),"")</f>
        <v/>
      </c>
      <c r="Z2868" s="497" t="str">
        <f t="shared" si="188"/>
        <v/>
      </c>
    </row>
    <row r="2869" spans="1:26" s="82" customFormat="1" x14ac:dyDescent="0.4">
      <c r="A2869" s="493">
        <v>67631</v>
      </c>
      <c r="B2869" s="105" t="s">
        <v>329</v>
      </c>
      <c r="C2869" s="493" t="s">
        <v>330</v>
      </c>
      <c r="D2869" s="105" t="s">
        <v>3448</v>
      </c>
      <c r="E2869" s="105" t="s">
        <v>2050</v>
      </c>
      <c r="F2869" s="493">
        <v>61194</v>
      </c>
      <c r="G2869" s="105" t="s">
        <v>52</v>
      </c>
      <c r="H2869" s="105" t="s">
        <v>333</v>
      </c>
      <c r="I2869" s="105" t="s">
        <v>334</v>
      </c>
      <c r="J2869" s="493">
        <v>22</v>
      </c>
      <c r="K2869" s="493">
        <v>2</v>
      </c>
      <c r="L2869" s="105" t="s">
        <v>343</v>
      </c>
      <c r="M2869" s="105" t="s">
        <v>655</v>
      </c>
      <c r="N2869" s="105" t="s">
        <v>656</v>
      </c>
      <c r="O2869" s="105" t="s">
        <v>656</v>
      </c>
      <c r="P2869" s="105" t="s">
        <v>339</v>
      </c>
      <c r="Q2869" s="494">
        <v>0</v>
      </c>
      <c r="R2869" s="494">
        <v>0</v>
      </c>
      <c r="S2869" s="494">
        <v>12770</v>
      </c>
      <c r="T2869" s="494">
        <v>12770</v>
      </c>
      <c r="U2869" s="494">
        <v>3743</v>
      </c>
      <c r="V2869" s="493">
        <v>2024</v>
      </c>
      <c r="W2869" s="495"/>
      <c r="X2869" s="496">
        <f t="shared" si="185"/>
        <v>3.4117018434410902</v>
      </c>
      <c r="Y2869" s="497" t="str">
        <f t="shared" si="188"/>
        <v/>
      </c>
      <c r="Z2869" s="497" t="str">
        <f t="shared" si="188"/>
        <v/>
      </c>
    </row>
    <row r="2870" spans="1:26" s="82" customFormat="1" ht="32" x14ac:dyDescent="0.4">
      <c r="A2870" s="493">
        <v>67632</v>
      </c>
      <c r="B2870" s="105" t="s">
        <v>329</v>
      </c>
      <c r="C2870" s="493" t="s">
        <v>330</v>
      </c>
      <c r="D2870" s="105" t="s">
        <v>3449</v>
      </c>
      <c r="E2870" s="105" t="s">
        <v>1739</v>
      </c>
      <c r="F2870" s="493">
        <v>61060</v>
      </c>
      <c r="G2870" s="105" t="s">
        <v>52</v>
      </c>
      <c r="H2870" s="105" t="s">
        <v>333</v>
      </c>
      <c r="I2870" s="105" t="s">
        <v>334</v>
      </c>
      <c r="J2870" s="493">
        <v>22</v>
      </c>
      <c r="K2870" s="493">
        <v>2</v>
      </c>
      <c r="L2870" s="105" t="s">
        <v>343</v>
      </c>
      <c r="M2870" s="105" t="s">
        <v>655</v>
      </c>
      <c r="N2870" s="105" t="s">
        <v>656</v>
      </c>
      <c r="O2870" s="105" t="s">
        <v>656</v>
      </c>
      <c r="P2870" s="105" t="s">
        <v>339</v>
      </c>
      <c r="Q2870" s="494">
        <v>0</v>
      </c>
      <c r="R2870" s="494">
        <v>0</v>
      </c>
      <c r="S2870" s="494">
        <v>232</v>
      </c>
      <c r="T2870" s="494">
        <v>232</v>
      </c>
      <c r="U2870" s="494">
        <v>68</v>
      </c>
      <c r="V2870" s="493">
        <v>2024</v>
      </c>
      <c r="W2870" s="495"/>
      <c r="X2870" s="496">
        <f t="shared" si="185"/>
        <v>3.4117647058823528</v>
      </c>
      <c r="Y2870" s="497" t="str">
        <f t="shared" si="188"/>
        <v/>
      </c>
      <c r="Z2870" s="497" t="str">
        <f t="shared" si="188"/>
        <v/>
      </c>
    </row>
    <row r="2871" spans="1:26" s="82" customFormat="1" ht="32" x14ac:dyDescent="0.4">
      <c r="A2871" s="493">
        <v>67634</v>
      </c>
      <c r="B2871" s="105" t="s">
        <v>329</v>
      </c>
      <c r="C2871" s="493" t="s">
        <v>330</v>
      </c>
      <c r="D2871" s="105" t="s">
        <v>3450</v>
      </c>
      <c r="E2871" s="105" t="s">
        <v>1739</v>
      </c>
      <c r="F2871" s="493">
        <v>61060</v>
      </c>
      <c r="G2871" s="105" t="s">
        <v>52</v>
      </c>
      <c r="H2871" s="105" t="s">
        <v>333</v>
      </c>
      <c r="I2871" s="105" t="s">
        <v>334</v>
      </c>
      <c r="J2871" s="493">
        <v>22</v>
      </c>
      <c r="K2871" s="493">
        <v>2</v>
      </c>
      <c r="L2871" s="105" t="s">
        <v>343</v>
      </c>
      <c r="M2871" s="105" t="s">
        <v>655</v>
      </c>
      <c r="N2871" s="105" t="s">
        <v>656</v>
      </c>
      <c r="O2871" s="105" t="s">
        <v>656</v>
      </c>
      <c r="P2871" s="105" t="s">
        <v>339</v>
      </c>
      <c r="Q2871" s="494">
        <v>0</v>
      </c>
      <c r="R2871" s="494">
        <v>0</v>
      </c>
      <c r="S2871" s="494">
        <v>389</v>
      </c>
      <c r="T2871" s="494">
        <v>389</v>
      </c>
      <c r="U2871" s="494">
        <v>114</v>
      </c>
      <c r="V2871" s="493">
        <v>2024</v>
      </c>
      <c r="W2871" s="495"/>
      <c r="X2871" s="496">
        <f t="shared" si="185"/>
        <v>3.4122807017543861</v>
      </c>
      <c r="Y2871" s="497" t="str">
        <f t="shared" si="188"/>
        <v/>
      </c>
      <c r="Z2871" s="497" t="str">
        <f t="shared" si="188"/>
        <v/>
      </c>
    </row>
    <row r="2872" spans="1:26" s="82" customFormat="1" ht="32" x14ac:dyDescent="0.4">
      <c r="A2872" s="493">
        <v>67638</v>
      </c>
      <c r="B2872" s="105" t="s">
        <v>329</v>
      </c>
      <c r="C2872" s="493" t="s">
        <v>330</v>
      </c>
      <c r="D2872" s="105" t="s">
        <v>3451</v>
      </c>
      <c r="E2872" s="105" t="s">
        <v>1739</v>
      </c>
      <c r="F2872" s="493">
        <v>61060</v>
      </c>
      <c r="G2872" s="105" t="s">
        <v>52</v>
      </c>
      <c r="H2872" s="105" t="s">
        <v>333</v>
      </c>
      <c r="I2872" s="105" t="s">
        <v>334</v>
      </c>
      <c r="J2872" s="493">
        <v>22</v>
      </c>
      <c r="K2872" s="493">
        <v>2</v>
      </c>
      <c r="L2872" s="105" t="s">
        <v>343</v>
      </c>
      <c r="M2872" s="105" t="s">
        <v>655</v>
      </c>
      <c r="N2872" s="105" t="s">
        <v>656</v>
      </c>
      <c r="O2872" s="105" t="s">
        <v>656</v>
      </c>
      <c r="P2872" s="105" t="s">
        <v>339</v>
      </c>
      <c r="Q2872" s="494">
        <v>0</v>
      </c>
      <c r="R2872" s="494">
        <v>0</v>
      </c>
      <c r="S2872" s="494">
        <v>3</v>
      </c>
      <c r="T2872" s="494">
        <v>3</v>
      </c>
      <c r="U2872" s="494">
        <v>1</v>
      </c>
      <c r="V2872" s="493">
        <v>2024</v>
      </c>
      <c r="W2872" s="495"/>
      <c r="X2872" s="496">
        <f t="shared" si="185"/>
        <v>3</v>
      </c>
      <c r="Y2872" s="497" t="str">
        <f t="shared" si="188"/>
        <v/>
      </c>
      <c r="Z2872" s="497" t="str">
        <f t="shared" si="188"/>
        <v/>
      </c>
    </row>
    <row r="2873" spans="1:26" s="82" customFormat="1" ht="32" x14ac:dyDescent="0.4">
      <c r="A2873" s="493">
        <v>67640</v>
      </c>
      <c r="B2873" s="105" t="s">
        <v>329</v>
      </c>
      <c r="C2873" s="493" t="s">
        <v>330</v>
      </c>
      <c r="D2873" s="105" t="s">
        <v>3452</v>
      </c>
      <c r="E2873" s="105" t="s">
        <v>1739</v>
      </c>
      <c r="F2873" s="493">
        <v>61060</v>
      </c>
      <c r="G2873" s="105" t="s">
        <v>52</v>
      </c>
      <c r="H2873" s="105" t="s">
        <v>333</v>
      </c>
      <c r="I2873" s="105" t="s">
        <v>334</v>
      </c>
      <c r="J2873" s="493">
        <v>22</v>
      </c>
      <c r="K2873" s="493">
        <v>2</v>
      </c>
      <c r="L2873" s="105" t="s">
        <v>343</v>
      </c>
      <c r="M2873" s="105" t="s">
        <v>655</v>
      </c>
      <c r="N2873" s="105" t="s">
        <v>656</v>
      </c>
      <c r="O2873" s="105" t="s">
        <v>656</v>
      </c>
      <c r="P2873" s="105" t="s">
        <v>339</v>
      </c>
      <c r="Q2873" s="494">
        <v>0</v>
      </c>
      <c r="R2873" s="494">
        <v>0</v>
      </c>
      <c r="S2873" s="494">
        <v>24</v>
      </c>
      <c r="T2873" s="494">
        <v>24</v>
      </c>
      <c r="U2873" s="494">
        <v>7</v>
      </c>
      <c r="V2873" s="493">
        <v>2024</v>
      </c>
      <c r="W2873" s="495"/>
      <c r="X2873" s="496">
        <f t="shared" si="185"/>
        <v>3.4285714285714284</v>
      </c>
      <c r="Y2873" s="497" t="str">
        <f t="shared" si="188"/>
        <v/>
      </c>
      <c r="Z2873" s="497" t="str">
        <f t="shared" si="188"/>
        <v/>
      </c>
    </row>
    <row r="2874" spans="1:26" s="82" customFormat="1" ht="32" x14ac:dyDescent="0.4">
      <c r="A2874" s="493">
        <v>67641</v>
      </c>
      <c r="B2874" s="105" t="s">
        <v>329</v>
      </c>
      <c r="C2874" s="493" t="s">
        <v>330</v>
      </c>
      <c r="D2874" s="105" t="s">
        <v>3453</v>
      </c>
      <c r="E2874" s="105" t="s">
        <v>1739</v>
      </c>
      <c r="F2874" s="493">
        <v>61060</v>
      </c>
      <c r="G2874" s="105" t="s">
        <v>52</v>
      </c>
      <c r="H2874" s="105" t="s">
        <v>333</v>
      </c>
      <c r="I2874" s="105" t="s">
        <v>334</v>
      </c>
      <c r="J2874" s="493">
        <v>22</v>
      </c>
      <c r="K2874" s="493">
        <v>2</v>
      </c>
      <c r="L2874" s="105" t="s">
        <v>343</v>
      </c>
      <c r="M2874" s="105" t="s">
        <v>655</v>
      </c>
      <c r="N2874" s="105" t="s">
        <v>656</v>
      </c>
      <c r="O2874" s="105" t="s">
        <v>656</v>
      </c>
      <c r="P2874" s="105" t="s">
        <v>339</v>
      </c>
      <c r="Q2874" s="494">
        <v>0</v>
      </c>
      <c r="R2874" s="494">
        <v>0</v>
      </c>
      <c r="S2874" s="494">
        <v>0</v>
      </c>
      <c r="T2874" s="494">
        <v>0</v>
      </c>
      <c r="U2874" s="494">
        <v>0</v>
      </c>
      <c r="V2874" s="493">
        <v>2024</v>
      </c>
      <c r="W2874" s="495"/>
      <c r="X2874" s="496" t="str">
        <f t="shared" si="185"/>
        <v/>
      </c>
      <c r="Y2874" s="497" t="str">
        <f t="shared" si="188"/>
        <v/>
      </c>
      <c r="Z2874" s="497" t="str">
        <f t="shared" si="188"/>
        <v/>
      </c>
    </row>
    <row r="2875" spans="1:26" s="82" customFormat="1" ht="32" x14ac:dyDescent="0.4">
      <c r="A2875" s="493">
        <v>67744</v>
      </c>
      <c r="B2875" s="105" t="s">
        <v>329</v>
      </c>
      <c r="C2875" s="493" t="s">
        <v>330</v>
      </c>
      <c r="D2875" s="105" t="s">
        <v>3454</v>
      </c>
      <c r="E2875" s="105" t="s">
        <v>3455</v>
      </c>
      <c r="F2875" s="493">
        <v>66356</v>
      </c>
      <c r="G2875" s="105" t="s">
        <v>37</v>
      </c>
      <c r="H2875" s="105" t="s">
        <v>342</v>
      </c>
      <c r="I2875" s="105" t="s">
        <v>334</v>
      </c>
      <c r="J2875" s="493">
        <v>22</v>
      </c>
      <c r="K2875" s="493">
        <v>2</v>
      </c>
      <c r="L2875" s="105" t="s">
        <v>343</v>
      </c>
      <c r="M2875" s="105" t="s">
        <v>655</v>
      </c>
      <c r="N2875" s="105" t="s">
        <v>656</v>
      </c>
      <c r="O2875" s="105" t="s">
        <v>656</v>
      </c>
      <c r="P2875" s="105" t="s">
        <v>339</v>
      </c>
      <c r="Q2875" s="494">
        <v>0</v>
      </c>
      <c r="R2875" s="494">
        <v>0</v>
      </c>
      <c r="S2875" s="494">
        <v>8402</v>
      </c>
      <c r="T2875" s="494">
        <v>8402</v>
      </c>
      <c r="U2875" s="494">
        <v>2462</v>
      </c>
      <c r="V2875" s="493">
        <v>2024</v>
      </c>
      <c r="W2875" s="495"/>
      <c r="X2875" s="496">
        <f t="shared" si="185"/>
        <v>3.4126726238830218</v>
      </c>
      <c r="Y2875" s="497" t="str">
        <f t="shared" si="188"/>
        <v/>
      </c>
      <c r="Z2875" s="497" t="str">
        <f t="shared" si="188"/>
        <v/>
      </c>
    </row>
    <row r="2876" spans="1:26" s="82" customFormat="1" ht="32" x14ac:dyDescent="0.4">
      <c r="A2876" s="493">
        <v>67745</v>
      </c>
      <c r="B2876" s="105" t="s">
        <v>329</v>
      </c>
      <c r="C2876" s="493" t="s">
        <v>330</v>
      </c>
      <c r="D2876" s="105" t="s">
        <v>3456</v>
      </c>
      <c r="E2876" s="105" t="s">
        <v>3457</v>
      </c>
      <c r="F2876" s="493">
        <v>66357</v>
      </c>
      <c r="G2876" s="105" t="s">
        <v>52</v>
      </c>
      <c r="H2876" s="105" t="s">
        <v>333</v>
      </c>
      <c r="I2876" s="105" t="s">
        <v>334</v>
      </c>
      <c r="J2876" s="493">
        <v>22</v>
      </c>
      <c r="K2876" s="493">
        <v>2</v>
      </c>
      <c r="L2876" s="105" t="s">
        <v>343</v>
      </c>
      <c r="M2876" s="105" t="s">
        <v>403</v>
      </c>
      <c r="N2876" s="105" t="s">
        <v>404</v>
      </c>
      <c r="O2876" s="105" t="s">
        <v>232</v>
      </c>
      <c r="P2876" s="105" t="s">
        <v>346</v>
      </c>
      <c r="Q2876" s="494">
        <v>49</v>
      </c>
      <c r="R2876" s="494">
        <v>49</v>
      </c>
      <c r="S2876" s="494">
        <v>0</v>
      </c>
      <c r="T2876" s="494">
        <v>0</v>
      </c>
      <c r="U2876" s="494">
        <v>-19</v>
      </c>
      <c r="V2876" s="493">
        <v>2024</v>
      </c>
      <c r="W2876" s="495"/>
      <c r="X2876" s="496" t="str">
        <f t="shared" si="185"/>
        <v/>
      </c>
      <c r="Y2876" s="497" t="str">
        <f t="shared" si="188"/>
        <v/>
      </c>
      <c r="Z2876" s="497" t="str">
        <f t="shared" si="188"/>
        <v/>
      </c>
    </row>
    <row r="2877" spans="1:26" s="82" customFormat="1" ht="32" x14ac:dyDescent="0.4">
      <c r="A2877" s="493">
        <v>67745</v>
      </c>
      <c r="B2877" s="105" t="s">
        <v>329</v>
      </c>
      <c r="C2877" s="493" t="s">
        <v>330</v>
      </c>
      <c r="D2877" s="105" t="s">
        <v>3456</v>
      </c>
      <c r="E2877" s="105" t="s">
        <v>3457</v>
      </c>
      <c r="F2877" s="493">
        <v>66357</v>
      </c>
      <c r="G2877" s="105" t="s">
        <v>52</v>
      </c>
      <c r="H2877" s="105" t="s">
        <v>333</v>
      </c>
      <c r="I2877" s="105" t="s">
        <v>334</v>
      </c>
      <c r="J2877" s="493">
        <v>22</v>
      </c>
      <c r="K2877" s="493">
        <v>2</v>
      </c>
      <c r="L2877" s="105" t="s">
        <v>343</v>
      </c>
      <c r="M2877" s="105" t="s">
        <v>655</v>
      </c>
      <c r="N2877" s="105" t="s">
        <v>656</v>
      </c>
      <c r="O2877" s="105" t="s">
        <v>656</v>
      </c>
      <c r="P2877" s="105" t="s">
        <v>339</v>
      </c>
      <c r="Q2877" s="494">
        <v>0</v>
      </c>
      <c r="R2877" s="494">
        <v>0</v>
      </c>
      <c r="S2877" s="494">
        <v>5452</v>
      </c>
      <c r="T2877" s="494">
        <v>5452</v>
      </c>
      <c r="U2877" s="494">
        <v>1597</v>
      </c>
      <c r="V2877" s="493">
        <v>2024</v>
      </c>
      <c r="W2877" s="495"/>
      <c r="X2877" s="496">
        <f t="shared" si="185"/>
        <v>3.41390106449593</v>
      </c>
      <c r="Y2877" s="497" t="str">
        <f t="shared" si="188"/>
        <v/>
      </c>
      <c r="Z2877" s="497" t="str">
        <f t="shared" si="188"/>
        <v/>
      </c>
    </row>
    <row r="2878" spans="1:26" s="82" customFormat="1" x14ac:dyDescent="0.4">
      <c r="A2878" s="493">
        <v>67771</v>
      </c>
      <c r="B2878" s="105" t="s">
        <v>329</v>
      </c>
      <c r="C2878" s="493" t="s">
        <v>330</v>
      </c>
      <c r="D2878" s="105" t="s">
        <v>3458</v>
      </c>
      <c r="E2878" s="105" t="s">
        <v>3459</v>
      </c>
      <c r="F2878" s="493">
        <v>66368</v>
      </c>
      <c r="G2878" s="105" t="s">
        <v>34</v>
      </c>
      <c r="H2878" s="105" t="s">
        <v>342</v>
      </c>
      <c r="I2878" s="105" t="s">
        <v>334</v>
      </c>
      <c r="J2878" s="493">
        <v>22</v>
      </c>
      <c r="K2878" s="493">
        <v>2</v>
      </c>
      <c r="L2878" s="105" t="s">
        <v>343</v>
      </c>
      <c r="M2878" s="105" t="s">
        <v>655</v>
      </c>
      <c r="N2878" s="105" t="s">
        <v>656</v>
      </c>
      <c r="O2878" s="105" t="s">
        <v>656</v>
      </c>
      <c r="P2878" s="105" t="s">
        <v>339</v>
      </c>
      <c r="Q2878" s="494">
        <v>0</v>
      </c>
      <c r="R2878" s="494">
        <v>0</v>
      </c>
      <c r="S2878" s="494">
        <v>0</v>
      </c>
      <c r="T2878" s="494">
        <v>0</v>
      </c>
      <c r="U2878" s="494">
        <v>0</v>
      </c>
      <c r="V2878" s="493">
        <v>2024</v>
      </c>
      <c r="W2878" s="495"/>
      <c r="X2878" s="496" t="str">
        <f t="shared" si="185"/>
        <v/>
      </c>
      <c r="Y2878" s="497" t="str">
        <f t="shared" si="188"/>
        <v/>
      </c>
      <c r="Z2878" s="497" t="str">
        <f t="shared" si="188"/>
        <v/>
      </c>
    </row>
    <row r="2879" spans="1:26" s="82" customFormat="1" x14ac:dyDescent="0.4">
      <c r="A2879" s="493">
        <v>67802</v>
      </c>
      <c r="B2879" s="105" t="s">
        <v>329</v>
      </c>
      <c r="C2879" s="493" t="s">
        <v>330</v>
      </c>
      <c r="D2879" s="105" t="s">
        <v>3460</v>
      </c>
      <c r="E2879" s="105" t="s">
        <v>1751</v>
      </c>
      <c r="F2879" s="493">
        <v>60520</v>
      </c>
      <c r="G2879" s="105" t="s">
        <v>34</v>
      </c>
      <c r="H2879" s="105" t="s">
        <v>342</v>
      </c>
      <c r="I2879" s="105" t="s">
        <v>334</v>
      </c>
      <c r="J2879" s="493">
        <v>22</v>
      </c>
      <c r="K2879" s="493">
        <v>2</v>
      </c>
      <c r="L2879" s="105" t="s">
        <v>343</v>
      </c>
      <c r="M2879" s="105" t="s">
        <v>655</v>
      </c>
      <c r="N2879" s="105" t="s">
        <v>656</v>
      </c>
      <c r="O2879" s="105" t="s">
        <v>656</v>
      </c>
      <c r="P2879" s="105" t="s">
        <v>339</v>
      </c>
      <c r="Q2879" s="494">
        <v>0</v>
      </c>
      <c r="R2879" s="494">
        <v>0</v>
      </c>
      <c r="S2879" s="494">
        <v>0</v>
      </c>
      <c r="T2879" s="494">
        <v>0</v>
      </c>
      <c r="U2879" s="494">
        <v>0</v>
      </c>
      <c r="V2879" s="493">
        <v>2024</v>
      </c>
      <c r="W2879" s="495"/>
      <c r="X2879" s="496" t="str">
        <f t="shared" si="185"/>
        <v/>
      </c>
      <c r="Y2879" s="497" t="str">
        <f t="shared" si="188"/>
        <v/>
      </c>
      <c r="Z2879" s="497" t="str">
        <f t="shared" si="188"/>
        <v/>
      </c>
    </row>
    <row r="2880" spans="1:26" s="82" customFormat="1" x14ac:dyDescent="0.4">
      <c r="A2880" s="493">
        <v>67807</v>
      </c>
      <c r="B2880" s="105" t="s">
        <v>329</v>
      </c>
      <c r="C2880" s="493" t="s">
        <v>330</v>
      </c>
      <c r="D2880" s="105" t="s">
        <v>3461</v>
      </c>
      <c r="E2880" s="105" t="s">
        <v>1751</v>
      </c>
      <c r="F2880" s="493">
        <v>60520</v>
      </c>
      <c r="G2880" s="105" t="s">
        <v>34</v>
      </c>
      <c r="H2880" s="105" t="s">
        <v>342</v>
      </c>
      <c r="I2880" s="105" t="s">
        <v>334</v>
      </c>
      <c r="J2880" s="493">
        <v>22</v>
      </c>
      <c r="K2880" s="493">
        <v>2</v>
      </c>
      <c r="L2880" s="105" t="s">
        <v>343</v>
      </c>
      <c r="M2880" s="105" t="s">
        <v>655</v>
      </c>
      <c r="N2880" s="105" t="s">
        <v>656</v>
      </c>
      <c r="O2880" s="105" t="s">
        <v>656</v>
      </c>
      <c r="P2880" s="105" t="s">
        <v>339</v>
      </c>
      <c r="Q2880" s="494">
        <v>0</v>
      </c>
      <c r="R2880" s="494">
        <v>0</v>
      </c>
      <c r="S2880" s="494">
        <v>0</v>
      </c>
      <c r="T2880" s="494">
        <v>0</v>
      </c>
      <c r="U2880" s="494">
        <v>0</v>
      </c>
      <c r="V2880" s="493">
        <v>2024</v>
      </c>
      <c r="W2880" s="495"/>
      <c r="X2880" s="496" t="str">
        <f t="shared" si="185"/>
        <v/>
      </c>
      <c r="Y2880" s="497" t="str">
        <f t="shared" si="188"/>
        <v/>
      </c>
      <c r="Z2880" s="497" t="str">
        <f t="shared" si="188"/>
        <v/>
      </c>
    </row>
    <row r="2881" spans="1:26" s="82" customFormat="1" x14ac:dyDescent="0.4">
      <c r="A2881" s="493">
        <v>67826</v>
      </c>
      <c r="B2881" s="105" t="s">
        <v>329</v>
      </c>
      <c r="C2881" s="493" t="s">
        <v>330</v>
      </c>
      <c r="D2881" s="105" t="s">
        <v>3462</v>
      </c>
      <c r="E2881" s="105" t="s">
        <v>1751</v>
      </c>
      <c r="F2881" s="493">
        <v>60520</v>
      </c>
      <c r="G2881" s="105" t="s">
        <v>34</v>
      </c>
      <c r="H2881" s="105" t="s">
        <v>342</v>
      </c>
      <c r="I2881" s="105" t="s">
        <v>334</v>
      </c>
      <c r="J2881" s="493">
        <v>22</v>
      </c>
      <c r="K2881" s="493">
        <v>2</v>
      </c>
      <c r="L2881" s="105" t="s">
        <v>343</v>
      </c>
      <c r="M2881" s="105" t="s">
        <v>655</v>
      </c>
      <c r="N2881" s="105" t="s">
        <v>656</v>
      </c>
      <c r="O2881" s="105" t="s">
        <v>656</v>
      </c>
      <c r="P2881" s="105" t="s">
        <v>339</v>
      </c>
      <c r="Q2881" s="494">
        <v>0</v>
      </c>
      <c r="R2881" s="494">
        <v>0</v>
      </c>
      <c r="S2881" s="494">
        <v>0</v>
      </c>
      <c r="T2881" s="494">
        <v>0</v>
      </c>
      <c r="U2881" s="494">
        <v>0</v>
      </c>
      <c r="V2881" s="493">
        <v>2024</v>
      </c>
      <c r="W2881" s="495"/>
      <c r="X2881" s="496" t="str">
        <f t="shared" si="185"/>
        <v/>
      </c>
      <c r="Y2881" s="497" t="str">
        <f t="shared" si="188"/>
        <v/>
      </c>
      <c r="Z2881" s="497" t="str">
        <f t="shared" si="188"/>
        <v/>
      </c>
    </row>
    <row r="2882" spans="1:26" s="82" customFormat="1" x14ac:dyDescent="0.4">
      <c r="A2882" s="493">
        <v>67830</v>
      </c>
      <c r="B2882" s="105" t="s">
        <v>329</v>
      </c>
      <c r="C2882" s="493" t="s">
        <v>330</v>
      </c>
      <c r="D2882" s="105" t="s">
        <v>3463</v>
      </c>
      <c r="E2882" s="105" t="s">
        <v>1751</v>
      </c>
      <c r="F2882" s="493">
        <v>60520</v>
      </c>
      <c r="G2882" s="105" t="s">
        <v>36</v>
      </c>
      <c r="H2882" s="105" t="s">
        <v>342</v>
      </c>
      <c r="I2882" s="105" t="s">
        <v>334</v>
      </c>
      <c r="J2882" s="493">
        <v>22</v>
      </c>
      <c r="K2882" s="493">
        <v>2</v>
      </c>
      <c r="L2882" s="105" t="s">
        <v>343</v>
      </c>
      <c r="M2882" s="105" t="s">
        <v>655</v>
      </c>
      <c r="N2882" s="105" t="s">
        <v>656</v>
      </c>
      <c r="O2882" s="105" t="s">
        <v>656</v>
      </c>
      <c r="P2882" s="105" t="s">
        <v>339</v>
      </c>
      <c r="Q2882" s="494">
        <v>0</v>
      </c>
      <c r="R2882" s="494">
        <v>0</v>
      </c>
      <c r="S2882" s="494">
        <v>7817</v>
      </c>
      <c r="T2882" s="494">
        <v>7817</v>
      </c>
      <c r="U2882" s="494">
        <v>2291</v>
      </c>
      <c r="V2882" s="493">
        <v>2024</v>
      </c>
      <c r="W2882" s="495"/>
      <c r="X2882" s="496">
        <f t="shared" si="185"/>
        <v>3.412047140986469</v>
      </c>
      <c r="Y2882" s="497" t="str">
        <f t="shared" si="188"/>
        <v/>
      </c>
      <c r="Z2882" s="497" t="str">
        <f t="shared" si="188"/>
        <v/>
      </c>
    </row>
    <row r="2883" spans="1:26" s="82" customFormat="1" x14ac:dyDescent="0.4">
      <c r="A2883" s="493">
        <v>67831</v>
      </c>
      <c r="B2883" s="105" t="s">
        <v>329</v>
      </c>
      <c r="C2883" s="493" t="s">
        <v>330</v>
      </c>
      <c r="D2883" s="105" t="s">
        <v>3464</v>
      </c>
      <c r="E2883" s="105" t="s">
        <v>1751</v>
      </c>
      <c r="F2883" s="493">
        <v>60520</v>
      </c>
      <c r="G2883" s="105" t="s">
        <v>36</v>
      </c>
      <c r="H2883" s="105" t="s">
        <v>342</v>
      </c>
      <c r="I2883" s="105" t="s">
        <v>334</v>
      </c>
      <c r="J2883" s="493">
        <v>22</v>
      </c>
      <c r="K2883" s="493">
        <v>2</v>
      </c>
      <c r="L2883" s="105" t="s">
        <v>343</v>
      </c>
      <c r="M2883" s="105" t="s">
        <v>655</v>
      </c>
      <c r="N2883" s="105" t="s">
        <v>656</v>
      </c>
      <c r="O2883" s="105" t="s">
        <v>656</v>
      </c>
      <c r="P2883" s="105" t="s">
        <v>339</v>
      </c>
      <c r="Q2883" s="494">
        <v>0</v>
      </c>
      <c r="R2883" s="494">
        <v>0</v>
      </c>
      <c r="S2883" s="494">
        <v>6406</v>
      </c>
      <c r="T2883" s="494">
        <v>6406</v>
      </c>
      <c r="U2883" s="494">
        <v>1878</v>
      </c>
      <c r="V2883" s="493">
        <v>2024</v>
      </c>
      <c r="W2883" s="495"/>
      <c r="X2883" s="496">
        <f t="shared" si="185"/>
        <v>3.4110756123535677</v>
      </c>
      <c r="Y2883" s="497" t="str">
        <f t="shared" si="188"/>
        <v/>
      </c>
      <c r="Z2883" s="497" t="str">
        <f t="shared" si="188"/>
        <v/>
      </c>
    </row>
    <row r="2884" spans="1:26" s="82" customFormat="1" x14ac:dyDescent="0.4">
      <c r="A2884" s="493">
        <v>67842</v>
      </c>
      <c r="B2884" s="105" t="s">
        <v>329</v>
      </c>
      <c r="C2884" s="493" t="s">
        <v>330</v>
      </c>
      <c r="D2884" s="105" t="s">
        <v>3465</v>
      </c>
      <c r="E2884" s="105" t="s">
        <v>3466</v>
      </c>
      <c r="F2884" s="493">
        <v>66419</v>
      </c>
      <c r="G2884" s="105" t="s">
        <v>34</v>
      </c>
      <c r="H2884" s="105" t="s">
        <v>342</v>
      </c>
      <c r="I2884" s="105" t="s">
        <v>334</v>
      </c>
      <c r="J2884" s="493">
        <v>22</v>
      </c>
      <c r="K2884" s="493">
        <v>2</v>
      </c>
      <c r="L2884" s="105" t="s">
        <v>343</v>
      </c>
      <c r="M2884" s="105" t="s">
        <v>655</v>
      </c>
      <c r="N2884" s="105" t="s">
        <v>656</v>
      </c>
      <c r="O2884" s="105" t="s">
        <v>656</v>
      </c>
      <c r="P2884" s="105" t="s">
        <v>339</v>
      </c>
      <c r="Q2884" s="494">
        <v>0</v>
      </c>
      <c r="R2884" s="494">
        <v>0</v>
      </c>
      <c r="S2884" s="494">
        <v>0</v>
      </c>
      <c r="T2884" s="494">
        <v>0</v>
      </c>
      <c r="U2884" s="494">
        <v>0</v>
      </c>
      <c r="V2884" s="493">
        <v>2024</v>
      </c>
      <c r="W2884" s="495"/>
      <c r="X2884" s="496" t="str">
        <f t="shared" si="185"/>
        <v/>
      </c>
      <c r="Y2884" s="497" t="str">
        <f t="shared" si="188"/>
        <v/>
      </c>
      <c r="Z2884" s="497" t="str">
        <f t="shared" si="188"/>
        <v/>
      </c>
    </row>
    <row r="2885" spans="1:26" s="82" customFormat="1" ht="32" x14ac:dyDescent="0.4">
      <c r="A2885" s="493">
        <v>67865</v>
      </c>
      <c r="B2885" s="105" t="s">
        <v>329</v>
      </c>
      <c r="C2885" s="493" t="s">
        <v>330</v>
      </c>
      <c r="D2885" s="105" t="s">
        <v>3467</v>
      </c>
      <c r="E2885" s="105" t="s">
        <v>1778</v>
      </c>
      <c r="F2885" s="493">
        <v>60584</v>
      </c>
      <c r="G2885" s="105" t="s">
        <v>37</v>
      </c>
      <c r="H2885" s="105" t="s">
        <v>342</v>
      </c>
      <c r="I2885" s="105" t="s">
        <v>334</v>
      </c>
      <c r="J2885" s="493">
        <v>22</v>
      </c>
      <c r="K2885" s="493">
        <v>2</v>
      </c>
      <c r="L2885" s="105" t="s">
        <v>343</v>
      </c>
      <c r="M2885" s="105" t="s">
        <v>655</v>
      </c>
      <c r="N2885" s="105" t="s">
        <v>656</v>
      </c>
      <c r="O2885" s="105" t="s">
        <v>656</v>
      </c>
      <c r="P2885" s="105" t="s">
        <v>339</v>
      </c>
      <c r="Q2885" s="494">
        <v>0</v>
      </c>
      <c r="R2885" s="494">
        <v>0</v>
      </c>
      <c r="S2885" s="494">
        <v>9425</v>
      </c>
      <c r="T2885" s="494">
        <v>9425</v>
      </c>
      <c r="U2885" s="494">
        <v>2762</v>
      </c>
      <c r="V2885" s="493">
        <v>2024</v>
      </c>
      <c r="W2885" s="495"/>
      <c r="X2885" s="496">
        <f t="shared" si="185"/>
        <v>3.4123823316437365</v>
      </c>
      <c r="Y2885" s="497" t="str">
        <f t="shared" si="188"/>
        <v/>
      </c>
      <c r="Z2885" s="497" t="str">
        <f t="shared" si="188"/>
        <v/>
      </c>
    </row>
    <row r="2886" spans="1:26" s="82" customFormat="1" x14ac:dyDescent="0.4">
      <c r="A2886" s="493">
        <v>67883</v>
      </c>
      <c r="B2886" s="105" t="s">
        <v>329</v>
      </c>
      <c r="C2886" s="493" t="s">
        <v>330</v>
      </c>
      <c r="D2886" s="105" t="s">
        <v>3468</v>
      </c>
      <c r="E2886" s="105" t="s">
        <v>3469</v>
      </c>
      <c r="F2886" s="493">
        <v>66445</v>
      </c>
      <c r="G2886" s="105" t="s">
        <v>52</v>
      </c>
      <c r="H2886" s="105" t="s">
        <v>333</v>
      </c>
      <c r="I2886" s="105" t="s">
        <v>334</v>
      </c>
      <c r="J2886" s="493">
        <v>22</v>
      </c>
      <c r="K2886" s="493">
        <v>2</v>
      </c>
      <c r="L2886" s="105" t="s">
        <v>343</v>
      </c>
      <c r="M2886" s="105" t="s">
        <v>403</v>
      </c>
      <c r="N2886" s="105" t="s">
        <v>404</v>
      </c>
      <c r="O2886" s="105" t="s">
        <v>232</v>
      </c>
      <c r="P2886" s="105" t="s">
        <v>346</v>
      </c>
      <c r="Q2886" s="494">
        <v>52</v>
      </c>
      <c r="R2886" s="494">
        <v>52</v>
      </c>
      <c r="S2886" s="494">
        <v>0</v>
      </c>
      <c r="T2886" s="494">
        <v>0</v>
      </c>
      <c r="U2886" s="494">
        <v>-48</v>
      </c>
      <c r="V2886" s="493">
        <v>2024</v>
      </c>
      <c r="W2886" s="495"/>
      <c r="X2886" s="496" t="str">
        <f t="shared" si="185"/>
        <v/>
      </c>
      <c r="Y2886" s="497" t="str">
        <f t="shared" si="188"/>
        <v/>
      </c>
      <c r="Z2886" s="497" t="str">
        <f t="shared" si="188"/>
        <v/>
      </c>
    </row>
    <row r="2887" spans="1:26" s="82" customFormat="1" x14ac:dyDescent="0.4">
      <c r="A2887" s="493">
        <v>67886</v>
      </c>
      <c r="B2887" s="105" t="s">
        <v>329</v>
      </c>
      <c r="C2887" s="493" t="s">
        <v>330</v>
      </c>
      <c r="D2887" s="105" t="s">
        <v>3470</v>
      </c>
      <c r="E2887" s="105" t="s">
        <v>3469</v>
      </c>
      <c r="F2887" s="493">
        <v>66445</v>
      </c>
      <c r="G2887" s="105" t="s">
        <v>52</v>
      </c>
      <c r="H2887" s="105" t="s">
        <v>333</v>
      </c>
      <c r="I2887" s="105" t="s">
        <v>334</v>
      </c>
      <c r="J2887" s="493">
        <v>22</v>
      </c>
      <c r="K2887" s="493">
        <v>2</v>
      </c>
      <c r="L2887" s="105" t="s">
        <v>343</v>
      </c>
      <c r="M2887" s="105" t="s">
        <v>403</v>
      </c>
      <c r="N2887" s="105" t="s">
        <v>404</v>
      </c>
      <c r="O2887" s="105" t="s">
        <v>232</v>
      </c>
      <c r="P2887" s="105" t="s">
        <v>346</v>
      </c>
      <c r="Q2887" s="494">
        <v>695</v>
      </c>
      <c r="R2887" s="494">
        <v>695</v>
      </c>
      <c r="S2887" s="494">
        <v>0</v>
      </c>
      <c r="T2887" s="494">
        <v>0</v>
      </c>
      <c r="U2887" s="494">
        <v>-202</v>
      </c>
      <c r="V2887" s="493">
        <v>2024</v>
      </c>
      <c r="W2887" s="495"/>
      <c r="X2887" s="496" t="str">
        <f t="shared" si="185"/>
        <v/>
      </c>
      <c r="Y2887" s="497" t="str">
        <f t="shared" si="188"/>
        <v/>
      </c>
      <c r="Z2887" s="497" t="str">
        <f t="shared" si="188"/>
        <v/>
      </c>
    </row>
    <row r="2888" spans="1:26" s="82" customFormat="1" x14ac:dyDescent="0.4">
      <c r="A2888" s="493">
        <v>67903</v>
      </c>
      <c r="B2888" s="105" t="s">
        <v>329</v>
      </c>
      <c r="C2888" s="493" t="s">
        <v>330</v>
      </c>
      <c r="D2888" s="105" t="s">
        <v>3471</v>
      </c>
      <c r="E2888" s="105" t="s">
        <v>1666</v>
      </c>
      <c r="F2888" s="493">
        <v>62836</v>
      </c>
      <c r="G2888" s="105" t="s">
        <v>34</v>
      </c>
      <c r="H2888" s="105" t="s">
        <v>342</v>
      </c>
      <c r="I2888" s="105" t="s">
        <v>334</v>
      </c>
      <c r="J2888" s="493">
        <v>22</v>
      </c>
      <c r="K2888" s="493">
        <v>2</v>
      </c>
      <c r="L2888" s="105" t="s">
        <v>343</v>
      </c>
      <c r="M2888" s="105" t="s">
        <v>655</v>
      </c>
      <c r="N2888" s="105" t="s">
        <v>656</v>
      </c>
      <c r="O2888" s="105" t="s">
        <v>656</v>
      </c>
      <c r="P2888" s="105" t="s">
        <v>339</v>
      </c>
      <c r="Q2888" s="494">
        <v>0</v>
      </c>
      <c r="R2888" s="494">
        <v>0</v>
      </c>
      <c r="S2888" s="494">
        <v>222</v>
      </c>
      <c r="T2888" s="494">
        <v>222</v>
      </c>
      <c r="U2888" s="494">
        <v>65</v>
      </c>
      <c r="V2888" s="493">
        <v>2024</v>
      </c>
      <c r="W2888" s="495"/>
      <c r="X2888" s="496">
        <f t="shared" si="185"/>
        <v>3.4153846153846152</v>
      </c>
      <c r="Y2888" s="497" t="str">
        <f t="shared" ref="Y2888:Z2907" si="189">IF(AND($M2888=$Y$2,$N2888=$Y$3,NOT($Q2888=$R2888),NOT($U2888=0)),IF($K2888=5,$S2888/($U2888+(8/5)*$U2888),IF($K2888=7,$S2888/($U2888+(29/25)*$U2888),"")),"")</f>
        <v/>
      </c>
      <c r="Z2888" s="497" t="str">
        <f t="shared" si="189"/>
        <v/>
      </c>
    </row>
    <row r="2889" spans="1:26" s="82" customFormat="1" x14ac:dyDescent="0.4">
      <c r="A2889" s="493">
        <v>67908</v>
      </c>
      <c r="B2889" s="105" t="s">
        <v>329</v>
      </c>
      <c r="C2889" s="493" t="s">
        <v>330</v>
      </c>
      <c r="D2889" s="105" t="s">
        <v>3472</v>
      </c>
      <c r="E2889" s="105" t="s">
        <v>2370</v>
      </c>
      <c r="F2889" s="493">
        <v>62923</v>
      </c>
      <c r="G2889" s="105" t="s">
        <v>52</v>
      </c>
      <c r="H2889" s="105" t="s">
        <v>333</v>
      </c>
      <c r="I2889" s="105" t="s">
        <v>334</v>
      </c>
      <c r="J2889" s="493">
        <v>22</v>
      </c>
      <c r="K2889" s="493">
        <v>2</v>
      </c>
      <c r="L2889" s="105" t="s">
        <v>343</v>
      </c>
      <c r="M2889" s="105" t="s">
        <v>655</v>
      </c>
      <c r="N2889" s="105" t="s">
        <v>656</v>
      </c>
      <c r="O2889" s="105" t="s">
        <v>656</v>
      </c>
      <c r="P2889" s="105" t="s">
        <v>339</v>
      </c>
      <c r="Q2889" s="494">
        <v>0</v>
      </c>
      <c r="R2889" s="494">
        <v>0</v>
      </c>
      <c r="S2889" s="494">
        <v>24632</v>
      </c>
      <c r="T2889" s="494">
        <v>24632</v>
      </c>
      <c r="U2889" s="494">
        <v>7219</v>
      </c>
      <c r="V2889" s="493">
        <v>2024</v>
      </c>
      <c r="W2889" s="495"/>
      <c r="X2889" s="496">
        <f t="shared" ref="X2889:X2952" si="190">IF(OR(K2889&gt;3,T2889=0,NOT(U2889&gt;0)),"",T2889/U2889)</f>
        <v>3.4121069400193931</v>
      </c>
      <c r="Y2889" s="497" t="str">
        <f t="shared" si="189"/>
        <v/>
      </c>
      <c r="Z2889" s="497" t="str">
        <f t="shared" si="189"/>
        <v/>
      </c>
    </row>
    <row r="2890" spans="1:26" s="82" customFormat="1" x14ac:dyDescent="0.4">
      <c r="A2890" s="493">
        <v>67911</v>
      </c>
      <c r="B2890" s="105" t="s">
        <v>329</v>
      </c>
      <c r="C2890" s="493" t="s">
        <v>330</v>
      </c>
      <c r="D2890" s="105" t="s">
        <v>3473</v>
      </c>
      <c r="E2890" s="105" t="s">
        <v>3474</v>
      </c>
      <c r="F2890" s="493">
        <v>66475</v>
      </c>
      <c r="G2890" s="105" t="s">
        <v>52</v>
      </c>
      <c r="H2890" s="105" t="s">
        <v>333</v>
      </c>
      <c r="I2890" s="105" t="s">
        <v>334</v>
      </c>
      <c r="J2890" s="493">
        <v>22</v>
      </c>
      <c r="K2890" s="493">
        <v>2</v>
      </c>
      <c r="L2890" s="105" t="s">
        <v>343</v>
      </c>
      <c r="M2890" s="105" t="s">
        <v>655</v>
      </c>
      <c r="N2890" s="105" t="s">
        <v>656</v>
      </c>
      <c r="O2890" s="105" t="s">
        <v>656</v>
      </c>
      <c r="P2890" s="105" t="s">
        <v>339</v>
      </c>
      <c r="Q2890" s="494">
        <v>0</v>
      </c>
      <c r="R2890" s="494">
        <v>0</v>
      </c>
      <c r="S2890" s="494">
        <v>3723</v>
      </c>
      <c r="T2890" s="494">
        <v>3723</v>
      </c>
      <c r="U2890" s="494">
        <v>1091</v>
      </c>
      <c r="V2890" s="493">
        <v>2024</v>
      </c>
      <c r="W2890" s="495"/>
      <c r="X2890" s="496">
        <f t="shared" si="190"/>
        <v>3.4124656278643446</v>
      </c>
      <c r="Y2890" s="497" t="str">
        <f t="shared" si="189"/>
        <v/>
      </c>
      <c r="Z2890" s="497" t="str">
        <f t="shared" si="189"/>
        <v/>
      </c>
    </row>
    <row r="2891" spans="1:26" s="82" customFormat="1" ht="32" x14ac:dyDescent="0.4">
      <c r="A2891" s="493">
        <v>67912</v>
      </c>
      <c r="B2891" s="105" t="s">
        <v>329</v>
      </c>
      <c r="C2891" s="493" t="s">
        <v>330</v>
      </c>
      <c r="D2891" s="105" t="s">
        <v>3475</v>
      </c>
      <c r="E2891" s="105" t="s">
        <v>3476</v>
      </c>
      <c r="F2891" s="493">
        <v>66476</v>
      </c>
      <c r="G2891" s="105" t="s">
        <v>52</v>
      </c>
      <c r="H2891" s="105" t="s">
        <v>333</v>
      </c>
      <c r="I2891" s="105" t="s">
        <v>334</v>
      </c>
      <c r="J2891" s="493">
        <v>22</v>
      </c>
      <c r="K2891" s="493">
        <v>2</v>
      </c>
      <c r="L2891" s="105" t="s">
        <v>343</v>
      </c>
      <c r="M2891" s="105" t="s">
        <v>655</v>
      </c>
      <c r="N2891" s="105" t="s">
        <v>656</v>
      </c>
      <c r="O2891" s="105" t="s">
        <v>656</v>
      </c>
      <c r="P2891" s="105" t="s">
        <v>339</v>
      </c>
      <c r="Q2891" s="494">
        <v>0</v>
      </c>
      <c r="R2891" s="494">
        <v>0</v>
      </c>
      <c r="S2891" s="494">
        <v>3055</v>
      </c>
      <c r="T2891" s="494">
        <v>3055</v>
      </c>
      <c r="U2891" s="494">
        <v>895</v>
      </c>
      <c r="V2891" s="493">
        <v>2024</v>
      </c>
      <c r="W2891" s="495"/>
      <c r="X2891" s="496">
        <f t="shared" si="190"/>
        <v>3.4134078212290504</v>
      </c>
      <c r="Y2891" s="497" t="str">
        <f t="shared" si="189"/>
        <v/>
      </c>
      <c r="Z2891" s="497" t="str">
        <f t="shared" si="189"/>
        <v/>
      </c>
    </row>
    <row r="2892" spans="1:26" s="82" customFormat="1" x14ac:dyDescent="0.4">
      <c r="A2892" s="493">
        <v>67920</v>
      </c>
      <c r="B2892" s="105" t="s">
        <v>329</v>
      </c>
      <c r="C2892" s="493" t="s">
        <v>330</v>
      </c>
      <c r="D2892" s="105" t="s">
        <v>3477</v>
      </c>
      <c r="E2892" s="105" t="s">
        <v>2196</v>
      </c>
      <c r="F2892" s="493">
        <v>63359</v>
      </c>
      <c r="G2892" s="105" t="s">
        <v>34</v>
      </c>
      <c r="H2892" s="105" t="s">
        <v>342</v>
      </c>
      <c r="I2892" s="105" t="s">
        <v>339</v>
      </c>
      <c r="J2892" s="493">
        <v>22</v>
      </c>
      <c r="K2892" s="493">
        <v>2</v>
      </c>
      <c r="L2892" s="105" t="s">
        <v>343</v>
      </c>
      <c r="M2892" s="105" t="s">
        <v>655</v>
      </c>
      <c r="N2892" s="105" t="s">
        <v>656</v>
      </c>
      <c r="O2892" s="105" t="s">
        <v>656</v>
      </c>
      <c r="P2892" s="105" t="s">
        <v>339</v>
      </c>
      <c r="Q2892" s="494">
        <v>0</v>
      </c>
      <c r="R2892" s="494">
        <v>0</v>
      </c>
      <c r="S2892" s="494">
        <v>18698</v>
      </c>
      <c r="T2892" s="494">
        <v>18698</v>
      </c>
      <c r="U2892" s="494">
        <v>5480</v>
      </c>
      <c r="V2892" s="493">
        <v>2024</v>
      </c>
      <c r="W2892" s="495"/>
      <c r="X2892" s="496">
        <f t="shared" si="190"/>
        <v>3.4120437956204381</v>
      </c>
      <c r="Y2892" s="497" t="str">
        <f t="shared" si="189"/>
        <v/>
      </c>
      <c r="Z2892" s="497" t="str">
        <f t="shared" si="189"/>
        <v/>
      </c>
    </row>
    <row r="2893" spans="1:26" s="82" customFormat="1" x14ac:dyDescent="0.4">
      <c r="A2893" s="493">
        <v>67921</v>
      </c>
      <c r="B2893" s="105" t="s">
        <v>329</v>
      </c>
      <c r="C2893" s="493" t="s">
        <v>330</v>
      </c>
      <c r="D2893" s="105" t="s">
        <v>3478</v>
      </c>
      <c r="E2893" s="105" t="s">
        <v>2196</v>
      </c>
      <c r="F2893" s="493">
        <v>63359</v>
      </c>
      <c r="G2893" s="105" t="s">
        <v>34</v>
      </c>
      <c r="H2893" s="105" t="s">
        <v>342</v>
      </c>
      <c r="I2893" s="105" t="s">
        <v>339</v>
      </c>
      <c r="J2893" s="493">
        <v>22</v>
      </c>
      <c r="K2893" s="493">
        <v>2</v>
      </c>
      <c r="L2893" s="105" t="s">
        <v>343</v>
      </c>
      <c r="M2893" s="105" t="s">
        <v>655</v>
      </c>
      <c r="N2893" s="105" t="s">
        <v>656</v>
      </c>
      <c r="O2893" s="105" t="s">
        <v>656</v>
      </c>
      <c r="P2893" s="105" t="s">
        <v>339</v>
      </c>
      <c r="Q2893" s="494">
        <v>0</v>
      </c>
      <c r="R2893" s="494">
        <v>0</v>
      </c>
      <c r="S2893" s="494">
        <v>12304</v>
      </c>
      <c r="T2893" s="494">
        <v>12304</v>
      </c>
      <c r="U2893" s="494">
        <v>3606</v>
      </c>
      <c r="V2893" s="493">
        <v>2024</v>
      </c>
      <c r="W2893" s="495"/>
      <c r="X2893" s="496">
        <f t="shared" si="190"/>
        <v>3.4120909595119246</v>
      </c>
      <c r="Y2893" s="497" t="str">
        <f t="shared" si="189"/>
        <v/>
      </c>
      <c r="Z2893" s="497" t="str">
        <f t="shared" si="189"/>
        <v/>
      </c>
    </row>
    <row r="2894" spans="1:26" s="82" customFormat="1" x14ac:dyDescent="0.4">
      <c r="A2894" s="493">
        <v>67922</v>
      </c>
      <c r="B2894" s="105" t="s">
        <v>329</v>
      </c>
      <c r="C2894" s="493" t="s">
        <v>330</v>
      </c>
      <c r="D2894" s="105" t="s">
        <v>3479</v>
      </c>
      <c r="E2894" s="105" t="s">
        <v>2196</v>
      </c>
      <c r="F2894" s="493">
        <v>63359</v>
      </c>
      <c r="G2894" s="105" t="s">
        <v>34</v>
      </c>
      <c r="H2894" s="105" t="s">
        <v>342</v>
      </c>
      <c r="I2894" s="105" t="s">
        <v>339</v>
      </c>
      <c r="J2894" s="493">
        <v>22</v>
      </c>
      <c r="K2894" s="493">
        <v>2</v>
      </c>
      <c r="L2894" s="105" t="s">
        <v>343</v>
      </c>
      <c r="M2894" s="105" t="s">
        <v>655</v>
      </c>
      <c r="N2894" s="105" t="s">
        <v>656</v>
      </c>
      <c r="O2894" s="105" t="s">
        <v>656</v>
      </c>
      <c r="P2894" s="105" t="s">
        <v>339</v>
      </c>
      <c r="Q2894" s="494">
        <v>0</v>
      </c>
      <c r="R2894" s="494">
        <v>0</v>
      </c>
      <c r="S2894" s="494">
        <v>20476</v>
      </c>
      <c r="T2894" s="494">
        <v>20476</v>
      </c>
      <c r="U2894" s="494">
        <v>6001</v>
      </c>
      <c r="V2894" s="493">
        <v>2024</v>
      </c>
      <c r="W2894" s="495"/>
      <c r="X2894" s="496">
        <f t="shared" si="190"/>
        <v>3.4120979836693883</v>
      </c>
      <c r="Y2894" s="497" t="str">
        <f t="shared" si="189"/>
        <v/>
      </c>
      <c r="Z2894" s="497" t="str">
        <f t="shared" si="189"/>
        <v/>
      </c>
    </row>
    <row r="2895" spans="1:26" s="82" customFormat="1" x14ac:dyDescent="0.4">
      <c r="A2895" s="493">
        <v>67923</v>
      </c>
      <c r="B2895" s="105" t="s">
        <v>329</v>
      </c>
      <c r="C2895" s="493" t="s">
        <v>330</v>
      </c>
      <c r="D2895" s="105" t="s">
        <v>3480</v>
      </c>
      <c r="E2895" s="105" t="s">
        <v>2196</v>
      </c>
      <c r="F2895" s="493">
        <v>63359</v>
      </c>
      <c r="G2895" s="105" t="s">
        <v>34</v>
      </c>
      <c r="H2895" s="105" t="s">
        <v>342</v>
      </c>
      <c r="I2895" s="105" t="s">
        <v>339</v>
      </c>
      <c r="J2895" s="493">
        <v>22</v>
      </c>
      <c r="K2895" s="493">
        <v>2</v>
      </c>
      <c r="L2895" s="105" t="s">
        <v>343</v>
      </c>
      <c r="M2895" s="105" t="s">
        <v>655</v>
      </c>
      <c r="N2895" s="105" t="s">
        <v>656</v>
      </c>
      <c r="O2895" s="105" t="s">
        <v>656</v>
      </c>
      <c r="P2895" s="105" t="s">
        <v>339</v>
      </c>
      <c r="Q2895" s="494">
        <v>0</v>
      </c>
      <c r="R2895" s="494">
        <v>0</v>
      </c>
      <c r="S2895" s="494">
        <v>0</v>
      </c>
      <c r="T2895" s="494">
        <v>0</v>
      </c>
      <c r="U2895" s="494">
        <v>0</v>
      </c>
      <c r="V2895" s="493">
        <v>2024</v>
      </c>
      <c r="W2895" s="495"/>
      <c r="X2895" s="496" t="str">
        <f t="shared" si="190"/>
        <v/>
      </c>
      <c r="Y2895" s="497" t="str">
        <f t="shared" si="189"/>
        <v/>
      </c>
      <c r="Z2895" s="497" t="str">
        <f t="shared" si="189"/>
        <v/>
      </c>
    </row>
    <row r="2896" spans="1:26" s="82" customFormat="1" x14ac:dyDescent="0.4">
      <c r="A2896" s="493">
        <v>67924</v>
      </c>
      <c r="B2896" s="105" t="s">
        <v>329</v>
      </c>
      <c r="C2896" s="493" t="s">
        <v>330</v>
      </c>
      <c r="D2896" s="105" t="s">
        <v>3481</v>
      </c>
      <c r="E2896" s="105" t="s">
        <v>2196</v>
      </c>
      <c r="F2896" s="493">
        <v>63359</v>
      </c>
      <c r="G2896" s="105" t="s">
        <v>33</v>
      </c>
      <c r="H2896" s="105" t="s">
        <v>342</v>
      </c>
      <c r="I2896" s="105" t="s">
        <v>339</v>
      </c>
      <c r="J2896" s="493">
        <v>22</v>
      </c>
      <c r="K2896" s="493">
        <v>2</v>
      </c>
      <c r="L2896" s="105" t="s">
        <v>343</v>
      </c>
      <c r="M2896" s="105" t="s">
        <v>655</v>
      </c>
      <c r="N2896" s="105" t="s">
        <v>656</v>
      </c>
      <c r="O2896" s="105" t="s">
        <v>656</v>
      </c>
      <c r="P2896" s="105" t="s">
        <v>339</v>
      </c>
      <c r="Q2896" s="494">
        <v>0</v>
      </c>
      <c r="R2896" s="494">
        <v>0</v>
      </c>
      <c r="S2896" s="494">
        <v>7324</v>
      </c>
      <c r="T2896" s="494">
        <v>7324</v>
      </c>
      <c r="U2896" s="494">
        <v>2147</v>
      </c>
      <c r="V2896" s="493">
        <v>2024</v>
      </c>
      <c r="W2896" s="495"/>
      <c r="X2896" s="496">
        <f t="shared" si="190"/>
        <v>3.4112715416860735</v>
      </c>
      <c r="Y2896" s="497" t="str">
        <f t="shared" si="189"/>
        <v/>
      </c>
      <c r="Z2896" s="497" t="str">
        <f t="shared" si="189"/>
        <v/>
      </c>
    </row>
    <row r="2897" spans="1:26" s="82" customFormat="1" x14ac:dyDescent="0.4">
      <c r="A2897" s="493">
        <v>67925</v>
      </c>
      <c r="B2897" s="105" t="s">
        <v>329</v>
      </c>
      <c r="C2897" s="493" t="s">
        <v>330</v>
      </c>
      <c r="D2897" s="105" t="s">
        <v>3482</v>
      </c>
      <c r="E2897" s="105" t="s">
        <v>2196</v>
      </c>
      <c r="F2897" s="493">
        <v>63359</v>
      </c>
      <c r="G2897" s="105" t="s">
        <v>34</v>
      </c>
      <c r="H2897" s="105" t="s">
        <v>342</v>
      </c>
      <c r="I2897" s="105" t="s">
        <v>339</v>
      </c>
      <c r="J2897" s="493">
        <v>22</v>
      </c>
      <c r="K2897" s="493">
        <v>2</v>
      </c>
      <c r="L2897" s="105" t="s">
        <v>343</v>
      </c>
      <c r="M2897" s="105" t="s">
        <v>655</v>
      </c>
      <c r="N2897" s="105" t="s">
        <v>656</v>
      </c>
      <c r="O2897" s="105" t="s">
        <v>656</v>
      </c>
      <c r="P2897" s="105" t="s">
        <v>339</v>
      </c>
      <c r="Q2897" s="494">
        <v>0</v>
      </c>
      <c r="R2897" s="494">
        <v>0</v>
      </c>
      <c r="S2897" s="494">
        <v>8603</v>
      </c>
      <c r="T2897" s="494">
        <v>8603</v>
      </c>
      <c r="U2897" s="494">
        <v>2521</v>
      </c>
      <c r="V2897" s="493">
        <v>2024</v>
      </c>
      <c r="W2897" s="495"/>
      <c r="X2897" s="496">
        <f t="shared" si="190"/>
        <v>3.4125347084490283</v>
      </c>
      <c r="Y2897" s="497" t="str">
        <f t="shared" si="189"/>
        <v/>
      </c>
      <c r="Z2897" s="497" t="str">
        <f t="shared" si="189"/>
        <v/>
      </c>
    </row>
    <row r="2898" spans="1:26" s="82" customFormat="1" x14ac:dyDescent="0.4">
      <c r="A2898" s="493">
        <v>67926</v>
      </c>
      <c r="B2898" s="105" t="s">
        <v>329</v>
      </c>
      <c r="C2898" s="493" t="s">
        <v>330</v>
      </c>
      <c r="D2898" s="105" t="s">
        <v>3483</v>
      </c>
      <c r="E2898" s="105" t="s">
        <v>2196</v>
      </c>
      <c r="F2898" s="493">
        <v>63359</v>
      </c>
      <c r="G2898" s="105" t="s">
        <v>33</v>
      </c>
      <c r="H2898" s="105" t="s">
        <v>342</v>
      </c>
      <c r="I2898" s="105" t="s">
        <v>339</v>
      </c>
      <c r="J2898" s="493">
        <v>22</v>
      </c>
      <c r="K2898" s="493">
        <v>2</v>
      </c>
      <c r="L2898" s="105" t="s">
        <v>343</v>
      </c>
      <c r="M2898" s="105" t="s">
        <v>655</v>
      </c>
      <c r="N2898" s="105" t="s">
        <v>656</v>
      </c>
      <c r="O2898" s="105" t="s">
        <v>656</v>
      </c>
      <c r="P2898" s="105" t="s">
        <v>339</v>
      </c>
      <c r="Q2898" s="494">
        <v>0</v>
      </c>
      <c r="R2898" s="494">
        <v>0</v>
      </c>
      <c r="S2898" s="494">
        <v>25663</v>
      </c>
      <c r="T2898" s="494">
        <v>25663</v>
      </c>
      <c r="U2898" s="494">
        <v>7521</v>
      </c>
      <c r="V2898" s="493">
        <v>2024</v>
      </c>
      <c r="W2898" s="495"/>
      <c r="X2898" s="496">
        <f t="shared" si="190"/>
        <v>3.4121792314851747</v>
      </c>
      <c r="Y2898" s="497" t="str">
        <f t="shared" si="189"/>
        <v/>
      </c>
      <c r="Z2898" s="497" t="str">
        <f t="shared" si="189"/>
        <v/>
      </c>
    </row>
    <row r="2899" spans="1:26" s="82" customFormat="1" x14ac:dyDescent="0.4">
      <c r="A2899" s="493">
        <v>67927</v>
      </c>
      <c r="B2899" s="105" t="s">
        <v>329</v>
      </c>
      <c r="C2899" s="493" t="s">
        <v>330</v>
      </c>
      <c r="D2899" s="105" t="s">
        <v>3484</v>
      </c>
      <c r="E2899" s="105" t="s">
        <v>2196</v>
      </c>
      <c r="F2899" s="493">
        <v>63359</v>
      </c>
      <c r="G2899" s="105" t="s">
        <v>34</v>
      </c>
      <c r="H2899" s="105" t="s">
        <v>342</v>
      </c>
      <c r="I2899" s="105" t="s">
        <v>339</v>
      </c>
      <c r="J2899" s="493">
        <v>22</v>
      </c>
      <c r="K2899" s="493">
        <v>2</v>
      </c>
      <c r="L2899" s="105" t="s">
        <v>343</v>
      </c>
      <c r="M2899" s="105" t="s">
        <v>655</v>
      </c>
      <c r="N2899" s="105" t="s">
        <v>656</v>
      </c>
      <c r="O2899" s="105" t="s">
        <v>656</v>
      </c>
      <c r="P2899" s="105" t="s">
        <v>339</v>
      </c>
      <c r="Q2899" s="494">
        <v>0</v>
      </c>
      <c r="R2899" s="494">
        <v>0</v>
      </c>
      <c r="S2899" s="494">
        <v>20848</v>
      </c>
      <c r="T2899" s="494">
        <v>20848</v>
      </c>
      <c r="U2899" s="494">
        <v>6110</v>
      </c>
      <c r="V2899" s="493">
        <v>2024</v>
      </c>
      <c r="W2899" s="495"/>
      <c r="X2899" s="496">
        <f t="shared" si="190"/>
        <v>3.4121112929623569</v>
      </c>
      <c r="Y2899" s="497" t="str">
        <f t="shared" si="189"/>
        <v/>
      </c>
      <c r="Z2899" s="497" t="str">
        <f t="shared" si="189"/>
        <v/>
      </c>
    </row>
    <row r="2900" spans="1:26" s="82" customFormat="1" x14ac:dyDescent="0.4">
      <c r="A2900" s="493">
        <v>67928</v>
      </c>
      <c r="B2900" s="105" t="s">
        <v>329</v>
      </c>
      <c r="C2900" s="493" t="s">
        <v>330</v>
      </c>
      <c r="D2900" s="105" t="s">
        <v>3485</v>
      </c>
      <c r="E2900" s="105" t="s">
        <v>2196</v>
      </c>
      <c r="F2900" s="493">
        <v>63359</v>
      </c>
      <c r="G2900" s="105" t="s">
        <v>34</v>
      </c>
      <c r="H2900" s="105" t="s">
        <v>342</v>
      </c>
      <c r="I2900" s="105" t="s">
        <v>339</v>
      </c>
      <c r="J2900" s="493">
        <v>22</v>
      </c>
      <c r="K2900" s="493">
        <v>2</v>
      </c>
      <c r="L2900" s="105" t="s">
        <v>343</v>
      </c>
      <c r="M2900" s="105" t="s">
        <v>655</v>
      </c>
      <c r="N2900" s="105" t="s">
        <v>656</v>
      </c>
      <c r="O2900" s="105" t="s">
        <v>656</v>
      </c>
      <c r="P2900" s="105" t="s">
        <v>339</v>
      </c>
      <c r="Q2900" s="494">
        <v>0</v>
      </c>
      <c r="R2900" s="494">
        <v>0</v>
      </c>
      <c r="S2900" s="494">
        <v>14009</v>
      </c>
      <c r="T2900" s="494">
        <v>14009</v>
      </c>
      <c r="U2900" s="494">
        <v>4106</v>
      </c>
      <c r="V2900" s="493">
        <v>2024</v>
      </c>
      <c r="W2900" s="495"/>
      <c r="X2900" s="496">
        <f t="shared" si="190"/>
        <v>3.4118363370677058</v>
      </c>
      <c r="Y2900" s="497" t="str">
        <f t="shared" si="189"/>
        <v/>
      </c>
      <c r="Z2900" s="497" t="str">
        <f t="shared" si="189"/>
        <v/>
      </c>
    </row>
    <row r="2901" spans="1:26" s="82" customFormat="1" x14ac:dyDescent="0.4">
      <c r="A2901" s="493">
        <v>67929</v>
      </c>
      <c r="B2901" s="105" t="s">
        <v>329</v>
      </c>
      <c r="C2901" s="493" t="s">
        <v>330</v>
      </c>
      <c r="D2901" s="105" t="s">
        <v>3486</v>
      </c>
      <c r="E2901" s="105" t="s">
        <v>2196</v>
      </c>
      <c r="F2901" s="493">
        <v>63359</v>
      </c>
      <c r="G2901" s="105" t="s">
        <v>34</v>
      </c>
      <c r="H2901" s="105" t="s">
        <v>342</v>
      </c>
      <c r="I2901" s="105" t="s">
        <v>339</v>
      </c>
      <c r="J2901" s="493">
        <v>22</v>
      </c>
      <c r="K2901" s="493">
        <v>2</v>
      </c>
      <c r="L2901" s="105" t="s">
        <v>343</v>
      </c>
      <c r="M2901" s="105" t="s">
        <v>655</v>
      </c>
      <c r="N2901" s="105" t="s">
        <v>656</v>
      </c>
      <c r="O2901" s="105" t="s">
        <v>656</v>
      </c>
      <c r="P2901" s="105" t="s">
        <v>339</v>
      </c>
      <c r="Q2901" s="494">
        <v>0</v>
      </c>
      <c r="R2901" s="494">
        <v>0</v>
      </c>
      <c r="S2901" s="494">
        <v>21101</v>
      </c>
      <c r="T2901" s="494">
        <v>21101</v>
      </c>
      <c r="U2901" s="494">
        <v>6185</v>
      </c>
      <c r="V2901" s="493">
        <v>2024</v>
      </c>
      <c r="W2901" s="495"/>
      <c r="X2901" s="496">
        <f t="shared" si="190"/>
        <v>3.4116410670978174</v>
      </c>
      <c r="Y2901" s="497" t="str">
        <f t="shared" si="189"/>
        <v/>
      </c>
      <c r="Z2901" s="497" t="str">
        <f t="shared" si="189"/>
        <v/>
      </c>
    </row>
    <row r="2902" spans="1:26" s="82" customFormat="1" x14ac:dyDescent="0.4">
      <c r="A2902" s="493">
        <v>67932</v>
      </c>
      <c r="B2902" s="105" t="s">
        <v>329</v>
      </c>
      <c r="C2902" s="493" t="s">
        <v>330</v>
      </c>
      <c r="D2902" s="105" t="s">
        <v>3487</v>
      </c>
      <c r="E2902" s="105" t="s">
        <v>3488</v>
      </c>
      <c r="F2902" s="493">
        <v>66481</v>
      </c>
      <c r="G2902" s="105" t="s">
        <v>52</v>
      </c>
      <c r="H2902" s="105" t="s">
        <v>333</v>
      </c>
      <c r="I2902" s="105" t="s">
        <v>339</v>
      </c>
      <c r="J2902" s="493">
        <v>22</v>
      </c>
      <c r="K2902" s="493">
        <v>2</v>
      </c>
      <c r="L2902" s="105" t="s">
        <v>343</v>
      </c>
      <c r="M2902" s="105" t="s">
        <v>655</v>
      </c>
      <c r="N2902" s="105" t="s">
        <v>656</v>
      </c>
      <c r="O2902" s="105" t="s">
        <v>656</v>
      </c>
      <c r="P2902" s="105" t="s">
        <v>339</v>
      </c>
      <c r="Q2902" s="494">
        <v>0</v>
      </c>
      <c r="R2902" s="494">
        <v>0</v>
      </c>
      <c r="S2902" s="494">
        <v>7323</v>
      </c>
      <c r="T2902" s="494">
        <v>7323</v>
      </c>
      <c r="U2902" s="494">
        <v>2146</v>
      </c>
      <c r="V2902" s="493">
        <v>2024</v>
      </c>
      <c r="W2902" s="495"/>
      <c r="X2902" s="496">
        <f t="shared" si="190"/>
        <v>3.4123951537744643</v>
      </c>
      <c r="Y2902" s="497" t="str">
        <f t="shared" si="189"/>
        <v/>
      </c>
      <c r="Z2902" s="497" t="str">
        <f t="shared" si="189"/>
        <v/>
      </c>
    </row>
    <row r="2903" spans="1:26" s="82" customFormat="1" x14ac:dyDescent="0.4">
      <c r="A2903" s="493">
        <v>67938</v>
      </c>
      <c r="B2903" s="105" t="s">
        <v>329</v>
      </c>
      <c r="C2903" s="493" t="s">
        <v>330</v>
      </c>
      <c r="D2903" s="105" t="s">
        <v>3489</v>
      </c>
      <c r="E2903" s="105" t="s">
        <v>2196</v>
      </c>
      <c r="F2903" s="493">
        <v>63359</v>
      </c>
      <c r="G2903" s="105" t="s">
        <v>34</v>
      </c>
      <c r="H2903" s="105" t="s">
        <v>342</v>
      </c>
      <c r="I2903" s="105" t="s">
        <v>339</v>
      </c>
      <c r="J2903" s="493">
        <v>22</v>
      </c>
      <c r="K2903" s="493">
        <v>2</v>
      </c>
      <c r="L2903" s="105" t="s">
        <v>343</v>
      </c>
      <c r="M2903" s="105" t="s">
        <v>655</v>
      </c>
      <c r="N2903" s="105" t="s">
        <v>656</v>
      </c>
      <c r="O2903" s="105" t="s">
        <v>656</v>
      </c>
      <c r="P2903" s="105" t="s">
        <v>339</v>
      </c>
      <c r="Q2903" s="494">
        <v>0</v>
      </c>
      <c r="R2903" s="494">
        <v>0</v>
      </c>
      <c r="S2903" s="494">
        <v>29009</v>
      </c>
      <c r="T2903" s="494">
        <v>29009</v>
      </c>
      <c r="U2903" s="494">
        <v>8502</v>
      </c>
      <c r="V2903" s="493">
        <v>2024</v>
      </c>
      <c r="W2903" s="495"/>
      <c r="X2903" s="496">
        <f t="shared" si="190"/>
        <v>3.4120207010115267</v>
      </c>
      <c r="Y2903" s="497" t="str">
        <f t="shared" si="189"/>
        <v/>
      </c>
      <c r="Z2903" s="497" t="str">
        <f t="shared" si="189"/>
        <v/>
      </c>
    </row>
    <row r="2904" spans="1:26" s="82" customFormat="1" x14ac:dyDescent="0.4">
      <c r="A2904" s="493">
        <v>67939</v>
      </c>
      <c r="B2904" s="105" t="s">
        <v>329</v>
      </c>
      <c r="C2904" s="493" t="s">
        <v>330</v>
      </c>
      <c r="D2904" s="105" t="s">
        <v>3490</v>
      </c>
      <c r="E2904" s="105" t="s">
        <v>2196</v>
      </c>
      <c r="F2904" s="493">
        <v>63359</v>
      </c>
      <c r="G2904" s="105" t="s">
        <v>34</v>
      </c>
      <c r="H2904" s="105" t="s">
        <v>342</v>
      </c>
      <c r="I2904" s="105" t="s">
        <v>339</v>
      </c>
      <c r="J2904" s="493">
        <v>22</v>
      </c>
      <c r="K2904" s="493">
        <v>2</v>
      </c>
      <c r="L2904" s="105" t="s">
        <v>343</v>
      </c>
      <c r="M2904" s="105" t="s">
        <v>655</v>
      </c>
      <c r="N2904" s="105" t="s">
        <v>656</v>
      </c>
      <c r="O2904" s="105" t="s">
        <v>656</v>
      </c>
      <c r="P2904" s="105" t="s">
        <v>339</v>
      </c>
      <c r="Q2904" s="494">
        <v>0</v>
      </c>
      <c r="R2904" s="494">
        <v>0</v>
      </c>
      <c r="S2904" s="494">
        <v>27477</v>
      </c>
      <c r="T2904" s="494">
        <v>27477</v>
      </c>
      <c r="U2904" s="494">
        <v>8053</v>
      </c>
      <c r="V2904" s="493">
        <v>2024</v>
      </c>
      <c r="W2904" s="495"/>
      <c r="X2904" s="496">
        <f t="shared" si="190"/>
        <v>3.4120203650813363</v>
      </c>
      <c r="Y2904" s="497" t="str">
        <f t="shared" si="189"/>
        <v/>
      </c>
      <c r="Z2904" s="497" t="str">
        <f t="shared" si="189"/>
        <v/>
      </c>
    </row>
    <row r="2905" spans="1:26" s="82" customFormat="1" x14ac:dyDescent="0.4">
      <c r="A2905" s="493">
        <v>67940</v>
      </c>
      <c r="B2905" s="105" t="s">
        <v>329</v>
      </c>
      <c r="C2905" s="493" t="s">
        <v>330</v>
      </c>
      <c r="D2905" s="105" t="s">
        <v>3491</v>
      </c>
      <c r="E2905" s="105" t="s">
        <v>2196</v>
      </c>
      <c r="F2905" s="493">
        <v>63359</v>
      </c>
      <c r="G2905" s="105" t="s">
        <v>34</v>
      </c>
      <c r="H2905" s="105" t="s">
        <v>342</v>
      </c>
      <c r="I2905" s="105" t="s">
        <v>339</v>
      </c>
      <c r="J2905" s="493">
        <v>22</v>
      </c>
      <c r="K2905" s="493">
        <v>2</v>
      </c>
      <c r="L2905" s="105" t="s">
        <v>343</v>
      </c>
      <c r="M2905" s="105" t="s">
        <v>655</v>
      </c>
      <c r="N2905" s="105" t="s">
        <v>656</v>
      </c>
      <c r="O2905" s="105" t="s">
        <v>656</v>
      </c>
      <c r="P2905" s="105" t="s">
        <v>339</v>
      </c>
      <c r="Q2905" s="494">
        <v>0</v>
      </c>
      <c r="R2905" s="494">
        <v>0</v>
      </c>
      <c r="S2905" s="494">
        <v>13747</v>
      </c>
      <c r="T2905" s="494">
        <v>13747</v>
      </c>
      <c r="U2905" s="494">
        <v>4029</v>
      </c>
      <c r="V2905" s="493">
        <v>2024</v>
      </c>
      <c r="W2905" s="495"/>
      <c r="X2905" s="496">
        <f t="shared" si="190"/>
        <v>3.4120129064283939</v>
      </c>
      <c r="Y2905" s="497" t="str">
        <f t="shared" si="189"/>
        <v/>
      </c>
      <c r="Z2905" s="497" t="str">
        <f t="shared" si="189"/>
        <v/>
      </c>
    </row>
    <row r="2906" spans="1:26" s="82" customFormat="1" x14ac:dyDescent="0.4">
      <c r="A2906" s="493">
        <v>67944</v>
      </c>
      <c r="B2906" s="105" t="s">
        <v>329</v>
      </c>
      <c r="C2906" s="493" t="s">
        <v>330</v>
      </c>
      <c r="D2906" s="105" t="s">
        <v>3492</v>
      </c>
      <c r="E2906" s="105" t="s">
        <v>2196</v>
      </c>
      <c r="F2906" s="493">
        <v>63359</v>
      </c>
      <c r="G2906" s="105" t="s">
        <v>34</v>
      </c>
      <c r="H2906" s="105" t="s">
        <v>342</v>
      </c>
      <c r="I2906" s="105" t="s">
        <v>339</v>
      </c>
      <c r="J2906" s="493">
        <v>22</v>
      </c>
      <c r="K2906" s="493">
        <v>2</v>
      </c>
      <c r="L2906" s="105" t="s">
        <v>343</v>
      </c>
      <c r="M2906" s="105" t="s">
        <v>655</v>
      </c>
      <c r="N2906" s="105" t="s">
        <v>656</v>
      </c>
      <c r="O2906" s="105" t="s">
        <v>656</v>
      </c>
      <c r="P2906" s="105" t="s">
        <v>339</v>
      </c>
      <c r="Q2906" s="494">
        <v>0</v>
      </c>
      <c r="R2906" s="494">
        <v>0</v>
      </c>
      <c r="S2906" s="494">
        <v>0</v>
      </c>
      <c r="T2906" s="494">
        <v>0</v>
      </c>
      <c r="U2906" s="494">
        <v>0</v>
      </c>
      <c r="V2906" s="493">
        <v>2024</v>
      </c>
      <c r="W2906" s="495"/>
      <c r="X2906" s="496" t="str">
        <f t="shared" si="190"/>
        <v/>
      </c>
      <c r="Y2906" s="497" t="str">
        <f t="shared" si="189"/>
        <v/>
      </c>
      <c r="Z2906" s="497" t="str">
        <f t="shared" si="189"/>
        <v/>
      </c>
    </row>
    <row r="2907" spans="1:26" s="82" customFormat="1" x14ac:dyDescent="0.4">
      <c r="A2907" s="493">
        <v>67946</v>
      </c>
      <c r="B2907" s="105" t="s">
        <v>329</v>
      </c>
      <c r="C2907" s="493" t="s">
        <v>330</v>
      </c>
      <c r="D2907" s="105" t="s">
        <v>3493</v>
      </c>
      <c r="E2907" s="105" t="s">
        <v>2196</v>
      </c>
      <c r="F2907" s="493">
        <v>63359</v>
      </c>
      <c r="G2907" s="105" t="s">
        <v>34</v>
      </c>
      <c r="H2907" s="105" t="s">
        <v>342</v>
      </c>
      <c r="I2907" s="105" t="s">
        <v>339</v>
      </c>
      <c r="J2907" s="493">
        <v>22</v>
      </c>
      <c r="K2907" s="493">
        <v>2</v>
      </c>
      <c r="L2907" s="105" t="s">
        <v>343</v>
      </c>
      <c r="M2907" s="105" t="s">
        <v>655</v>
      </c>
      <c r="N2907" s="105" t="s">
        <v>656</v>
      </c>
      <c r="O2907" s="105" t="s">
        <v>656</v>
      </c>
      <c r="P2907" s="105" t="s">
        <v>339</v>
      </c>
      <c r="Q2907" s="494">
        <v>0</v>
      </c>
      <c r="R2907" s="494">
        <v>0</v>
      </c>
      <c r="S2907" s="494">
        <v>4978</v>
      </c>
      <c r="T2907" s="494">
        <v>4978</v>
      </c>
      <c r="U2907" s="494">
        <v>1459</v>
      </c>
      <c r="V2907" s="493">
        <v>2024</v>
      </c>
      <c r="W2907" s="495"/>
      <c r="X2907" s="496">
        <f t="shared" si="190"/>
        <v>3.4119259766963674</v>
      </c>
      <c r="Y2907" s="497" t="str">
        <f t="shared" si="189"/>
        <v/>
      </c>
      <c r="Z2907" s="497" t="str">
        <f t="shared" si="189"/>
        <v/>
      </c>
    </row>
    <row r="2908" spans="1:26" s="82" customFormat="1" x14ac:dyDescent="0.4">
      <c r="A2908" s="493">
        <v>67947</v>
      </c>
      <c r="B2908" s="105" t="s">
        <v>329</v>
      </c>
      <c r="C2908" s="493" t="s">
        <v>330</v>
      </c>
      <c r="D2908" s="105" t="s">
        <v>3494</v>
      </c>
      <c r="E2908" s="105" t="s">
        <v>2196</v>
      </c>
      <c r="F2908" s="493">
        <v>63359</v>
      </c>
      <c r="G2908" s="105" t="s">
        <v>33</v>
      </c>
      <c r="H2908" s="105" t="s">
        <v>342</v>
      </c>
      <c r="I2908" s="105" t="s">
        <v>339</v>
      </c>
      <c r="J2908" s="493">
        <v>22</v>
      </c>
      <c r="K2908" s="493">
        <v>2</v>
      </c>
      <c r="L2908" s="105" t="s">
        <v>343</v>
      </c>
      <c r="M2908" s="105" t="s">
        <v>655</v>
      </c>
      <c r="N2908" s="105" t="s">
        <v>656</v>
      </c>
      <c r="O2908" s="105" t="s">
        <v>656</v>
      </c>
      <c r="P2908" s="105" t="s">
        <v>339</v>
      </c>
      <c r="Q2908" s="494">
        <v>0</v>
      </c>
      <c r="R2908" s="494">
        <v>0</v>
      </c>
      <c r="S2908" s="494">
        <v>11549</v>
      </c>
      <c r="T2908" s="494">
        <v>11549</v>
      </c>
      <c r="U2908" s="494">
        <v>3385</v>
      </c>
      <c r="V2908" s="493">
        <v>2024</v>
      </c>
      <c r="W2908" s="495"/>
      <c r="X2908" s="496">
        <f t="shared" si="190"/>
        <v>3.4118168389955685</v>
      </c>
      <c r="Y2908" s="497" t="str">
        <f t="shared" ref="Y2908:Z2927" si="191">IF(AND($M2908=$Y$2,$N2908=$Y$3,NOT($Q2908=$R2908),NOT($U2908=0)),IF($K2908=5,$S2908/($U2908+(8/5)*$U2908),IF($K2908=7,$S2908/($U2908+(29/25)*$U2908),"")),"")</f>
        <v/>
      </c>
      <c r="Z2908" s="497" t="str">
        <f t="shared" si="191"/>
        <v/>
      </c>
    </row>
    <row r="2909" spans="1:26" s="82" customFormat="1" ht="32" x14ac:dyDescent="0.4">
      <c r="A2909" s="493">
        <v>68020</v>
      </c>
      <c r="B2909" s="105" t="s">
        <v>329</v>
      </c>
      <c r="C2909" s="493" t="s">
        <v>330</v>
      </c>
      <c r="D2909" s="105" t="s">
        <v>3495</v>
      </c>
      <c r="E2909" s="105" t="s">
        <v>3409</v>
      </c>
      <c r="F2909" s="493">
        <v>66264</v>
      </c>
      <c r="G2909" s="105" t="s">
        <v>52</v>
      </c>
      <c r="H2909" s="105" t="s">
        <v>333</v>
      </c>
      <c r="I2909" s="105" t="s">
        <v>339</v>
      </c>
      <c r="J2909" s="493">
        <v>22</v>
      </c>
      <c r="K2909" s="493">
        <v>2</v>
      </c>
      <c r="L2909" s="105" t="s">
        <v>343</v>
      </c>
      <c r="M2909" s="105" t="s">
        <v>655</v>
      </c>
      <c r="N2909" s="105" t="s">
        <v>656</v>
      </c>
      <c r="O2909" s="105" t="s">
        <v>656</v>
      </c>
      <c r="P2909" s="105" t="s">
        <v>339</v>
      </c>
      <c r="Q2909" s="494">
        <v>0</v>
      </c>
      <c r="R2909" s="494">
        <v>0</v>
      </c>
      <c r="S2909" s="494">
        <v>812</v>
      </c>
      <c r="T2909" s="494">
        <v>812</v>
      </c>
      <c r="U2909" s="494">
        <v>238</v>
      </c>
      <c r="V2909" s="493">
        <v>2024</v>
      </c>
      <c r="W2909" s="495"/>
      <c r="X2909" s="496">
        <f t="shared" si="190"/>
        <v>3.4117647058823528</v>
      </c>
      <c r="Y2909" s="497" t="str">
        <f t="shared" si="191"/>
        <v/>
      </c>
      <c r="Z2909" s="497" t="str">
        <f t="shared" si="191"/>
        <v/>
      </c>
    </row>
    <row r="2910" spans="1:26" s="82" customFormat="1" ht="48" x14ac:dyDescent="0.4">
      <c r="A2910" s="493">
        <v>68042</v>
      </c>
      <c r="B2910" s="105" t="s">
        <v>329</v>
      </c>
      <c r="C2910" s="493" t="s">
        <v>330</v>
      </c>
      <c r="D2910" s="105" t="s">
        <v>3496</v>
      </c>
      <c r="E2910" s="105" t="s">
        <v>1354</v>
      </c>
      <c r="F2910" s="493">
        <v>60025</v>
      </c>
      <c r="G2910" s="105" t="s">
        <v>34</v>
      </c>
      <c r="H2910" s="105" t="s">
        <v>342</v>
      </c>
      <c r="I2910" s="105" t="s">
        <v>339</v>
      </c>
      <c r="J2910" s="493">
        <v>22</v>
      </c>
      <c r="K2910" s="493">
        <v>2</v>
      </c>
      <c r="L2910" s="105" t="s">
        <v>343</v>
      </c>
      <c r="M2910" s="105" t="s">
        <v>655</v>
      </c>
      <c r="N2910" s="105" t="s">
        <v>656</v>
      </c>
      <c r="O2910" s="105" t="s">
        <v>656</v>
      </c>
      <c r="P2910" s="105" t="s">
        <v>339</v>
      </c>
      <c r="Q2910" s="494">
        <v>0</v>
      </c>
      <c r="R2910" s="494">
        <v>0</v>
      </c>
      <c r="S2910" s="494">
        <v>1850</v>
      </c>
      <c r="T2910" s="494">
        <v>1850</v>
      </c>
      <c r="U2910" s="494">
        <v>542</v>
      </c>
      <c r="V2910" s="493">
        <v>2024</v>
      </c>
      <c r="W2910" s="495"/>
      <c r="X2910" s="496">
        <f t="shared" si="190"/>
        <v>3.4132841328413286</v>
      </c>
      <c r="Y2910" s="497" t="str">
        <f t="shared" si="191"/>
        <v/>
      </c>
      <c r="Z2910" s="497" t="str">
        <f t="shared" si="191"/>
        <v/>
      </c>
    </row>
    <row r="2911" spans="1:26" s="82" customFormat="1" x14ac:dyDescent="0.4">
      <c r="A2911" s="493">
        <v>68067</v>
      </c>
      <c r="B2911" s="105" t="s">
        <v>329</v>
      </c>
      <c r="C2911" s="493" t="s">
        <v>330</v>
      </c>
      <c r="D2911" s="105" t="s">
        <v>3497</v>
      </c>
      <c r="E2911" s="105" t="s">
        <v>3498</v>
      </c>
      <c r="F2911" s="493">
        <v>66577</v>
      </c>
      <c r="G2911" s="105" t="s">
        <v>52</v>
      </c>
      <c r="H2911" s="105" t="s">
        <v>333</v>
      </c>
      <c r="I2911" s="105" t="s">
        <v>339</v>
      </c>
      <c r="J2911" s="493">
        <v>22</v>
      </c>
      <c r="K2911" s="493">
        <v>2</v>
      </c>
      <c r="L2911" s="105" t="s">
        <v>343</v>
      </c>
      <c r="M2911" s="105" t="s">
        <v>655</v>
      </c>
      <c r="N2911" s="105" t="s">
        <v>656</v>
      </c>
      <c r="O2911" s="105" t="s">
        <v>656</v>
      </c>
      <c r="P2911" s="105" t="s">
        <v>339</v>
      </c>
      <c r="Q2911" s="494">
        <v>0</v>
      </c>
      <c r="R2911" s="494">
        <v>0</v>
      </c>
      <c r="S2911" s="494">
        <v>2392</v>
      </c>
      <c r="T2911" s="494">
        <v>2392</v>
      </c>
      <c r="U2911" s="494">
        <v>701</v>
      </c>
      <c r="V2911" s="493">
        <v>2024</v>
      </c>
      <c r="W2911" s="495"/>
      <c r="X2911" s="496">
        <f t="shared" si="190"/>
        <v>3.4122681883024253</v>
      </c>
      <c r="Y2911" s="497" t="str">
        <f t="shared" si="191"/>
        <v/>
      </c>
      <c r="Z2911" s="497" t="str">
        <f t="shared" si="191"/>
        <v/>
      </c>
    </row>
    <row r="2912" spans="1:26" s="82" customFormat="1" ht="32" x14ac:dyDescent="0.4">
      <c r="A2912" s="493">
        <v>68069</v>
      </c>
      <c r="B2912" s="105" t="s">
        <v>329</v>
      </c>
      <c r="C2912" s="493" t="s">
        <v>330</v>
      </c>
      <c r="D2912" s="105" t="s">
        <v>3499</v>
      </c>
      <c r="E2912" s="105" t="s">
        <v>3500</v>
      </c>
      <c r="F2912" s="493">
        <v>66580</v>
      </c>
      <c r="G2912" s="105" t="s">
        <v>33</v>
      </c>
      <c r="H2912" s="105" t="s">
        <v>342</v>
      </c>
      <c r="I2912" s="105" t="s">
        <v>339</v>
      </c>
      <c r="J2912" s="493">
        <v>22</v>
      </c>
      <c r="K2912" s="493">
        <v>2</v>
      </c>
      <c r="L2912" s="105" t="s">
        <v>343</v>
      </c>
      <c r="M2912" s="105" t="s">
        <v>403</v>
      </c>
      <c r="N2912" s="105" t="s">
        <v>404</v>
      </c>
      <c r="O2912" s="105" t="s">
        <v>232</v>
      </c>
      <c r="P2912" s="105" t="s">
        <v>346</v>
      </c>
      <c r="Q2912" s="494">
        <v>261</v>
      </c>
      <c r="R2912" s="494">
        <v>261</v>
      </c>
      <c r="S2912" s="494">
        <v>0</v>
      </c>
      <c r="T2912" s="494">
        <v>0</v>
      </c>
      <c r="U2912" s="494">
        <v>-27</v>
      </c>
      <c r="V2912" s="493">
        <v>2024</v>
      </c>
      <c r="W2912" s="495"/>
      <c r="X2912" s="496" t="str">
        <f t="shared" si="190"/>
        <v/>
      </c>
      <c r="Y2912" s="497" t="str">
        <f t="shared" si="191"/>
        <v/>
      </c>
      <c r="Z2912" s="497" t="str">
        <f t="shared" si="191"/>
        <v/>
      </c>
    </row>
    <row r="2913" spans="1:26" s="82" customFormat="1" ht="32" x14ac:dyDescent="0.4">
      <c r="A2913" s="493">
        <v>68069</v>
      </c>
      <c r="B2913" s="105" t="s">
        <v>329</v>
      </c>
      <c r="C2913" s="493" t="s">
        <v>330</v>
      </c>
      <c r="D2913" s="105" t="s">
        <v>3499</v>
      </c>
      <c r="E2913" s="105" t="s">
        <v>3500</v>
      </c>
      <c r="F2913" s="493">
        <v>66580</v>
      </c>
      <c r="G2913" s="105" t="s">
        <v>33</v>
      </c>
      <c r="H2913" s="105" t="s">
        <v>342</v>
      </c>
      <c r="I2913" s="105" t="s">
        <v>339</v>
      </c>
      <c r="J2913" s="493">
        <v>22</v>
      </c>
      <c r="K2913" s="493">
        <v>2</v>
      </c>
      <c r="L2913" s="105" t="s">
        <v>343</v>
      </c>
      <c r="M2913" s="105" t="s">
        <v>655</v>
      </c>
      <c r="N2913" s="105" t="s">
        <v>656</v>
      </c>
      <c r="O2913" s="105" t="s">
        <v>656</v>
      </c>
      <c r="P2913" s="105" t="s">
        <v>339</v>
      </c>
      <c r="Q2913" s="494">
        <v>0</v>
      </c>
      <c r="R2913" s="494">
        <v>0</v>
      </c>
      <c r="S2913" s="494">
        <v>14044</v>
      </c>
      <c r="T2913" s="494">
        <v>14044</v>
      </c>
      <c r="U2913" s="494">
        <v>4116</v>
      </c>
      <c r="V2913" s="493">
        <v>2024</v>
      </c>
      <c r="W2913" s="495"/>
      <c r="X2913" s="496">
        <f t="shared" si="190"/>
        <v>3.4120505344995142</v>
      </c>
      <c r="Y2913" s="497" t="str">
        <f t="shared" si="191"/>
        <v/>
      </c>
      <c r="Z2913" s="497" t="str">
        <f t="shared" si="191"/>
        <v/>
      </c>
    </row>
    <row r="2914" spans="1:26" s="82" customFormat="1" ht="32" x14ac:dyDescent="0.4">
      <c r="A2914" s="493">
        <v>68091</v>
      </c>
      <c r="B2914" s="105" t="s">
        <v>329</v>
      </c>
      <c r="C2914" s="493" t="s">
        <v>330</v>
      </c>
      <c r="D2914" s="105" t="s">
        <v>3501</v>
      </c>
      <c r="E2914" s="105" t="s">
        <v>3409</v>
      </c>
      <c r="F2914" s="493">
        <v>66264</v>
      </c>
      <c r="G2914" s="105" t="s">
        <v>52</v>
      </c>
      <c r="H2914" s="105" t="s">
        <v>333</v>
      </c>
      <c r="I2914" s="105" t="s">
        <v>339</v>
      </c>
      <c r="J2914" s="493">
        <v>22</v>
      </c>
      <c r="K2914" s="493">
        <v>2</v>
      </c>
      <c r="L2914" s="105" t="s">
        <v>343</v>
      </c>
      <c r="M2914" s="105" t="s">
        <v>655</v>
      </c>
      <c r="N2914" s="105" t="s">
        <v>656</v>
      </c>
      <c r="O2914" s="105" t="s">
        <v>656</v>
      </c>
      <c r="P2914" s="105" t="s">
        <v>339</v>
      </c>
      <c r="Q2914" s="494">
        <v>0</v>
      </c>
      <c r="R2914" s="494">
        <v>0</v>
      </c>
      <c r="S2914" s="494">
        <v>89</v>
      </c>
      <c r="T2914" s="494">
        <v>89</v>
      </c>
      <c r="U2914" s="494">
        <v>26</v>
      </c>
      <c r="V2914" s="493">
        <v>2024</v>
      </c>
      <c r="W2914" s="495"/>
      <c r="X2914" s="496">
        <f t="shared" si="190"/>
        <v>3.4230769230769229</v>
      </c>
      <c r="Y2914" s="497" t="str">
        <f t="shared" si="191"/>
        <v/>
      </c>
      <c r="Z2914" s="497" t="str">
        <f t="shared" si="191"/>
        <v/>
      </c>
    </row>
    <row r="2915" spans="1:26" s="82" customFormat="1" ht="32" x14ac:dyDescent="0.4">
      <c r="A2915" s="493">
        <v>68092</v>
      </c>
      <c r="B2915" s="105" t="s">
        <v>329</v>
      </c>
      <c r="C2915" s="493" t="s">
        <v>330</v>
      </c>
      <c r="D2915" s="105" t="s">
        <v>3502</v>
      </c>
      <c r="E2915" s="105" t="s">
        <v>3409</v>
      </c>
      <c r="F2915" s="493">
        <v>66264</v>
      </c>
      <c r="G2915" s="105" t="s">
        <v>52</v>
      </c>
      <c r="H2915" s="105" t="s">
        <v>333</v>
      </c>
      <c r="I2915" s="105" t="s">
        <v>339</v>
      </c>
      <c r="J2915" s="493">
        <v>22</v>
      </c>
      <c r="K2915" s="493">
        <v>2</v>
      </c>
      <c r="L2915" s="105" t="s">
        <v>343</v>
      </c>
      <c r="M2915" s="105" t="s">
        <v>655</v>
      </c>
      <c r="N2915" s="105" t="s">
        <v>656</v>
      </c>
      <c r="O2915" s="105" t="s">
        <v>656</v>
      </c>
      <c r="P2915" s="105" t="s">
        <v>339</v>
      </c>
      <c r="Q2915" s="494">
        <v>0</v>
      </c>
      <c r="R2915" s="494">
        <v>0</v>
      </c>
      <c r="S2915" s="494">
        <v>1266</v>
      </c>
      <c r="T2915" s="494">
        <v>1266</v>
      </c>
      <c r="U2915" s="494">
        <v>371</v>
      </c>
      <c r="V2915" s="493">
        <v>2024</v>
      </c>
      <c r="W2915" s="495"/>
      <c r="X2915" s="496">
        <f t="shared" si="190"/>
        <v>3.4123989218328843</v>
      </c>
      <c r="Y2915" s="497" t="str">
        <f t="shared" si="191"/>
        <v/>
      </c>
      <c r="Z2915" s="497" t="str">
        <f t="shared" si="191"/>
        <v/>
      </c>
    </row>
    <row r="2916" spans="1:26" s="82" customFormat="1" x14ac:dyDescent="0.4">
      <c r="A2916" s="493">
        <v>68115</v>
      </c>
      <c r="B2916" s="105" t="s">
        <v>329</v>
      </c>
      <c r="C2916" s="493" t="s">
        <v>330</v>
      </c>
      <c r="D2916" s="105" t="s">
        <v>3503</v>
      </c>
      <c r="E2916" s="105" t="s">
        <v>3504</v>
      </c>
      <c r="F2916" s="493">
        <v>66601</v>
      </c>
      <c r="G2916" s="105" t="s">
        <v>52</v>
      </c>
      <c r="H2916" s="105" t="s">
        <v>333</v>
      </c>
      <c r="I2916" s="105" t="s">
        <v>339</v>
      </c>
      <c r="J2916" s="493">
        <v>22</v>
      </c>
      <c r="K2916" s="493">
        <v>2</v>
      </c>
      <c r="L2916" s="105" t="s">
        <v>343</v>
      </c>
      <c r="M2916" s="105" t="s">
        <v>655</v>
      </c>
      <c r="N2916" s="105" t="s">
        <v>656</v>
      </c>
      <c r="O2916" s="105" t="s">
        <v>656</v>
      </c>
      <c r="P2916" s="105" t="s">
        <v>339</v>
      </c>
      <c r="Q2916" s="494">
        <v>0</v>
      </c>
      <c r="R2916" s="494">
        <v>0</v>
      </c>
      <c r="S2916" s="494">
        <v>676</v>
      </c>
      <c r="T2916" s="494">
        <v>676</v>
      </c>
      <c r="U2916" s="494">
        <v>198</v>
      </c>
      <c r="V2916" s="493">
        <v>2024</v>
      </c>
      <c r="W2916" s="495"/>
      <c r="X2916" s="496">
        <f t="shared" si="190"/>
        <v>3.4141414141414139</v>
      </c>
      <c r="Y2916" s="497" t="str">
        <f t="shared" si="191"/>
        <v/>
      </c>
      <c r="Z2916" s="497" t="str">
        <f t="shared" si="191"/>
        <v/>
      </c>
    </row>
    <row r="2917" spans="1:26" s="82" customFormat="1" x14ac:dyDescent="0.4">
      <c r="A2917" s="493">
        <v>68152</v>
      </c>
      <c r="B2917" s="105" t="s">
        <v>329</v>
      </c>
      <c r="C2917" s="493" t="s">
        <v>330</v>
      </c>
      <c r="D2917" s="105" t="s">
        <v>3505</v>
      </c>
      <c r="E2917" s="105" t="s">
        <v>3506</v>
      </c>
      <c r="F2917" s="493">
        <v>66614</v>
      </c>
      <c r="G2917" s="105" t="s">
        <v>52</v>
      </c>
      <c r="H2917" s="105" t="s">
        <v>333</v>
      </c>
      <c r="I2917" s="105" t="s">
        <v>339</v>
      </c>
      <c r="J2917" s="493">
        <v>22</v>
      </c>
      <c r="K2917" s="493">
        <v>2</v>
      </c>
      <c r="L2917" s="105" t="s">
        <v>343</v>
      </c>
      <c r="M2917" s="105" t="s">
        <v>655</v>
      </c>
      <c r="N2917" s="105" t="s">
        <v>656</v>
      </c>
      <c r="O2917" s="105" t="s">
        <v>656</v>
      </c>
      <c r="P2917" s="105" t="s">
        <v>339</v>
      </c>
      <c r="Q2917" s="494">
        <v>0</v>
      </c>
      <c r="R2917" s="494">
        <v>0</v>
      </c>
      <c r="S2917" s="494">
        <v>0</v>
      </c>
      <c r="T2917" s="494">
        <v>0</v>
      </c>
      <c r="U2917" s="494">
        <v>0</v>
      </c>
      <c r="V2917" s="493">
        <v>2024</v>
      </c>
      <c r="W2917" s="495"/>
      <c r="X2917" s="496" t="str">
        <f t="shared" si="190"/>
        <v/>
      </c>
      <c r="Y2917" s="497" t="str">
        <f t="shared" si="191"/>
        <v/>
      </c>
      <c r="Z2917" s="497" t="str">
        <f t="shared" si="191"/>
        <v/>
      </c>
    </row>
    <row r="2918" spans="1:26" s="82" customFormat="1" ht="32" x14ac:dyDescent="0.4">
      <c r="A2918" s="493">
        <v>68154</v>
      </c>
      <c r="B2918" s="105" t="s">
        <v>329</v>
      </c>
      <c r="C2918" s="493" t="s">
        <v>330</v>
      </c>
      <c r="D2918" s="105" t="s">
        <v>3507</v>
      </c>
      <c r="E2918" s="105" t="s">
        <v>3508</v>
      </c>
      <c r="F2918" s="493">
        <v>66627</v>
      </c>
      <c r="G2918" s="105" t="s">
        <v>52</v>
      </c>
      <c r="H2918" s="105" t="s">
        <v>333</v>
      </c>
      <c r="I2918" s="105" t="s">
        <v>339</v>
      </c>
      <c r="J2918" s="493">
        <v>22</v>
      </c>
      <c r="K2918" s="493">
        <v>2</v>
      </c>
      <c r="L2918" s="105" t="s">
        <v>343</v>
      </c>
      <c r="M2918" s="105" t="s">
        <v>655</v>
      </c>
      <c r="N2918" s="105" t="s">
        <v>656</v>
      </c>
      <c r="O2918" s="105" t="s">
        <v>656</v>
      </c>
      <c r="P2918" s="105" t="s">
        <v>339</v>
      </c>
      <c r="Q2918" s="494">
        <v>0</v>
      </c>
      <c r="R2918" s="494">
        <v>0</v>
      </c>
      <c r="S2918" s="494">
        <v>8510</v>
      </c>
      <c r="T2918" s="494">
        <v>8510</v>
      </c>
      <c r="U2918" s="494">
        <v>2494</v>
      </c>
      <c r="V2918" s="493">
        <v>2024</v>
      </c>
      <c r="W2918" s="495"/>
      <c r="X2918" s="496">
        <f t="shared" si="190"/>
        <v>3.4121892542101042</v>
      </c>
      <c r="Y2918" s="497" t="str">
        <f t="shared" si="191"/>
        <v/>
      </c>
      <c r="Z2918" s="497" t="str">
        <f t="shared" si="191"/>
        <v/>
      </c>
    </row>
    <row r="2919" spans="1:26" s="82" customFormat="1" x14ac:dyDescent="0.4">
      <c r="A2919" s="493">
        <v>68158</v>
      </c>
      <c r="B2919" s="105" t="s">
        <v>329</v>
      </c>
      <c r="C2919" s="493" t="s">
        <v>330</v>
      </c>
      <c r="D2919" s="105" t="s">
        <v>3509</v>
      </c>
      <c r="E2919" s="105" t="s">
        <v>3510</v>
      </c>
      <c r="F2919" s="493">
        <v>66609</v>
      </c>
      <c r="G2919" s="105" t="s">
        <v>52</v>
      </c>
      <c r="H2919" s="105" t="s">
        <v>333</v>
      </c>
      <c r="I2919" s="105" t="s">
        <v>339</v>
      </c>
      <c r="J2919" s="493">
        <v>22</v>
      </c>
      <c r="K2919" s="493">
        <v>2</v>
      </c>
      <c r="L2919" s="105" t="s">
        <v>343</v>
      </c>
      <c r="M2919" s="105" t="s">
        <v>655</v>
      </c>
      <c r="N2919" s="105" t="s">
        <v>656</v>
      </c>
      <c r="O2919" s="105" t="s">
        <v>656</v>
      </c>
      <c r="P2919" s="105" t="s">
        <v>339</v>
      </c>
      <c r="Q2919" s="494">
        <v>0</v>
      </c>
      <c r="R2919" s="494">
        <v>0</v>
      </c>
      <c r="S2919" s="494">
        <v>307</v>
      </c>
      <c r="T2919" s="494">
        <v>307</v>
      </c>
      <c r="U2919" s="494">
        <v>90</v>
      </c>
      <c r="V2919" s="493">
        <v>2024</v>
      </c>
      <c r="W2919" s="495"/>
      <c r="X2919" s="496">
        <f t="shared" si="190"/>
        <v>3.411111111111111</v>
      </c>
      <c r="Y2919" s="497" t="str">
        <f t="shared" si="191"/>
        <v/>
      </c>
      <c r="Z2919" s="497" t="str">
        <f t="shared" si="191"/>
        <v/>
      </c>
    </row>
    <row r="2920" spans="1:26" s="82" customFormat="1" x14ac:dyDescent="0.4">
      <c r="A2920" s="493">
        <v>68159</v>
      </c>
      <c r="B2920" s="105" t="s">
        <v>329</v>
      </c>
      <c r="C2920" s="493" t="s">
        <v>330</v>
      </c>
      <c r="D2920" s="105" t="s">
        <v>3511</v>
      </c>
      <c r="E2920" s="105" t="s">
        <v>3512</v>
      </c>
      <c r="F2920" s="493">
        <v>66608</v>
      </c>
      <c r="G2920" s="105" t="s">
        <v>52</v>
      </c>
      <c r="H2920" s="105" t="s">
        <v>333</v>
      </c>
      <c r="I2920" s="105" t="s">
        <v>339</v>
      </c>
      <c r="J2920" s="493">
        <v>22</v>
      </c>
      <c r="K2920" s="493">
        <v>2</v>
      </c>
      <c r="L2920" s="105" t="s">
        <v>343</v>
      </c>
      <c r="M2920" s="105" t="s">
        <v>655</v>
      </c>
      <c r="N2920" s="105" t="s">
        <v>656</v>
      </c>
      <c r="O2920" s="105" t="s">
        <v>656</v>
      </c>
      <c r="P2920" s="105" t="s">
        <v>339</v>
      </c>
      <c r="Q2920" s="494">
        <v>0</v>
      </c>
      <c r="R2920" s="494">
        <v>0</v>
      </c>
      <c r="S2920" s="494">
        <v>980</v>
      </c>
      <c r="T2920" s="494">
        <v>980</v>
      </c>
      <c r="U2920" s="494">
        <v>287</v>
      </c>
      <c r="V2920" s="493">
        <v>2024</v>
      </c>
      <c r="W2920" s="495"/>
      <c r="X2920" s="496">
        <f t="shared" si="190"/>
        <v>3.4146341463414633</v>
      </c>
      <c r="Y2920" s="497" t="str">
        <f t="shared" si="191"/>
        <v/>
      </c>
      <c r="Z2920" s="497" t="str">
        <f t="shared" si="191"/>
        <v/>
      </c>
    </row>
    <row r="2921" spans="1:26" s="82" customFormat="1" x14ac:dyDescent="0.4">
      <c r="A2921" s="493">
        <v>68160</v>
      </c>
      <c r="B2921" s="105" t="s">
        <v>329</v>
      </c>
      <c r="C2921" s="493" t="s">
        <v>330</v>
      </c>
      <c r="D2921" s="105" t="s">
        <v>3513</v>
      </c>
      <c r="E2921" s="105" t="s">
        <v>3514</v>
      </c>
      <c r="F2921" s="493">
        <v>66610</v>
      </c>
      <c r="G2921" s="105" t="s">
        <v>52</v>
      </c>
      <c r="H2921" s="105" t="s">
        <v>333</v>
      </c>
      <c r="I2921" s="105" t="s">
        <v>339</v>
      </c>
      <c r="J2921" s="493">
        <v>22</v>
      </c>
      <c r="K2921" s="493">
        <v>2</v>
      </c>
      <c r="L2921" s="105" t="s">
        <v>343</v>
      </c>
      <c r="M2921" s="105" t="s">
        <v>655</v>
      </c>
      <c r="N2921" s="105" t="s">
        <v>656</v>
      </c>
      <c r="O2921" s="105" t="s">
        <v>656</v>
      </c>
      <c r="P2921" s="105" t="s">
        <v>339</v>
      </c>
      <c r="Q2921" s="494">
        <v>0</v>
      </c>
      <c r="R2921" s="494">
        <v>0</v>
      </c>
      <c r="S2921" s="494">
        <v>1054</v>
      </c>
      <c r="T2921" s="494">
        <v>1054</v>
      </c>
      <c r="U2921" s="494">
        <v>309</v>
      </c>
      <c r="V2921" s="493">
        <v>2024</v>
      </c>
      <c r="W2921" s="495"/>
      <c r="X2921" s="496">
        <f t="shared" si="190"/>
        <v>3.4110032362459548</v>
      </c>
      <c r="Y2921" s="497" t="str">
        <f t="shared" si="191"/>
        <v/>
      </c>
      <c r="Z2921" s="497" t="str">
        <f t="shared" si="191"/>
        <v/>
      </c>
    </row>
    <row r="2922" spans="1:26" s="82" customFormat="1" ht="32" x14ac:dyDescent="0.4">
      <c r="A2922" s="493">
        <v>68162</v>
      </c>
      <c r="B2922" s="105" t="s">
        <v>329</v>
      </c>
      <c r="C2922" s="493" t="s">
        <v>330</v>
      </c>
      <c r="D2922" s="105" t="s">
        <v>3515</v>
      </c>
      <c r="E2922" s="105" t="s">
        <v>3516</v>
      </c>
      <c r="F2922" s="493">
        <v>66612</v>
      </c>
      <c r="G2922" s="105" t="s">
        <v>52</v>
      </c>
      <c r="H2922" s="105" t="s">
        <v>333</v>
      </c>
      <c r="I2922" s="105" t="s">
        <v>339</v>
      </c>
      <c r="J2922" s="493">
        <v>22</v>
      </c>
      <c r="K2922" s="493">
        <v>2</v>
      </c>
      <c r="L2922" s="105" t="s">
        <v>343</v>
      </c>
      <c r="M2922" s="105" t="s">
        <v>655</v>
      </c>
      <c r="N2922" s="105" t="s">
        <v>656</v>
      </c>
      <c r="O2922" s="105" t="s">
        <v>656</v>
      </c>
      <c r="P2922" s="105" t="s">
        <v>339</v>
      </c>
      <c r="Q2922" s="494">
        <v>0</v>
      </c>
      <c r="R2922" s="494">
        <v>0</v>
      </c>
      <c r="S2922" s="494">
        <v>0</v>
      </c>
      <c r="T2922" s="494">
        <v>0</v>
      </c>
      <c r="U2922" s="494">
        <v>0</v>
      </c>
      <c r="V2922" s="493">
        <v>2024</v>
      </c>
      <c r="W2922" s="495"/>
      <c r="X2922" s="496" t="str">
        <f t="shared" si="190"/>
        <v/>
      </c>
      <c r="Y2922" s="497" t="str">
        <f t="shared" si="191"/>
        <v/>
      </c>
      <c r="Z2922" s="497" t="str">
        <f t="shared" si="191"/>
        <v/>
      </c>
    </row>
    <row r="2923" spans="1:26" s="82" customFormat="1" ht="32" x14ac:dyDescent="0.4">
      <c r="A2923" s="493">
        <v>68163</v>
      </c>
      <c r="B2923" s="105" t="s">
        <v>329</v>
      </c>
      <c r="C2923" s="493" t="s">
        <v>330</v>
      </c>
      <c r="D2923" s="105" t="s">
        <v>3517</v>
      </c>
      <c r="E2923" s="105" t="s">
        <v>3518</v>
      </c>
      <c r="F2923" s="493">
        <v>66613</v>
      </c>
      <c r="G2923" s="105" t="s">
        <v>52</v>
      </c>
      <c r="H2923" s="105" t="s">
        <v>333</v>
      </c>
      <c r="I2923" s="105" t="s">
        <v>339</v>
      </c>
      <c r="J2923" s="493">
        <v>22</v>
      </c>
      <c r="K2923" s="493">
        <v>2</v>
      </c>
      <c r="L2923" s="105" t="s">
        <v>343</v>
      </c>
      <c r="M2923" s="105" t="s">
        <v>655</v>
      </c>
      <c r="N2923" s="105" t="s">
        <v>656</v>
      </c>
      <c r="O2923" s="105" t="s">
        <v>656</v>
      </c>
      <c r="P2923" s="105" t="s">
        <v>339</v>
      </c>
      <c r="Q2923" s="494">
        <v>0</v>
      </c>
      <c r="R2923" s="494">
        <v>0</v>
      </c>
      <c r="S2923" s="494">
        <v>0</v>
      </c>
      <c r="T2923" s="494">
        <v>0</v>
      </c>
      <c r="U2923" s="494">
        <v>0</v>
      </c>
      <c r="V2923" s="493">
        <v>2024</v>
      </c>
      <c r="W2923" s="495"/>
      <c r="X2923" s="496" t="str">
        <f t="shared" si="190"/>
        <v/>
      </c>
      <c r="Y2923" s="497" t="str">
        <f t="shared" si="191"/>
        <v/>
      </c>
      <c r="Z2923" s="497" t="str">
        <f t="shared" si="191"/>
        <v/>
      </c>
    </row>
    <row r="2924" spans="1:26" s="82" customFormat="1" ht="32" x14ac:dyDescent="0.4">
      <c r="A2924" s="493">
        <v>68206</v>
      </c>
      <c r="B2924" s="105" t="s">
        <v>329</v>
      </c>
      <c r="C2924" s="493" t="s">
        <v>330</v>
      </c>
      <c r="D2924" s="105" t="s">
        <v>3519</v>
      </c>
      <c r="E2924" s="105" t="s">
        <v>3409</v>
      </c>
      <c r="F2924" s="493">
        <v>66264</v>
      </c>
      <c r="G2924" s="105" t="s">
        <v>52</v>
      </c>
      <c r="H2924" s="105" t="s">
        <v>333</v>
      </c>
      <c r="I2924" s="105" t="s">
        <v>339</v>
      </c>
      <c r="J2924" s="493">
        <v>22</v>
      </c>
      <c r="K2924" s="493">
        <v>2</v>
      </c>
      <c r="L2924" s="105" t="s">
        <v>343</v>
      </c>
      <c r="M2924" s="105" t="s">
        <v>655</v>
      </c>
      <c r="N2924" s="105" t="s">
        <v>656</v>
      </c>
      <c r="O2924" s="105" t="s">
        <v>656</v>
      </c>
      <c r="P2924" s="105" t="s">
        <v>339</v>
      </c>
      <c r="Q2924" s="494">
        <v>0</v>
      </c>
      <c r="R2924" s="494">
        <v>0</v>
      </c>
      <c r="S2924" s="494">
        <v>3477</v>
      </c>
      <c r="T2924" s="494">
        <v>3477</v>
      </c>
      <c r="U2924" s="494">
        <v>1019</v>
      </c>
      <c r="V2924" s="493">
        <v>2024</v>
      </c>
      <c r="W2924" s="495"/>
      <c r="X2924" s="496">
        <f t="shared" si="190"/>
        <v>3.4121687929342492</v>
      </c>
      <c r="Y2924" s="497" t="str">
        <f t="shared" si="191"/>
        <v/>
      </c>
      <c r="Z2924" s="497" t="str">
        <f t="shared" si="191"/>
        <v/>
      </c>
    </row>
    <row r="2925" spans="1:26" s="82" customFormat="1" ht="32" x14ac:dyDescent="0.4">
      <c r="A2925" s="493">
        <v>68207</v>
      </c>
      <c r="B2925" s="105" t="s">
        <v>329</v>
      </c>
      <c r="C2925" s="493" t="s">
        <v>330</v>
      </c>
      <c r="D2925" s="105" t="s">
        <v>3520</v>
      </c>
      <c r="E2925" s="105" t="s">
        <v>3409</v>
      </c>
      <c r="F2925" s="493">
        <v>66264</v>
      </c>
      <c r="G2925" s="105" t="s">
        <v>52</v>
      </c>
      <c r="H2925" s="105" t="s">
        <v>333</v>
      </c>
      <c r="I2925" s="105" t="s">
        <v>339</v>
      </c>
      <c r="J2925" s="493">
        <v>22</v>
      </c>
      <c r="K2925" s="493">
        <v>2</v>
      </c>
      <c r="L2925" s="105" t="s">
        <v>343</v>
      </c>
      <c r="M2925" s="105" t="s">
        <v>655</v>
      </c>
      <c r="N2925" s="105" t="s">
        <v>656</v>
      </c>
      <c r="O2925" s="105" t="s">
        <v>656</v>
      </c>
      <c r="P2925" s="105" t="s">
        <v>339</v>
      </c>
      <c r="Q2925" s="494">
        <v>0</v>
      </c>
      <c r="R2925" s="494">
        <v>0</v>
      </c>
      <c r="S2925" s="494">
        <v>3719</v>
      </c>
      <c r="T2925" s="494">
        <v>3719</v>
      </c>
      <c r="U2925" s="494">
        <v>1090</v>
      </c>
      <c r="V2925" s="493">
        <v>2024</v>
      </c>
      <c r="W2925" s="495"/>
      <c r="X2925" s="496">
        <f t="shared" si="190"/>
        <v>3.4119266055045872</v>
      </c>
      <c r="Y2925" s="497" t="str">
        <f t="shared" si="191"/>
        <v/>
      </c>
      <c r="Z2925" s="497" t="str">
        <f t="shared" si="191"/>
        <v/>
      </c>
    </row>
    <row r="2926" spans="1:26" s="82" customFormat="1" ht="32" x14ac:dyDescent="0.4">
      <c r="A2926" s="493">
        <v>68274</v>
      </c>
      <c r="B2926" s="105" t="s">
        <v>329</v>
      </c>
      <c r="C2926" s="493" t="s">
        <v>330</v>
      </c>
      <c r="D2926" s="105" t="s">
        <v>3521</v>
      </c>
      <c r="E2926" s="105" t="s">
        <v>3522</v>
      </c>
      <c r="F2926" s="493">
        <v>66690</v>
      </c>
      <c r="G2926" s="105" t="s">
        <v>52</v>
      </c>
      <c r="H2926" s="105" t="s">
        <v>333</v>
      </c>
      <c r="I2926" s="105" t="s">
        <v>339</v>
      </c>
      <c r="J2926" s="493">
        <v>22</v>
      </c>
      <c r="K2926" s="493">
        <v>2</v>
      </c>
      <c r="L2926" s="105" t="s">
        <v>343</v>
      </c>
      <c r="M2926" s="105" t="s">
        <v>655</v>
      </c>
      <c r="N2926" s="105" t="s">
        <v>656</v>
      </c>
      <c r="O2926" s="105" t="s">
        <v>656</v>
      </c>
      <c r="P2926" s="105" t="s">
        <v>339</v>
      </c>
      <c r="Q2926" s="494">
        <v>0</v>
      </c>
      <c r="R2926" s="494">
        <v>0</v>
      </c>
      <c r="S2926" s="494">
        <v>71178</v>
      </c>
      <c r="T2926" s="494">
        <v>71178</v>
      </c>
      <c r="U2926" s="494">
        <v>20861</v>
      </c>
      <c r="V2926" s="493">
        <v>2024</v>
      </c>
      <c r="W2926" s="495"/>
      <c r="X2926" s="496">
        <f t="shared" si="190"/>
        <v>3.4120128469392648</v>
      </c>
      <c r="Y2926" s="497" t="str">
        <f t="shared" si="191"/>
        <v/>
      </c>
      <c r="Z2926" s="497" t="str">
        <f t="shared" si="191"/>
        <v/>
      </c>
    </row>
    <row r="2927" spans="1:26" s="82" customFormat="1" ht="32" x14ac:dyDescent="0.4">
      <c r="A2927" s="493">
        <v>68327</v>
      </c>
      <c r="B2927" s="105" t="s">
        <v>329</v>
      </c>
      <c r="C2927" s="493" t="s">
        <v>330</v>
      </c>
      <c r="D2927" s="105" t="s">
        <v>3523</v>
      </c>
      <c r="E2927" s="105" t="s">
        <v>2837</v>
      </c>
      <c r="F2927" s="493">
        <v>56990</v>
      </c>
      <c r="G2927" s="105" t="s">
        <v>37</v>
      </c>
      <c r="H2927" s="105" t="s">
        <v>342</v>
      </c>
      <c r="I2927" s="105" t="s">
        <v>339</v>
      </c>
      <c r="J2927" s="493">
        <v>22</v>
      </c>
      <c r="K2927" s="493">
        <v>2</v>
      </c>
      <c r="L2927" s="105" t="s">
        <v>343</v>
      </c>
      <c r="M2927" s="105" t="s">
        <v>655</v>
      </c>
      <c r="N2927" s="105" t="s">
        <v>656</v>
      </c>
      <c r="O2927" s="105" t="s">
        <v>656</v>
      </c>
      <c r="P2927" s="105" t="s">
        <v>339</v>
      </c>
      <c r="Q2927" s="494">
        <v>0</v>
      </c>
      <c r="R2927" s="494">
        <v>0</v>
      </c>
      <c r="S2927" s="494">
        <v>11317</v>
      </c>
      <c r="T2927" s="494">
        <v>11317</v>
      </c>
      <c r="U2927" s="494">
        <v>3317</v>
      </c>
      <c r="V2927" s="493">
        <v>2024</v>
      </c>
      <c r="W2927" s="495"/>
      <c r="X2927" s="496">
        <f t="shared" si="190"/>
        <v>3.4118179077479649</v>
      </c>
      <c r="Y2927" s="497" t="str">
        <f t="shared" si="191"/>
        <v/>
      </c>
      <c r="Z2927" s="497" t="str">
        <f t="shared" si="191"/>
        <v/>
      </c>
    </row>
    <row r="2928" spans="1:26" s="82" customFormat="1" ht="32" x14ac:dyDescent="0.4">
      <c r="A2928" s="493">
        <v>68387</v>
      </c>
      <c r="B2928" s="105" t="s">
        <v>329</v>
      </c>
      <c r="C2928" s="493" t="s">
        <v>330</v>
      </c>
      <c r="D2928" s="105" t="s">
        <v>3524</v>
      </c>
      <c r="E2928" s="105" t="s">
        <v>3525</v>
      </c>
      <c r="F2928" s="493">
        <v>66749</v>
      </c>
      <c r="G2928" s="105" t="s">
        <v>52</v>
      </c>
      <c r="H2928" s="105" t="s">
        <v>333</v>
      </c>
      <c r="I2928" s="105" t="s">
        <v>339</v>
      </c>
      <c r="J2928" s="493">
        <v>22</v>
      </c>
      <c r="K2928" s="493">
        <v>2</v>
      </c>
      <c r="L2928" s="105" t="s">
        <v>343</v>
      </c>
      <c r="M2928" s="105" t="s">
        <v>655</v>
      </c>
      <c r="N2928" s="105" t="s">
        <v>656</v>
      </c>
      <c r="O2928" s="105" t="s">
        <v>656</v>
      </c>
      <c r="P2928" s="105" t="s">
        <v>339</v>
      </c>
      <c r="Q2928" s="494">
        <v>0</v>
      </c>
      <c r="R2928" s="494">
        <v>0</v>
      </c>
      <c r="S2928" s="494">
        <v>3858</v>
      </c>
      <c r="T2928" s="494">
        <v>3858</v>
      </c>
      <c r="U2928" s="494">
        <v>1131</v>
      </c>
      <c r="V2928" s="493">
        <v>2024</v>
      </c>
      <c r="W2928" s="495"/>
      <c r="X2928" s="496">
        <f t="shared" si="190"/>
        <v>3.4111405835543764</v>
      </c>
      <c r="Y2928" s="497" t="str">
        <f t="shared" ref="Y2928:Z2947" si="192">IF(AND($M2928=$Y$2,$N2928=$Y$3,NOT($Q2928=$R2928),NOT($U2928=0)),IF($K2928=5,$S2928/($U2928+(8/5)*$U2928),IF($K2928=7,$S2928/($U2928+(29/25)*$U2928),"")),"")</f>
        <v/>
      </c>
      <c r="Z2928" s="497" t="str">
        <f t="shared" si="192"/>
        <v/>
      </c>
    </row>
    <row r="2929" spans="1:26" s="82" customFormat="1" ht="32" x14ac:dyDescent="0.4">
      <c r="A2929" s="493">
        <v>68390</v>
      </c>
      <c r="B2929" s="105" t="s">
        <v>329</v>
      </c>
      <c r="C2929" s="493" t="s">
        <v>330</v>
      </c>
      <c r="D2929" s="105" t="s">
        <v>3526</v>
      </c>
      <c r="E2929" s="105" t="s">
        <v>3224</v>
      </c>
      <c r="F2929" s="493">
        <v>65043</v>
      </c>
      <c r="G2929" s="105" t="s">
        <v>33</v>
      </c>
      <c r="H2929" s="105" t="s">
        <v>342</v>
      </c>
      <c r="I2929" s="105" t="s">
        <v>339</v>
      </c>
      <c r="J2929" s="493">
        <v>22</v>
      </c>
      <c r="K2929" s="493">
        <v>2</v>
      </c>
      <c r="L2929" s="105" t="s">
        <v>343</v>
      </c>
      <c r="M2929" s="105" t="s">
        <v>655</v>
      </c>
      <c r="N2929" s="105" t="s">
        <v>656</v>
      </c>
      <c r="O2929" s="105" t="s">
        <v>656</v>
      </c>
      <c r="P2929" s="105" t="s">
        <v>339</v>
      </c>
      <c r="Q2929" s="494">
        <v>0</v>
      </c>
      <c r="R2929" s="494">
        <v>0</v>
      </c>
      <c r="S2929" s="494">
        <v>14</v>
      </c>
      <c r="T2929" s="494">
        <v>14</v>
      </c>
      <c r="U2929" s="494">
        <v>4</v>
      </c>
      <c r="V2929" s="493">
        <v>2024</v>
      </c>
      <c r="W2929" s="495"/>
      <c r="X2929" s="496">
        <f t="shared" si="190"/>
        <v>3.5</v>
      </c>
      <c r="Y2929" s="497" t="str">
        <f t="shared" si="192"/>
        <v/>
      </c>
      <c r="Z2929" s="497" t="str">
        <f t="shared" si="192"/>
        <v/>
      </c>
    </row>
    <row r="2930" spans="1:26" s="82" customFormat="1" ht="32" x14ac:dyDescent="0.4">
      <c r="A2930" s="493">
        <v>68394</v>
      </c>
      <c r="B2930" s="105" t="s">
        <v>329</v>
      </c>
      <c r="C2930" s="493" t="s">
        <v>330</v>
      </c>
      <c r="D2930" s="105" t="s">
        <v>3527</v>
      </c>
      <c r="E2930" s="105" t="s">
        <v>3224</v>
      </c>
      <c r="F2930" s="493">
        <v>65043</v>
      </c>
      <c r="G2930" s="105" t="s">
        <v>34</v>
      </c>
      <c r="H2930" s="105" t="s">
        <v>342</v>
      </c>
      <c r="I2930" s="105" t="s">
        <v>339</v>
      </c>
      <c r="J2930" s="493">
        <v>22</v>
      </c>
      <c r="K2930" s="493">
        <v>2</v>
      </c>
      <c r="L2930" s="105" t="s">
        <v>343</v>
      </c>
      <c r="M2930" s="105" t="s">
        <v>655</v>
      </c>
      <c r="N2930" s="105" t="s">
        <v>656</v>
      </c>
      <c r="O2930" s="105" t="s">
        <v>656</v>
      </c>
      <c r="P2930" s="105" t="s">
        <v>339</v>
      </c>
      <c r="Q2930" s="494">
        <v>0</v>
      </c>
      <c r="R2930" s="494">
        <v>0</v>
      </c>
      <c r="S2930" s="494">
        <v>11225</v>
      </c>
      <c r="T2930" s="494">
        <v>11225</v>
      </c>
      <c r="U2930" s="494">
        <v>3290</v>
      </c>
      <c r="V2930" s="493">
        <v>2024</v>
      </c>
      <c r="W2930" s="495"/>
      <c r="X2930" s="496">
        <f t="shared" si="190"/>
        <v>3.4118541033434648</v>
      </c>
      <c r="Y2930" s="497" t="str">
        <f t="shared" si="192"/>
        <v/>
      </c>
      <c r="Z2930" s="497" t="str">
        <f t="shared" si="192"/>
        <v/>
      </c>
    </row>
    <row r="2931" spans="1:26" s="82" customFormat="1" x14ac:dyDescent="0.4">
      <c r="A2931" s="493">
        <v>68399</v>
      </c>
      <c r="B2931" s="105" t="s">
        <v>329</v>
      </c>
      <c r="C2931" s="493" t="s">
        <v>330</v>
      </c>
      <c r="D2931" s="105" t="s">
        <v>3528</v>
      </c>
      <c r="E2931" s="105" t="s">
        <v>3529</v>
      </c>
      <c r="F2931" s="493">
        <v>65677</v>
      </c>
      <c r="G2931" s="105" t="s">
        <v>52</v>
      </c>
      <c r="H2931" s="105" t="s">
        <v>333</v>
      </c>
      <c r="I2931" s="105" t="s">
        <v>339</v>
      </c>
      <c r="J2931" s="493">
        <v>22</v>
      </c>
      <c r="K2931" s="493">
        <v>2</v>
      </c>
      <c r="L2931" s="105" t="s">
        <v>343</v>
      </c>
      <c r="M2931" s="105" t="s">
        <v>655</v>
      </c>
      <c r="N2931" s="105" t="s">
        <v>656</v>
      </c>
      <c r="O2931" s="105" t="s">
        <v>656</v>
      </c>
      <c r="P2931" s="105" t="s">
        <v>339</v>
      </c>
      <c r="Q2931" s="494">
        <v>0</v>
      </c>
      <c r="R2931" s="494">
        <v>0</v>
      </c>
      <c r="S2931" s="494">
        <v>0</v>
      </c>
      <c r="T2931" s="494">
        <v>0</v>
      </c>
      <c r="U2931" s="494">
        <v>0</v>
      </c>
      <c r="V2931" s="493">
        <v>2024</v>
      </c>
      <c r="W2931" s="495"/>
      <c r="X2931" s="496" t="str">
        <f t="shared" si="190"/>
        <v/>
      </c>
      <c r="Y2931" s="497" t="str">
        <f t="shared" si="192"/>
        <v/>
      </c>
      <c r="Z2931" s="497" t="str">
        <f t="shared" si="192"/>
        <v/>
      </c>
    </row>
    <row r="2932" spans="1:26" s="82" customFormat="1" x14ac:dyDescent="0.4">
      <c r="A2932" s="493">
        <v>68400</v>
      </c>
      <c r="B2932" s="105" t="s">
        <v>329</v>
      </c>
      <c r="C2932" s="493" t="s">
        <v>330</v>
      </c>
      <c r="D2932" s="105" t="s">
        <v>3530</v>
      </c>
      <c r="E2932" s="105" t="s">
        <v>3529</v>
      </c>
      <c r="F2932" s="493">
        <v>65677</v>
      </c>
      <c r="G2932" s="105" t="s">
        <v>52</v>
      </c>
      <c r="H2932" s="105" t="s">
        <v>333</v>
      </c>
      <c r="I2932" s="105" t="s">
        <v>339</v>
      </c>
      <c r="J2932" s="493">
        <v>22</v>
      </c>
      <c r="K2932" s="493">
        <v>2</v>
      </c>
      <c r="L2932" s="105" t="s">
        <v>343</v>
      </c>
      <c r="M2932" s="105" t="s">
        <v>655</v>
      </c>
      <c r="N2932" s="105" t="s">
        <v>656</v>
      </c>
      <c r="O2932" s="105" t="s">
        <v>656</v>
      </c>
      <c r="P2932" s="105" t="s">
        <v>339</v>
      </c>
      <c r="Q2932" s="494">
        <v>0</v>
      </c>
      <c r="R2932" s="494">
        <v>0</v>
      </c>
      <c r="S2932" s="494">
        <v>0</v>
      </c>
      <c r="T2932" s="494">
        <v>0</v>
      </c>
      <c r="U2932" s="494">
        <v>0</v>
      </c>
      <c r="V2932" s="493">
        <v>2024</v>
      </c>
      <c r="W2932" s="495"/>
      <c r="X2932" s="496" t="str">
        <f t="shared" si="190"/>
        <v/>
      </c>
      <c r="Y2932" s="497" t="str">
        <f t="shared" si="192"/>
        <v/>
      </c>
      <c r="Z2932" s="497" t="str">
        <f t="shared" si="192"/>
        <v/>
      </c>
    </row>
    <row r="2933" spans="1:26" s="82" customFormat="1" x14ac:dyDescent="0.4">
      <c r="A2933" s="493">
        <v>68401</v>
      </c>
      <c r="B2933" s="105" t="s">
        <v>329</v>
      </c>
      <c r="C2933" s="493" t="s">
        <v>330</v>
      </c>
      <c r="D2933" s="105" t="s">
        <v>3531</v>
      </c>
      <c r="E2933" s="105" t="s">
        <v>3529</v>
      </c>
      <c r="F2933" s="493">
        <v>65677</v>
      </c>
      <c r="G2933" s="105" t="s">
        <v>52</v>
      </c>
      <c r="H2933" s="105" t="s">
        <v>333</v>
      </c>
      <c r="I2933" s="105" t="s">
        <v>339</v>
      </c>
      <c r="J2933" s="493">
        <v>22</v>
      </c>
      <c r="K2933" s="493">
        <v>2</v>
      </c>
      <c r="L2933" s="105" t="s">
        <v>343</v>
      </c>
      <c r="M2933" s="105" t="s">
        <v>655</v>
      </c>
      <c r="N2933" s="105" t="s">
        <v>656</v>
      </c>
      <c r="O2933" s="105" t="s">
        <v>656</v>
      </c>
      <c r="P2933" s="105" t="s">
        <v>339</v>
      </c>
      <c r="Q2933" s="494">
        <v>0</v>
      </c>
      <c r="R2933" s="494">
        <v>0</v>
      </c>
      <c r="S2933" s="494">
        <v>0</v>
      </c>
      <c r="T2933" s="494">
        <v>0</v>
      </c>
      <c r="U2933" s="494">
        <v>0</v>
      </c>
      <c r="V2933" s="493">
        <v>2024</v>
      </c>
      <c r="W2933" s="495"/>
      <c r="X2933" s="496" t="str">
        <f t="shared" si="190"/>
        <v/>
      </c>
      <c r="Y2933" s="497" t="str">
        <f t="shared" si="192"/>
        <v/>
      </c>
      <c r="Z2933" s="497" t="str">
        <f t="shared" si="192"/>
        <v/>
      </c>
    </row>
    <row r="2934" spans="1:26" s="82" customFormat="1" x14ac:dyDescent="0.4">
      <c r="A2934" s="493">
        <v>68402</v>
      </c>
      <c r="B2934" s="105" t="s">
        <v>329</v>
      </c>
      <c r="C2934" s="493" t="s">
        <v>330</v>
      </c>
      <c r="D2934" s="105" t="s">
        <v>3532</v>
      </c>
      <c r="E2934" s="105" t="s">
        <v>3529</v>
      </c>
      <c r="F2934" s="493">
        <v>65677</v>
      </c>
      <c r="G2934" s="105" t="s">
        <v>52</v>
      </c>
      <c r="H2934" s="105" t="s">
        <v>333</v>
      </c>
      <c r="I2934" s="105" t="s">
        <v>339</v>
      </c>
      <c r="J2934" s="493">
        <v>22</v>
      </c>
      <c r="K2934" s="493">
        <v>2</v>
      </c>
      <c r="L2934" s="105" t="s">
        <v>343</v>
      </c>
      <c r="M2934" s="105" t="s">
        <v>655</v>
      </c>
      <c r="N2934" s="105" t="s">
        <v>656</v>
      </c>
      <c r="O2934" s="105" t="s">
        <v>656</v>
      </c>
      <c r="P2934" s="105" t="s">
        <v>339</v>
      </c>
      <c r="Q2934" s="494">
        <v>0</v>
      </c>
      <c r="R2934" s="494">
        <v>0</v>
      </c>
      <c r="S2934" s="494">
        <v>0</v>
      </c>
      <c r="T2934" s="494">
        <v>0</v>
      </c>
      <c r="U2934" s="494">
        <v>0</v>
      </c>
      <c r="V2934" s="493">
        <v>2024</v>
      </c>
      <c r="W2934" s="495"/>
      <c r="X2934" s="496" t="str">
        <f t="shared" si="190"/>
        <v/>
      </c>
      <c r="Y2934" s="497" t="str">
        <f t="shared" si="192"/>
        <v/>
      </c>
      <c r="Z2934" s="497" t="str">
        <f t="shared" si="192"/>
        <v/>
      </c>
    </row>
    <row r="2935" spans="1:26" s="82" customFormat="1" x14ac:dyDescent="0.4">
      <c r="A2935" s="493">
        <v>68403</v>
      </c>
      <c r="B2935" s="105" t="s">
        <v>329</v>
      </c>
      <c r="C2935" s="493" t="s">
        <v>330</v>
      </c>
      <c r="D2935" s="105" t="s">
        <v>3533</v>
      </c>
      <c r="E2935" s="105" t="s">
        <v>3529</v>
      </c>
      <c r="F2935" s="493">
        <v>65677</v>
      </c>
      <c r="G2935" s="105" t="s">
        <v>52</v>
      </c>
      <c r="H2935" s="105" t="s">
        <v>333</v>
      </c>
      <c r="I2935" s="105" t="s">
        <v>339</v>
      </c>
      <c r="J2935" s="493">
        <v>22</v>
      </c>
      <c r="K2935" s="493">
        <v>2</v>
      </c>
      <c r="L2935" s="105" t="s">
        <v>343</v>
      </c>
      <c r="M2935" s="105" t="s">
        <v>655</v>
      </c>
      <c r="N2935" s="105" t="s">
        <v>656</v>
      </c>
      <c r="O2935" s="105" t="s">
        <v>656</v>
      </c>
      <c r="P2935" s="105" t="s">
        <v>339</v>
      </c>
      <c r="Q2935" s="494">
        <v>0</v>
      </c>
      <c r="R2935" s="494">
        <v>0</v>
      </c>
      <c r="S2935" s="494">
        <v>0</v>
      </c>
      <c r="T2935" s="494">
        <v>0</v>
      </c>
      <c r="U2935" s="494">
        <v>0</v>
      </c>
      <c r="V2935" s="493">
        <v>2024</v>
      </c>
      <c r="W2935" s="495"/>
      <c r="X2935" s="496" t="str">
        <f t="shared" si="190"/>
        <v/>
      </c>
      <c r="Y2935" s="497" t="str">
        <f t="shared" si="192"/>
        <v/>
      </c>
      <c r="Z2935" s="497" t="str">
        <f t="shared" si="192"/>
        <v/>
      </c>
    </row>
    <row r="2936" spans="1:26" s="82" customFormat="1" x14ac:dyDescent="0.4">
      <c r="A2936" s="493">
        <v>68404</v>
      </c>
      <c r="B2936" s="105" t="s">
        <v>329</v>
      </c>
      <c r="C2936" s="493" t="s">
        <v>330</v>
      </c>
      <c r="D2936" s="105" t="s">
        <v>3534</v>
      </c>
      <c r="E2936" s="105" t="s">
        <v>3529</v>
      </c>
      <c r="F2936" s="493">
        <v>65677</v>
      </c>
      <c r="G2936" s="105" t="s">
        <v>52</v>
      </c>
      <c r="H2936" s="105" t="s">
        <v>333</v>
      </c>
      <c r="I2936" s="105" t="s">
        <v>339</v>
      </c>
      <c r="J2936" s="493">
        <v>22</v>
      </c>
      <c r="K2936" s="493">
        <v>2</v>
      </c>
      <c r="L2936" s="105" t="s">
        <v>343</v>
      </c>
      <c r="M2936" s="105" t="s">
        <v>655</v>
      </c>
      <c r="N2936" s="105" t="s">
        <v>656</v>
      </c>
      <c r="O2936" s="105" t="s">
        <v>656</v>
      </c>
      <c r="P2936" s="105" t="s">
        <v>339</v>
      </c>
      <c r="Q2936" s="494">
        <v>0</v>
      </c>
      <c r="R2936" s="494">
        <v>0</v>
      </c>
      <c r="S2936" s="494">
        <v>0</v>
      </c>
      <c r="T2936" s="494">
        <v>0</v>
      </c>
      <c r="U2936" s="494">
        <v>0</v>
      </c>
      <c r="V2936" s="493">
        <v>2024</v>
      </c>
      <c r="W2936" s="495"/>
      <c r="X2936" s="496" t="str">
        <f t="shared" si="190"/>
        <v/>
      </c>
      <c r="Y2936" s="497" t="str">
        <f t="shared" si="192"/>
        <v/>
      </c>
      <c r="Z2936" s="497" t="str">
        <f t="shared" si="192"/>
        <v/>
      </c>
    </row>
    <row r="2937" spans="1:26" s="82" customFormat="1" x14ac:dyDescent="0.4">
      <c r="A2937" s="493">
        <v>68405</v>
      </c>
      <c r="B2937" s="105" t="s">
        <v>329</v>
      </c>
      <c r="C2937" s="493" t="s">
        <v>330</v>
      </c>
      <c r="D2937" s="105" t="s">
        <v>3535</v>
      </c>
      <c r="E2937" s="105" t="s">
        <v>3529</v>
      </c>
      <c r="F2937" s="493">
        <v>65677</v>
      </c>
      <c r="G2937" s="105" t="s">
        <v>52</v>
      </c>
      <c r="H2937" s="105" t="s">
        <v>333</v>
      </c>
      <c r="I2937" s="105" t="s">
        <v>339</v>
      </c>
      <c r="J2937" s="493">
        <v>22</v>
      </c>
      <c r="K2937" s="493">
        <v>2</v>
      </c>
      <c r="L2937" s="105" t="s">
        <v>343</v>
      </c>
      <c r="M2937" s="105" t="s">
        <v>655</v>
      </c>
      <c r="N2937" s="105" t="s">
        <v>656</v>
      </c>
      <c r="O2937" s="105" t="s">
        <v>656</v>
      </c>
      <c r="P2937" s="105" t="s">
        <v>339</v>
      </c>
      <c r="Q2937" s="494">
        <v>0</v>
      </c>
      <c r="R2937" s="494">
        <v>0</v>
      </c>
      <c r="S2937" s="494">
        <v>0</v>
      </c>
      <c r="T2937" s="494">
        <v>0</v>
      </c>
      <c r="U2937" s="494">
        <v>0</v>
      </c>
      <c r="V2937" s="493">
        <v>2024</v>
      </c>
      <c r="W2937" s="495"/>
      <c r="X2937" s="496" t="str">
        <f t="shared" si="190"/>
        <v/>
      </c>
      <c r="Y2937" s="497" t="str">
        <f t="shared" si="192"/>
        <v/>
      </c>
      <c r="Z2937" s="497" t="str">
        <f t="shared" si="192"/>
        <v/>
      </c>
    </row>
    <row r="2938" spans="1:26" s="82" customFormat="1" x14ac:dyDescent="0.4">
      <c r="A2938" s="493">
        <v>68406</v>
      </c>
      <c r="B2938" s="105" t="s">
        <v>329</v>
      </c>
      <c r="C2938" s="493" t="s">
        <v>330</v>
      </c>
      <c r="D2938" s="105" t="s">
        <v>3536</v>
      </c>
      <c r="E2938" s="105" t="s">
        <v>3529</v>
      </c>
      <c r="F2938" s="493">
        <v>65677</v>
      </c>
      <c r="G2938" s="105" t="s">
        <v>34</v>
      </c>
      <c r="H2938" s="105" t="s">
        <v>342</v>
      </c>
      <c r="I2938" s="105" t="s">
        <v>339</v>
      </c>
      <c r="J2938" s="493">
        <v>22</v>
      </c>
      <c r="K2938" s="493">
        <v>2</v>
      </c>
      <c r="L2938" s="105" t="s">
        <v>343</v>
      </c>
      <c r="M2938" s="105" t="s">
        <v>655</v>
      </c>
      <c r="N2938" s="105" t="s">
        <v>656</v>
      </c>
      <c r="O2938" s="105" t="s">
        <v>656</v>
      </c>
      <c r="P2938" s="105" t="s">
        <v>339</v>
      </c>
      <c r="Q2938" s="494">
        <v>0</v>
      </c>
      <c r="R2938" s="494">
        <v>0</v>
      </c>
      <c r="S2938" s="494">
        <v>218</v>
      </c>
      <c r="T2938" s="494">
        <v>218</v>
      </c>
      <c r="U2938" s="494">
        <v>64</v>
      </c>
      <c r="V2938" s="493">
        <v>2024</v>
      </c>
      <c r="W2938" s="495"/>
      <c r="X2938" s="496">
        <f t="shared" si="190"/>
        <v>3.40625</v>
      </c>
      <c r="Y2938" s="497" t="str">
        <f t="shared" si="192"/>
        <v/>
      </c>
      <c r="Z2938" s="497" t="str">
        <f t="shared" si="192"/>
        <v/>
      </c>
    </row>
    <row r="2939" spans="1:26" s="82" customFormat="1" x14ac:dyDescent="0.4">
      <c r="A2939" s="493">
        <v>68407</v>
      </c>
      <c r="B2939" s="105" t="s">
        <v>329</v>
      </c>
      <c r="C2939" s="493" t="s">
        <v>330</v>
      </c>
      <c r="D2939" s="105" t="s">
        <v>3537</v>
      </c>
      <c r="E2939" s="105" t="s">
        <v>3529</v>
      </c>
      <c r="F2939" s="493">
        <v>65677</v>
      </c>
      <c r="G2939" s="105" t="s">
        <v>52</v>
      </c>
      <c r="H2939" s="105" t="s">
        <v>333</v>
      </c>
      <c r="I2939" s="105" t="s">
        <v>339</v>
      </c>
      <c r="J2939" s="493">
        <v>22</v>
      </c>
      <c r="K2939" s="493">
        <v>2</v>
      </c>
      <c r="L2939" s="105" t="s">
        <v>343</v>
      </c>
      <c r="M2939" s="105" t="s">
        <v>655</v>
      </c>
      <c r="N2939" s="105" t="s">
        <v>656</v>
      </c>
      <c r="O2939" s="105" t="s">
        <v>656</v>
      </c>
      <c r="P2939" s="105" t="s">
        <v>339</v>
      </c>
      <c r="Q2939" s="494">
        <v>0</v>
      </c>
      <c r="R2939" s="494">
        <v>0</v>
      </c>
      <c r="S2939" s="494">
        <v>133</v>
      </c>
      <c r="T2939" s="494">
        <v>133</v>
      </c>
      <c r="U2939" s="494">
        <v>39</v>
      </c>
      <c r="V2939" s="493">
        <v>2024</v>
      </c>
      <c r="W2939" s="495"/>
      <c r="X2939" s="496">
        <f t="shared" si="190"/>
        <v>3.4102564102564101</v>
      </c>
      <c r="Y2939" s="497" t="str">
        <f t="shared" si="192"/>
        <v/>
      </c>
      <c r="Z2939" s="497" t="str">
        <f t="shared" si="192"/>
        <v/>
      </c>
    </row>
    <row r="2940" spans="1:26" s="82" customFormat="1" ht="32" x14ac:dyDescent="0.4">
      <c r="A2940" s="493">
        <v>68419</v>
      </c>
      <c r="B2940" s="105" t="s">
        <v>329</v>
      </c>
      <c r="C2940" s="493" t="s">
        <v>330</v>
      </c>
      <c r="D2940" s="105" t="s">
        <v>3538</v>
      </c>
      <c r="E2940" s="105" t="s">
        <v>3409</v>
      </c>
      <c r="F2940" s="493">
        <v>66264</v>
      </c>
      <c r="G2940" s="105" t="s">
        <v>52</v>
      </c>
      <c r="H2940" s="105" t="s">
        <v>333</v>
      </c>
      <c r="I2940" s="105" t="s">
        <v>339</v>
      </c>
      <c r="J2940" s="493">
        <v>22</v>
      </c>
      <c r="K2940" s="493">
        <v>2</v>
      </c>
      <c r="L2940" s="105" t="s">
        <v>343</v>
      </c>
      <c r="M2940" s="105" t="s">
        <v>655</v>
      </c>
      <c r="N2940" s="105" t="s">
        <v>656</v>
      </c>
      <c r="O2940" s="105" t="s">
        <v>656</v>
      </c>
      <c r="P2940" s="105" t="s">
        <v>339</v>
      </c>
      <c r="Q2940" s="494">
        <v>0</v>
      </c>
      <c r="R2940" s="494">
        <v>0</v>
      </c>
      <c r="S2940" s="494">
        <v>0</v>
      </c>
      <c r="T2940" s="494">
        <v>0</v>
      </c>
      <c r="U2940" s="494">
        <v>0</v>
      </c>
      <c r="V2940" s="493">
        <v>2024</v>
      </c>
      <c r="W2940" s="495"/>
      <c r="X2940" s="496" t="str">
        <f t="shared" si="190"/>
        <v/>
      </c>
      <c r="Y2940" s="497" t="str">
        <f t="shared" si="192"/>
        <v/>
      </c>
      <c r="Z2940" s="497" t="str">
        <f t="shared" si="192"/>
        <v/>
      </c>
    </row>
    <row r="2941" spans="1:26" s="82" customFormat="1" ht="32" x14ac:dyDescent="0.4">
      <c r="A2941" s="493">
        <v>68420</v>
      </c>
      <c r="B2941" s="105" t="s">
        <v>329</v>
      </c>
      <c r="C2941" s="493" t="s">
        <v>330</v>
      </c>
      <c r="D2941" s="105" t="s">
        <v>3539</v>
      </c>
      <c r="E2941" s="105" t="s">
        <v>3409</v>
      </c>
      <c r="F2941" s="493">
        <v>66264</v>
      </c>
      <c r="G2941" s="105" t="s">
        <v>52</v>
      </c>
      <c r="H2941" s="105" t="s">
        <v>333</v>
      </c>
      <c r="I2941" s="105" t="s">
        <v>339</v>
      </c>
      <c r="J2941" s="493">
        <v>22</v>
      </c>
      <c r="K2941" s="493">
        <v>2</v>
      </c>
      <c r="L2941" s="105" t="s">
        <v>343</v>
      </c>
      <c r="M2941" s="105" t="s">
        <v>655</v>
      </c>
      <c r="N2941" s="105" t="s">
        <v>656</v>
      </c>
      <c r="O2941" s="105" t="s">
        <v>656</v>
      </c>
      <c r="P2941" s="105" t="s">
        <v>339</v>
      </c>
      <c r="Q2941" s="494">
        <v>0</v>
      </c>
      <c r="R2941" s="494">
        <v>0</v>
      </c>
      <c r="S2941" s="494">
        <v>0</v>
      </c>
      <c r="T2941" s="494">
        <v>0</v>
      </c>
      <c r="U2941" s="494">
        <v>0</v>
      </c>
      <c r="V2941" s="493">
        <v>2024</v>
      </c>
      <c r="W2941" s="495"/>
      <c r="X2941" s="496" t="str">
        <f t="shared" si="190"/>
        <v/>
      </c>
      <c r="Y2941" s="497" t="str">
        <f t="shared" si="192"/>
        <v/>
      </c>
      <c r="Z2941" s="497" t="str">
        <f t="shared" si="192"/>
        <v/>
      </c>
    </row>
    <row r="2942" spans="1:26" s="82" customFormat="1" ht="32" x14ac:dyDescent="0.4">
      <c r="A2942" s="493">
        <v>68421</v>
      </c>
      <c r="B2942" s="105" t="s">
        <v>329</v>
      </c>
      <c r="C2942" s="493" t="s">
        <v>330</v>
      </c>
      <c r="D2942" s="105" t="s">
        <v>3540</v>
      </c>
      <c r="E2942" s="105" t="s">
        <v>3409</v>
      </c>
      <c r="F2942" s="493">
        <v>66264</v>
      </c>
      <c r="G2942" s="105" t="s">
        <v>52</v>
      </c>
      <c r="H2942" s="105" t="s">
        <v>333</v>
      </c>
      <c r="I2942" s="105" t="s">
        <v>339</v>
      </c>
      <c r="J2942" s="493">
        <v>22</v>
      </c>
      <c r="K2942" s="493">
        <v>2</v>
      </c>
      <c r="L2942" s="105" t="s">
        <v>343</v>
      </c>
      <c r="M2942" s="105" t="s">
        <v>655</v>
      </c>
      <c r="N2942" s="105" t="s">
        <v>656</v>
      </c>
      <c r="O2942" s="105" t="s">
        <v>656</v>
      </c>
      <c r="P2942" s="105" t="s">
        <v>339</v>
      </c>
      <c r="Q2942" s="494">
        <v>0</v>
      </c>
      <c r="R2942" s="494">
        <v>0</v>
      </c>
      <c r="S2942" s="494">
        <v>0</v>
      </c>
      <c r="T2942" s="494">
        <v>0</v>
      </c>
      <c r="U2942" s="494">
        <v>0</v>
      </c>
      <c r="V2942" s="493">
        <v>2024</v>
      </c>
      <c r="W2942" s="495"/>
      <c r="X2942" s="496" t="str">
        <f t="shared" si="190"/>
        <v/>
      </c>
      <c r="Y2942" s="497" t="str">
        <f t="shared" si="192"/>
        <v/>
      </c>
      <c r="Z2942" s="497" t="str">
        <f t="shared" si="192"/>
        <v/>
      </c>
    </row>
    <row r="2943" spans="1:26" s="82" customFormat="1" x14ac:dyDescent="0.4">
      <c r="A2943" s="493">
        <v>68430</v>
      </c>
      <c r="B2943" s="105" t="s">
        <v>329</v>
      </c>
      <c r="C2943" s="493" t="s">
        <v>330</v>
      </c>
      <c r="D2943" s="105" t="s">
        <v>3541</v>
      </c>
      <c r="E2943" s="105" t="s">
        <v>3542</v>
      </c>
      <c r="F2943" s="493">
        <v>66787</v>
      </c>
      <c r="G2943" s="105" t="s">
        <v>33</v>
      </c>
      <c r="H2943" s="105" t="s">
        <v>342</v>
      </c>
      <c r="I2943" s="105" t="s">
        <v>339</v>
      </c>
      <c r="J2943" s="493">
        <v>22</v>
      </c>
      <c r="K2943" s="493">
        <v>2</v>
      </c>
      <c r="L2943" s="105" t="s">
        <v>343</v>
      </c>
      <c r="M2943" s="105" t="s">
        <v>655</v>
      </c>
      <c r="N2943" s="105" t="s">
        <v>656</v>
      </c>
      <c r="O2943" s="105" t="s">
        <v>656</v>
      </c>
      <c r="P2943" s="105" t="s">
        <v>339</v>
      </c>
      <c r="Q2943" s="494">
        <v>0</v>
      </c>
      <c r="R2943" s="494">
        <v>0</v>
      </c>
      <c r="S2943" s="494">
        <v>6922</v>
      </c>
      <c r="T2943" s="494">
        <v>6922</v>
      </c>
      <c r="U2943" s="494">
        <v>2029</v>
      </c>
      <c r="V2943" s="493">
        <v>2024</v>
      </c>
      <c r="W2943" s="495"/>
      <c r="X2943" s="496">
        <f t="shared" si="190"/>
        <v>3.4115327747658943</v>
      </c>
      <c r="Y2943" s="497" t="str">
        <f t="shared" si="192"/>
        <v/>
      </c>
      <c r="Z2943" s="497" t="str">
        <f t="shared" si="192"/>
        <v/>
      </c>
    </row>
    <row r="2944" spans="1:26" s="82" customFormat="1" x14ac:dyDescent="0.4">
      <c r="A2944" s="493">
        <v>68432</v>
      </c>
      <c r="B2944" s="105" t="s">
        <v>329</v>
      </c>
      <c r="C2944" s="493" t="s">
        <v>330</v>
      </c>
      <c r="D2944" s="105" t="s">
        <v>3543</v>
      </c>
      <c r="E2944" s="105" t="s">
        <v>3544</v>
      </c>
      <c r="F2944" s="493">
        <v>66788</v>
      </c>
      <c r="G2944" s="105" t="s">
        <v>33</v>
      </c>
      <c r="H2944" s="105" t="s">
        <v>342</v>
      </c>
      <c r="I2944" s="105" t="s">
        <v>339</v>
      </c>
      <c r="J2944" s="493">
        <v>22</v>
      </c>
      <c r="K2944" s="493">
        <v>2</v>
      </c>
      <c r="L2944" s="105" t="s">
        <v>343</v>
      </c>
      <c r="M2944" s="105" t="s">
        <v>655</v>
      </c>
      <c r="N2944" s="105" t="s">
        <v>656</v>
      </c>
      <c r="O2944" s="105" t="s">
        <v>656</v>
      </c>
      <c r="P2944" s="105" t="s">
        <v>339</v>
      </c>
      <c r="Q2944" s="494">
        <v>0</v>
      </c>
      <c r="R2944" s="494">
        <v>0</v>
      </c>
      <c r="S2944" s="494">
        <v>8956</v>
      </c>
      <c r="T2944" s="494">
        <v>8956</v>
      </c>
      <c r="U2944" s="494">
        <v>2625</v>
      </c>
      <c r="V2944" s="493">
        <v>2024</v>
      </c>
      <c r="W2944" s="495"/>
      <c r="X2944" s="496">
        <f t="shared" si="190"/>
        <v>3.4118095238095236</v>
      </c>
      <c r="Y2944" s="497" t="str">
        <f t="shared" si="192"/>
        <v/>
      </c>
      <c r="Z2944" s="497" t="str">
        <f t="shared" si="192"/>
        <v/>
      </c>
    </row>
    <row r="2945" spans="1:26" s="82" customFormat="1" ht="32" x14ac:dyDescent="0.4">
      <c r="A2945" s="493">
        <v>68434</v>
      </c>
      <c r="B2945" s="105" t="s">
        <v>329</v>
      </c>
      <c r="C2945" s="493" t="s">
        <v>330</v>
      </c>
      <c r="D2945" s="105" t="s">
        <v>3545</v>
      </c>
      <c r="E2945" s="105" t="s">
        <v>3546</v>
      </c>
      <c r="F2945" s="493">
        <v>66790</v>
      </c>
      <c r="G2945" s="105" t="s">
        <v>33</v>
      </c>
      <c r="H2945" s="105" t="s">
        <v>342</v>
      </c>
      <c r="I2945" s="105" t="s">
        <v>339</v>
      </c>
      <c r="J2945" s="493">
        <v>22</v>
      </c>
      <c r="K2945" s="493">
        <v>2</v>
      </c>
      <c r="L2945" s="105" t="s">
        <v>343</v>
      </c>
      <c r="M2945" s="105" t="s">
        <v>655</v>
      </c>
      <c r="N2945" s="105" t="s">
        <v>656</v>
      </c>
      <c r="O2945" s="105" t="s">
        <v>656</v>
      </c>
      <c r="P2945" s="105" t="s">
        <v>339</v>
      </c>
      <c r="Q2945" s="494">
        <v>0</v>
      </c>
      <c r="R2945" s="494">
        <v>0</v>
      </c>
      <c r="S2945" s="494">
        <v>11547</v>
      </c>
      <c r="T2945" s="494">
        <v>11547</v>
      </c>
      <c r="U2945" s="494">
        <v>3384</v>
      </c>
      <c r="V2945" s="493">
        <v>2024</v>
      </c>
      <c r="W2945" s="495"/>
      <c r="X2945" s="496">
        <f t="shared" si="190"/>
        <v>3.4122340425531914</v>
      </c>
      <c r="Y2945" s="497" t="str">
        <f t="shared" si="192"/>
        <v/>
      </c>
      <c r="Z2945" s="497" t="str">
        <f t="shared" si="192"/>
        <v/>
      </c>
    </row>
    <row r="2946" spans="1:26" s="82" customFormat="1" x14ac:dyDescent="0.4">
      <c r="A2946" s="493">
        <v>68435</v>
      </c>
      <c r="B2946" s="105" t="s">
        <v>329</v>
      </c>
      <c r="C2946" s="493" t="s">
        <v>330</v>
      </c>
      <c r="D2946" s="105" t="s">
        <v>3547</v>
      </c>
      <c r="E2946" s="105" t="s">
        <v>3548</v>
      </c>
      <c r="F2946" s="493">
        <v>66791</v>
      </c>
      <c r="G2946" s="105" t="s">
        <v>33</v>
      </c>
      <c r="H2946" s="105" t="s">
        <v>342</v>
      </c>
      <c r="I2946" s="105" t="s">
        <v>339</v>
      </c>
      <c r="J2946" s="493">
        <v>22</v>
      </c>
      <c r="K2946" s="493">
        <v>2</v>
      </c>
      <c r="L2946" s="105" t="s">
        <v>343</v>
      </c>
      <c r="M2946" s="105" t="s">
        <v>655</v>
      </c>
      <c r="N2946" s="105" t="s">
        <v>656</v>
      </c>
      <c r="O2946" s="105" t="s">
        <v>656</v>
      </c>
      <c r="P2946" s="105" t="s">
        <v>339</v>
      </c>
      <c r="Q2946" s="494">
        <v>0</v>
      </c>
      <c r="R2946" s="494">
        <v>0</v>
      </c>
      <c r="S2946" s="494">
        <v>5713</v>
      </c>
      <c r="T2946" s="494">
        <v>5713</v>
      </c>
      <c r="U2946" s="494">
        <v>1674</v>
      </c>
      <c r="V2946" s="493">
        <v>2024</v>
      </c>
      <c r="W2946" s="495"/>
      <c r="X2946" s="496">
        <f t="shared" si="190"/>
        <v>3.4127837514934289</v>
      </c>
      <c r="Y2946" s="497" t="str">
        <f t="shared" si="192"/>
        <v/>
      </c>
      <c r="Z2946" s="497" t="str">
        <f t="shared" si="192"/>
        <v/>
      </c>
    </row>
    <row r="2947" spans="1:26" s="82" customFormat="1" x14ac:dyDescent="0.4">
      <c r="A2947" s="493">
        <v>68437</v>
      </c>
      <c r="B2947" s="105" t="s">
        <v>329</v>
      </c>
      <c r="C2947" s="493" t="s">
        <v>330</v>
      </c>
      <c r="D2947" s="105" t="s">
        <v>3549</v>
      </c>
      <c r="E2947" s="105" t="s">
        <v>3550</v>
      </c>
      <c r="F2947" s="493">
        <v>66792</v>
      </c>
      <c r="G2947" s="105" t="s">
        <v>33</v>
      </c>
      <c r="H2947" s="105" t="s">
        <v>342</v>
      </c>
      <c r="I2947" s="105" t="s">
        <v>339</v>
      </c>
      <c r="J2947" s="493">
        <v>22</v>
      </c>
      <c r="K2947" s="493">
        <v>2</v>
      </c>
      <c r="L2947" s="105" t="s">
        <v>343</v>
      </c>
      <c r="M2947" s="105" t="s">
        <v>655</v>
      </c>
      <c r="N2947" s="105" t="s">
        <v>656</v>
      </c>
      <c r="O2947" s="105" t="s">
        <v>656</v>
      </c>
      <c r="P2947" s="105" t="s">
        <v>339</v>
      </c>
      <c r="Q2947" s="494">
        <v>0</v>
      </c>
      <c r="R2947" s="494">
        <v>0</v>
      </c>
      <c r="S2947" s="494">
        <v>5314</v>
      </c>
      <c r="T2947" s="494">
        <v>5314</v>
      </c>
      <c r="U2947" s="494">
        <v>1557</v>
      </c>
      <c r="V2947" s="493">
        <v>2024</v>
      </c>
      <c r="W2947" s="495"/>
      <c r="X2947" s="496">
        <f t="shared" si="190"/>
        <v>3.4129736673089273</v>
      </c>
      <c r="Y2947" s="497" t="str">
        <f t="shared" si="192"/>
        <v/>
      </c>
      <c r="Z2947" s="497" t="str">
        <f t="shared" si="192"/>
        <v/>
      </c>
    </row>
    <row r="2948" spans="1:26" s="82" customFormat="1" x14ac:dyDescent="0.4">
      <c r="A2948" s="493">
        <v>68438</v>
      </c>
      <c r="B2948" s="105" t="s">
        <v>329</v>
      </c>
      <c r="C2948" s="493" t="s">
        <v>330</v>
      </c>
      <c r="D2948" s="105" t="s">
        <v>3551</v>
      </c>
      <c r="E2948" s="105" t="s">
        <v>3552</v>
      </c>
      <c r="F2948" s="493">
        <v>66793</v>
      </c>
      <c r="G2948" s="105" t="s">
        <v>33</v>
      </c>
      <c r="H2948" s="105" t="s">
        <v>342</v>
      </c>
      <c r="I2948" s="105" t="s">
        <v>339</v>
      </c>
      <c r="J2948" s="493">
        <v>22</v>
      </c>
      <c r="K2948" s="493">
        <v>2</v>
      </c>
      <c r="L2948" s="105" t="s">
        <v>343</v>
      </c>
      <c r="M2948" s="105" t="s">
        <v>655</v>
      </c>
      <c r="N2948" s="105" t="s">
        <v>656</v>
      </c>
      <c r="O2948" s="105" t="s">
        <v>656</v>
      </c>
      <c r="P2948" s="105" t="s">
        <v>339</v>
      </c>
      <c r="Q2948" s="494">
        <v>0</v>
      </c>
      <c r="R2948" s="494">
        <v>0</v>
      </c>
      <c r="S2948" s="494">
        <v>5231</v>
      </c>
      <c r="T2948" s="494">
        <v>5231</v>
      </c>
      <c r="U2948" s="494">
        <v>1533</v>
      </c>
      <c r="V2948" s="493">
        <v>2024</v>
      </c>
      <c r="W2948" s="495"/>
      <c r="X2948" s="496">
        <f t="shared" si="190"/>
        <v>3.4122635355512068</v>
      </c>
      <c r="Y2948" s="497" t="str">
        <f t="shared" ref="Y2948:Z2967" si="193">IF(AND($M2948=$Y$2,$N2948=$Y$3,NOT($Q2948=$R2948),NOT($U2948=0)),IF($K2948=5,$S2948/($U2948+(8/5)*$U2948),IF($K2948=7,$S2948/($U2948+(29/25)*$U2948),"")),"")</f>
        <v/>
      </c>
      <c r="Z2948" s="497" t="str">
        <f t="shared" si="193"/>
        <v/>
      </c>
    </row>
    <row r="2949" spans="1:26" s="82" customFormat="1" x14ac:dyDescent="0.4">
      <c r="A2949" s="493">
        <v>68441</v>
      </c>
      <c r="B2949" s="105" t="s">
        <v>329</v>
      </c>
      <c r="C2949" s="493" t="s">
        <v>330</v>
      </c>
      <c r="D2949" s="105" t="s">
        <v>3553</v>
      </c>
      <c r="E2949" s="105" t="s">
        <v>3554</v>
      </c>
      <c r="F2949" s="493">
        <v>66795</v>
      </c>
      <c r="G2949" s="105" t="s">
        <v>33</v>
      </c>
      <c r="H2949" s="105" t="s">
        <v>342</v>
      </c>
      <c r="I2949" s="105" t="s">
        <v>339</v>
      </c>
      <c r="J2949" s="493">
        <v>22</v>
      </c>
      <c r="K2949" s="493">
        <v>2</v>
      </c>
      <c r="L2949" s="105" t="s">
        <v>343</v>
      </c>
      <c r="M2949" s="105" t="s">
        <v>655</v>
      </c>
      <c r="N2949" s="105" t="s">
        <v>656</v>
      </c>
      <c r="O2949" s="105" t="s">
        <v>656</v>
      </c>
      <c r="P2949" s="105" t="s">
        <v>339</v>
      </c>
      <c r="Q2949" s="494">
        <v>0</v>
      </c>
      <c r="R2949" s="494">
        <v>0</v>
      </c>
      <c r="S2949" s="494">
        <v>4924</v>
      </c>
      <c r="T2949" s="494">
        <v>4924</v>
      </c>
      <c r="U2949" s="494">
        <v>1443</v>
      </c>
      <c r="V2949" s="493">
        <v>2024</v>
      </c>
      <c r="W2949" s="495"/>
      <c r="X2949" s="496">
        <f t="shared" si="190"/>
        <v>3.4123354123354122</v>
      </c>
      <c r="Y2949" s="497" t="str">
        <f t="shared" si="193"/>
        <v/>
      </c>
      <c r="Z2949" s="497" t="str">
        <f t="shared" si="193"/>
        <v/>
      </c>
    </row>
    <row r="2950" spans="1:26" s="82" customFormat="1" ht="32" x14ac:dyDescent="0.4">
      <c r="A2950" s="493">
        <v>68454</v>
      </c>
      <c r="B2950" s="105" t="s">
        <v>329</v>
      </c>
      <c r="C2950" s="493" t="s">
        <v>330</v>
      </c>
      <c r="D2950" s="105" t="s">
        <v>3555</v>
      </c>
      <c r="E2950" s="105" t="s">
        <v>3556</v>
      </c>
      <c r="F2950" s="493">
        <v>66824</v>
      </c>
      <c r="G2950" s="105" t="s">
        <v>34</v>
      </c>
      <c r="H2950" s="105" t="s">
        <v>342</v>
      </c>
      <c r="I2950" s="105" t="s">
        <v>339</v>
      </c>
      <c r="J2950" s="493">
        <v>22</v>
      </c>
      <c r="K2950" s="493">
        <v>2</v>
      </c>
      <c r="L2950" s="105" t="s">
        <v>343</v>
      </c>
      <c r="M2950" s="105" t="s">
        <v>655</v>
      </c>
      <c r="N2950" s="105" t="s">
        <v>656</v>
      </c>
      <c r="O2950" s="105" t="s">
        <v>656</v>
      </c>
      <c r="P2950" s="105" t="s">
        <v>339</v>
      </c>
      <c r="Q2950" s="494">
        <v>0</v>
      </c>
      <c r="R2950" s="494">
        <v>0</v>
      </c>
      <c r="S2950" s="494">
        <v>259</v>
      </c>
      <c r="T2950" s="494">
        <v>259</v>
      </c>
      <c r="U2950" s="494">
        <v>76</v>
      </c>
      <c r="V2950" s="493">
        <v>2024</v>
      </c>
      <c r="W2950" s="495"/>
      <c r="X2950" s="496">
        <f t="shared" si="190"/>
        <v>3.4078947368421053</v>
      </c>
      <c r="Y2950" s="497" t="str">
        <f t="shared" si="193"/>
        <v/>
      </c>
      <c r="Z2950" s="497" t="str">
        <f t="shared" si="193"/>
        <v/>
      </c>
    </row>
    <row r="2951" spans="1:26" s="82" customFormat="1" ht="32" x14ac:dyDescent="0.4">
      <c r="A2951" s="493">
        <v>68484</v>
      </c>
      <c r="B2951" s="105" t="s">
        <v>329</v>
      </c>
      <c r="C2951" s="493" t="s">
        <v>330</v>
      </c>
      <c r="D2951" s="105" t="s">
        <v>3557</v>
      </c>
      <c r="E2951" s="105" t="s">
        <v>3558</v>
      </c>
      <c r="F2951" s="493">
        <v>66855</v>
      </c>
      <c r="G2951" s="105" t="s">
        <v>34</v>
      </c>
      <c r="H2951" s="105" t="s">
        <v>342</v>
      </c>
      <c r="I2951" s="105" t="s">
        <v>339</v>
      </c>
      <c r="J2951" s="493">
        <v>22</v>
      </c>
      <c r="K2951" s="493">
        <v>2</v>
      </c>
      <c r="L2951" s="105" t="s">
        <v>343</v>
      </c>
      <c r="M2951" s="105" t="s">
        <v>655</v>
      </c>
      <c r="N2951" s="105" t="s">
        <v>656</v>
      </c>
      <c r="O2951" s="105" t="s">
        <v>656</v>
      </c>
      <c r="P2951" s="105" t="s">
        <v>339</v>
      </c>
      <c r="Q2951" s="494">
        <v>0</v>
      </c>
      <c r="R2951" s="494">
        <v>0</v>
      </c>
      <c r="S2951" s="494">
        <v>75</v>
      </c>
      <c r="T2951" s="494">
        <v>75</v>
      </c>
      <c r="U2951" s="494">
        <v>22</v>
      </c>
      <c r="V2951" s="493">
        <v>2024</v>
      </c>
      <c r="W2951" s="495"/>
      <c r="X2951" s="496">
        <f t="shared" si="190"/>
        <v>3.4090909090909092</v>
      </c>
      <c r="Y2951" s="497" t="str">
        <f t="shared" si="193"/>
        <v/>
      </c>
      <c r="Z2951" s="497" t="str">
        <f t="shared" si="193"/>
        <v/>
      </c>
    </row>
    <row r="2952" spans="1:26" s="82" customFormat="1" ht="32" x14ac:dyDescent="0.4">
      <c r="A2952" s="493">
        <v>68493</v>
      </c>
      <c r="B2952" s="105" t="s">
        <v>433</v>
      </c>
      <c r="C2952" s="493" t="s">
        <v>330</v>
      </c>
      <c r="D2952" s="105" t="s">
        <v>3559</v>
      </c>
      <c r="E2952" s="105" t="s">
        <v>3560</v>
      </c>
      <c r="F2952" s="493">
        <v>66866</v>
      </c>
      <c r="G2952" s="105" t="s">
        <v>33</v>
      </c>
      <c r="H2952" s="105" t="s">
        <v>342</v>
      </c>
      <c r="I2952" s="105" t="s">
        <v>339</v>
      </c>
      <c r="J2952" s="493">
        <v>611</v>
      </c>
      <c r="K2952" s="493">
        <v>5</v>
      </c>
      <c r="L2952" s="105" t="s">
        <v>771</v>
      </c>
      <c r="M2952" s="105" t="s">
        <v>403</v>
      </c>
      <c r="N2952" s="105" t="s">
        <v>404</v>
      </c>
      <c r="O2952" s="105" t="s">
        <v>232</v>
      </c>
      <c r="P2952" s="105" t="s">
        <v>346</v>
      </c>
      <c r="Q2952" s="494">
        <v>2342</v>
      </c>
      <c r="R2952" s="494">
        <v>2342</v>
      </c>
      <c r="S2952" s="494">
        <v>0</v>
      </c>
      <c r="T2952" s="494">
        <v>0</v>
      </c>
      <c r="U2952" s="494">
        <v>-599</v>
      </c>
      <c r="V2952" s="493">
        <v>2024</v>
      </c>
      <c r="W2952" s="495"/>
      <c r="X2952" s="496" t="str">
        <f t="shared" si="190"/>
        <v/>
      </c>
      <c r="Y2952" s="497" t="str">
        <f t="shared" si="193"/>
        <v/>
      </c>
      <c r="Z2952" s="497" t="str">
        <f t="shared" si="193"/>
        <v/>
      </c>
    </row>
    <row r="2953" spans="1:26" s="82" customFormat="1" ht="32" x14ac:dyDescent="0.4">
      <c r="A2953" s="493">
        <v>68493</v>
      </c>
      <c r="B2953" s="105" t="s">
        <v>433</v>
      </c>
      <c r="C2953" s="493" t="s">
        <v>330</v>
      </c>
      <c r="D2953" s="105" t="s">
        <v>3559</v>
      </c>
      <c r="E2953" s="105" t="s">
        <v>3560</v>
      </c>
      <c r="F2953" s="493">
        <v>66866</v>
      </c>
      <c r="G2953" s="105" t="s">
        <v>33</v>
      </c>
      <c r="H2953" s="105" t="s">
        <v>342</v>
      </c>
      <c r="I2953" s="105" t="s">
        <v>339</v>
      </c>
      <c r="J2953" s="493">
        <v>611</v>
      </c>
      <c r="K2953" s="493">
        <v>5</v>
      </c>
      <c r="L2953" s="105" t="s">
        <v>771</v>
      </c>
      <c r="M2953" s="105" t="s">
        <v>295</v>
      </c>
      <c r="N2953" s="105" t="s">
        <v>226</v>
      </c>
      <c r="O2953" s="105" t="s">
        <v>226</v>
      </c>
      <c r="P2953" s="105" t="s">
        <v>350</v>
      </c>
      <c r="Q2953" s="494">
        <v>2429</v>
      </c>
      <c r="R2953" s="494">
        <v>2292</v>
      </c>
      <c r="S2953" s="494">
        <v>13976</v>
      </c>
      <c r="T2953" s="494">
        <v>13184</v>
      </c>
      <c r="U2953" s="494">
        <v>1136.0519999999999</v>
      </c>
      <c r="V2953" s="493">
        <v>2024</v>
      </c>
      <c r="W2953" s="495"/>
      <c r="X2953" s="496" t="str">
        <f t="shared" ref="X2953:X3016" si="194">IF(OR(K2953&gt;3,T2953=0,NOT(U2953&gt;0)),"",T2953/U2953)</f>
        <v/>
      </c>
      <c r="Y2953" s="497" t="str">
        <f t="shared" si="193"/>
        <v/>
      </c>
      <c r="Z2953" s="497" t="str">
        <f t="shared" si="193"/>
        <v/>
      </c>
    </row>
    <row r="2954" spans="1:26" s="82" customFormat="1" ht="32" x14ac:dyDescent="0.4">
      <c r="A2954" s="493">
        <v>68493</v>
      </c>
      <c r="B2954" s="105" t="s">
        <v>433</v>
      </c>
      <c r="C2954" s="493" t="s">
        <v>330</v>
      </c>
      <c r="D2954" s="105" t="s">
        <v>3559</v>
      </c>
      <c r="E2954" s="105" t="s">
        <v>3560</v>
      </c>
      <c r="F2954" s="493">
        <v>66866</v>
      </c>
      <c r="G2954" s="105" t="s">
        <v>33</v>
      </c>
      <c r="H2954" s="105" t="s">
        <v>342</v>
      </c>
      <c r="I2954" s="105" t="s">
        <v>339</v>
      </c>
      <c r="J2954" s="493">
        <v>611</v>
      </c>
      <c r="K2954" s="493">
        <v>5</v>
      </c>
      <c r="L2954" s="105" t="s">
        <v>771</v>
      </c>
      <c r="M2954" s="105" t="s">
        <v>295</v>
      </c>
      <c r="N2954" s="105" t="s">
        <v>228</v>
      </c>
      <c r="O2954" s="105" t="s">
        <v>228</v>
      </c>
      <c r="P2954" s="105" t="s">
        <v>356</v>
      </c>
      <c r="Q2954" s="494">
        <v>1000518</v>
      </c>
      <c r="R2954" s="494">
        <v>943817</v>
      </c>
      <c r="S2954" s="494">
        <v>1015527</v>
      </c>
      <c r="T2954" s="494">
        <v>957972</v>
      </c>
      <c r="U2954" s="494">
        <v>82545.168000000005</v>
      </c>
      <c r="V2954" s="493">
        <v>2024</v>
      </c>
      <c r="W2954" s="495"/>
      <c r="X2954" s="496" t="str">
        <f t="shared" si="194"/>
        <v/>
      </c>
      <c r="Y2954" s="497">
        <f t="shared" si="193"/>
        <v>4.7318009903657554</v>
      </c>
      <c r="Z2954" s="497">
        <f t="shared" si="193"/>
        <v>4.7318009903657554</v>
      </c>
    </row>
    <row r="2955" spans="1:26" s="82" customFormat="1" ht="32" x14ac:dyDescent="0.4">
      <c r="A2955" s="493">
        <v>68493</v>
      </c>
      <c r="B2955" s="105" t="s">
        <v>433</v>
      </c>
      <c r="C2955" s="493" t="s">
        <v>330</v>
      </c>
      <c r="D2955" s="105" t="s">
        <v>3559</v>
      </c>
      <c r="E2955" s="105" t="s">
        <v>3560</v>
      </c>
      <c r="F2955" s="493">
        <v>66866</v>
      </c>
      <c r="G2955" s="105" t="s">
        <v>33</v>
      </c>
      <c r="H2955" s="105" t="s">
        <v>342</v>
      </c>
      <c r="I2955" s="105" t="s">
        <v>339</v>
      </c>
      <c r="J2955" s="493">
        <v>611</v>
      </c>
      <c r="K2955" s="493">
        <v>5</v>
      </c>
      <c r="L2955" s="105" t="s">
        <v>771</v>
      </c>
      <c r="M2955" s="105" t="s">
        <v>360</v>
      </c>
      <c r="N2955" s="105" t="s">
        <v>226</v>
      </c>
      <c r="O2955" s="105" t="s">
        <v>226</v>
      </c>
      <c r="P2955" s="105" t="s">
        <v>350</v>
      </c>
      <c r="Q2955" s="494">
        <v>1744</v>
      </c>
      <c r="R2955" s="494">
        <v>858</v>
      </c>
      <c r="S2955" s="494">
        <v>10035</v>
      </c>
      <c r="T2955" s="494">
        <v>4930</v>
      </c>
      <c r="U2955" s="494">
        <v>420.38799999999998</v>
      </c>
      <c r="V2955" s="493">
        <v>2024</v>
      </c>
      <c r="W2955" s="495"/>
      <c r="X2955" s="496" t="str">
        <f t="shared" si="194"/>
        <v/>
      </c>
      <c r="Y2955" s="497" t="str">
        <f t="shared" si="193"/>
        <v/>
      </c>
      <c r="Z2955" s="497" t="str">
        <f t="shared" si="193"/>
        <v/>
      </c>
    </row>
    <row r="2956" spans="1:26" s="82" customFormat="1" ht="32" x14ac:dyDescent="0.4">
      <c r="A2956" s="493">
        <v>68493</v>
      </c>
      <c r="B2956" s="105" t="s">
        <v>433</v>
      </c>
      <c r="C2956" s="493" t="s">
        <v>330</v>
      </c>
      <c r="D2956" s="105" t="s">
        <v>3559</v>
      </c>
      <c r="E2956" s="105" t="s">
        <v>3560</v>
      </c>
      <c r="F2956" s="493">
        <v>66866</v>
      </c>
      <c r="G2956" s="105" t="s">
        <v>33</v>
      </c>
      <c r="H2956" s="105" t="s">
        <v>342</v>
      </c>
      <c r="I2956" s="105" t="s">
        <v>339</v>
      </c>
      <c r="J2956" s="493">
        <v>611</v>
      </c>
      <c r="K2956" s="493">
        <v>5</v>
      </c>
      <c r="L2956" s="105" t="s">
        <v>771</v>
      </c>
      <c r="M2956" s="105" t="s">
        <v>360</v>
      </c>
      <c r="N2956" s="105" t="s">
        <v>228</v>
      </c>
      <c r="O2956" s="105" t="s">
        <v>228</v>
      </c>
      <c r="P2956" s="105" t="s">
        <v>356</v>
      </c>
      <c r="Q2956" s="494">
        <v>482976</v>
      </c>
      <c r="R2956" s="494">
        <v>237230</v>
      </c>
      <c r="S2956" s="494">
        <v>490220</v>
      </c>
      <c r="T2956" s="494">
        <v>240791</v>
      </c>
      <c r="U2956" s="494">
        <v>20536.462</v>
      </c>
      <c r="V2956" s="493">
        <v>2024</v>
      </c>
      <c r="W2956" s="495"/>
      <c r="X2956" s="496" t="str">
        <f t="shared" si="194"/>
        <v/>
      </c>
      <c r="Y2956" s="497" t="str">
        <f t="shared" si="193"/>
        <v/>
      </c>
      <c r="Z2956" s="497" t="str">
        <f t="shared" si="193"/>
        <v/>
      </c>
    </row>
    <row r="2957" spans="1:26" s="82" customFormat="1" ht="32" x14ac:dyDescent="0.4">
      <c r="A2957" s="493">
        <v>68586</v>
      </c>
      <c r="B2957" s="105" t="s">
        <v>329</v>
      </c>
      <c r="C2957" s="493" t="s">
        <v>330</v>
      </c>
      <c r="D2957" s="105" t="s">
        <v>3561</v>
      </c>
      <c r="E2957" s="105" t="s">
        <v>3561</v>
      </c>
      <c r="F2957" s="493">
        <v>66954</v>
      </c>
      <c r="G2957" s="105" t="s">
        <v>37</v>
      </c>
      <c r="H2957" s="105" t="s">
        <v>342</v>
      </c>
      <c r="I2957" s="105" t="s">
        <v>339</v>
      </c>
      <c r="J2957" s="493">
        <v>621</v>
      </c>
      <c r="K2957" s="493">
        <v>4</v>
      </c>
      <c r="L2957" s="105" t="s">
        <v>766</v>
      </c>
      <c r="M2957" s="105" t="s">
        <v>990</v>
      </c>
      <c r="N2957" s="105" t="s">
        <v>228</v>
      </c>
      <c r="O2957" s="105" t="s">
        <v>228</v>
      </c>
      <c r="P2957" s="105" t="s">
        <v>356</v>
      </c>
      <c r="Q2957" s="494">
        <v>42136</v>
      </c>
      <c r="R2957" s="494">
        <v>42136</v>
      </c>
      <c r="S2957" s="494">
        <v>42997</v>
      </c>
      <c r="T2957" s="494">
        <v>42997</v>
      </c>
      <c r="U2957" s="494">
        <v>5007</v>
      </c>
      <c r="V2957" s="493">
        <v>2024</v>
      </c>
      <c r="W2957" s="495"/>
      <c r="X2957" s="496" t="str">
        <f t="shared" si="194"/>
        <v/>
      </c>
      <c r="Y2957" s="497" t="str">
        <f t="shared" si="193"/>
        <v/>
      </c>
      <c r="Z2957" s="497" t="str">
        <f t="shared" si="193"/>
        <v/>
      </c>
    </row>
    <row r="2958" spans="1:26" s="82" customFormat="1" ht="32" x14ac:dyDescent="0.4">
      <c r="A2958" s="493">
        <v>68586</v>
      </c>
      <c r="B2958" s="105" t="s">
        <v>329</v>
      </c>
      <c r="C2958" s="493" t="s">
        <v>330</v>
      </c>
      <c r="D2958" s="105" t="s">
        <v>3561</v>
      </c>
      <c r="E2958" s="105" t="s">
        <v>3561</v>
      </c>
      <c r="F2958" s="493">
        <v>66954</v>
      </c>
      <c r="G2958" s="105" t="s">
        <v>37</v>
      </c>
      <c r="H2958" s="105" t="s">
        <v>342</v>
      </c>
      <c r="I2958" s="105" t="s">
        <v>339</v>
      </c>
      <c r="J2958" s="493">
        <v>621</v>
      </c>
      <c r="K2958" s="493">
        <v>4</v>
      </c>
      <c r="L2958" s="105" t="s">
        <v>766</v>
      </c>
      <c r="M2958" s="105" t="s">
        <v>359</v>
      </c>
      <c r="N2958" s="105" t="s">
        <v>226</v>
      </c>
      <c r="O2958" s="105" t="s">
        <v>226</v>
      </c>
      <c r="P2958" s="105" t="s">
        <v>350</v>
      </c>
      <c r="Q2958" s="494">
        <v>2</v>
      </c>
      <c r="R2958" s="494">
        <v>2</v>
      </c>
      <c r="S2958" s="494">
        <v>12</v>
      </c>
      <c r="T2958" s="494">
        <v>12</v>
      </c>
      <c r="U2958" s="494">
        <v>0</v>
      </c>
      <c r="V2958" s="493">
        <v>2024</v>
      </c>
      <c r="W2958" s="495"/>
      <c r="X2958" s="496" t="str">
        <f t="shared" si="194"/>
        <v/>
      </c>
      <c r="Y2958" s="497" t="str">
        <f t="shared" si="193"/>
        <v/>
      </c>
      <c r="Z2958" s="497" t="str">
        <f t="shared" si="193"/>
        <v/>
      </c>
    </row>
    <row r="2959" spans="1:26" s="82" customFormat="1" x14ac:dyDescent="0.4">
      <c r="A2959" s="493">
        <v>68620</v>
      </c>
      <c r="B2959" s="105" t="s">
        <v>329</v>
      </c>
      <c r="C2959" s="493" t="s">
        <v>330</v>
      </c>
      <c r="D2959" s="105" t="s">
        <v>3562</v>
      </c>
      <c r="E2959" s="105" t="s">
        <v>3048</v>
      </c>
      <c r="F2959" s="493">
        <v>65330</v>
      </c>
      <c r="G2959" s="105" t="s">
        <v>33</v>
      </c>
      <c r="H2959" s="105" t="s">
        <v>342</v>
      </c>
      <c r="I2959" s="105" t="s">
        <v>339</v>
      </c>
      <c r="J2959" s="493">
        <v>22</v>
      </c>
      <c r="K2959" s="493">
        <v>2</v>
      </c>
      <c r="L2959" s="105" t="s">
        <v>343</v>
      </c>
      <c r="M2959" s="105" t="s">
        <v>655</v>
      </c>
      <c r="N2959" s="105" t="s">
        <v>656</v>
      </c>
      <c r="O2959" s="105" t="s">
        <v>656</v>
      </c>
      <c r="P2959" s="105" t="s">
        <v>339</v>
      </c>
      <c r="Q2959" s="494">
        <v>0</v>
      </c>
      <c r="R2959" s="494">
        <v>0</v>
      </c>
      <c r="S2959" s="494">
        <v>23466</v>
      </c>
      <c r="T2959" s="494">
        <v>23466</v>
      </c>
      <c r="U2959" s="494">
        <v>6877</v>
      </c>
      <c r="V2959" s="493">
        <v>2024</v>
      </c>
      <c r="W2959" s="495"/>
      <c r="X2959" s="496">
        <f t="shared" si="194"/>
        <v>3.4122437109204595</v>
      </c>
      <c r="Y2959" s="497" t="str">
        <f t="shared" si="193"/>
        <v/>
      </c>
      <c r="Z2959" s="497" t="str">
        <f t="shared" si="193"/>
        <v/>
      </c>
    </row>
    <row r="2960" spans="1:26" s="82" customFormat="1" x14ac:dyDescent="0.4">
      <c r="A2960" s="493">
        <v>68625</v>
      </c>
      <c r="B2960" s="105" t="s">
        <v>329</v>
      </c>
      <c r="C2960" s="493" t="s">
        <v>330</v>
      </c>
      <c r="D2960" s="105" t="s">
        <v>3563</v>
      </c>
      <c r="E2960" s="105" t="s">
        <v>3048</v>
      </c>
      <c r="F2960" s="493">
        <v>65330</v>
      </c>
      <c r="G2960" s="105" t="s">
        <v>34</v>
      </c>
      <c r="H2960" s="105" t="s">
        <v>342</v>
      </c>
      <c r="I2960" s="105" t="s">
        <v>339</v>
      </c>
      <c r="J2960" s="493">
        <v>22</v>
      </c>
      <c r="K2960" s="493">
        <v>2</v>
      </c>
      <c r="L2960" s="105" t="s">
        <v>343</v>
      </c>
      <c r="M2960" s="105" t="s">
        <v>655</v>
      </c>
      <c r="N2960" s="105" t="s">
        <v>656</v>
      </c>
      <c r="O2960" s="105" t="s">
        <v>656</v>
      </c>
      <c r="P2960" s="105" t="s">
        <v>339</v>
      </c>
      <c r="Q2960" s="494">
        <v>0</v>
      </c>
      <c r="R2960" s="494">
        <v>0</v>
      </c>
      <c r="S2960" s="494">
        <v>28697</v>
      </c>
      <c r="T2960" s="494">
        <v>28697</v>
      </c>
      <c r="U2960" s="494">
        <v>8411</v>
      </c>
      <c r="V2960" s="493">
        <v>2024</v>
      </c>
      <c r="W2960" s="495"/>
      <c r="X2960" s="496">
        <f t="shared" si="194"/>
        <v>3.4118416359529187</v>
      </c>
      <c r="Y2960" s="497" t="str">
        <f t="shared" si="193"/>
        <v/>
      </c>
      <c r="Z2960" s="497" t="str">
        <f t="shared" si="193"/>
        <v/>
      </c>
    </row>
    <row r="2961" spans="1:26" s="82" customFormat="1" x14ac:dyDescent="0.4">
      <c r="A2961" s="493">
        <v>68628</v>
      </c>
      <c r="B2961" s="105" t="s">
        <v>329</v>
      </c>
      <c r="C2961" s="493" t="s">
        <v>330</v>
      </c>
      <c r="D2961" s="105" t="s">
        <v>3564</v>
      </c>
      <c r="E2961" s="105" t="s">
        <v>3565</v>
      </c>
      <c r="F2961" s="493">
        <v>67004</v>
      </c>
      <c r="G2961" s="105" t="s">
        <v>52</v>
      </c>
      <c r="H2961" s="105" t="s">
        <v>333</v>
      </c>
      <c r="I2961" s="105" t="s">
        <v>339</v>
      </c>
      <c r="J2961" s="493">
        <v>22</v>
      </c>
      <c r="K2961" s="493">
        <v>2</v>
      </c>
      <c r="L2961" s="105" t="s">
        <v>343</v>
      </c>
      <c r="M2961" s="105" t="s">
        <v>655</v>
      </c>
      <c r="N2961" s="105" t="s">
        <v>656</v>
      </c>
      <c r="O2961" s="105" t="s">
        <v>656</v>
      </c>
      <c r="P2961" s="105" t="s">
        <v>339</v>
      </c>
      <c r="Q2961" s="494">
        <v>0</v>
      </c>
      <c r="R2961" s="494">
        <v>0</v>
      </c>
      <c r="S2961" s="494">
        <v>21367</v>
      </c>
      <c r="T2961" s="494">
        <v>21367</v>
      </c>
      <c r="U2961" s="494">
        <v>6262</v>
      </c>
      <c r="V2961" s="493">
        <v>2024</v>
      </c>
      <c r="W2961" s="495"/>
      <c r="X2961" s="496">
        <f t="shared" si="194"/>
        <v>3.4121686362184604</v>
      </c>
      <c r="Y2961" s="497" t="str">
        <f t="shared" si="193"/>
        <v/>
      </c>
      <c r="Z2961" s="497" t="str">
        <f t="shared" si="193"/>
        <v/>
      </c>
    </row>
    <row r="2962" spans="1:26" s="82" customFormat="1" ht="32" x14ac:dyDescent="0.4">
      <c r="A2962" s="493">
        <v>68629</v>
      </c>
      <c r="B2962" s="105" t="s">
        <v>329</v>
      </c>
      <c r="C2962" s="493" t="s">
        <v>330</v>
      </c>
      <c r="D2962" s="105" t="s">
        <v>3566</v>
      </c>
      <c r="E2962" s="105" t="s">
        <v>3567</v>
      </c>
      <c r="F2962" s="493">
        <v>67005</v>
      </c>
      <c r="G2962" s="105" t="s">
        <v>52</v>
      </c>
      <c r="H2962" s="105" t="s">
        <v>333</v>
      </c>
      <c r="I2962" s="105" t="s">
        <v>339</v>
      </c>
      <c r="J2962" s="493">
        <v>22</v>
      </c>
      <c r="K2962" s="493">
        <v>2</v>
      </c>
      <c r="L2962" s="105" t="s">
        <v>343</v>
      </c>
      <c r="M2962" s="105" t="s">
        <v>655</v>
      </c>
      <c r="N2962" s="105" t="s">
        <v>656</v>
      </c>
      <c r="O2962" s="105" t="s">
        <v>656</v>
      </c>
      <c r="P2962" s="105" t="s">
        <v>339</v>
      </c>
      <c r="Q2962" s="494">
        <v>0</v>
      </c>
      <c r="R2962" s="494">
        <v>0</v>
      </c>
      <c r="S2962" s="494">
        <v>20335</v>
      </c>
      <c r="T2962" s="494">
        <v>20335</v>
      </c>
      <c r="U2962" s="494">
        <v>5960</v>
      </c>
      <c r="V2962" s="493">
        <v>2024</v>
      </c>
      <c r="W2962" s="495"/>
      <c r="X2962" s="496">
        <f t="shared" si="194"/>
        <v>3.4119127516778525</v>
      </c>
      <c r="Y2962" s="497" t="str">
        <f t="shared" si="193"/>
        <v/>
      </c>
      <c r="Z2962" s="497" t="str">
        <f t="shared" si="193"/>
        <v/>
      </c>
    </row>
    <row r="2963" spans="1:26" s="82" customFormat="1" x14ac:dyDescent="0.4">
      <c r="A2963" s="493">
        <v>68631</v>
      </c>
      <c r="B2963" s="105" t="s">
        <v>329</v>
      </c>
      <c r="C2963" s="493" t="s">
        <v>330</v>
      </c>
      <c r="D2963" s="105" t="s">
        <v>3568</v>
      </c>
      <c r="E2963" s="105" t="s">
        <v>3569</v>
      </c>
      <c r="F2963" s="493">
        <v>67007</v>
      </c>
      <c r="G2963" s="105" t="s">
        <v>52</v>
      </c>
      <c r="H2963" s="105" t="s">
        <v>333</v>
      </c>
      <c r="I2963" s="105" t="s">
        <v>339</v>
      </c>
      <c r="J2963" s="493">
        <v>22</v>
      </c>
      <c r="K2963" s="493">
        <v>2</v>
      </c>
      <c r="L2963" s="105" t="s">
        <v>343</v>
      </c>
      <c r="M2963" s="105" t="s">
        <v>655</v>
      </c>
      <c r="N2963" s="105" t="s">
        <v>656</v>
      </c>
      <c r="O2963" s="105" t="s">
        <v>656</v>
      </c>
      <c r="P2963" s="105" t="s">
        <v>339</v>
      </c>
      <c r="Q2963" s="494">
        <v>0</v>
      </c>
      <c r="R2963" s="494">
        <v>0</v>
      </c>
      <c r="S2963" s="494">
        <v>6418</v>
      </c>
      <c r="T2963" s="494">
        <v>6418</v>
      </c>
      <c r="U2963" s="494">
        <v>1881</v>
      </c>
      <c r="V2963" s="493">
        <v>2024</v>
      </c>
      <c r="W2963" s="495"/>
      <c r="X2963" s="496">
        <f t="shared" si="194"/>
        <v>3.4120148856990964</v>
      </c>
      <c r="Y2963" s="497" t="str">
        <f t="shared" si="193"/>
        <v/>
      </c>
      <c r="Z2963" s="497" t="str">
        <f t="shared" si="193"/>
        <v/>
      </c>
    </row>
    <row r="2964" spans="1:26" s="82" customFormat="1" x14ac:dyDescent="0.4">
      <c r="A2964" s="493">
        <v>68632</v>
      </c>
      <c r="B2964" s="105" t="s">
        <v>329</v>
      </c>
      <c r="C2964" s="493" t="s">
        <v>330</v>
      </c>
      <c r="D2964" s="105" t="s">
        <v>3570</v>
      </c>
      <c r="E2964" s="105" t="s">
        <v>3571</v>
      </c>
      <c r="F2964" s="493">
        <v>67008</v>
      </c>
      <c r="G2964" s="105" t="s">
        <v>34</v>
      </c>
      <c r="H2964" s="105" t="s">
        <v>342</v>
      </c>
      <c r="I2964" s="105" t="s">
        <v>339</v>
      </c>
      <c r="J2964" s="493">
        <v>22</v>
      </c>
      <c r="K2964" s="493">
        <v>2</v>
      </c>
      <c r="L2964" s="105" t="s">
        <v>343</v>
      </c>
      <c r="M2964" s="105" t="s">
        <v>655</v>
      </c>
      <c r="N2964" s="105" t="s">
        <v>656</v>
      </c>
      <c r="O2964" s="105" t="s">
        <v>656</v>
      </c>
      <c r="P2964" s="105" t="s">
        <v>339</v>
      </c>
      <c r="Q2964" s="494">
        <v>0</v>
      </c>
      <c r="R2964" s="494">
        <v>0</v>
      </c>
      <c r="S2964" s="494">
        <v>833</v>
      </c>
      <c r="T2964" s="494">
        <v>833</v>
      </c>
      <c r="U2964" s="494">
        <v>244</v>
      </c>
      <c r="V2964" s="493">
        <v>2024</v>
      </c>
      <c r="W2964" s="495"/>
      <c r="X2964" s="496">
        <f t="shared" si="194"/>
        <v>3.4139344262295084</v>
      </c>
      <c r="Y2964" s="497" t="str">
        <f t="shared" si="193"/>
        <v/>
      </c>
      <c r="Z2964" s="497" t="str">
        <f t="shared" si="193"/>
        <v/>
      </c>
    </row>
    <row r="2965" spans="1:26" s="82" customFormat="1" ht="32" x14ac:dyDescent="0.4">
      <c r="A2965" s="493">
        <v>68636</v>
      </c>
      <c r="B2965" s="105" t="s">
        <v>329</v>
      </c>
      <c r="C2965" s="493" t="s">
        <v>330</v>
      </c>
      <c r="D2965" s="105" t="s">
        <v>3572</v>
      </c>
      <c r="E2965" s="105" t="s">
        <v>2234</v>
      </c>
      <c r="F2965" s="493">
        <v>62719</v>
      </c>
      <c r="G2965" s="105" t="s">
        <v>52</v>
      </c>
      <c r="H2965" s="105" t="s">
        <v>333</v>
      </c>
      <c r="I2965" s="105" t="s">
        <v>339</v>
      </c>
      <c r="J2965" s="493">
        <v>22</v>
      </c>
      <c r="K2965" s="493">
        <v>2</v>
      </c>
      <c r="L2965" s="105" t="s">
        <v>343</v>
      </c>
      <c r="M2965" s="105" t="s">
        <v>655</v>
      </c>
      <c r="N2965" s="105" t="s">
        <v>656</v>
      </c>
      <c r="O2965" s="105" t="s">
        <v>656</v>
      </c>
      <c r="P2965" s="105" t="s">
        <v>339</v>
      </c>
      <c r="Q2965" s="494">
        <v>0</v>
      </c>
      <c r="R2965" s="494">
        <v>0</v>
      </c>
      <c r="S2965" s="494">
        <v>0</v>
      </c>
      <c r="T2965" s="494">
        <v>0</v>
      </c>
      <c r="U2965" s="494">
        <v>0</v>
      </c>
      <c r="V2965" s="493">
        <v>2024</v>
      </c>
      <c r="W2965" s="495"/>
      <c r="X2965" s="496" t="str">
        <f t="shared" si="194"/>
        <v/>
      </c>
      <c r="Y2965" s="497" t="str">
        <f t="shared" si="193"/>
        <v/>
      </c>
      <c r="Z2965" s="497" t="str">
        <f t="shared" si="193"/>
        <v/>
      </c>
    </row>
    <row r="2966" spans="1:26" s="82" customFormat="1" ht="32" x14ac:dyDescent="0.4">
      <c r="A2966" s="493">
        <v>68637</v>
      </c>
      <c r="B2966" s="105" t="s">
        <v>329</v>
      </c>
      <c r="C2966" s="493" t="s">
        <v>330</v>
      </c>
      <c r="D2966" s="105" t="s">
        <v>3573</v>
      </c>
      <c r="E2966" s="105" t="s">
        <v>2234</v>
      </c>
      <c r="F2966" s="493">
        <v>62719</v>
      </c>
      <c r="G2966" s="105" t="s">
        <v>52</v>
      </c>
      <c r="H2966" s="105" t="s">
        <v>333</v>
      </c>
      <c r="I2966" s="105" t="s">
        <v>339</v>
      </c>
      <c r="J2966" s="493">
        <v>22</v>
      </c>
      <c r="K2966" s="493">
        <v>2</v>
      </c>
      <c r="L2966" s="105" t="s">
        <v>343</v>
      </c>
      <c r="M2966" s="105" t="s">
        <v>655</v>
      </c>
      <c r="N2966" s="105" t="s">
        <v>656</v>
      </c>
      <c r="O2966" s="105" t="s">
        <v>656</v>
      </c>
      <c r="P2966" s="105" t="s">
        <v>339</v>
      </c>
      <c r="Q2966" s="494">
        <v>0</v>
      </c>
      <c r="R2966" s="494">
        <v>0</v>
      </c>
      <c r="S2966" s="494">
        <v>0</v>
      </c>
      <c r="T2966" s="494">
        <v>0</v>
      </c>
      <c r="U2966" s="494">
        <v>0</v>
      </c>
      <c r="V2966" s="493">
        <v>2024</v>
      </c>
      <c r="W2966" s="495"/>
      <c r="X2966" s="496" t="str">
        <f t="shared" si="194"/>
        <v/>
      </c>
      <c r="Y2966" s="497" t="str">
        <f t="shared" si="193"/>
        <v/>
      </c>
      <c r="Z2966" s="497" t="str">
        <f t="shared" si="193"/>
        <v/>
      </c>
    </row>
    <row r="2967" spans="1:26" s="82" customFormat="1" ht="32" x14ac:dyDescent="0.4">
      <c r="A2967" s="493">
        <v>68638</v>
      </c>
      <c r="B2967" s="105" t="s">
        <v>329</v>
      </c>
      <c r="C2967" s="493" t="s">
        <v>330</v>
      </c>
      <c r="D2967" s="105" t="s">
        <v>3574</v>
      </c>
      <c r="E2967" s="105" t="s">
        <v>2234</v>
      </c>
      <c r="F2967" s="493">
        <v>62719</v>
      </c>
      <c r="G2967" s="105" t="s">
        <v>52</v>
      </c>
      <c r="H2967" s="105" t="s">
        <v>333</v>
      </c>
      <c r="I2967" s="105" t="s">
        <v>339</v>
      </c>
      <c r="J2967" s="493">
        <v>22</v>
      </c>
      <c r="K2967" s="493">
        <v>2</v>
      </c>
      <c r="L2967" s="105" t="s">
        <v>343</v>
      </c>
      <c r="M2967" s="105" t="s">
        <v>655</v>
      </c>
      <c r="N2967" s="105" t="s">
        <v>656</v>
      </c>
      <c r="O2967" s="105" t="s">
        <v>656</v>
      </c>
      <c r="P2967" s="105" t="s">
        <v>339</v>
      </c>
      <c r="Q2967" s="494">
        <v>0</v>
      </c>
      <c r="R2967" s="494">
        <v>0</v>
      </c>
      <c r="S2967" s="494">
        <v>0</v>
      </c>
      <c r="T2967" s="494">
        <v>0</v>
      </c>
      <c r="U2967" s="494">
        <v>0</v>
      </c>
      <c r="V2967" s="493">
        <v>2024</v>
      </c>
      <c r="W2967" s="495"/>
      <c r="X2967" s="496" t="str">
        <f t="shared" si="194"/>
        <v/>
      </c>
      <c r="Y2967" s="497" t="str">
        <f t="shared" si="193"/>
        <v/>
      </c>
      <c r="Z2967" s="497" t="str">
        <f t="shared" si="193"/>
        <v/>
      </c>
    </row>
    <row r="2968" spans="1:26" s="82" customFormat="1" ht="32" x14ac:dyDescent="0.4">
      <c r="A2968" s="493">
        <v>68641</v>
      </c>
      <c r="B2968" s="105" t="s">
        <v>329</v>
      </c>
      <c r="C2968" s="493" t="s">
        <v>330</v>
      </c>
      <c r="D2968" s="105" t="s">
        <v>3575</v>
      </c>
      <c r="E2968" s="105" t="s">
        <v>2234</v>
      </c>
      <c r="F2968" s="493">
        <v>62719</v>
      </c>
      <c r="G2968" s="105" t="s">
        <v>52</v>
      </c>
      <c r="H2968" s="105" t="s">
        <v>333</v>
      </c>
      <c r="I2968" s="105" t="s">
        <v>339</v>
      </c>
      <c r="J2968" s="493">
        <v>22</v>
      </c>
      <c r="K2968" s="493">
        <v>2</v>
      </c>
      <c r="L2968" s="105" t="s">
        <v>343</v>
      </c>
      <c r="M2968" s="105" t="s">
        <v>655</v>
      </c>
      <c r="N2968" s="105" t="s">
        <v>656</v>
      </c>
      <c r="O2968" s="105" t="s">
        <v>656</v>
      </c>
      <c r="P2968" s="105" t="s">
        <v>339</v>
      </c>
      <c r="Q2968" s="494">
        <v>0</v>
      </c>
      <c r="R2968" s="494">
        <v>0</v>
      </c>
      <c r="S2968" s="494">
        <v>6925</v>
      </c>
      <c r="T2968" s="494">
        <v>6925</v>
      </c>
      <c r="U2968" s="494">
        <v>2030</v>
      </c>
      <c r="V2968" s="493">
        <v>2024</v>
      </c>
      <c r="W2968" s="495"/>
      <c r="X2968" s="496">
        <f t="shared" si="194"/>
        <v>3.4113300492610836</v>
      </c>
      <c r="Y2968" s="497" t="str">
        <f t="shared" ref="Y2968:Z2987" si="195">IF(AND($M2968=$Y$2,$N2968=$Y$3,NOT($Q2968=$R2968),NOT($U2968=0)),IF($K2968=5,$S2968/($U2968+(8/5)*$U2968),IF($K2968=7,$S2968/($U2968+(29/25)*$U2968),"")),"")</f>
        <v/>
      </c>
      <c r="Z2968" s="497" t="str">
        <f t="shared" si="195"/>
        <v/>
      </c>
    </row>
    <row r="2969" spans="1:26" s="82" customFormat="1" ht="32" x14ac:dyDescent="0.4">
      <c r="A2969" s="493">
        <v>68642</v>
      </c>
      <c r="B2969" s="105" t="s">
        <v>329</v>
      </c>
      <c r="C2969" s="493" t="s">
        <v>330</v>
      </c>
      <c r="D2969" s="105" t="s">
        <v>3576</v>
      </c>
      <c r="E2969" s="105" t="s">
        <v>2234</v>
      </c>
      <c r="F2969" s="493">
        <v>62719</v>
      </c>
      <c r="G2969" s="105" t="s">
        <v>52</v>
      </c>
      <c r="H2969" s="105" t="s">
        <v>333</v>
      </c>
      <c r="I2969" s="105" t="s">
        <v>339</v>
      </c>
      <c r="J2969" s="493">
        <v>22</v>
      </c>
      <c r="K2969" s="493">
        <v>2</v>
      </c>
      <c r="L2969" s="105" t="s">
        <v>343</v>
      </c>
      <c r="M2969" s="105" t="s">
        <v>655</v>
      </c>
      <c r="N2969" s="105" t="s">
        <v>656</v>
      </c>
      <c r="O2969" s="105" t="s">
        <v>656</v>
      </c>
      <c r="P2969" s="105" t="s">
        <v>339</v>
      </c>
      <c r="Q2969" s="494">
        <v>0</v>
      </c>
      <c r="R2969" s="494">
        <v>0</v>
      </c>
      <c r="S2969" s="494">
        <v>4050</v>
      </c>
      <c r="T2969" s="494">
        <v>4050</v>
      </c>
      <c r="U2969" s="494">
        <v>1187</v>
      </c>
      <c r="V2969" s="493">
        <v>2024</v>
      </c>
      <c r="W2969" s="495"/>
      <c r="X2969" s="496">
        <f t="shared" si="194"/>
        <v>3.4119629317607414</v>
      </c>
      <c r="Y2969" s="497" t="str">
        <f t="shared" si="195"/>
        <v/>
      </c>
      <c r="Z2969" s="497" t="str">
        <f t="shared" si="195"/>
        <v/>
      </c>
    </row>
    <row r="2970" spans="1:26" s="82" customFormat="1" ht="32" x14ac:dyDescent="0.4">
      <c r="A2970" s="493">
        <v>68643</v>
      </c>
      <c r="B2970" s="105" t="s">
        <v>329</v>
      </c>
      <c r="C2970" s="493" t="s">
        <v>330</v>
      </c>
      <c r="D2970" s="105" t="s">
        <v>3577</v>
      </c>
      <c r="E2970" s="105" t="s">
        <v>2234</v>
      </c>
      <c r="F2970" s="493">
        <v>62719</v>
      </c>
      <c r="G2970" s="105" t="s">
        <v>52</v>
      </c>
      <c r="H2970" s="105" t="s">
        <v>333</v>
      </c>
      <c r="I2970" s="105" t="s">
        <v>339</v>
      </c>
      <c r="J2970" s="493">
        <v>22</v>
      </c>
      <c r="K2970" s="493">
        <v>2</v>
      </c>
      <c r="L2970" s="105" t="s">
        <v>343</v>
      </c>
      <c r="M2970" s="105" t="s">
        <v>655</v>
      </c>
      <c r="N2970" s="105" t="s">
        <v>656</v>
      </c>
      <c r="O2970" s="105" t="s">
        <v>656</v>
      </c>
      <c r="P2970" s="105" t="s">
        <v>339</v>
      </c>
      <c r="Q2970" s="494">
        <v>0</v>
      </c>
      <c r="R2970" s="494">
        <v>0</v>
      </c>
      <c r="S2970" s="494">
        <v>417</v>
      </c>
      <c r="T2970" s="494">
        <v>417</v>
      </c>
      <c r="U2970" s="494">
        <v>122</v>
      </c>
      <c r="V2970" s="493">
        <v>2024</v>
      </c>
      <c r="W2970" s="495"/>
      <c r="X2970" s="496">
        <f t="shared" si="194"/>
        <v>3.418032786885246</v>
      </c>
      <c r="Y2970" s="497" t="str">
        <f t="shared" si="195"/>
        <v/>
      </c>
      <c r="Z2970" s="497" t="str">
        <f t="shared" si="195"/>
        <v/>
      </c>
    </row>
    <row r="2971" spans="1:26" s="82" customFormat="1" x14ac:dyDescent="0.4">
      <c r="A2971" s="493">
        <v>68645</v>
      </c>
      <c r="B2971" s="105" t="s">
        <v>329</v>
      </c>
      <c r="C2971" s="493" t="s">
        <v>330</v>
      </c>
      <c r="D2971" s="105" t="s">
        <v>3578</v>
      </c>
      <c r="E2971" s="105" t="s">
        <v>3579</v>
      </c>
      <c r="F2971" s="493">
        <v>67019</v>
      </c>
      <c r="G2971" s="105" t="s">
        <v>52</v>
      </c>
      <c r="H2971" s="105" t="s">
        <v>333</v>
      </c>
      <c r="I2971" s="105" t="s">
        <v>339</v>
      </c>
      <c r="J2971" s="493">
        <v>22</v>
      </c>
      <c r="K2971" s="493">
        <v>2</v>
      </c>
      <c r="L2971" s="105" t="s">
        <v>343</v>
      </c>
      <c r="M2971" s="105" t="s">
        <v>655</v>
      </c>
      <c r="N2971" s="105" t="s">
        <v>656</v>
      </c>
      <c r="O2971" s="105" t="s">
        <v>656</v>
      </c>
      <c r="P2971" s="105" t="s">
        <v>339</v>
      </c>
      <c r="Q2971" s="494">
        <v>0</v>
      </c>
      <c r="R2971" s="494">
        <v>0</v>
      </c>
      <c r="S2971" s="494">
        <v>18900</v>
      </c>
      <c r="T2971" s="494">
        <v>18900</v>
      </c>
      <c r="U2971" s="494">
        <v>5539</v>
      </c>
      <c r="V2971" s="493">
        <v>2024</v>
      </c>
      <c r="W2971" s="495"/>
      <c r="X2971" s="496">
        <f t="shared" si="194"/>
        <v>3.4121682614190285</v>
      </c>
      <c r="Y2971" s="497" t="str">
        <f t="shared" si="195"/>
        <v/>
      </c>
      <c r="Z2971" s="497" t="str">
        <f t="shared" si="195"/>
        <v/>
      </c>
    </row>
    <row r="2972" spans="1:26" s="82" customFormat="1" x14ac:dyDescent="0.4">
      <c r="A2972" s="493">
        <v>68646</v>
      </c>
      <c r="B2972" s="105" t="s">
        <v>329</v>
      </c>
      <c r="C2972" s="493" t="s">
        <v>330</v>
      </c>
      <c r="D2972" s="105" t="s">
        <v>3580</v>
      </c>
      <c r="E2972" s="105" t="s">
        <v>3581</v>
      </c>
      <c r="F2972" s="493">
        <v>67020</v>
      </c>
      <c r="G2972" s="105" t="s">
        <v>52</v>
      </c>
      <c r="H2972" s="105" t="s">
        <v>333</v>
      </c>
      <c r="I2972" s="105" t="s">
        <v>339</v>
      </c>
      <c r="J2972" s="493">
        <v>22</v>
      </c>
      <c r="K2972" s="493">
        <v>2</v>
      </c>
      <c r="L2972" s="105" t="s">
        <v>343</v>
      </c>
      <c r="M2972" s="105" t="s">
        <v>655</v>
      </c>
      <c r="N2972" s="105" t="s">
        <v>656</v>
      </c>
      <c r="O2972" s="105" t="s">
        <v>656</v>
      </c>
      <c r="P2972" s="105" t="s">
        <v>339</v>
      </c>
      <c r="Q2972" s="494">
        <v>0</v>
      </c>
      <c r="R2972" s="494">
        <v>0</v>
      </c>
      <c r="S2972" s="494">
        <v>15016</v>
      </c>
      <c r="T2972" s="494">
        <v>15016</v>
      </c>
      <c r="U2972" s="494">
        <v>4401</v>
      </c>
      <c r="V2972" s="493">
        <v>2024</v>
      </c>
      <c r="W2972" s="495"/>
      <c r="X2972" s="496">
        <f t="shared" si="194"/>
        <v>3.4119518291297433</v>
      </c>
      <c r="Y2972" s="497" t="str">
        <f t="shared" si="195"/>
        <v/>
      </c>
      <c r="Z2972" s="497" t="str">
        <f t="shared" si="195"/>
        <v/>
      </c>
    </row>
    <row r="2973" spans="1:26" s="82" customFormat="1" ht="32" x14ac:dyDescent="0.4">
      <c r="A2973" s="493">
        <v>68647</v>
      </c>
      <c r="B2973" s="105" t="s">
        <v>329</v>
      </c>
      <c r="C2973" s="493" t="s">
        <v>330</v>
      </c>
      <c r="D2973" s="105" t="s">
        <v>3582</v>
      </c>
      <c r="E2973" s="105" t="s">
        <v>3583</v>
      </c>
      <c r="F2973" s="493">
        <v>67021</v>
      </c>
      <c r="G2973" s="105" t="s">
        <v>52</v>
      </c>
      <c r="H2973" s="105" t="s">
        <v>333</v>
      </c>
      <c r="I2973" s="105" t="s">
        <v>339</v>
      </c>
      <c r="J2973" s="493">
        <v>22</v>
      </c>
      <c r="K2973" s="493">
        <v>2</v>
      </c>
      <c r="L2973" s="105" t="s">
        <v>343</v>
      </c>
      <c r="M2973" s="105" t="s">
        <v>655</v>
      </c>
      <c r="N2973" s="105" t="s">
        <v>656</v>
      </c>
      <c r="O2973" s="105" t="s">
        <v>656</v>
      </c>
      <c r="P2973" s="105" t="s">
        <v>339</v>
      </c>
      <c r="Q2973" s="494">
        <v>0</v>
      </c>
      <c r="R2973" s="494">
        <v>0</v>
      </c>
      <c r="S2973" s="494">
        <v>3664</v>
      </c>
      <c r="T2973" s="494">
        <v>3664</v>
      </c>
      <c r="U2973" s="494">
        <v>1074</v>
      </c>
      <c r="V2973" s="493">
        <v>2024</v>
      </c>
      <c r="W2973" s="495"/>
      <c r="X2973" s="496">
        <f t="shared" si="194"/>
        <v>3.4115456238361266</v>
      </c>
      <c r="Y2973" s="497" t="str">
        <f t="shared" si="195"/>
        <v/>
      </c>
      <c r="Z2973" s="497" t="str">
        <f t="shared" si="195"/>
        <v/>
      </c>
    </row>
    <row r="2974" spans="1:26" s="82" customFormat="1" ht="32" x14ac:dyDescent="0.4">
      <c r="A2974" s="493">
        <v>68648</v>
      </c>
      <c r="B2974" s="105" t="s">
        <v>329</v>
      </c>
      <c r="C2974" s="493" t="s">
        <v>330</v>
      </c>
      <c r="D2974" s="105" t="s">
        <v>3584</v>
      </c>
      <c r="E2974" s="105" t="s">
        <v>3585</v>
      </c>
      <c r="F2974" s="493">
        <v>67022</v>
      </c>
      <c r="G2974" s="105" t="s">
        <v>52</v>
      </c>
      <c r="H2974" s="105" t="s">
        <v>333</v>
      </c>
      <c r="I2974" s="105" t="s">
        <v>339</v>
      </c>
      <c r="J2974" s="493">
        <v>22</v>
      </c>
      <c r="K2974" s="493">
        <v>2</v>
      </c>
      <c r="L2974" s="105" t="s">
        <v>343</v>
      </c>
      <c r="M2974" s="105" t="s">
        <v>655</v>
      </c>
      <c r="N2974" s="105" t="s">
        <v>656</v>
      </c>
      <c r="O2974" s="105" t="s">
        <v>656</v>
      </c>
      <c r="P2974" s="105" t="s">
        <v>339</v>
      </c>
      <c r="Q2974" s="494">
        <v>0</v>
      </c>
      <c r="R2974" s="494">
        <v>0</v>
      </c>
      <c r="S2974" s="494">
        <v>1082</v>
      </c>
      <c r="T2974" s="494">
        <v>1082</v>
      </c>
      <c r="U2974" s="494">
        <v>317</v>
      </c>
      <c r="V2974" s="493">
        <v>2024</v>
      </c>
      <c r="W2974" s="495"/>
      <c r="X2974" s="496">
        <f t="shared" si="194"/>
        <v>3.413249211356467</v>
      </c>
      <c r="Y2974" s="497" t="str">
        <f t="shared" si="195"/>
        <v/>
      </c>
      <c r="Z2974" s="497" t="str">
        <f t="shared" si="195"/>
        <v/>
      </c>
    </row>
    <row r="2975" spans="1:26" s="82" customFormat="1" ht="32" x14ac:dyDescent="0.4">
      <c r="A2975" s="493">
        <v>68649</v>
      </c>
      <c r="B2975" s="105" t="s">
        <v>329</v>
      </c>
      <c r="C2975" s="493" t="s">
        <v>330</v>
      </c>
      <c r="D2975" s="105" t="s">
        <v>3586</v>
      </c>
      <c r="E2975" s="105" t="s">
        <v>3587</v>
      </c>
      <c r="F2975" s="493">
        <v>67023</v>
      </c>
      <c r="G2975" s="105" t="s">
        <v>52</v>
      </c>
      <c r="H2975" s="105" t="s">
        <v>333</v>
      </c>
      <c r="I2975" s="105" t="s">
        <v>339</v>
      </c>
      <c r="J2975" s="493">
        <v>22</v>
      </c>
      <c r="K2975" s="493">
        <v>2</v>
      </c>
      <c r="L2975" s="105" t="s">
        <v>343</v>
      </c>
      <c r="M2975" s="105" t="s">
        <v>655</v>
      </c>
      <c r="N2975" s="105" t="s">
        <v>656</v>
      </c>
      <c r="O2975" s="105" t="s">
        <v>656</v>
      </c>
      <c r="P2975" s="105" t="s">
        <v>339</v>
      </c>
      <c r="Q2975" s="494">
        <v>0</v>
      </c>
      <c r="R2975" s="494">
        <v>0</v>
      </c>
      <c r="S2975" s="494">
        <v>2894</v>
      </c>
      <c r="T2975" s="494">
        <v>2894</v>
      </c>
      <c r="U2975" s="494">
        <v>848</v>
      </c>
      <c r="V2975" s="493">
        <v>2024</v>
      </c>
      <c r="W2975" s="495"/>
      <c r="X2975" s="496">
        <f t="shared" si="194"/>
        <v>3.4127358490566038</v>
      </c>
      <c r="Y2975" s="497" t="str">
        <f t="shared" si="195"/>
        <v/>
      </c>
      <c r="Z2975" s="497" t="str">
        <f t="shared" si="195"/>
        <v/>
      </c>
    </row>
    <row r="2976" spans="1:26" s="82" customFormat="1" x14ac:dyDescent="0.4">
      <c r="A2976" s="493">
        <v>68650</v>
      </c>
      <c r="B2976" s="105" t="s">
        <v>329</v>
      </c>
      <c r="C2976" s="493" t="s">
        <v>330</v>
      </c>
      <c r="D2976" s="105" t="s">
        <v>3588</v>
      </c>
      <c r="E2976" s="105" t="s">
        <v>3589</v>
      </c>
      <c r="F2976" s="493">
        <v>67024</v>
      </c>
      <c r="G2976" s="105" t="s">
        <v>52</v>
      </c>
      <c r="H2976" s="105" t="s">
        <v>333</v>
      </c>
      <c r="I2976" s="105" t="s">
        <v>339</v>
      </c>
      <c r="J2976" s="493">
        <v>22</v>
      </c>
      <c r="K2976" s="493">
        <v>2</v>
      </c>
      <c r="L2976" s="105" t="s">
        <v>343</v>
      </c>
      <c r="M2976" s="105" t="s">
        <v>655</v>
      </c>
      <c r="N2976" s="105" t="s">
        <v>656</v>
      </c>
      <c r="O2976" s="105" t="s">
        <v>656</v>
      </c>
      <c r="P2976" s="105" t="s">
        <v>339</v>
      </c>
      <c r="Q2976" s="494">
        <v>0</v>
      </c>
      <c r="R2976" s="494">
        <v>0</v>
      </c>
      <c r="S2976" s="494">
        <v>22289</v>
      </c>
      <c r="T2976" s="494">
        <v>22289</v>
      </c>
      <c r="U2976" s="494">
        <v>6533</v>
      </c>
      <c r="V2976" s="493">
        <v>2024</v>
      </c>
      <c r="W2976" s="495"/>
      <c r="X2976" s="496">
        <f t="shared" si="194"/>
        <v>3.4117557018215217</v>
      </c>
      <c r="Y2976" s="497" t="str">
        <f t="shared" si="195"/>
        <v/>
      </c>
      <c r="Z2976" s="497" t="str">
        <f t="shared" si="195"/>
        <v/>
      </c>
    </row>
    <row r="2977" spans="1:26" s="82" customFormat="1" ht="32" x14ac:dyDescent="0.4">
      <c r="A2977" s="493">
        <v>68651</v>
      </c>
      <c r="B2977" s="105" t="s">
        <v>329</v>
      </c>
      <c r="C2977" s="493" t="s">
        <v>330</v>
      </c>
      <c r="D2977" s="105" t="s">
        <v>3590</v>
      </c>
      <c r="E2977" s="105" t="s">
        <v>3591</v>
      </c>
      <c r="F2977" s="493">
        <v>67025</v>
      </c>
      <c r="G2977" s="105" t="s">
        <v>33</v>
      </c>
      <c r="H2977" s="105" t="s">
        <v>342</v>
      </c>
      <c r="I2977" s="105" t="s">
        <v>339</v>
      </c>
      <c r="J2977" s="493">
        <v>22</v>
      </c>
      <c r="K2977" s="493">
        <v>2</v>
      </c>
      <c r="L2977" s="105" t="s">
        <v>343</v>
      </c>
      <c r="M2977" s="105" t="s">
        <v>655</v>
      </c>
      <c r="N2977" s="105" t="s">
        <v>656</v>
      </c>
      <c r="O2977" s="105" t="s">
        <v>656</v>
      </c>
      <c r="P2977" s="105" t="s">
        <v>339</v>
      </c>
      <c r="Q2977" s="494">
        <v>0</v>
      </c>
      <c r="R2977" s="494">
        <v>0</v>
      </c>
      <c r="S2977" s="494">
        <v>25212</v>
      </c>
      <c r="T2977" s="494">
        <v>25212</v>
      </c>
      <c r="U2977" s="494">
        <v>7389</v>
      </c>
      <c r="V2977" s="493">
        <v>2024</v>
      </c>
      <c r="W2977" s="495"/>
      <c r="X2977" s="496">
        <f t="shared" si="194"/>
        <v>3.4120990661794561</v>
      </c>
      <c r="Y2977" s="497" t="str">
        <f t="shared" si="195"/>
        <v/>
      </c>
      <c r="Z2977" s="497" t="str">
        <f t="shared" si="195"/>
        <v/>
      </c>
    </row>
    <row r="2978" spans="1:26" s="82" customFormat="1" ht="32" x14ac:dyDescent="0.4">
      <c r="A2978" s="493">
        <v>68652</v>
      </c>
      <c r="B2978" s="105" t="s">
        <v>329</v>
      </c>
      <c r="C2978" s="493" t="s">
        <v>330</v>
      </c>
      <c r="D2978" s="105" t="s">
        <v>3592</v>
      </c>
      <c r="E2978" s="105" t="s">
        <v>3593</v>
      </c>
      <c r="F2978" s="493">
        <v>67026</v>
      </c>
      <c r="G2978" s="105" t="s">
        <v>33</v>
      </c>
      <c r="H2978" s="105" t="s">
        <v>342</v>
      </c>
      <c r="I2978" s="105" t="s">
        <v>339</v>
      </c>
      <c r="J2978" s="493">
        <v>22</v>
      </c>
      <c r="K2978" s="493">
        <v>2</v>
      </c>
      <c r="L2978" s="105" t="s">
        <v>343</v>
      </c>
      <c r="M2978" s="105" t="s">
        <v>655</v>
      </c>
      <c r="N2978" s="105" t="s">
        <v>656</v>
      </c>
      <c r="O2978" s="105" t="s">
        <v>656</v>
      </c>
      <c r="P2978" s="105" t="s">
        <v>339</v>
      </c>
      <c r="Q2978" s="494">
        <v>0</v>
      </c>
      <c r="R2978" s="494">
        <v>0</v>
      </c>
      <c r="S2978" s="494">
        <v>17716</v>
      </c>
      <c r="T2978" s="494">
        <v>17716</v>
      </c>
      <c r="U2978" s="494">
        <v>5192</v>
      </c>
      <c r="V2978" s="493">
        <v>2024</v>
      </c>
      <c r="W2978" s="495"/>
      <c r="X2978" s="496">
        <f t="shared" si="194"/>
        <v>3.4121725731895225</v>
      </c>
      <c r="Y2978" s="497" t="str">
        <f t="shared" si="195"/>
        <v/>
      </c>
      <c r="Z2978" s="497" t="str">
        <f t="shared" si="195"/>
        <v/>
      </c>
    </row>
    <row r="2979" spans="1:26" s="82" customFormat="1" x14ac:dyDescent="0.4">
      <c r="A2979" s="493">
        <v>68653</v>
      </c>
      <c r="B2979" s="105" t="s">
        <v>329</v>
      </c>
      <c r="C2979" s="493" t="s">
        <v>330</v>
      </c>
      <c r="D2979" s="105" t="s">
        <v>3594</v>
      </c>
      <c r="E2979" s="105" t="s">
        <v>3595</v>
      </c>
      <c r="F2979" s="493">
        <v>67027</v>
      </c>
      <c r="G2979" s="105" t="s">
        <v>52</v>
      </c>
      <c r="H2979" s="105" t="s">
        <v>333</v>
      </c>
      <c r="I2979" s="105" t="s">
        <v>339</v>
      </c>
      <c r="J2979" s="493">
        <v>22</v>
      </c>
      <c r="K2979" s="493">
        <v>2</v>
      </c>
      <c r="L2979" s="105" t="s">
        <v>343</v>
      </c>
      <c r="M2979" s="105" t="s">
        <v>655</v>
      </c>
      <c r="N2979" s="105" t="s">
        <v>656</v>
      </c>
      <c r="O2979" s="105" t="s">
        <v>656</v>
      </c>
      <c r="P2979" s="105" t="s">
        <v>339</v>
      </c>
      <c r="Q2979" s="494">
        <v>0</v>
      </c>
      <c r="R2979" s="494">
        <v>0</v>
      </c>
      <c r="S2979" s="494">
        <v>427</v>
      </c>
      <c r="T2979" s="494">
        <v>427</v>
      </c>
      <c r="U2979" s="494">
        <v>125</v>
      </c>
      <c r="V2979" s="493">
        <v>2024</v>
      </c>
      <c r="W2979" s="495"/>
      <c r="X2979" s="496">
        <f t="shared" si="194"/>
        <v>3.4159999999999999</v>
      </c>
      <c r="Y2979" s="497" t="str">
        <f t="shared" si="195"/>
        <v/>
      </c>
      <c r="Z2979" s="497" t="str">
        <f t="shared" si="195"/>
        <v/>
      </c>
    </row>
    <row r="2980" spans="1:26" s="82" customFormat="1" x14ac:dyDescent="0.4">
      <c r="A2980" s="493">
        <v>68654</v>
      </c>
      <c r="B2980" s="105" t="s">
        <v>329</v>
      </c>
      <c r="C2980" s="493" t="s">
        <v>330</v>
      </c>
      <c r="D2980" s="105" t="s">
        <v>3596</v>
      </c>
      <c r="E2980" s="105" t="s">
        <v>3597</v>
      </c>
      <c r="F2980" s="493">
        <v>67028</v>
      </c>
      <c r="G2980" s="105" t="s">
        <v>52</v>
      </c>
      <c r="H2980" s="105" t="s">
        <v>333</v>
      </c>
      <c r="I2980" s="105" t="s">
        <v>339</v>
      </c>
      <c r="J2980" s="493">
        <v>22</v>
      </c>
      <c r="K2980" s="493">
        <v>2</v>
      </c>
      <c r="L2980" s="105" t="s">
        <v>343</v>
      </c>
      <c r="M2980" s="105" t="s">
        <v>655</v>
      </c>
      <c r="N2980" s="105" t="s">
        <v>656</v>
      </c>
      <c r="O2980" s="105" t="s">
        <v>656</v>
      </c>
      <c r="P2980" s="105" t="s">
        <v>339</v>
      </c>
      <c r="Q2980" s="494">
        <v>0</v>
      </c>
      <c r="R2980" s="494">
        <v>0</v>
      </c>
      <c r="S2980" s="494">
        <v>28461</v>
      </c>
      <c r="T2980" s="494">
        <v>28461</v>
      </c>
      <c r="U2980" s="494">
        <v>8342</v>
      </c>
      <c r="V2980" s="493">
        <v>2024</v>
      </c>
      <c r="W2980" s="495"/>
      <c r="X2980" s="496">
        <f t="shared" si="194"/>
        <v>3.4117717573723327</v>
      </c>
      <c r="Y2980" s="497" t="str">
        <f t="shared" si="195"/>
        <v/>
      </c>
      <c r="Z2980" s="497" t="str">
        <f t="shared" si="195"/>
        <v/>
      </c>
    </row>
    <row r="2981" spans="1:26" s="82" customFormat="1" ht="32" x14ac:dyDescent="0.4">
      <c r="A2981" s="493">
        <v>68655</v>
      </c>
      <c r="B2981" s="105" t="s">
        <v>329</v>
      </c>
      <c r="C2981" s="493" t="s">
        <v>330</v>
      </c>
      <c r="D2981" s="105" t="s">
        <v>3598</v>
      </c>
      <c r="E2981" s="105" t="s">
        <v>3599</v>
      </c>
      <c r="F2981" s="493">
        <v>67029</v>
      </c>
      <c r="G2981" s="105" t="s">
        <v>33</v>
      </c>
      <c r="H2981" s="105" t="s">
        <v>342</v>
      </c>
      <c r="I2981" s="105" t="s">
        <v>339</v>
      </c>
      <c r="J2981" s="493">
        <v>22</v>
      </c>
      <c r="K2981" s="493">
        <v>2</v>
      </c>
      <c r="L2981" s="105" t="s">
        <v>343</v>
      </c>
      <c r="M2981" s="105" t="s">
        <v>655</v>
      </c>
      <c r="N2981" s="105" t="s">
        <v>656</v>
      </c>
      <c r="O2981" s="105" t="s">
        <v>656</v>
      </c>
      <c r="P2981" s="105" t="s">
        <v>339</v>
      </c>
      <c r="Q2981" s="494">
        <v>0</v>
      </c>
      <c r="R2981" s="494">
        <v>0</v>
      </c>
      <c r="S2981" s="494">
        <v>17033</v>
      </c>
      <c r="T2981" s="494">
        <v>17033</v>
      </c>
      <c r="U2981" s="494">
        <v>4992</v>
      </c>
      <c r="V2981" s="493">
        <v>2024</v>
      </c>
      <c r="W2981" s="495"/>
      <c r="X2981" s="496">
        <f t="shared" si="194"/>
        <v>3.4120592948717947</v>
      </c>
      <c r="Y2981" s="497" t="str">
        <f t="shared" si="195"/>
        <v/>
      </c>
      <c r="Z2981" s="497" t="str">
        <f t="shared" si="195"/>
        <v/>
      </c>
    </row>
    <row r="2982" spans="1:26" s="82" customFormat="1" ht="32" x14ac:dyDescent="0.4">
      <c r="A2982" s="493">
        <v>68656</v>
      </c>
      <c r="B2982" s="105" t="s">
        <v>329</v>
      </c>
      <c r="C2982" s="493" t="s">
        <v>330</v>
      </c>
      <c r="D2982" s="105" t="s">
        <v>3600</v>
      </c>
      <c r="E2982" s="105" t="s">
        <v>3601</v>
      </c>
      <c r="F2982" s="493">
        <v>67030</v>
      </c>
      <c r="G2982" s="105" t="s">
        <v>33</v>
      </c>
      <c r="H2982" s="105" t="s">
        <v>342</v>
      </c>
      <c r="I2982" s="105" t="s">
        <v>339</v>
      </c>
      <c r="J2982" s="493">
        <v>22</v>
      </c>
      <c r="K2982" s="493">
        <v>2</v>
      </c>
      <c r="L2982" s="105" t="s">
        <v>343</v>
      </c>
      <c r="M2982" s="105" t="s">
        <v>655</v>
      </c>
      <c r="N2982" s="105" t="s">
        <v>656</v>
      </c>
      <c r="O2982" s="105" t="s">
        <v>656</v>
      </c>
      <c r="P2982" s="105" t="s">
        <v>339</v>
      </c>
      <c r="Q2982" s="494">
        <v>0</v>
      </c>
      <c r="R2982" s="494">
        <v>0</v>
      </c>
      <c r="S2982" s="494">
        <v>28249</v>
      </c>
      <c r="T2982" s="494">
        <v>28249</v>
      </c>
      <c r="U2982" s="494">
        <v>8279</v>
      </c>
      <c r="V2982" s="493">
        <v>2024</v>
      </c>
      <c r="W2982" s="495"/>
      <c r="X2982" s="496">
        <f t="shared" si="194"/>
        <v>3.4121270684865324</v>
      </c>
      <c r="Y2982" s="497" t="str">
        <f t="shared" si="195"/>
        <v/>
      </c>
      <c r="Z2982" s="497" t="str">
        <f t="shared" si="195"/>
        <v/>
      </c>
    </row>
    <row r="2983" spans="1:26" s="82" customFormat="1" ht="32" x14ac:dyDescent="0.4">
      <c r="A2983" s="493">
        <v>68657</v>
      </c>
      <c r="B2983" s="105" t="s">
        <v>329</v>
      </c>
      <c r="C2983" s="493" t="s">
        <v>330</v>
      </c>
      <c r="D2983" s="105" t="s">
        <v>3602</v>
      </c>
      <c r="E2983" s="105" t="s">
        <v>3603</v>
      </c>
      <c r="F2983" s="493">
        <v>67031</v>
      </c>
      <c r="G2983" s="105" t="s">
        <v>33</v>
      </c>
      <c r="H2983" s="105" t="s">
        <v>342</v>
      </c>
      <c r="I2983" s="105" t="s">
        <v>339</v>
      </c>
      <c r="J2983" s="493">
        <v>22</v>
      </c>
      <c r="K2983" s="493">
        <v>2</v>
      </c>
      <c r="L2983" s="105" t="s">
        <v>343</v>
      </c>
      <c r="M2983" s="105" t="s">
        <v>655</v>
      </c>
      <c r="N2983" s="105" t="s">
        <v>656</v>
      </c>
      <c r="O2983" s="105" t="s">
        <v>656</v>
      </c>
      <c r="P2983" s="105" t="s">
        <v>339</v>
      </c>
      <c r="Q2983" s="494">
        <v>0</v>
      </c>
      <c r="R2983" s="494">
        <v>0</v>
      </c>
      <c r="S2983" s="494">
        <v>25314</v>
      </c>
      <c r="T2983" s="494">
        <v>25314</v>
      </c>
      <c r="U2983" s="494">
        <v>7419</v>
      </c>
      <c r="V2983" s="493">
        <v>2024</v>
      </c>
      <c r="W2983" s="495"/>
      <c r="X2983" s="496">
        <f t="shared" si="194"/>
        <v>3.4120501415285078</v>
      </c>
      <c r="Y2983" s="497" t="str">
        <f t="shared" si="195"/>
        <v/>
      </c>
      <c r="Z2983" s="497" t="str">
        <f t="shared" si="195"/>
        <v/>
      </c>
    </row>
    <row r="2984" spans="1:26" s="82" customFormat="1" x14ac:dyDescent="0.4">
      <c r="A2984" s="493">
        <v>68658</v>
      </c>
      <c r="B2984" s="105" t="s">
        <v>329</v>
      </c>
      <c r="C2984" s="493" t="s">
        <v>330</v>
      </c>
      <c r="D2984" s="105" t="s">
        <v>3604</v>
      </c>
      <c r="E2984" s="105" t="s">
        <v>3605</v>
      </c>
      <c r="F2984" s="493">
        <v>67032</v>
      </c>
      <c r="G2984" s="105" t="s">
        <v>33</v>
      </c>
      <c r="H2984" s="105" t="s">
        <v>342</v>
      </c>
      <c r="I2984" s="105" t="s">
        <v>339</v>
      </c>
      <c r="J2984" s="493">
        <v>22</v>
      </c>
      <c r="K2984" s="493">
        <v>2</v>
      </c>
      <c r="L2984" s="105" t="s">
        <v>343</v>
      </c>
      <c r="M2984" s="105" t="s">
        <v>655</v>
      </c>
      <c r="N2984" s="105" t="s">
        <v>656</v>
      </c>
      <c r="O2984" s="105" t="s">
        <v>656</v>
      </c>
      <c r="P2984" s="105" t="s">
        <v>339</v>
      </c>
      <c r="Q2984" s="494">
        <v>0</v>
      </c>
      <c r="R2984" s="494">
        <v>0</v>
      </c>
      <c r="S2984" s="494">
        <v>13814</v>
      </c>
      <c r="T2984" s="494">
        <v>13814</v>
      </c>
      <c r="U2984" s="494">
        <v>4049</v>
      </c>
      <c r="V2984" s="493">
        <v>2024</v>
      </c>
      <c r="W2984" s="495"/>
      <c r="X2984" s="496">
        <f t="shared" si="194"/>
        <v>3.4117065942207954</v>
      </c>
      <c r="Y2984" s="497" t="str">
        <f t="shared" si="195"/>
        <v/>
      </c>
      <c r="Z2984" s="497" t="str">
        <f t="shared" si="195"/>
        <v/>
      </c>
    </row>
    <row r="2985" spans="1:26" s="82" customFormat="1" ht="32" x14ac:dyDescent="0.4">
      <c r="A2985" s="493">
        <v>68659</v>
      </c>
      <c r="B2985" s="105" t="s">
        <v>329</v>
      </c>
      <c r="C2985" s="493" t="s">
        <v>330</v>
      </c>
      <c r="D2985" s="105" t="s">
        <v>3606</v>
      </c>
      <c r="E2985" s="105" t="s">
        <v>3607</v>
      </c>
      <c r="F2985" s="493">
        <v>67033</v>
      </c>
      <c r="G2985" s="105" t="s">
        <v>52</v>
      </c>
      <c r="H2985" s="105" t="s">
        <v>333</v>
      </c>
      <c r="I2985" s="105" t="s">
        <v>339</v>
      </c>
      <c r="J2985" s="493">
        <v>22</v>
      </c>
      <c r="K2985" s="493">
        <v>2</v>
      </c>
      <c r="L2985" s="105" t="s">
        <v>343</v>
      </c>
      <c r="M2985" s="105" t="s">
        <v>655</v>
      </c>
      <c r="N2985" s="105" t="s">
        <v>656</v>
      </c>
      <c r="O2985" s="105" t="s">
        <v>656</v>
      </c>
      <c r="P2985" s="105" t="s">
        <v>339</v>
      </c>
      <c r="Q2985" s="494">
        <v>0</v>
      </c>
      <c r="R2985" s="494">
        <v>0</v>
      </c>
      <c r="S2985" s="494">
        <v>20994</v>
      </c>
      <c r="T2985" s="494">
        <v>20994</v>
      </c>
      <c r="U2985" s="494">
        <v>6153</v>
      </c>
      <c r="V2985" s="493">
        <v>2024</v>
      </c>
      <c r="W2985" s="495"/>
      <c r="X2985" s="496">
        <f t="shared" si="194"/>
        <v>3.4119941491955146</v>
      </c>
      <c r="Y2985" s="497" t="str">
        <f t="shared" si="195"/>
        <v/>
      </c>
      <c r="Z2985" s="497" t="str">
        <f t="shared" si="195"/>
        <v/>
      </c>
    </row>
    <row r="2986" spans="1:26" s="82" customFormat="1" x14ac:dyDescent="0.4">
      <c r="A2986" s="493">
        <v>68660</v>
      </c>
      <c r="B2986" s="105" t="s">
        <v>329</v>
      </c>
      <c r="C2986" s="493" t="s">
        <v>330</v>
      </c>
      <c r="D2986" s="105" t="s">
        <v>3608</v>
      </c>
      <c r="E2986" s="105" t="s">
        <v>3609</v>
      </c>
      <c r="F2986" s="493">
        <v>67034</v>
      </c>
      <c r="G2986" s="105" t="s">
        <v>52</v>
      </c>
      <c r="H2986" s="105" t="s">
        <v>333</v>
      </c>
      <c r="I2986" s="105" t="s">
        <v>339</v>
      </c>
      <c r="J2986" s="493">
        <v>22</v>
      </c>
      <c r="K2986" s="493">
        <v>2</v>
      </c>
      <c r="L2986" s="105" t="s">
        <v>343</v>
      </c>
      <c r="M2986" s="105" t="s">
        <v>655</v>
      </c>
      <c r="N2986" s="105" t="s">
        <v>656</v>
      </c>
      <c r="O2986" s="105" t="s">
        <v>656</v>
      </c>
      <c r="P2986" s="105" t="s">
        <v>339</v>
      </c>
      <c r="Q2986" s="494">
        <v>0</v>
      </c>
      <c r="R2986" s="494">
        <v>0</v>
      </c>
      <c r="S2986" s="494">
        <v>19356</v>
      </c>
      <c r="T2986" s="494">
        <v>19356</v>
      </c>
      <c r="U2986" s="494">
        <v>5673</v>
      </c>
      <c r="V2986" s="493">
        <v>2024</v>
      </c>
      <c r="W2986" s="495"/>
      <c r="X2986" s="496">
        <f t="shared" si="194"/>
        <v>3.411951348492861</v>
      </c>
      <c r="Y2986" s="497" t="str">
        <f t="shared" si="195"/>
        <v/>
      </c>
      <c r="Z2986" s="497" t="str">
        <f t="shared" si="195"/>
        <v/>
      </c>
    </row>
    <row r="2987" spans="1:26" s="82" customFormat="1" ht="32" x14ac:dyDescent="0.4">
      <c r="A2987" s="493">
        <v>68664</v>
      </c>
      <c r="B2987" s="105" t="s">
        <v>329</v>
      </c>
      <c r="C2987" s="493" t="s">
        <v>330</v>
      </c>
      <c r="D2987" s="105" t="s">
        <v>3610</v>
      </c>
      <c r="E2987" s="105" t="s">
        <v>2234</v>
      </c>
      <c r="F2987" s="493">
        <v>62719</v>
      </c>
      <c r="G2987" s="105" t="s">
        <v>52</v>
      </c>
      <c r="H2987" s="105" t="s">
        <v>333</v>
      </c>
      <c r="I2987" s="105" t="s">
        <v>339</v>
      </c>
      <c r="J2987" s="493">
        <v>22</v>
      </c>
      <c r="K2987" s="493">
        <v>2</v>
      </c>
      <c r="L2987" s="105" t="s">
        <v>343</v>
      </c>
      <c r="M2987" s="105" t="s">
        <v>655</v>
      </c>
      <c r="N2987" s="105" t="s">
        <v>656</v>
      </c>
      <c r="O2987" s="105" t="s">
        <v>656</v>
      </c>
      <c r="P2987" s="105" t="s">
        <v>339</v>
      </c>
      <c r="Q2987" s="494">
        <v>0</v>
      </c>
      <c r="R2987" s="494">
        <v>0</v>
      </c>
      <c r="S2987" s="494">
        <v>4517</v>
      </c>
      <c r="T2987" s="494">
        <v>4517</v>
      </c>
      <c r="U2987" s="494">
        <v>1324</v>
      </c>
      <c r="V2987" s="493">
        <v>2024</v>
      </c>
      <c r="W2987" s="495"/>
      <c r="X2987" s="496">
        <f t="shared" si="194"/>
        <v>3.4116314199395772</v>
      </c>
      <c r="Y2987" s="497" t="str">
        <f t="shared" si="195"/>
        <v/>
      </c>
      <c r="Z2987" s="497" t="str">
        <f t="shared" si="195"/>
        <v/>
      </c>
    </row>
    <row r="2988" spans="1:26" s="82" customFormat="1" x14ac:dyDescent="0.4">
      <c r="A2988" s="493">
        <v>68679</v>
      </c>
      <c r="B2988" s="105" t="s">
        <v>329</v>
      </c>
      <c r="C2988" s="493" t="s">
        <v>330</v>
      </c>
      <c r="D2988" s="105" t="s">
        <v>3611</v>
      </c>
      <c r="E2988" s="105" t="s">
        <v>1751</v>
      </c>
      <c r="F2988" s="493">
        <v>60520</v>
      </c>
      <c r="G2988" s="105" t="s">
        <v>33</v>
      </c>
      <c r="H2988" s="105" t="s">
        <v>342</v>
      </c>
      <c r="I2988" s="105" t="s">
        <v>339</v>
      </c>
      <c r="J2988" s="493">
        <v>22</v>
      </c>
      <c r="K2988" s="493">
        <v>2</v>
      </c>
      <c r="L2988" s="105" t="s">
        <v>343</v>
      </c>
      <c r="M2988" s="105" t="s">
        <v>403</v>
      </c>
      <c r="N2988" s="105" t="s">
        <v>404</v>
      </c>
      <c r="O2988" s="105" t="s">
        <v>232</v>
      </c>
      <c r="P2988" s="105" t="s">
        <v>346</v>
      </c>
      <c r="Q2988" s="494">
        <v>456</v>
      </c>
      <c r="R2988" s="494">
        <v>456</v>
      </c>
      <c r="S2988" s="494">
        <v>0</v>
      </c>
      <c r="T2988" s="494">
        <v>0</v>
      </c>
      <c r="U2988" s="494">
        <v>-18</v>
      </c>
      <c r="V2988" s="493">
        <v>2024</v>
      </c>
      <c r="W2988" s="495"/>
      <c r="X2988" s="496" t="str">
        <f t="shared" si="194"/>
        <v/>
      </c>
      <c r="Y2988" s="497" t="str">
        <f t="shared" ref="Y2988:Z3007" si="196">IF(AND($M2988=$Y$2,$N2988=$Y$3,NOT($Q2988=$R2988),NOT($U2988=0)),IF($K2988=5,$S2988/($U2988+(8/5)*$U2988),IF($K2988=7,$S2988/($U2988+(29/25)*$U2988),"")),"")</f>
        <v/>
      </c>
      <c r="Z2988" s="497" t="str">
        <f t="shared" si="196"/>
        <v/>
      </c>
    </row>
    <row r="2989" spans="1:26" s="82" customFormat="1" x14ac:dyDescent="0.4">
      <c r="A2989" s="493">
        <v>68679</v>
      </c>
      <c r="B2989" s="105" t="s">
        <v>329</v>
      </c>
      <c r="C2989" s="493" t="s">
        <v>330</v>
      </c>
      <c r="D2989" s="105" t="s">
        <v>3611</v>
      </c>
      <c r="E2989" s="105" t="s">
        <v>1751</v>
      </c>
      <c r="F2989" s="493">
        <v>60520</v>
      </c>
      <c r="G2989" s="105" t="s">
        <v>33</v>
      </c>
      <c r="H2989" s="105" t="s">
        <v>342</v>
      </c>
      <c r="I2989" s="105" t="s">
        <v>339</v>
      </c>
      <c r="J2989" s="493">
        <v>22</v>
      </c>
      <c r="K2989" s="493">
        <v>2</v>
      </c>
      <c r="L2989" s="105" t="s">
        <v>343</v>
      </c>
      <c r="M2989" s="105" t="s">
        <v>655</v>
      </c>
      <c r="N2989" s="105" t="s">
        <v>656</v>
      </c>
      <c r="O2989" s="105" t="s">
        <v>656</v>
      </c>
      <c r="P2989" s="105" t="s">
        <v>339</v>
      </c>
      <c r="Q2989" s="494">
        <v>0</v>
      </c>
      <c r="R2989" s="494">
        <v>0</v>
      </c>
      <c r="S2989" s="494">
        <v>27410</v>
      </c>
      <c r="T2989" s="494">
        <v>27410</v>
      </c>
      <c r="U2989" s="494">
        <v>8033</v>
      </c>
      <c r="V2989" s="493">
        <v>2024</v>
      </c>
      <c r="W2989" s="495"/>
      <c r="X2989" s="496">
        <f t="shared" si="194"/>
        <v>3.4121747790364747</v>
      </c>
      <c r="Y2989" s="497" t="str">
        <f t="shared" si="196"/>
        <v/>
      </c>
      <c r="Z2989" s="497" t="str">
        <f t="shared" si="196"/>
        <v/>
      </c>
    </row>
    <row r="2990" spans="1:26" s="82" customFormat="1" x14ac:dyDescent="0.4">
      <c r="A2990" s="493">
        <v>68680</v>
      </c>
      <c r="B2990" s="105" t="s">
        <v>329</v>
      </c>
      <c r="C2990" s="493" t="s">
        <v>330</v>
      </c>
      <c r="D2990" s="105" t="s">
        <v>3612</v>
      </c>
      <c r="E2990" s="105" t="s">
        <v>1751</v>
      </c>
      <c r="F2990" s="493">
        <v>60520</v>
      </c>
      <c r="G2990" s="105" t="s">
        <v>33</v>
      </c>
      <c r="H2990" s="105" t="s">
        <v>342</v>
      </c>
      <c r="I2990" s="105" t="s">
        <v>339</v>
      </c>
      <c r="J2990" s="493">
        <v>22</v>
      </c>
      <c r="K2990" s="493">
        <v>2</v>
      </c>
      <c r="L2990" s="105" t="s">
        <v>343</v>
      </c>
      <c r="M2990" s="105" t="s">
        <v>403</v>
      </c>
      <c r="N2990" s="105" t="s">
        <v>404</v>
      </c>
      <c r="O2990" s="105" t="s">
        <v>232</v>
      </c>
      <c r="P2990" s="105" t="s">
        <v>346</v>
      </c>
      <c r="Q2990" s="494">
        <v>720</v>
      </c>
      <c r="R2990" s="494">
        <v>720</v>
      </c>
      <c r="S2990" s="494">
        <v>0</v>
      </c>
      <c r="T2990" s="494">
        <v>0</v>
      </c>
      <c r="U2990" s="494">
        <v>-26</v>
      </c>
      <c r="V2990" s="493">
        <v>2024</v>
      </c>
      <c r="W2990" s="495"/>
      <c r="X2990" s="496" t="str">
        <f t="shared" si="194"/>
        <v/>
      </c>
      <c r="Y2990" s="497" t="str">
        <f t="shared" si="196"/>
        <v/>
      </c>
      <c r="Z2990" s="497" t="str">
        <f t="shared" si="196"/>
        <v/>
      </c>
    </row>
    <row r="2991" spans="1:26" s="82" customFormat="1" x14ac:dyDescent="0.4">
      <c r="A2991" s="493">
        <v>68680</v>
      </c>
      <c r="B2991" s="105" t="s">
        <v>329</v>
      </c>
      <c r="C2991" s="493" t="s">
        <v>330</v>
      </c>
      <c r="D2991" s="105" t="s">
        <v>3612</v>
      </c>
      <c r="E2991" s="105" t="s">
        <v>1751</v>
      </c>
      <c r="F2991" s="493">
        <v>60520</v>
      </c>
      <c r="G2991" s="105" t="s">
        <v>33</v>
      </c>
      <c r="H2991" s="105" t="s">
        <v>342</v>
      </c>
      <c r="I2991" s="105" t="s">
        <v>339</v>
      </c>
      <c r="J2991" s="493">
        <v>22</v>
      </c>
      <c r="K2991" s="493">
        <v>2</v>
      </c>
      <c r="L2991" s="105" t="s">
        <v>343</v>
      </c>
      <c r="M2991" s="105" t="s">
        <v>655</v>
      </c>
      <c r="N2991" s="105" t="s">
        <v>656</v>
      </c>
      <c r="O2991" s="105" t="s">
        <v>656</v>
      </c>
      <c r="P2991" s="105" t="s">
        <v>339</v>
      </c>
      <c r="Q2991" s="494">
        <v>0</v>
      </c>
      <c r="R2991" s="494">
        <v>0</v>
      </c>
      <c r="S2991" s="494">
        <v>12095</v>
      </c>
      <c r="T2991" s="494">
        <v>12095</v>
      </c>
      <c r="U2991" s="494">
        <v>3545</v>
      </c>
      <c r="V2991" s="493">
        <v>2024</v>
      </c>
      <c r="W2991" s="495"/>
      <c r="X2991" s="496">
        <f t="shared" si="194"/>
        <v>3.4118476727785612</v>
      </c>
      <c r="Y2991" s="497" t="str">
        <f t="shared" si="196"/>
        <v/>
      </c>
      <c r="Z2991" s="497" t="str">
        <f t="shared" si="196"/>
        <v/>
      </c>
    </row>
    <row r="2992" spans="1:26" s="82" customFormat="1" x14ac:dyDescent="0.4">
      <c r="A2992" s="493">
        <v>68704</v>
      </c>
      <c r="B2992" s="105" t="s">
        <v>329</v>
      </c>
      <c r="C2992" s="493" t="s">
        <v>330</v>
      </c>
      <c r="D2992" s="105" t="s">
        <v>3613</v>
      </c>
      <c r="E2992" s="105" t="s">
        <v>2370</v>
      </c>
      <c r="F2992" s="493">
        <v>62923</v>
      </c>
      <c r="G2992" s="105" t="s">
        <v>52</v>
      </c>
      <c r="H2992" s="105" t="s">
        <v>333</v>
      </c>
      <c r="I2992" s="105" t="s">
        <v>339</v>
      </c>
      <c r="J2992" s="493">
        <v>22</v>
      </c>
      <c r="K2992" s="493">
        <v>2</v>
      </c>
      <c r="L2992" s="105" t="s">
        <v>343</v>
      </c>
      <c r="M2992" s="105" t="s">
        <v>655</v>
      </c>
      <c r="N2992" s="105" t="s">
        <v>656</v>
      </c>
      <c r="O2992" s="105" t="s">
        <v>656</v>
      </c>
      <c r="P2992" s="105" t="s">
        <v>339</v>
      </c>
      <c r="Q2992" s="494">
        <v>0</v>
      </c>
      <c r="R2992" s="494">
        <v>0</v>
      </c>
      <c r="S2992" s="494">
        <v>21465</v>
      </c>
      <c r="T2992" s="494">
        <v>21465</v>
      </c>
      <c r="U2992" s="494">
        <v>6290.9</v>
      </c>
      <c r="V2992" s="493">
        <v>2024</v>
      </c>
      <c r="W2992" s="495"/>
      <c r="X2992" s="496">
        <f t="shared" si="194"/>
        <v>3.4120714047274636</v>
      </c>
      <c r="Y2992" s="497" t="str">
        <f t="shared" si="196"/>
        <v/>
      </c>
      <c r="Z2992" s="497" t="str">
        <f t="shared" si="196"/>
        <v/>
      </c>
    </row>
    <row r="2993" spans="1:26" s="82" customFormat="1" x14ac:dyDescent="0.4">
      <c r="A2993" s="493">
        <v>68742</v>
      </c>
      <c r="B2993" s="105" t="s">
        <v>329</v>
      </c>
      <c r="C2993" s="493" t="s">
        <v>330</v>
      </c>
      <c r="D2993" s="105" t="s">
        <v>3614</v>
      </c>
      <c r="E2993" s="105" t="s">
        <v>1751</v>
      </c>
      <c r="F2993" s="493">
        <v>60520</v>
      </c>
      <c r="G2993" s="105" t="s">
        <v>33</v>
      </c>
      <c r="H2993" s="105" t="s">
        <v>342</v>
      </c>
      <c r="I2993" s="105" t="s">
        <v>339</v>
      </c>
      <c r="J2993" s="493">
        <v>22</v>
      </c>
      <c r="K2993" s="493">
        <v>2</v>
      </c>
      <c r="L2993" s="105" t="s">
        <v>343</v>
      </c>
      <c r="M2993" s="105" t="s">
        <v>403</v>
      </c>
      <c r="N2993" s="105" t="s">
        <v>404</v>
      </c>
      <c r="O2993" s="105" t="s">
        <v>232</v>
      </c>
      <c r="P2993" s="105" t="s">
        <v>346</v>
      </c>
      <c r="Q2993" s="494">
        <v>439</v>
      </c>
      <c r="R2993" s="494">
        <v>439</v>
      </c>
      <c r="S2993" s="494">
        <v>0</v>
      </c>
      <c r="T2993" s="494">
        <v>0</v>
      </c>
      <c r="U2993" s="494">
        <v>-17</v>
      </c>
      <c r="V2993" s="493">
        <v>2024</v>
      </c>
      <c r="W2993" s="495"/>
      <c r="X2993" s="496" t="str">
        <f t="shared" si="194"/>
        <v/>
      </c>
      <c r="Y2993" s="497" t="str">
        <f t="shared" si="196"/>
        <v/>
      </c>
      <c r="Z2993" s="497" t="str">
        <f t="shared" si="196"/>
        <v/>
      </c>
    </row>
    <row r="2994" spans="1:26" s="82" customFormat="1" x14ac:dyDescent="0.4">
      <c r="A2994" s="493">
        <v>68742</v>
      </c>
      <c r="B2994" s="105" t="s">
        <v>329</v>
      </c>
      <c r="C2994" s="493" t="s">
        <v>330</v>
      </c>
      <c r="D2994" s="105" t="s">
        <v>3614</v>
      </c>
      <c r="E2994" s="105" t="s">
        <v>1751</v>
      </c>
      <c r="F2994" s="493">
        <v>60520</v>
      </c>
      <c r="G2994" s="105" t="s">
        <v>33</v>
      </c>
      <c r="H2994" s="105" t="s">
        <v>342</v>
      </c>
      <c r="I2994" s="105" t="s">
        <v>339</v>
      </c>
      <c r="J2994" s="493">
        <v>22</v>
      </c>
      <c r="K2994" s="493">
        <v>2</v>
      </c>
      <c r="L2994" s="105" t="s">
        <v>343</v>
      </c>
      <c r="M2994" s="105" t="s">
        <v>655</v>
      </c>
      <c r="N2994" s="105" t="s">
        <v>656</v>
      </c>
      <c r="O2994" s="105" t="s">
        <v>656</v>
      </c>
      <c r="P2994" s="105" t="s">
        <v>339</v>
      </c>
      <c r="Q2994" s="494">
        <v>0</v>
      </c>
      <c r="R2994" s="494">
        <v>0</v>
      </c>
      <c r="S2994" s="494">
        <v>24542</v>
      </c>
      <c r="T2994" s="494">
        <v>24542</v>
      </c>
      <c r="U2994" s="494">
        <v>7193</v>
      </c>
      <c r="V2994" s="493">
        <v>2024</v>
      </c>
      <c r="W2994" s="495"/>
      <c r="X2994" s="496">
        <f t="shared" si="194"/>
        <v>3.4119282635896009</v>
      </c>
      <c r="Y2994" s="497" t="str">
        <f t="shared" si="196"/>
        <v/>
      </c>
      <c r="Z2994" s="497" t="str">
        <f t="shared" si="196"/>
        <v/>
      </c>
    </row>
    <row r="2995" spans="1:26" s="82" customFormat="1" x14ac:dyDescent="0.4">
      <c r="A2995" s="493">
        <v>68743</v>
      </c>
      <c r="B2995" s="105" t="s">
        <v>329</v>
      </c>
      <c r="C2995" s="493" t="s">
        <v>330</v>
      </c>
      <c r="D2995" s="105" t="s">
        <v>3615</v>
      </c>
      <c r="E2995" s="105" t="s">
        <v>1751</v>
      </c>
      <c r="F2995" s="493">
        <v>60520</v>
      </c>
      <c r="G2995" s="105" t="s">
        <v>33</v>
      </c>
      <c r="H2995" s="105" t="s">
        <v>342</v>
      </c>
      <c r="I2995" s="105" t="s">
        <v>339</v>
      </c>
      <c r="J2995" s="493">
        <v>22</v>
      </c>
      <c r="K2995" s="493">
        <v>2</v>
      </c>
      <c r="L2995" s="105" t="s">
        <v>343</v>
      </c>
      <c r="M2995" s="105" t="s">
        <v>403</v>
      </c>
      <c r="N2995" s="105" t="s">
        <v>404</v>
      </c>
      <c r="O2995" s="105" t="s">
        <v>232</v>
      </c>
      <c r="P2995" s="105" t="s">
        <v>346</v>
      </c>
      <c r="Q2995" s="494">
        <v>1337</v>
      </c>
      <c r="R2995" s="494">
        <v>1337</v>
      </c>
      <c r="S2995" s="494">
        <v>0</v>
      </c>
      <c r="T2995" s="494">
        <v>0</v>
      </c>
      <c r="U2995" s="494">
        <v>-63</v>
      </c>
      <c r="V2995" s="493">
        <v>2024</v>
      </c>
      <c r="W2995" s="495"/>
      <c r="X2995" s="496" t="str">
        <f t="shared" si="194"/>
        <v/>
      </c>
      <c r="Y2995" s="497" t="str">
        <f t="shared" si="196"/>
        <v/>
      </c>
      <c r="Z2995" s="497" t="str">
        <f t="shared" si="196"/>
        <v/>
      </c>
    </row>
    <row r="2996" spans="1:26" s="82" customFormat="1" x14ac:dyDescent="0.4">
      <c r="A2996" s="493">
        <v>68743</v>
      </c>
      <c r="B2996" s="105" t="s">
        <v>329</v>
      </c>
      <c r="C2996" s="493" t="s">
        <v>330</v>
      </c>
      <c r="D2996" s="105" t="s">
        <v>3615</v>
      </c>
      <c r="E2996" s="105" t="s">
        <v>1751</v>
      </c>
      <c r="F2996" s="493">
        <v>60520</v>
      </c>
      <c r="G2996" s="105" t="s">
        <v>33</v>
      </c>
      <c r="H2996" s="105" t="s">
        <v>342</v>
      </c>
      <c r="I2996" s="105" t="s">
        <v>339</v>
      </c>
      <c r="J2996" s="493">
        <v>22</v>
      </c>
      <c r="K2996" s="493">
        <v>2</v>
      </c>
      <c r="L2996" s="105" t="s">
        <v>343</v>
      </c>
      <c r="M2996" s="105" t="s">
        <v>655</v>
      </c>
      <c r="N2996" s="105" t="s">
        <v>656</v>
      </c>
      <c r="O2996" s="105" t="s">
        <v>656</v>
      </c>
      <c r="P2996" s="105" t="s">
        <v>339</v>
      </c>
      <c r="Q2996" s="494">
        <v>0</v>
      </c>
      <c r="R2996" s="494">
        <v>0</v>
      </c>
      <c r="S2996" s="494">
        <v>21220</v>
      </c>
      <c r="T2996" s="494">
        <v>21220</v>
      </c>
      <c r="U2996" s="494">
        <v>6219</v>
      </c>
      <c r="V2996" s="493">
        <v>2024</v>
      </c>
      <c r="W2996" s="495"/>
      <c r="X2996" s="496">
        <f t="shared" si="194"/>
        <v>3.4121241357131371</v>
      </c>
      <c r="Y2996" s="497" t="str">
        <f t="shared" si="196"/>
        <v/>
      </c>
      <c r="Z2996" s="497" t="str">
        <f t="shared" si="196"/>
        <v/>
      </c>
    </row>
    <row r="2997" spans="1:26" s="82" customFormat="1" ht="32" x14ac:dyDescent="0.4">
      <c r="A2997" s="493">
        <v>68746</v>
      </c>
      <c r="B2997" s="105" t="s">
        <v>329</v>
      </c>
      <c r="C2997" s="493" t="s">
        <v>330</v>
      </c>
      <c r="D2997" s="105" t="s">
        <v>3616</v>
      </c>
      <c r="E2997" s="105" t="s">
        <v>1778</v>
      </c>
      <c r="F2997" s="493">
        <v>60584</v>
      </c>
      <c r="G2997" s="105" t="s">
        <v>52</v>
      </c>
      <c r="H2997" s="105" t="s">
        <v>333</v>
      </c>
      <c r="I2997" s="105" t="s">
        <v>339</v>
      </c>
      <c r="J2997" s="493">
        <v>22</v>
      </c>
      <c r="K2997" s="493">
        <v>2</v>
      </c>
      <c r="L2997" s="105" t="s">
        <v>343</v>
      </c>
      <c r="M2997" s="105" t="s">
        <v>655</v>
      </c>
      <c r="N2997" s="105" t="s">
        <v>656</v>
      </c>
      <c r="O2997" s="105" t="s">
        <v>656</v>
      </c>
      <c r="P2997" s="105" t="s">
        <v>339</v>
      </c>
      <c r="Q2997" s="494">
        <v>0</v>
      </c>
      <c r="R2997" s="494">
        <v>0</v>
      </c>
      <c r="S2997" s="494">
        <v>1730</v>
      </c>
      <c r="T2997" s="494">
        <v>1730</v>
      </c>
      <c r="U2997" s="494">
        <v>507</v>
      </c>
      <c r="V2997" s="493">
        <v>2024</v>
      </c>
      <c r="W2997" s="495"/>
      <c r="X2997" s="496">
        <f t="shared" si="194"/>
        <v>3.4122287968441816</v>
      </c>
      <c r="Y2997" s="497" t="str">
        <f t="shared" si="196"/>
        <v/>
      </c>
      <c r="Z2997" s="497" t="str">
        <f t="shared" si="196"/>
        <v/>
      </c>
    </row>
    <row r="2998" spans="1:26" s="82" customFormat="1" x14ac:dyDescent="0.4">
      <c r="A2998" s="493">
        <v>68764</v>
      </c>
      <c r="B2998" s="105" t="s">
        <v>329</v>
      </c>
      <c r="C2998" s="493" t="s">
        <v>330</v>
      </c>
      <c r="D2998" s="105" t="s">
        <v>3617</v>
      </c>
      <c r="E2998" s="105" t="s">
        <v>3618</v>
      </c>
      <c r="F2998" s="493">
        <v>67059</v>
      </c>
      <c r="G2998" s="105" t="s">
        <v>52</v>
      </c>
      <c r="H2998" s="105" t="s">
        <v>333</v>
      </c>
      <c r="I2998" s="105" t="s">
        <v>339</v>
      </c>
      <c r="J2998" s="493">
        <v>22</v>
      </c>
      <c r="K2998" s="493">
        <v>2</v>
      </c>
      <c r="L2998" s="105" t="s">
        <v>343</v>
      </c>
      <c r="M2998" s="105" t="s">
        <v>655</v>
      </c>
      <c r="N2998" s="105" t="s">
        <v>656</v>
      </c>
      <c r="O2998" s="105" t="s">
        <v>656</v>
      </c>
      <c r="P2998" s="105" t="s">
        <v>339</v>
      </c>
      <c r="Q2998" s="494">
        <v>0</v>
      </c>
      <c r="R2998" s="494">
        <v>0</v>
      </c>
      <c r="S2998" s="494">
        <v>21209</v>
      </c>
      <c r="T2998" s="494">
        <v>21209</v>
      </c>
      <c r="U2998" s="494">
        <v>6216</v>
      </c>
      <c r="V2998" s="493">
        <v>2024</v>
      </c>
      <c r="W2998" s="495"/>
      <c r="X2998" s="496">
        <f t="shared" si="194"/>
        <v>3.4120012870012868</v>
      </c>
      <c r="Y2998" s="497" t="str">
        <f t="shared" si="196"/>
        <v/>
      </c>
      <c r="Z2998" s="497" t="str">
        <f t="shared" si="196"/>
        <v/>
      </c>
    </row>
    <row r="2999" spans="1:26" s="82" customFormat="1" x14ac:dyDescent="0.4">
      <c r="A2999" s="493">
        <v>68773</v>
      </c>
      <c r="B2999" s="105" t="s">
        <v>329</v>
      </c>
      <c r="C2999" s="493" t="s">
        <v>330</v>
      </c>
      <c r="D2999" s="105" t="s">
        <v>3619</v>
      </c>
      <c r="E2999" s="105" t="s">
        <v>3620</v>
      </c>
      <c r="F2999" s="493">
        <v>67061</v>
      </c>
      <c r="G2999" s="105" t="s">
        <v>33</v>
      </c>
      <c r="H2999" s="105" t="s">
        <v>342</v>
      </c>
      <c r="I2999" s="105" t="s">
        <v>339</v>
      </c>
      <c r="J2999" s="493">
        <v>22</v>
      </c>
      <c r="K2999" s="493">
        <v>2</v>
      </c>
      <c r="L2999" s="105" t="s">
        <v>343</v>
      </c>
      <c r="M2999" s="105" t="s">
        <v>403</v>
      </c>
      <c r="N2999" s="105" t="s">
        <v>404</v>
      </c>
      <c r="O2999" s="105" t="s">
        <v>232</v>
      </c>
      <c r="P2999" s="105" t="s">
        <v>346</v>
      </c>
      <c r="Q2999" s="494">
        <v>1171</v>
      </c>
      <c r="R2999" s="494">
        <v>1171</v>
      </c>
      <c r="S2999" s="494">
        <v>0</v>
      </c>
      <c r="T2999" s="494">
        <v>0</v>
      </c>
      <c r="U2999" s="494">
        <v>-47</v>
      </c>
      <c r="V2999" s="493">
        <v>2024</v>
      </c>
      <c r="W2999" s="495"/>
      <c r="X2999" s="496" t="str">
        <f t="shared" si="194"/>
        <v/>
      </c>
      <c r="Y2999" s="497" t="str">
        <f t="shared" si="196"/>
        <v/>
      </c>
      <c r="Z2999" s="497" t="str">
        <f t="shared" si="196"/>
        <v/>
      </c>
    </row>
    <row r="3000" spans="1:26" s="82" customFormat="1" x14ac:dyDescent="0.4">
      <c r="A3000" s="493">
        <v>68773</v>
      </c>
      <c r="B3000" s="105" t="s">
        <v>329</v>
      </c>
      <c r="C3000" s="493" t="s">
        <v>330</v>
      </c>
      <c r="D3000" s="105" t="s">
        <v>3619</v>
      </c>
      <c r="E3000" s="105" t="s">
        <v>3620</v>
      </c>
      <c r="F3000" s="493">
        <v>67061</v>
      </c>
      <c r="G3000" s="105" t="s">
        <v>33</v>
      </c>
      <c r="H3000" s="105" t="s">
        <v>342</v>
      </c>
      <c r="I3000" s="105" t="s">
        <v>339</v>
      </c>
      <c r="J3000" s="493">
        <v>22</v>
      </c>
      <c r="K3000" s="493">
        <v>2</v>
      </c>
      <c r="L3000" s="105" t="s">
        <v>343</v>
      </c>
      <c r="M3000" s="105" t="s">
        <v>655</v>
      </c>
      <c r="N3000" s="105" t="s">
        <v>656</v>
      </c>
      <c r="O3000" s="105" t="s">
        <v>656</v>
      </c>
      <c r="P3000" s="105" t="s">
        <v>339</v>
      </c>
      <c r="Q3000" s="494">
        <v>0</v>
      </c>
      <c r="R3000" s="494">
        <v>0</v>
      </c>
      <c r="S3000" s="494">
        <v>7470</v>
      </c>
      <c r="T3000" s="494">
        <v>7470</v>
      </c>
      <c r="U3000" s="494">
        <v>2189</v>
      </c>
      <c r="V3000" s="493">
        <v>2024</v>
      </c>
      <c r="W3000" s="495"/>
      <c r="X3000" s="496">
        <f t="shared" si="194"/>
        <v>3.4125171311100959</v>
      </c>
      <c r="Y3000" s="497" t="str">
        <f t="shared" si="196"/>
        <v/>
      </c>
      <c r="Z3000" s="497" t="str">
        <f t="shared" si="196"/>
        <v/>
      </c>
    </row>
    <row r="3001" spans="1:26" s="82" customFormat="1" x14ac:dyDescent="0.4">
      <c r="A3001" s="493">
        <v>68781</v>
      </c>
      <c r="B3001" s="105" t="s">
        <v>329</v>
      </c>
      <c r="C3001" s="493" t="s">
        <v>330</v>
      </c>
      <c r="D3001" s="105" t="s">
        <v>3621</v>
      </c>
      <c r="E3001" s="105" t="s">
        <v>3622</v>
      </c>
      <c r="F3001" s="493">
        <v>67067</v>
      </c>
      <c r="G3001" s="105" t="s">
        <v>34</v>
      </c>
      <c r="H3001" s="105" t="s">
        <v>342</v>
      </c>
      <c r="I3001" s="105" t="s">
        <v>339</v>
      </c>
      <c r="J3001" s="493">
        <v>22</v>
      </c>
      <c r="K3001" s="493">
        <v>2</v>
      </c>
      <c r="L3001" s="105" t="s">
        <v>343</v>
      </c>
      <c r="M3001" s="105" t="s">
        <v>655</v>
      </c>
      <c r="N3001" s="105" t="s">
        <v>656</v>
      </c>
      <c r="O3001" s="105" t="s">
        <v>656</v>
      </c>
      <c r="P3001" s="105" t="s">
        <v>339</v>
      </c>
      <c r="Q3001" s="494">
        <v>0</v>
      </c>
      <c r="R3001" s="494">
        <v>0</v>
      </c>
      <c r="S3001" s="494">
        <v>0</v>
      </c>
      <c r="T3001" s="494">
        <v>0</v>
      </c>
      <c r="U3001" s="494">
        <v>0</v>
      </c>
      <c r="V3001" s="493">
        <v>2024</v>
      </c>
      <c r="W3001" s="495"/>
      <c r="X3001" s="496" t="str">
        <f t="shared" si="194"/>
        <v/>
      </c>
      <c r="Y3001" s="497" t="str">
        <f t="shared" si="196"/>
        <v/>
      </c>
      <c r="Z3001" s="497" t="str">
        <f t="shared" si="196"/>
        <v/>
      </c>
    </row>
    <row r="3002" spans="1:26" s="82" customFormat="1" x14ac:dyDescent="0.4">
      <c r="A3002" s="493">
        <v>68782</v>
      </c>
      <c r="B3002" s="105" t="s">
        <v>329</v>
      </c>
      <c r="C3002" s="493" t="s">
        <v>330</v>
      </c>
      <c r="D3002" s="105" t="s">
        <v>3623</v>
      </c>
      <c r="E3002" s="105" t="s">
        <v>3624</v>
      </c>
      <c r="F3002" s="493">
        <v>67068</v>
      </c>
      <c r="G3002" s="105" t="s">
        <v>34</v>
      </c>
      <c r="H3002" s="105" t="s">
        <v>342</v>
      </c>
      <c r="I3002" s="105" t="s">
        <v>339</v>
      </c>
      <c r="J3002" s="493">
        <v>22</v>
      </c>
      <c r="K3002" s="493">
        <v>2</v>
      </c>
      <c r="L3002" s="105" t="s">
        <v>343</v>
      </c>
      <c r="M3002" s="105" t="s">
        <v>655</v>
      </c>
      <c r="N3002" s="105" t="s">
        <v>656</v>
      </c>
      <c r="O3002" s="105" t="s">
        <v>656</v>
      </c>
      <c r="P3002" s="105" t="s">
        <v>339</v>
      </c>
      <c r="Q3002" s="494">
        <v>0</v>
      </c>
      <c r="R3002" s="494">
        <v>0</v>
      </c>
      <c r="S3002" s="494">
        <v>0</v>
      </c>
      <c r="T3002" s="494">
        <v>0</v>
      </c>
      <c r="U3002" s="494">
        <v>0</v>
      </c>
      <c r="V3002" s="493">
        <v>2024</v>
      </c>
      <c r="W3002" s="495"/>
      <c r="X3002" s="496" t="str">
        <f t="shared" si="194"/>
        <v/>
      </c>
      <c r="Y3002" s="497" t="str">
        <f t="shared" si="196"/>
        <v/>
      </c>
      <c r="Z3002" s="497" t="str">
        <f t="shared" si="196"/>
        <v/>
      </c>
    </row>
    <row r="3003" spans="1:26" s="82" customFormat="1" x14ac:dyDescent="0.4">
      <c r="A3003" s="493">
        <v>68804</v>
      </c>
      <c r="B3003" s="105" t="s">
        <v>329</v>
      </c>
      <c r="C3003" s="493" t="s">
        <v>330</v>
      </c>
      <c r="D3003" s="105" t="s">
        <v>3625</v>
      </c>
      <c r="E3003" s="105" t="s">
        <v>2050</v>
      </c>
      <c r="F3003" s="493">
        <v>61194</v>
      </c>
      <c r="G3003" s="105" t="s">
        <v>52</v>
      </c>
      <c r="H3003" s="105" t="s">
        <v>333</v>
      </c>
      <c r="I3003" s="105" t="s">
        <v>339</v>
      </c>
      <c r="J3003" s="493">
        <v>22</v>
      </c>
      <c r="K3003" s="493">
        <v>2</v>
      </c>
      <c r="L3003" s="105" t="s">
        <v>343</v>
      </c>
      <c r="M3003" s="105" t="s">
        <v>655</v>
      </c>
      <c r="N3003" s="105" t="s">
        <v>656</v>
      </c>
      <c r="O3003" s="105" t="s">
        <v>656</v>
      </c>
      <c r="P3003" s="105" t="s">
        <v>339</v>
      </c>
      <c r="Q3003" s="494">
        <v>0</v>
      </c>
      <c r="R3003" s="494">
        <v>0</v>
      </c>
      <c r="S3003" s="494">
        <v>21623</v>
      </c>
      <c r="T3003" s="494">
        <v>21623</v>
      </c>
      <c r="U3003" s="494">
        <v>6337</v>
      </c>
      <c r="V3003" s="493">
        <v>2024</v>
      </c>
      <c r="W3003" s="495"/>
      <c r="X3003" s="496">
        <f t="shared" si="194"/>
        <v>3.412182420703803</v>
      </c>
      <c r="Y3003" s="497" t="str">
        <f t="shared" si="196"/>
        <v/>
      </c>
      <c r="Z3003" s="497" t="str">
        <f t="shared" si="196"/>
        <v/>
      </c>
    </row>
    <row r="3004" spans="1:26" s="82" customFormat="1" x14ac:dyDescent="0.4">
      <c r="A3004" s="493">
        <v>68806</v>
      </c>
      <c r="B3004" s="105" t="s">
        <v>329</v>
      </c>
      <c r="C3004" s="493" t="s">
        <v>330</v>
      </c>
      <c r="D3004" s="105" t="s">
        <v>3626</v>
      </c>
      <c r="E3004" s="105" t="s">
        <v>2050</v>
      </c>
      <c r="F3004" s="493">
        <v>61194</v>
      </c>
      <c r="G3004" s="105" t="s">
        <v>52</v>
      </c>
      <c r="H3004" s="105" t="s">
        <v>333</v>
      </c>
      <c r="I3004" s="105" t="s">
        <v>339</v>
      </c>
      <c r="J3004" s="493">
        <v>22</v>
      </c>
      <c r="K3004" s="493">
        <v>2</v>
      </c>
      <c r="L3004" s="105" t="s">
        <v>343</v>
      </c>
      <c r="M3004" s="105" t="s">
        <v>655</v>
      </c>
      <c r="N3004" s="105" t="s">
        <v>656</v>
      </c>
      <c r="O3004" s="105" t="s">
        <v>656</v>
      </c>
      <c r="P3004" s="105" t="s">
        <v>339</v>
      </c>
      <c r="Q3004" s="494">
        <v>0</v>
      </c>
      <c r="R3004" s="494">
        <v>0</v>
      </c>
      <c r="S3004" s="494">
        <v>15411</v>
      </c>
      <c r="T3004" s="494">
        <v>15411</v>
      </c>
      <c r="U3004" s="494">
        <v>4517</v>
      </c>
      <c r="V3004" s="493">
        <v>2024</v>
      </c>
      <c r="W3004" s="495"/>
      <c r="X3004" s="496">
        <f t="shared" si="194"/>
        <v>3.4117777285809163</v>
      </c>
      <c r="Y3004" s="497" t="str">
        <f t="shared" si="196"/>
        <v/>
      </c>
      <c r="Z3004" s="497" t="str">
        <f t="shared" si="196"/>
        <v/>
      </c>
    </row>
    <row r="3005" spans="1:26" s="82" customFormat="1" x14ac:dyDescent="0.4">
      <c r="A3005" s="493">
        <v>68807</v>
      </c>
      <c r="B3005" s="105" t="s">
        <v>329</v>
      </c>
      <c r="C3005" s="493" t="s">
        <v>330</v>
      </c>
      <c r="D3005" s="105" t="s">
        <v>3627</v>
      </c>
      <c r="E3005" s="105" t="s">
        <v>2050</v>
      </c>
      <c r="F3005" s="493">
        <v>61194</v>
      </c>
      <c r="G3005" s="105" t="s">
        <v>52</v>
      </c>
      <c r="H3005" s="105" t="s">
        <v>333</v>
      </c>
      <c r="I3005" s="105" t="s">
        <v>339</v>
      </c>
      <c r="J3005" s="493">
        <v>22</v>
      </c>
      <c r="K3005" s="493">
        <v>2</v>
      </c>
      <c r="L3005" s="105" t="s">
        <v>343</v>
      </c>
      <c r="M3005" s="105" t="s">
        <v>655</v>
      </c>
      <c r="N3005" s="105" t="s">
        <v>656</v>
      </c>
      <c r="O3005" s="105" t="s">
        <v>656</v>
      </c>
      <c r="P3005" s="105" t="s">
        <v>339</v>
      </c>
      <c r="Q3005" s="494">
        <v>0</v>
      </c>
      <c r="R3005" s="494">
        <v>0</v>
      </c>
      <c r="S3005" s="494">
        <v>20979</v>
      </c>
      <c r="T3005" s="494">
        <v>20979</v>
      </c>
      <c r="U3005" s="494">
        <v>6149</v>
      </c>
      <c r="V3005" s="493">
        <v>2024</v>
      </c>
      <c r="W3005" s="495"/>
      <c r="X3005" s="496">
        <f t="shared" si="194"/>
        <v>3.4117742722393887</v>
      </c>
      <c r="Y3005" s="497" t="str">
        <f t="shared" si="196"/>
        <v/>
      </c>
      <c r="Z3005" s="497" t="str">
        <f t="shared" si="196"/>
        <v/>
      </c>
    </row>
    <row r="3006" spans="1:26" s="82" customFormat="1" ht="32" x14ac:dyDescent="0.4">
      <c r="A3006" s="493">
        <v>68905</v>
      </c>
      <c r="B3006" s="105" t="s">
        <v>329</v>
      </c>
      <c r="C3006" s="493" t="s">
        <v>330</v>
      </c>
      <c r="D3006" s="105" t="s">
        <v>3628</v>
      </c>
      <c r="E3006" s="105" t="s">
        <v>3629</v>
      </c>
      <c r="F3006" s="493">
        <v>67144</v>
      </c>
      <c r="G3006" s="105" t="s">
        <v>34</v>
      </c>
      <c r="H3006" s="105" t="s">
        <v>342</v>
      </c>
      <c r="I3006" s="105" t="s">
        <v>339</v>
      </c>
      <c r="J3006" s="493">
        <v>22</v>
      </c>
      <c r="K3006" s="493">
        <v>2</v>
      </c>
      <c r="L3006" s="105" t="s">
        <v>343</v>
      </c>
      <c r="M3006" s="105" t="s">
        <v>655</v>
      </c>
      <c r="N3006" s="105" t="s">
        <v>656</v>
      </c>
      <c r="O3006" s="105" t="s">
        <v>656</v>
      </c>
      <c r="P3006" s="105" t="s">
        <v>339</v>
      </c>
      <c r="Q3006" s="494">
        <v>0</v>
      </c>
      <c r="R3006" s="494">
        <v>0</v>
      </c>
      <c r="S3006" s="494">
        <v>1457</v>
      </c>
      <c r="T3006" s="494">
        <v>1457</v>
      </c>
      <c r="U3006" s="494">
        <v>427</v>
      </c>
      <c r="V3006" s="493">
        <v>2024</v>
      </c>
      <c r="W3006" s="495"/>
      <c r="X3006" s="496">
        <f t="shared" si="194"/>
        <v>3.4121779859484778</v>
      </c>
      <c r="Y3006" s="497" t="str">
        <f t="shared" si="196"/>
        <v/>
      </c>
      <c r="Z3006" s="497" t="str">
        <f t="shared" si="196"/>
        <v/>
      </c>
    </row>
    <row r="3007" spans="1:26" s="82" customFormat="1" x14ac:dyDescent="0.4">
      <c r="A3007" s="493">
        <v>68946</v>
      </c>
      <c r="B3007" s="105" t="s">
        <v>329</v>
      </c>
      <c r="C3007" s="493" t="s">
        <v>330</v>
      </c>
      <c r="D3007" s="105" t="s">
        <v>3630</v>
      </c>
      <c r="E3007" s="105" t="s">
        <v>3631</v>
      </c>
      <c r="F3007" s="493">
        <v>65539</v>
      </c>
      <c r="G3007" s="105" t="s">
        <v>52</v>
      </c>
      <c r="H3007" s="105" t="s">
        <v>333</v>
      </c>
      <c r="I3007" s="105" t="s">
        <v>339</v>
      </c>
      <c r="J3007" s="493">
        <v>22</v>
      </c>
      <c r="K3007" s="493">
        <v>2</v>
      </c>
      <c r="L3007" s="105" t="s">
        <v>343</v>
      </c>
      <c r="M3007" s="105" t="s">
        <v>655</v>
      </c>
      <c r="N3007" s="105" t="s">
        <v>656</v>
      </c>
      <c r="O3007" s="105" t="s">
        <v>656</v>
      </c>
      <c r="P3007" s="105" t="s">
        <v>339</v>
      </c>
      <c r="Q3007" s="494">
        <v>0</v>
      </c>
      <c r="R3007" s="494">
        <v>0</v>
      </c>
      <c r="S3007" s="494">
        <v>25614</v>
      </c>
      <c r="T3007" s="494">
        <v>25614</v>
      </c>
      <c r="U3007" s="494">
        <v>7507</v>
      </c>
      <c r="V3007" s="493">
        <v>2024</v>
      </c>
      <c r="W3007" s="495"/>
      <c r="X3007" s="496">
        <f t="shared" si="194"/>
        <v>3.4120154522445718</v>
      </c>
      <c r="Y3007" s="497" t="str">
        <f t="shared" si="196"/>
        <v/>
      </c>
      <c r="Z3007" s="497" t="str">
        <f t="shared" si="196"/>
        <v/>
      </c>
    </row>
    <row r="3008" spans="1:26" s="82" customFormat="1" x14ac:dyDescent="0.4">
      <c r="A3008" s="493">
        <v>68947</v>
      </c>
      <c r="B3008" s="105" t="s">
        <v>329</v>
      </c>
      <c r="C3008" s="493" t="s">
        <v>330</v>
      </c>
      <c r="D3008" s="105" t="s">
        <v>3632</v>
      </c>
      <c r="E3008" s="105" t="s">
        <v>3631</v>
      </c>
      <c r="F3008" s="493">
        <v>65539</v>
      </c>
      <c r="G3008" s="105" t="s">
        <v>52</v>
      </c>
      <c r="H3008" s="105" t="s">
        <v>333</v>
      </c>
      <c r="I3008" s="105" t="s">
        <v>339</v>
      </c>
      <c r="J3008" s="493">
        <v>22</v>
      </c>
      <c r="K3008" s="493">
        <v>2</v>
      </c>
      <c r="L3008" s="105" t="s">
        <v>343</v>
      </c>
      <c r="M3008" s="105" t="s">
        <v>655</v>
      </c>
      <c r="N3008" s="105" t="s">
        <v>656</v>
      </c>
      <c r="O3008" s="105" t="s">
        <v>656</v>
      </c>
      <c r="P3008" s="105" t="s">
        <v>339</v>
      </c>
      <c r="Q3008" s="494">
        <v>0</v>
      </c>
      <c r="R3008" s="494">
        <v>0</v>
      </c>
      <c r="S3008" s="494">
        <v>8673</v>
      </c>
      <c r="T3008" s="494">
        <v>8673</v>
      </c>
      <c r="U3008" s="494">
        <v>2542</v>
      </c>
      <c r="V3008" s="493">
        <v>2024</v>
      </c>
      <c r="W3008" s="495"/>
      <c r="X3008" s="496">
        <f t="shared" si="194"/>
        <v>3.4118804091266721</v>
      </c>
      <c r="Y3008" s="497" t="str">
        <f t="shared" ref="Y3008:Z3027" si="197">IF(AND($M3008=$Y$2,$N3008=$Y$3,NOT($Q3008=$R3008),NOT($U3008=0)),IF($K3008=5,$S3008/($U3008+(8/5)*$U3008),IF($K3008=7,$S3008/($U3008+(29/25)*$U3008),"")),"")</f>
        <v/>
      </c>
      <c r="Z3008" s="497" t="str">
        <f t="shared" si="197"/>
        <v/>
      </c>
    </row>
    <row r="3009" spans="1:26" s="82" customFormat="1" x14ac:dyDescent="0.4">
      <c r="A3009" s="493">
        <v>68948</v>
      </c>
      <c r="B3009" s="105" t="s">
        <v>329</v>
      </c>
      <c r="C3009" s="493" t="s">
        <v>330</v>
      </c>
      <c r="D3009" s="105" t="s">
        <v>3633</v>
      </c>
      <c r="E3009" s="105" t="s">
        <v>3631</v>
      </c>
      <c r="F3009" s="493">
        <v>65539</v>
      </c>
      <c r="G3009" s="105" t="s">
        <v>52</v>
      </c>
      <c r="H3009" s="105" t="s">
        <v>333</v>
      </c>
      <c r="I3009" s="105" t="s">
        <v>339</v>
      </c>
      <c r="J3009" s="493">
        <v>22</v>
      </c>
      <c r="K3009" s="493">
        <v>2</v>
      </c>
      <c r="L3009" s="105" t="s">
        <v>343</v>
      </c>
      <c r="M3009" s="105" t="s">
        <v>655</v>
      </c>
      <c r="N3009" s="105" t="s">
        <v>656</v>
      </c>
      <c r="O3009" s="105" t="s">
        <v>656</v>
      </c>
      <c r="P3009" s="105" t="s">
        <v>339</v>
      </c>
      <c r="Q3009" s="494">
        <v>0</v>
      </c>
      <c r="R3009" s="494">
        <v>0</v>
      </c>
      <c r="S3009" s="494">
        <v>15434</v>
      </c>
      <c r="T3009" s="494">
        <v>15434</v>
      </c>
      <c r="U3009" s="494">
        <v>4523</v>
      </c>
      <c r="V3009" s="493">
        <v>2024</v>
      </c>
      <c r="W3009" s="495"/>
      <c r="X3009" s="496">
        <f t="shared" si="194"/>
        <v>3.4123369445058591</v>
      </c>
      <c r="Y3009" s="497" t="str">
        <f t="shared" si="197"/>
        <v/>
      </c>
      <c r="Z3009" s="497" t="str">
        <f t="shared" si="197"/>
        <v/>
      </c>
    </row>
    <row r="3010" spans="1:26" s="82" customFormat="1" x14ac:dyDescent="0.4">
      <c r="A3010" s="493">
        <v>68949</v>
      </c>
      <c r="B3010" s="105" t="s">
        <v>329</v>
      </c>
      <c r="C3010" s="493" t="s">
        <v>330</v>
      </c>
      <c r="D3010" s="105" t="s">
        <v>3634</v>
      </c>
      <c r="E3010" s="105" t="s">
        <v>3631</v>
      </c>
      <c r="F3010" s="493">
        <v>65539</v>
      </c>
      <c r="G3010" s="105" t="s">
        <v>52</v>
      </c>
      <c r="H3010" s="105" t="s">
        <v>333</v>
      </c>
      <c r="I3010" s="105" t="s">
        <v>339</v>
      </c>
      <c r="J3010" s="493">
        <v>22</v>
      </c>
      <c r="K3010" s="493">
        <v>2</v>
      </c>
      <c r="L3010" s="105" t="s">
        <v>343</v>
      </c>
      <c r="M3010" s="105" t="s">
        <v>655</v>
      </c>
      <c r="N3010" s="105" t="s">
        <v>656</v>
      </c>
      <c r="O3010" s="105" t="s">
        <v>656</v>
      </c>
      <c r="P3010" s="105" t="s">
        <v>339</v>
      </c>
      <c r="Q3010" s="494">
        <v>0</v>
      </c>
      <c r="R3010" s="494">
        <v>0</v>
      </c>
      <c r="S3010" s="494">
        <v>22557</v>
      </c>
      <c r="T3010" s="494">
        <v>22557</v>
      </c>
      <c r="U3010" s="494">
        <v>6611</v>
      </c>
      <c r="V3010" s="493">
        <v>2024</v>
      </c>
      <c r="W3010" s="495"/>
      <c r="X3010" s="496">
        <f t="shared" si="194"/>
        <v>3.4120405384964454</v>
      </c>
      <c r="Y3010" s="497" t="str">
        <f t="shared" si="197"/>
        <v/>
      </c>
      <c r="Z3010" s="497" t="str">
        <f t="shared" si="197"/>
        <v/>
      </c>
    </row>
    <row r="3011" spans="1:26" s="82" customFormat="1" x14ac:dyDescent="0.4">
      <c r="A3011" s="493">
        <v>68950</v>
      </c>
      <c r="B3011" s="105" t="s">
        <v>329</v>
      </c>
      <c r="C3011" s="493" t="s">
        <v>330</v>
      </c>
      <c r="D3011" s="105" t="s">
        <v>3635</v>
      </c>
      <c r="E3011" s="105" t="s">
        <v>1751</v>
      </c>
      <c r="F3011" s="493">
        <v>60520</v>
      </c>
      <c r="G3011" s="105" t="s">
        <v>33</v>
      </c>
      <c r="H3011" s="105" t="s">
        <v>342</v>
      </c>
      <c r="I3011" s="105" t="s">
        <v>339</v>
      </c>
      <c r="J3011" s="493">
        <v>22</v>
      </c>
      <c r="K3011" s="493">
        <v>2</v>
      </c>
      <c r="L3011" s="105" t="s">
        <v>343</v>
      </c>
      <c r="M3011" s="105" t="s">
        <v>655</v>
      </c>
      <c r="N3011" s="105" t="s">
        <v>656</v>
      </c>
      <c r="O3011" s="105" t="s">
        <v>656</v>
      </c>
      <c r="P3011" s="105" t="s">
        <v>339</v>
      </c>
      <c r="Q3011" s="494">
        <v>0</v>
      </c>
      <c r="R3011" s="494">
        <v>0</v>
      </c>
      <c r="S3011" s="494">
        <v>19459</v>
      </c>
      <c r="T3011" s="494">
        <v>19459</v>
      </c>
      <c r="U3011" s="494">
        <v>5703</v>
      </c>
      <c r="V3011" s="493">
        <v>2024</v>
      </c>
      <c r="W3011" s="495"/>
      <c r="X3011" s="496">
        <f t="shared" si="194"/>
        <v>3.4120638260564613</v>
      </c>
      <c r="Y3011" s="497" t="str">
        <f t="shared" si="197"/>
        <v/>
      </c>
      <c r="Z3011" s="497" t="str">
        <f t="shared" si="197"/>
        <v/>
      </c>
    </row>
    <row r="3012" spans="1:26" s="82" customFormat="1" x14ac:dyDescent="0.4">
      <c r="A3012" s="493">
        <v>68962</v>
      </c>
      <c r="B3012" s="105" t="s">
        <v>329</v>
      </c>
      <c r="C3012" s="493" t="s">
        <v>330</v>
      </c>
      <c r="D3012" s="105" t="s">
        <v>3636</v>
      </c>
      <c r="E3012" s="105" t="s">
        <v>3631</v>
      </c>
      <c r="F3012" s="493">
        <v>65539</v>
      </c>
      <c r="G3012" s="105" t="s">
        <v>52</v>
      </c>
      <c r="H3012" s="105" t="s">
        <v>333</v>
      </c>
      <c r="I3012" s="105" t="s">
        <v>339</v>
      </c>
      <c r="J3012" s="493">
        <v>22</v>
      </c>
      <c r="K3012" s="493">
        <v>2</v>
      </c>
      <c r="L3012" s="105" t="s">
        <v>343</v>
      </c>
      <c r="M3012" s="105" t="s">
        <v>655</v>
      </c>
      <c r="N3012" s="105" t="s">
        <v>656</v>
      </c>
      <c r="O3012" s="105" t="s">
        <v>656</v>
      </c>
      <c r="P3012" s="105" t="s">
        <v>339</v>
      </c>
      <c r="Q3012" s="494">
        <v>0</v>
      </c>
      <c r="R3012" s="494">
        <v>0</v>
      </c>
      <c r="S3012" s="494">
        <v>710</v>
      </c>
      <c r="T3012" s="494">
        <v>710</v>
      </c>
      <c r="U3012" s="494">
        <v>208</v>
      </c>
      <c r="V3012" s="493">
        <v>2024</v>
      </c>
      <c r="W3012" s="495"/>
      <c r="X3012" s="496">
        <f t="shared" si="194"/>
        <v>3.4134615384615383</v>
      </c>
      <c r="Y3012" s="497" t="str">
        <f t="shared" si="197"/>
        <v/>
      </c>
      <c r="Z3012" s="497" t="str">
        <f t="shared" si="197"/>
        <v/>
      </c>
    </row>
    <row r="3013" spans="1:26" s="82" customFormat="1" x14ac:dyDescent="0.4">
      <c r="A3013" s="493">
        <v>68965</v>
      </c>
      <c r="B3013" s="105" t="s">
        <v>329</v>
      </c>
      <c r="C3013" s="493" t="s">
        <v>330</v>
      </c>
      <c r="D3013" s="105" t="s">
        <v>3637</v>
      </c>
      <c r="E3013" s="105" t="s">
        <v>3631</v>
      </c>
      <c r="F3013" s="493">
        <v>65539</v>
      </c>
      <c r="G3013" s="105" t="s">
        <v>52</v>
      </c>
      <c r="H3013" s="105" t="s">
        <v>333</v>
      </c>
      <c r="I3013" s="105" t="s">
        <v>339</v>
      </c>
      <c r="J3013" s="493">
        <v>22</v>
      </c>
      <c r="K3013" s="493">
        <v>2</v>
      </c>
      <c r="L3013" s="105" t="s">
        <v>343</v>
      </c>
      <c r="M3013" s="105" t="s">
        <v>655</v>
      </c>
      <c r="N3013" s="105" t="s">
        <v>656</v>
      </c>
      <c r="O3013" s="105" t="s">
        <v>656</v>
      </c>
      <c r="P3013" s="105" t="s">
        <v>339</v>
      </c>
      <c r="Q3013" s="494">
        <v>0</v>
      </c>
      <c r="R3013" s="494">
        <v>0</v>
      </c>
      <c r="S3013" s="494">
        <v>0</v>
      </c>
      <c r="T3013" s="494">
        <v>0</v>
      </c>
      <c r="U3013" s="494">
        <v>0</v>
      </c>
      <c r="V3013" s="493">
        <v>2024</v>
      </c>
      <c r="W3013" s="495"/>
      <c r="X3013" s="496" t="str">
        <f t="shared" si="194"/>
        <v/>
      </c>
      <c r="Y3013" s="497" t="str">
        <f t="shared" si="197"/>
        <v/>
      </c>
      <c r="Z3013" s="497" t="str">
        <f t="shared" si="197"/>
        <v/>
      </c>
    </row>
    <row r="3014" spans="1:26" s="82" customFormat="1" ht="32" x14ac:dyDescent="0.4">
      <c r="A3014" s="493">
        <v>68977</v>
      </c>
      <c r="B3014" s="105" t="s">
        <v>329</v>
      </c>
      <c r="C3014" s="493" t="s">
        <v>330</v>
      </c>
      <c r="D3014" s="105" t="s">
        <v>3638</v>
      </c>
      <c r="E3014" s="105" t="s">
        <v>3639</v>
      </c>
      <c r="F3014" s="493">
        <v>67191</v>
      </c>
      <c r="G3014" s="105" t="s">
        <v>38</v>
      </c>
      <c r="H3014" s="105" t="s">
        <v>342</v>
      </c>
      <c r="I3014" s="105" t="s">
        <v>339</v>
      </c>
      <c r="J3014" s="493">
        <v>22</v>
      </c>
      <c r="K3014" s="493">
        <v>2</v>
      </c>
      <c r="L3014" s="105" t="s">
        <v>343</v>
      </c>
      <c r="M3014" s="105" t="s">
        <v>655</v>
      </c>
      <c r="N3014" s="105" t="s">
        <v>656</v>
      </c>
      <c r="O3014" s="105" t="s">
        <v>656</v>
      </c>
      <c r="P3014" s="105" t="s">
        <v>339</v>
      </c>
      <c r="Q3014" s="494">
        <v>0</v>
      </c>
      <c r="R3014" s="494">
        <v>0</v>
      </c>
      <c r="S3014" s="494">
        <v>0</v>
      </c>
      <c r="T3014" s="494">
        <v>0</v>
      </c>
      <c r="U3014" s="494">
        <v>0</v>
      </c>
      <c r="V3014" s="493">
        <v>2024</v>
      </c>
      <c r="W3014" s="495"/>
      <c r="X3014" s="496" t="str">
        <f t="shared" si="194"/>
        <v/>
      </c>
      <c r="Y3014" s="497" t="str">
        <f t="shared" si="197"/>
        <v/>
      </c>
      <c r="Z3014" s="497" t="str">
        <f t="shared" si="197"/>
        <v/>
      </c>
    </row>
    <row r="3015" spans="1:26" s="82" customFormat="1" ht="48" x14ac:dyDescent="0.4">
      <c r="A3015" s="493">
        <v>69002</v>
      </c>
      <c r="B3015" s="105" t="s">
        <v>329</v>
      </c>
      <c r="C3015" s="493" t="s">
        <v>330</v>
      </c>
      <c r="D3015" s="105" t="s">
        <v>3640</v>
      </c>
      <c r="E3015" s="105" t="s">
        <v>1354</v>
      </c>
      <c r="F3015" s="493">
        <v>60025</v>
      </c>
      <c r="G3015" s="105" t="s">
        <v>36</v>
      </c>
      <c r="H3015" s="105" t="s">
        <v>342</v>
      </c>
      <c r="I3015" s="105" t="s">
        <v>339</v>
      </c>
      <c r="J3015" s="493">
        <v>22</v>
      </c>
      <c r="K3015" s="493">
        <v>2</v>
      </c>
      <c r="L3015" s="105" t="s">
        <v>343</v>
      </c>
      <c r="M3015" s="105" t="s">
        <v>655</v>
      </c>
      <c r="N3015" s="105" t="s">
        <v>656</v>
      </c>
      <c r="O3015" s="105" t="s">
        <v>656</v>
      </c>
      <c r="P3015" s="105" t="s">
        <v>339</v>
      </c>
      <c r="Q3015" s="494">
        <v>0</v>
      </c>
      <c r="R3015" s="494">
        <v>0</v>
      </c>
      <c r="S3015" s="494">
        <v>22365</v>
      </c>
      <c r="T3015" s="494">
        <v>22365</v>
      </c>
      <c r="U3015" s="494">
        <v>6555</v>
      </c>
      <c r="V3015" s="493">
        <v>2024</v>
      </c>
      <c r="W3015" s="495"/>
      <c r="X3015" s="496">
        <f t="shared" si="194"/>
        <v>3.4118993135011442</v>
      </c>
      <c r="Y3015" s="497" t="str">
        <f t="shared" si="197"/>
        <v/>
      </c>
      <c r="Z3015" s="497" t="str">
        <f t="shared" si="197"/>
        <v/>
      </c>
    </row>
    <row r="3016" spans="1:26" s="82" customFormat="1" x14ac:dyDescent="0.4">
      <c r="A3016" s="493">
        <v>69065</v>
      </c>
      <c r="B3016" s="105" t="s">
        <v>329</v>
      </c>
      <c r="C3016" s="493" t="s">
        <v>330</v>
      </c>
      <c r="D3016" s="105" t="s">
        <v>3641</v>
      </c>
      <c r="E3016" s="105" t="s">
        <v>3631</v>
      </c>
      <c r="F3016" s="493">
        <v>65539</v>
      </c>
      <c r="G3016" s="105" t="s">
        <v>52</v>
      </c>
      <c r="H3016" s="105" t="s">
        <v>333</v>
      </c>
      <c r="I3016" s="105" t="s">
        <v>339</v>
      </c>
      <c r="J3016" s="493">
        <v>22</v>
      </c>
      <c r="K3016" s="493">
        <v>2</v>
      </c>
      <c r="L3016" s="105" t="s">
        <v>343</v>
      </c>
      <c r="M3016" s="105" t="s">
        <v>655</v>
      </c>
      <c r="N3016" s="105" t="s">
        <v>656</v>
      </c>
      <c r="O3016" s="105" t="s">
        <v>656</v>
      </c>
      <c r="P3016" s="105" t="s">
        <v>339</v>
      </c>
      <c r="Q3016" s="494">
        <v>0</v>
      </c>
      <c r="R3016" s="494">
        <v>0</v>
      </c>
      <c r="S3016" s="494">
        <v>10830</v>
      </c>
      <c r="T3016" s="494">
        <v>10830</v>
      </c>
      <c r="U3016" s="494">
        <v>3174</v>
      </c>
      <c r="V3016" s="493">
        <v>2024</v>
      </c>
      <c r="W3016" s="495"/>
      <c r="X3016" s="496">
        <f t="shared" si="194"/>
        <v>3.4120982986767485</v>
      </c>
      <c r="Y3016" s="497" t="str">
        <f t="shared" si="197"/>
        <v/>
      </c>
      <c r="Z3016" s="497" t="str">
        <f t="shared" si="197"/>
        <v/>
      </c>
    </row>
    <row r="3017" spans="1:26" s="82" customFormat="1" x14ac:dyDescent="0.4">
      <c r="A3017" s="493">
        <v>69067</v>
      </c>
      <c r="B3017" s="105" t="s">
        <v>329</v>
      </c>
      <c r="C3017" s="493" t="s">
        <v>330</v>
      </c>
      <c r="D3017" s="105" t="s">
        <v>3642</v>
      </c>
      <c r="E3017" s="105" t="s">
        <v>3631</v>
      </c>
      <c r="F3017" s="493">
        <v>65539</v>
      </c>
      <c r="G3017" s="105" t="s">
        <v>52</v>
      </c>
      <c r="H3017" s="105" t="s">
        <v>333</v>
      </c>
      <c r="I3017" s="105" t="s">
        <v>339</v>
      </c>
      <c r="J3017" s="493">
        <v>22</v>
      </c>
      <c r="K3017" s="493">
        <v>2</v>
      </c>
      <c r="L3017" s="105" t="s">
        <v>343</v>
      </c>
      <c r="M3017" s="105" t="s">
        <v>655</v>
      </c>
      <c r="N3017" s="105" t="s">
        <v>656</v>
      </c>
      <c r="O3017" s="105" t="s">
        <v>656</v>
      </c>
      <c r="P3017" s="105" t="s">
        <v>339</v>
      </c>
      <c r="Q3017" s="494">
        <v>0</v>
      </c>
      <c r="R3017" s="494">
        <v>0</v>
      </c>
      <c r="S3017" s="494">
        <v>0</v>
      </c>
      <c r="T3017" s="494">
        <v>0</v>
      </c>
      <c r="U3017" s="494">
        <v>0</v>
      </c>
      <c r="V3017" s="493">
        <v>2024</v>
      </c>
      <c r="W3017" s="495"/>
      <c r="X3017" s="496" t="str">
        <f t="shared" ref="X3017:X3035" si="198">IF(OR(K3017&gt;3,T3017=0,NOT(U3017&gt;0)),"",T3017/U3017)</f>
        <v/>
      </c>
      <c r="Y3017" s="497" t="str">
        <f t="shared" si="197"/>
        <v/>
      </c>
      <c r="Z3017" s="497" t="str">
        <f t="shared" si="197"/>
        <v/>
      </c>
    </row>
    <row r="3018" spans="1:26" s="82" customFormat="1" ht="32" x14ac:dyDescent="0.4">
      <c r="A3018" s="493">
        <v>69073</v>
      </c>
      <c r="B3018" s="105" t="s">
        <v>329</v>
      </c>
      <c r="C3018" s="493" t="s">
        <v>330</v>
      </c>
      <c r="D3018" s="105" t="s">
        <v>3643</v>
      </c>
      <c r="E3018" s="105" t="s">
        <v>3224</v>
      </c>
      <c r="F3018" s="493">
        <v>65043</v>
      </c>
      <c r="G3018" s="105" t="s">
        <v>33</v>
      </c>
      <c r="H3018" s="105" t="s">
        <v>342</v>
      </c>
      <c r="I3018" s="105" t="s">
        <v>339</v>
      </c>
      <c r="J3018" s="493">
        <v>22</v>
      </c>
      <c r="K3018" s="493">
        <v>2</v>
      </c>
      <c r="L3018" s="105" t="s">
        <v>343</v>
      </c>
      <c r="M3018" s="105" t="s">
        <v>403</v>
      </c>
      <c r="N3018" s="105" t="s">
        <v>404</v>
      </c>
      <c r="O3018" s="105" t="s">
        <v>232</v>
      </c>
      <c r="P3018" s="105" t="s">
        <v>346</v>
      </c>
      <c r="Q3018" s="494">
        <v>0</v>
      </c>
      <c r="R3018" s="494">
        <v>0</v>
      </c>
      <c r="S3018" s="494">
        <v>0</v>
      </c>
      <c r="T3018" s="494">
        <v>0</v>
      </c>
      <c r="U3018" s="494">
        <v>0</v>
      </c>
      <c r="V3018" s="493">
        <v>2024</v>
      </c>
      <c r="W3018" s="495"/>
      <c r="X3018" s="496" t="str">
        <f t="shared" si="198"/>
        <v/>
      </c>
      <c r="Y3018" s="497" t="str">
        <f t="shared" si="197"/>
        <v/>
      </c>
      <c r="Z3018" s="497" t="str">
        <f t="shared" si="197"/>
        <v/>
      </c>
    </row>
    <row r="3019" spans="1:26" s="82" customFormat="1" ht="32" x14ac:dyDescent="0.4">
      <c r="A3019" s="493">
        <v>69073</v>
      </c>
      <c r="B3019" s="105" t="s">
        <v>329</v>
      </c>
      <c r="C3019" s="493" t="s">
        <v>330</v>
      </c>
      <c r="D3019" s="105" t="s">
        <v>3643</v>
      </c>
      <c r="E3019" s="105" t="s">
        <v>3224</v>
      </c>
      <c r="F3019" s="493">
        <v>65043</v>
      </c>
      <c r="G3019" s="105" t="s">
        <v>33</v>
      </c>
      <c r="H3019" s="105" t="s">
        <v>342</v>
      </c>
      <c r="I3019" s="105" t="s">
        <v>339</v>
      </c>
      <c r="J3019" s="493">
        <v>22</v>
      </c>
      <c r="K3019" s="493">
        <v>2</v>
      </c>
      <c r="L3019" s="105" t="s">
        <v>343</v>
      </c>
      <c r="M3019" s="105" t="s">
        <v>655</v>
      </c>
      <c r="N3019" s="105" t="s">
        <v>656</v>
      </c>
      <c r="O3019" s="105" t="s">
        <v>656</v>
      </c>
      <c r="P3019" s="105" t="s">
        <v>339</v>
      </c>
      <c r="Q3019" s="494">
        <v>0</v>
      </c>
      <c r="R3019" s="494">
        <v>0</v>
      </c>
      <c r="S3019" s="494">
        <v>0</v>
      </c>
      <c r="T3019" s="494">
        <v>0</v>
      </c>
      <c r="U3019" s="494">
        <v>0</v>
      </c>
      <c r="V3019" s="493">
        <v>2024</v>
      </c>
      <c r="W3019" s="495"/>
      <c r="X3019" s="496" t="str">
        <f t="shared" si="198"/>
        <v/>
      </c>
      <c r="Y3019" s="497" t="str">
        <f t="shared" si="197"/>
        <v/>
      </c>
      <c r="Z3019" s="497" t="str">
        <f t="shared" si="197"/>
        <v/>
      </c>
    </row>
    <row r="3020" spans="1:26" s="82" customFormat="1" ht="32" x14ac:dyDescent="0.4">
      <c r="A3020" s="493">
        <v>69074</v>
      </c>
      <c r="B3020" s="105" t="s">
        <v>329</v>
      </c>
      <c r="C3020" s="493" t="s">
        <v>330</v>
      </c>
      <c r="D3020" s="105" t="s">
        <v>3644</v>
      </c>
      <c r="E3020" s="105" t="s">
        <v>3224</v>
      </c>
      <c r="F3020" s="493">
        <v>65043</v>
      </c>
      <c r="G3020" s="105" t="s">
        <v>34</v>
      </c>
      <c r="H3020" s="105" t="s">
        <v>342</v>
      </c>
      <c r="I3020" s="105" t="s">
        <v>339</v>
      </c>
      <c r="J3020" s="493">
        <v>22</v>
      </c>
      <c r="K3020" s="493">
        <v>2</v>
      </c>
      <c r="L3020" s="105" t="s">
        <v>343</v>
      </c>
      <c r="M3020" s="105" t="s">
        <v>655</v>
      </c>
      <c r="N3020" s="105" t="s">
        <v>656</v>
      </c>
      <c r="O3020" s="105" t="s">
        <v>656</v>
      </c>
      <c r="P3020" s="105" t="s">
        <v>339</v>
      </c>
      <c r="Q3020" s="494">
        <v>0</v>
      </c>
      <c r="R3020" s="494">
        <v>0</v>
      </c>
      <c r="S3020" s="494">
        <v>0</v>
      </c>
      <c r="T3020" s="494">
        <v>0</v>
      </c>
      <c r="U3020" s="494">
        <v>0</v>
      </c>
      <c r="V3020" s="493">
        <v>2024</v>
      </c>
      <c r="W3020" s="495"/>
      <c r="X3020" s="496" t="str">
        <f t="shared" si="198"/>
        <v/>
      </c>
      <c r="Y3020" s="497" t="str">
        <f t="shared" si="197"/>
        <v/>
      </c>
      <c r="Z3020" s="497" t="str">
        <f t="shared" si="197"/>
        <v/>
      </c>
    </row>
    <row r="3021" spans="1:26" s="82" customFormat="1" ht="32" x14ac:dyDescent="0.4">
      <c r="A3021" s="493">
        <v>69075</v>
      </c>
      <c r="B3021" s="105" t="s">
        <v>329</v>
      </c>
      <c r="C3021" s="493" t="s">
        <v>330</v>
      </c>
      <c r="D3021" s="105" t="s">
        <v>3645</v>
      </c>
      <c r="E3021" s="105" t="s">
        <v>3224</v>
      </c>
      <c r="F3021" s="493">
        <v>65043</v>
      </c>
      <c r="G3021" s="105" t="s">
        <v>33</v>
      </c>
      <c r="H3021" s="105" t="s">
        <v>342</v>
      </c>
      <c r="I3021" s="105" t="s">
        <v>339</v>
      </c>
      <c r="J3021" s="493">
        <v>22</v>
      </c>
      <c r="K3021" s="493">
        <v>2</v>
      </c>
      <c r="L3021" s="105" t="s">
        <v>343</v>
      </c>
      <c r="M3021" s="105" t="s">
        <v>403</v>
      </c>
      <c r="N3021" s="105" t="s">
        <v>404</v>
      </c>
      <c r="O3021" s="105" t="s">
        <v>232</v>
      </c>
      <c r="P3021" s="105" t="s">
        <v>346</v>
      </c>
      <c r="Q3021" s="494">
        <v>0</v>
      </c>
      <c r="R3021" s="494">
        <v>0</v>
      </c>
      <c r="S3021" s="494">
        <v>0</v>
      </c>
      <c r="T3021" s="494">
        <v>0</v>
      </c>
      <c r="U3021" s="494">
        <v>0</v>
      </c>
      <c r="V3021" s="493">
        <v>2024</v>
      </c>
      <c r="W3021" s="495"/>
      <c r="X3021" s="496" t="str">
        <f t="shared" si="198"/>
        <v/>
      </c>
      <c r="Y3021" s="497" t="str">
        <f t="shared" si="197"/>
        <v/>
      </c>
      <c r="Z3021" s="497" t="str">
        <f t="shared" si="197"/>
        <v/>
      </c>
    </row>
    <row r="3022" spans="1:26" s="82" customFormat="1" ht="32" x14ac:dyDescent="0.4">
      <c r="A3022" s="493">
        <v>69075</v>
      </c>
      <c r="B3022" s="105" t="s">
        <v>329</v>
      </c>
      <c r="C3022" s="493" t="s">
        <v>330</v>
      </c>
      <c r="D3022" s="105" t="s">
        <v>3645</v>
      </c>
      <c r="E3022" s="105" t="s">
        <v>3224</v>
      </c>
      <c r="F3022" s="493">
        <v>65043</v>
      </c>
      <c r="G3022" s="105" t="s">
        <v>33</v>
      </c>
      <c r="H3022" s="105" t="s">
        <v>342</v>
      </c>
      <c r="I3022" s="105" t="s">
        <v>339</v>
      </c>
      <c r="J3022" s="493">
        <v>22</v>
      </c>
      <c r="K3022" s="493">
        <v>2</v>
      </c>
      <c r="L3022" s="105" t="s">
        <v>343</v>
      </c>
      <c r="M3022" s="105" t="s">
        <v>655</v>
      </c>
      <c r="N3022" s="105" t="s">
        <v>656</v>
      </c>
      <c r="O3022" s="105" t="s">
        <v>656</v>
      </c>
      <c r="P3022" s="105" t="s">
        <v>339</v>
      </c>
      <c r="Q3022" s="494">
        <v>0</v>
      </c>
      <c r="R3022" s="494">
        <v>0</v>
      </c>
      <c r="S3022" s="494">
        <v>0</v>
      </c>
      <c r="T3022" s="494">
        <v>0</v>
      </c>
      <c r="U3022" s="494">
        <v>0</v>
      </c>
      <c r="V3022" s="493">
        <v>2024</v>
      </c>
      <c r="W3022" s="495"/>
      <c r="X3022" s="496" t="str">
        <f t="shared" si="198"/>
        <v/>
      </c>
      <c r="Y3022" s="497" t="str">
        <f t="shared" si="197"/>
        <v/>
      </c>
      <c r="Z3022" s="497" t="str">
        <f t="shared" si="197"/>
        <v/>
      </c>
    </row>
    <row r="3023" spans="1:26" s="82" customFormat="1" ht="32" x14ac:dyDescent="0.4">
      <c r="A3023" s="493">
        <v>69076</v>
      </c>
      <c r="B3023" s="105" t="s">
        <v>329</v>
      </c>
      <c r="C3023" s="493" t="s">
        <v>330</v>
      </c>
      <c r="D3023" s="105" t="s">
        <v>3646</v>
      </c>
      <c r="E3023" s="105" t="s">
        <v>3224</v>
      </c>
      <c r="F3023" s="493">
        <v>65043</v>
      </c>
      <c r="G3023" s="105" t="s">
        <v>33</v>
      </c>
      <c r="H3023" s="105" t="s">
        <v>342</v>
      </c>
      <c r="I3023" s="105" t="s">
        <v>339</v>
      </c>
      <c r="J3023" s="493">
        <v>22</v>
      </c>
      <c r="K3023" s="493">
        <v>2</v>
      </c>
      <c r="L3023" s="105" t="s">
        <v>343</v>
      </c>
      <c r="M3023" s="105" t="s">
        <v>403</v>
      </c>
      <c r="N3023" s="105" t="s">
        <v>404</v>
      </c>
      <c r="O3023" s="105" t="s">
        <v>232</v>
      </c>
      <c r="P3023" s="105" t="s">
        <v>346</v>
      </c>
      <c r="Q3023" s="494">
        <v>0</v>
      </c>
      <c r="R3023" s="494">
        <v>0</v>
      </c>
      <c r="S3023" s="494">
        <v>0</v>
      </c>
      <c r="T3023" s="494">
        <v>0</v>
      </c>
      <c r="U3023" s="494">
        <v>0</v>
      </c>
      <c r="V3023" s="493">
        <v>2024</v>
      </c>
      <c r="W3023" s="495"/>
      <c r="X3023" s="496" t="str">
        <f t="shared" si="198"/>
        <v/>
      </c>
      <c r="Y3023" s="497" t="str">
        <f t="shared" si="197"/>
        <v/>
      </c>
      <c r="Z3023" s="497" t="str">
        <f t="shared" si="197"/>
        <v/>
      </c>
    </row>
    <row r="3024" spans="1:26" s="82" customFormat="1" ht="32" x14ac:dyDescent="0.4">
      <c r="A3024" s="493">
        <v>69076</v>
      </c>
      <c r="B3024" s="105" t="s">
        <v>329</v>
      </c>
      <c r="C3024" s="493" t="s">
        <v>330</v>
      </c>
      <c r="D3024" s="105" t="s">
        <v>3646</v>
      </c>
      <c r="E3024" s="105" t="s">
        <v>3224</v>
      </c>
      <c r="F3024" s="493">
        <v>65043</v>
      </c>
      <c r="G3024" s="105" t="s">
        <v>33</v>
      </c>
      <c r="H3024" s="105" t="s">
        <v>342</v>
      </c>
      <c r="I3024" s="105" t="s">
        <v>339</v>
      </c>
      <c r="J3024" s="493">
        <v>22</v>
      </c>
      <c r="K3024" s="493">
        <v>2</v>
      </c>
      <c r="L3024" s="105" t="s">
        <v>343</v>
      </c>
      <c r="M3024" s="105" t="s">
        <v>655</v>
      </c>
      <c r="N3024" s="105" t="s">
        <v>656</v>
      </c>
      <c r="O3024" s="105" t="s">
        <v>656</v>
      </c>
      <c r="P3024" s="105" t="s">
        <v>339</v>
      </c>
      <c r="Q3024" s="494">
        <v>0</v>
      </c>
      <c r="R3024" s="494">
        <v>0</v>
      </c>
      <c r="S3024" s="494">
        <v>0</v>
      </c>
      <c r="T3024" s="494">
        <v>0</v>
      </c>
      <c r="U3024" s="494">
        <v>0</v>
      </c>
      <c r="V3024" s="493">
        <v>2024</v>
      </c>
      <c r="W3024" s="495"/>
      <c r="X3024" s="496" t="str">
        <f t="shared" si="198"/>
        <v/>
      </c>
      <c r="Y3024" s="497" t="str">
        <f t="shared" si="197"/>
        <v/>
      </c>
      <c r="Z3024" s="497" t="str">
        <f t="shared" si="197"/>
        <v/>
      </c>
    </row>
    <row r="3025" spans="1:26" s="82" customFormat="1" ht="32" x14ac:dyDescent="0.4">
      <c r="A3025" s="493">
        <v>69082</v>
      </c>
      <c r="B3025" s="105" t="s">
        <v>329</v>
      </c>
      <c r="C3025" s="493" t="s">
        <v>330</v>
      </c>
      <c r="D3025" s="105" t="s">
        <v>3647</v>
      </c>
      <c r="E3025" s="105" t="s">
        <v>3224</v>
      </c>
      <c r="F3025" s="493">
        <v>65043</v>
      </c>
      <c r="G3025" s="105" t="s">
        <v>34</v>
      </c>
      <c r="H3025" s="105" t="s">
        <v>342</v>
      </c>
      <c r="I3025" s="105" t="s">
        <v>339</v>
      </c>
      <c r="J3025" s="493">
        <v>22</v>
      </c>
      <c r="K3025" s="493">
        <v>2</v>
      </c>
      <c r="L3025" s="105" t="s">
        <v>343</v>
      </c>
      <c r="M3025" s="105" t="s">
        <v>655</v>
      </c>
      <c r="N3025" s="105" t="s">
        <v>656</v>
      </c>
      <c r="O3025" s="105" t="s">
        <v>656</v>
      </c>
      <c r="P3025" s="105" t="s">
        <v>339</v>
      </c>
      <c r="Q3025" s="494">
        <v>0</v>
      </c>
      <c r="R3025" s="494">
        <v>0</v>
      </c>
      <c r="S3025" s="494">
        <v>0</v>
      </c>
      <c r="T3025" s="494">
        <v>0</v>
      </c>
      <c r="U3025" s="494">
        <v>0</v>
      </c>
      <c r="V3025" s="493">
        <v>2024</v>
      </c>
      <c r="W3025" s="495"/>
      <c r="X3025" s="496" t="str">
        <f t="shared" si="198"/>
        <v/>
      </c>
      <c r="Y3025" s="497" t="str">
        <f t="shared" si="197"/>
        <v/>
      </c>
      <c r="Z3025" s="497" t="str">
        <f t="shared" si="197"/>
        <v/>
      </c>
    </row>
    <row r="3026" spans="1:26" s="82" customFormat="1" ht="32" x14ac:dyDescent="0.4">
      <c r="A3026" s="493">
        <v>69083</v>
      </c>
      <c r="B3026" s="105" t="s">
        <v>329</v>
      </c>
      <c r="C3026" s="493" t="s">
        <v>330</v>
      </c>
      <c r="D3026" s="105" t="s">
        <v>3648</v>
      </c>
      <c r="E3026" s="105" t="s">
        <v>3224</v>
      </c>
      <c r="F3026" s="493">
        <v>65043</v>
      </c>
      <c r="G3026" s="105" t="s">
        <v>52</v>
      </c>
      <c r="H3026" s="105" t="s">
        <v>333</v>
      </c>
      <c r="I3026" s="105" t="s">
        <v>339</v>
      </c>
      <c r="J3026" s="493">
        <v>22</v>
      </c>
      <c r="K3026" s="493">
        <v>2</v>
      </c>
      <c r="L3026" s="105" t="s">
        <v>343</v>
      </c>
      <c r="M3026" s="105" t="s">
        <v>655</v>
      </c>
      <c r="N3026" s="105" t="s">
        <v>656</v>
      </c>
      <c r="O3026" s="105" t="s">
        <v>656</v>
      </c>
      <c r="P3026" s="105" t="s">
        <v>339</v>
      </c>
      <c r="Q3026" s="494">
        <v>0</v>
      </c>
      <c r="R3026" s="494">
        <v>0</v>
      </c>
      <c r="S3026" s="494">
        <v>0</v>
      </c>
      <c r="T3026" s="494">
        <v>0</v>
      </c>
      <c r="U3026" s="494">
        <v>0</v>
      </c>
      <c r="V3026" s="493">
        <v>2024</v>
      </c>
      <c r="W3026" s="495"/>
      <c r="X3026" s="496" t="str">
        <f t="shared" si="198"/>
        <v/>
      </c>
      <c r="Y3026" s="497" t="str">
        <f t="shared" si="197"/>
        <v/>
      </c>
      <c r="Z3026" s="497" t="str">
        <f t="shared" si="197"/>
        <v/>
      </c>
    </row>
    <row r="3027" spans="1:26" s="82" customFormat="1" ht="32" x14ac:dyDescent="0.4">
      <c r="A3027" s="493">
        <v>69084</v>
      </c>
      <c r="B3027" s="105" t="s">
        <v>329</v>
      </c>
      <c r="C3027" s="493" t="s">
        <v>330</v>
      </c>
      <c r="D3027" s="105" t="s">
        <v>3649</v>
      </c>
      <c r="E3027" s="105" t="s">
        <v>3224</v>
      </c>
      <c r="F3027" s="493">
        <v>65043</v>
      </c>
      <c r="G3027" s="105" t="s">
        <v>34</v>
      </c>
      <c r="H3027" s="105" t="s">
        <v>342</v>
      </c>
      <c r="I3027" s="105" t="s">
        <v>339</v>
      </c>
      <c r="J3027" s="493">
        <v>22</v>
      </c>
      <c r="K3027" s="493">
        <v>2</v>
      </c>
      <c r="L3027" s="105" t="s">
        <v>343</v>
      </c>
      <c r="M3027" s="105" t="s">
        <v>655</v>
      </c>
      <c r="N3027" s="105" t="s">
        <v>656</v>
      </c>
      <c r="O3027" s="105" t="s">
        <v>656</v>
      </c>
      <c r="P3027" s="105" t="s">
        <v>339</v>
      </c>
      <c r="Q3027" s="494">
        <v>0</v>
      </c>
      <c r="R3027" s="494">
        <v>0</v>
      </c>
      <c r="S3027" s="494">
        <v>0</v>
      </c>
      <c r="T3027" s="494">
        <v>0</v>
      </c>
      <c r="U3027" s="494">
        <v>0</v>
      </c>
      <c r="V3027" s="493">
        <v>2024</v>
      </c>
      <c r="W3027" s="495"/>
      <c r="X3027" s="496" t="str">
        <f t="shared" si="198"/>
        <v/>
      </c>
      <c r="Y3027" s="497" t="str">
        <f t="shared" si="197"/>
        <v/>
      </c>
      <c r="Z3027" s="497" t="str">
        <f t="shared" si="197"/>
        <v/>
      </c>
    </row>
    <row r="3028" spans="1:26" s="82" customFormat="1" x14ac:dyDescent="0.4">
      <c r="A3028" s="493">
        <v>69089</v>
      </c>
      <c r="B3028" s="105" t="s">
        <v>329</v>
      </c>
      <c r="C3028" s="493" t="s">
        <v>330</v>
      </c>
      <c r="D3028" s="105" t="s">
        <v>3650</v>
      </c>
      <c r="E3028" s="105" t="s">
        <v>3651</v>
      </c>
      <c r="F3028" s="493">
        <v>66926</v>
      </c>
      <c r="G3028" s="105" t="s">
        <v>52</v>
      </c>
      <c r="H3028" s="105" t="s">
        <v>333</v>
      </c>
      <c r="I3028" s="105" t="s">
        <v>339</v>
      </c>
      <c r="J3028" s="493">
        <v>22</v>
      </c>
      <c r="K3028" s="493">
        <v>2</v>
      </c>
      <c r="L3028" s="105" t="s">
        <v>343</v>
      </c>
      <c r="M3028" s="105" t="s">
        <v>655</v>
      </c>
      <c r="N3028" s="105" t="s">
        <v>656</v>
      </c>
      <c r="O3028" s="105" t="s">
        <v>656</v>
      </c>
      <c r="P3028" s="105" t="s">
        <v>339</v>
      </c>
      <c r="Q3028" s="494">
        <v>0</v>
      </c>
      <c r="R3028" s="494">
        <v>0</v>
      </c>
      <c r="S3028" s="494">
        <v>0</v>
      </c>
      <c r="T3028" s="494">
        <v>0</v>
      </c>
      <c r="U3028" s="494">
        <v>0</v>
      </c>
      <c r="V3028" s="493">
        <v>2024</v>
      </c>
      <c r="W3028" s="495"/>
      <c r="X3028" s="496" t="str">
        <f t="shared" si="198"/>
        <v/>
      </c>
      <c r="Y3028" s="497" t="str">
        <f t="shared" ref="Y3028:Z3035" si="199">IF(AND($M3028=$Y$2,$N3028=$Y$3,NOT($Q3028=$R3028),NOT($U3028=0)),IF($K3028=5,$S3028/($U3028+(8/5)*$U3028),IF($K3028=7,$S3028/($U3028+(29/25)*$U3028),"")),"")</f>
        <v/>
      </c>
      <c r="Z3028" s="497" t="str">
        <f t="shared" si="199"/>
        <v/>
      </c>
    </row>
    <row r="3029" spans="1:26" s="82" customFormat="1" x14ac:dyDescent="0.4">
      <c r="A3029" s="493">
        <v>69090</v>
      </c>
      <c r="B3029" s="105" t="s">
        <v>329</v>
      </c>
      <c r="C3029" s="493" t="s">
        <v>330</v>
      </c>
      <c r="D3029" s="105" t="s">
        <v>3652</v>
      </c>
      <c r="E3029" s="105" t="s">
        <v>3651</v>
      </c>
      <c r="F3029" s="493">
        <v>66926</v>
      </c>
      <c r="G3029" s="105" t="s">
        <v>52</v>
      </c>
      <c r="H3029" s="105" t="s">
        <v>333</v>
      </c>
      <c r="I3029" s="105" t="s">
        <v>339</v>
      </c>
      <c r="J3029" s="493">
        <v>22</v>
      </c>
      <c r="K3029" s="493">
        <v>2</v>
      </c>
      <c r="L3029" s="105" t="s">
        <v>343</v>
      </c>
      <c r="M3029" s="105" t="s">
        <v>655</v>
      </c>
      <c r="N3029" s="105" t="s">
        <v>656</v>
      </c>
      <c r="O3029" s="105" t="s">
        <v>656</v>
      </c>
      <c r="P3029" s="105" t="s">
        <v>339</v>
      </c>
      <c r="Q3029" s="494">
        <v>0</v>
      </c>
      <c r="R3029" s="494">
        <v>0</v>
      </c>
      <c r="S3029" s="494">
        <v>0</v>
      </c>
      <c r="T3029" s="494">
        <v>0</v>
      </c>
      <c r="U3029" s="494">
        <v>0</v>
      </c>
      <c r="V3029" s="493">
        <v>2024</v>
      </c>
      <c r="W3029" s="495"/>
      <c r="X3029" s="496" t="str">
        <f t="shared" si="198"/>
        <v/>
      </c>
      <c r="Y3029" s="497" t="str">
        <f t="shared" si="199"/>
        <v/>
      </c>
      <c r="Z3029" s="497" t="str">
        <f t="shared" si="199"/>
        <v/>
      </c>
    </row>
    <row r="3030" spans="1:26" s="82" customFormat="1" x14ac:dyDescent="0.4">
      <c r="A3030" s="493">
        <v>69091</v>
      </c>
      <c r="B3030" s="105" t="s">
        <v>329</v>
      </c>
      <c r="C3030" s="493" t="s">
        <v>330</v>
      </c>
      <c r="D3030" s="105" t="s">
        <v>3653</v>
      </c>
      <c r="E3030" s="105" t="s">
        <v>3651</v>
      </c>
      <c r="F3030" s="493">
        <v>66926</v>
      </c>
      <c r="G3030" s="105" t="s">
        <v>52</v>
      </c>
      <c r="H3030" s="105" t="s">
        <v>333</v>
      </c>
      <c r="I3030" s="105" t="s">
        <v>339</v>
      </c>
      <c r="J3030" s="493">
        <v>22</v>
      </c>
      <c r="K3030" s="493">
        <v>2</v>
      </c>
      <c r="L3030" s="105" t="s">
        <v>343</v>
      </c>
      <c r="M3030" s="105" t="s">
        <v>655</v>
      </c>
      <c r="N3030" s="105" t="s">
        <v>656</v>
      </c>
      <c r="O3030" s="105" t="s">
        <v>656</v>
      </c>
      <c r="P3030" s="105" t="s">
        <v>339</v>
      </c>
      <c r="Q3030" s="494">
        <v>0</v>
      </c>
      <c r="R3030" s="494">
        <v>0</v>
      </c>
      <c r="S3030" s="494">
        <v>0</v>
      </c>
      <c r="T3030" s="494">
        <v>0</v>
      </c>
      <c r="U3030" s="494">
        <v>0</v>
      </c>
      <c r="V3030" s="493">
        <v>2024</v>
      </c>
      <c r="W3030" s="495"/>
      <c r="X3030" s="496" t="str">
        <f t="shared" si="198"/>
        <v/>
      </c>
      <c r="Y3030" s="497" t="str">
        <f t="shared" si="199"/>
        <v/>
      </c>
      <c r="Z3030" s="497" t="str">
        <f t="shared" si="199"/>
        <v/>
      </c>
    </row>
    <row r="3031" spans="1:26" s="82" customFormat="1" x14ac:dyDescent="0.4">
      <c r="A3031" s="493">
        <v>69092</v>
      </c>
      <c r="B3031" s="105" t="s">
        <v>329</v>
      </c>
      <c r="C3031" s="493" t="s">
        <v>330</v>
      </c>
      <c r="D3031" s="105" t="s">
        <v>3654</v>
      </c>
      <c r="E3031" s="105" t="s">
        <v>3651</v>
      </c>
      <c r="F3031" s="493">
        <v>66926</v>
      </c>
      <c r="G3031" s="105" t="s">
        <v>52</v>
      </c>
      <c r="H3031" s="105" t="s">
        <v>333</v>
      </c>
      <c r="I3031" s="105" t="s">
        <v>339</v>
      </c>
      <c r="J3031" s="493">
        <v>22</v>
      </c>
      <c r="K3031" s="493">
        <v>2</v>
      </c>
      <c r="L3031" s="105" t="s">
        <v>343</v>
      </c>
      <c r="M3031" s="105" t="s">
        <v>655</v>
      </c>
      <c r="N3031" s="105" t="s">
        <v>656</v>
      </c>
      <c r="O3031" s="105" t="s">
        <v>656</v>
      </c>
      <c r="P3031" s="105" t="s">
        <v>339</v>
      </c>
      <c r="Q3031" s="494">
        <v>0</v>
      </c>
      <c r="R3031" s="494">
        <v>0</v>
      </c>
      <c r="S3031" s="494">
        <v>0</v>
      </c>
      <c r="T3031" s="494">
        <v>0</v>
      </c>
      <c r="U3031" s="494">
        <v>0</v>
      </c>
      <c r="V3031" s="493">
        <v>2024</v>
      </c>
      <c r="W3031" s="495"/>
      <c r="X3031" s="496" t="str">
        <f t="shared" si="198"/>
        <v/>
      </c>
      <c r="Y3031" s="497" t="str">
        <f t="shared" si="199"/>
        <v/>
      </c>
      <c r="Z3031" s="497" t="str">
        <f t="shared" si="199"/>
        <v/>
      </c>
    </row>
    <row r="3032" spans="1:26" s="82" customFormat="1" x14ac:dyDescent="0.4">
      <c r="A3032" s="493">
        <v>69093</v>
      </c>
      <c r="B3032" s="105" t="s">
        <v>329</v>
      </c>
      <c r="C3032" s="493" t="s">
        <v>330</v>
      </c>
      <c r="D3032" s="105" t="s">
        <v>3655</v>
      </c>
      <c r="E3032" s="105" t="s">
        <v>3651</v>
      </c>
      <c r="F3032" s="493">
        <v>66926</v>
      </c>
      <c r="G3032" s="105" t="s">
        <v>52</v>
      </c>
      <c r="H3032" s="105" t="s">
        <v>333</v>
      </c>
      <c r="I3032" s="105" t="s">
        <v>339</v>
      </c>
      <c r="J3032" s="493">
        <v>22</v>
      </c>
      <c r="K3032" s="493">
        <v>2</v>
      </c>
      <c r="L3032" s="105" t="s">
        <v>343</v>
      </c>
      <c r="M3032" s="105" t="s">
        <v>655</v>
      </c>
      <c r="N3032" s="105" t="s">
        <v>656</v>
      </c>
      <c r="O3032" s="105" t="s">
        <v>656</v>
      </c>
      <c r="P3032" s="105" t="s">
        <v>339</v>
      </c>
      <c r="Q3032" s="494">
        <v>0</v>
      </c>
      <c r="R3032" s="494">
        <v>0</v>
      </c>
      <c r="S3032" s="494">
        <v>0</v>
      </c>
      <c r="T3032" s="494">
        <v>0</v>
      </c>
      <c r="U3032" s="494">
        <v>0</v>
      </c>
      <c r="V3032" s="493">
        <v>2024</v>
      </c>
      <c r="W3032" s="495"/>
      <c r="X3032" s="496" t="str">
        <f t="shared" si="198"/>
        <v/>
      </c>
      <c r="Y3032" s="497" t="str">
        <f t="shared" si="199"/>
        <v/>
      </c>
      <c r="Z3032" s="497" t="str">
        <f t="shared" si="199"/>
        <v/>
      </c>
    </row>
    <row r="3033" spans="1:26" s="82" customFormat="1" x14ac:dyDescent="0.4">
      <c r="A3033" s="493">
        <v>69094</v>
      </c>
      <c r="B3033" s="105" t="s">
        <v>329</v>
      </c>
      <c r="C3033" s="493" t="s">
        <v>330</v>
      </c>
      <c r="D3033" s="105" t="s">
        <v>3656</v>
      </c>
      <c r="E3033" s="105" t="s">
        <v>3651</v>
      </c>
      <c r="F3033" s="493">
        <v>66926</v>
      </c>
      <c r="G3033" s="105" t="s">
        <v>52</v>
      </c>
      <c r="H3033" s="105" t="s">
        <v>333</v>
      </c>
      <c r="I3033" s="105" t="s">
        <v>339</v>
      </c>
      <c r="J3033" s="493">
        <v>22</v>
      </c>
      <c r="K3033" s="493">
        <v>2</v>
      </c>
      <c r="L3033" s="105" t="s">
        <v>343</v>
      </c>
      <c r="M3033" s="105" t="s">
        <v>655</v>
      </c>
      <c r="N3033" s="105" t="s">
        <v>656</v>
      </c>
      <c r="O3033" s="105" t="s">
        <v>656</v>
      </c>
      <c r="P3033" s="105" t="s">
        <v>339</v>
      </c>
      <c r="Q3033" s="494">
        <v>0</v>
      </c>
      <c r="R3033" s="494">
        <v>0</v>
      </c>
      <c r="S3033" s="494">
        <v>0</v>
      </c>
      <c r="T3033" s="494">
        <v>0</v>
      </c>
      <c r="U3033" s="494">
        <v>0</v>
      </c>
      <c r="V3033" s="493">
        <v>2024</v>
      </c>
      <c r="W3033" s="495"/>
      <c r="X3033" s="496" t="str">
        <f t="shared" si="198"/>
        <v/>
      </c>
      <c r="Y3033" s="497" t="str">
        <f t="shared" si="199"/>
        <v/>
      </c>
      <c r="Z3033" s="497" t="str">
        <f t="shared" si="199"/>
        <v/>
      </c>
    </row>
    <row r="3034" spans="1:26" s="82" customFormat="1" x14ac:dyDescent="0.4">
      <c r="A3034" s="493">
        <v>69095</v>
      </c>
      <c r="B3034" s="105" t="s">
        <v>329</v>
      </c>
      <c r="C3034" s="493" t="s">
        <v>330</v>
      </c>
      <c r="D3034" s="105" t="s">
        <v>3657</v>
      </c>
      <c r="E3034" s="105" t="s">
        <v>3651</v>
      </c>
      <c r="F3034" s="493">
        <v>66926</v>
      </c>
      <c r="G3034" s="105" t="s">
        <v>52</v>
      </c>
      <c r="H3034" s="105" t="s">
        <v>333</v>
      </c>
      <c r="I3034" s="105" t="s">
        <v>339</v>
      </c>
      <c r="J3034" s="493">
        <v>22</v>
      </c>
      <c r="K3034" s="493">
        <v>2</v>
      </c>
      <c r="L3034" s="105" t="s">
        <v>343</v>
      </c>
      <c r="M3034" s="105" t="s">
        <v>655</v>
      </c>
      <c r="N3034" s="105" t="s">
        <v>656</v>
      </c>
      <c r="O3034" s="105" t="s">
        <v>656</v>
      </c>
      <c r="P3034" s="105" t="s">
        <v>339</v>
      </c>
      <c r="Q3034" s="494">
        <v>0</v>
      </c>
      <c r="R3034" s="494">
        <v>0</v>
      </c>
      <c r="S3034" s="494">
        <v>0</v>
      </c>
      <c r="T3034" s="494">
        <v>0</v>
      </c>
      <c r="U3034" s="494">
        <v>0</v>
      </c>
      <c r="V3034" s="493">
        <v>2024</v>
      </c>
      <c r="W3034" s="495"/>
      <c r="X3034" s="496" t="str">
        <f t="shared" si="198"/>
        <v/>
      </c>
      <c r="Y3034" s="497" t="str">
        <f t="shared" si="199"/>
        <v/>
      </c>
      <c r="Z3034" s="497" t="str">
        <f t="shared" si="199"/>
        <v/>
      </c>
    </row>
    <row r="3035" spans="1:26" s="82" customFormat="1" x14ac:dyDescent="0.4">
      <c r="A3035" s="493">
        <v>69096</v>
      </c>
      <c r="B3035" s="105" t="s">
        <v>329</v>
      </c>
      <c r="C3035" s="493" t="s">
        <v>330</v>
      </c>
      <c r="D3035" s="105" t="s">
        <v>3658</v>
      </c>
      <c r="E3035" s="105" t="s">
        <v>3651</v>
      </c>
      <c r="F3035" s="493">
        <v>66926</v>
      </c>
      <c r="G3035" s="105" t="s">
        <v>52</v>
      </c>
      <c r="H3035" s="105" t="s">
        <v>333</v>
      </c>
      <c r="I3035" s="105" t="s">
        <v>339</v>
      </c>
      <c r="J3035" s="493">
        <v>22</v>
      </c>
      <c r="K3035" s="493">
        <v>2</v>
      </c>
      <c r="L3035" s="105" t="s">
        <v>343</v>
      </c>
      <c r="M3035" s="105" t="s">
        <v>655</v>
      </c>
      <c r="N3035" s="105" t="s">
        <v>656</v>
      </c>
      <c r="O3035" s="105" t="s">
        <v>656</v>
      </c>
      <c r="P3035" s="105" t="s">
        <v>339</v>
      </c>
      <c r="Q3035" s="494">
        <v>0</v>
      </c>
      <c r="R3035" s="494">
        <v>0</v>
      </c>
      <c r="S3035" s="494">
        <v>0</v>
      </c>
      <c r="T3035" s="494">
        <v>0</v>
      </c>
      <c r="U3035" s="494">
        <v>0</v>
      </c>
      <c r="V3035" s="493">
        <v>2024</v>
      </c>
      <c r="W3035" s="495"/>
      <c r="X3035" s="496" t="str">
        <f t="shared" si="198"/>
        <v/>
      </c>
      <c r="Y3035" s="497" t="str">
        <f t="shared" si="199"/>
        <v/>
      </c>
      <c r="Z3035" s="497" t="str">
        <f t="shared" si="199"/>
        <v/>
      </c>
    </row>
    <row r="3036" spans="1:26" s="82" customFormat="1" ht="32" x14ac:dyDescent="0.4">
      <c r="A3036" s="493">
        <v>99999</v>
      </c>
      <c r="B3036" s="105" t="s">
        <v>329</v>
      </c>
      <c r="C3036" s="493" t="s">
        <v>330</v>
      </c>
      <c r="D3036" s="105" t="s">
        <v>3659</v>
      </c>
      <c r="E3036" s="105" t="s">
        <v>3659</v>
      </c>
      <c r="F3036" s="493">
        <v>99999</v>
      </c>
      <c r="G3036" s="105" t="s">
        <v>33</v>
      </c>
      <c r="H3036" s="105" t="s">
        <v>342</v>
      </c>
      <c r="I3036" s="105" t="s">
        <v>339</v>
      </c>
      <c r="J3036" s="493">
        <v>99999</v>
      </c>
      <c r="K3036" s="493">
        <v>2</v>
      </c>
      <c r="L3036" s="105" t="s">
        <v>343</v>
      </c>
      <c r="M3036" s="105" t="s">
        <v>403</v>
      </c>
      <c r="N3036" s="105" t="s">
        <v>404</v>
      </c>
      <c r="O3036" s="105" t="s">
        <v>232</v>
      </c>
      <c r="P3036" s="105" t="s">
        <v>346</v>
      </c>
      <c r="Q3036" s="494">
        <v>0</v>
      </c>
      <c r="R3036" s="494">
        <v>0</v>
      </c>
      <c r="S3036" s="494">
        <v>0</v>
      </c>
      <c r="T3036" s="494">
        <v>0</v>
      </c>
      <c r="U3036" s="494">
        <v>0</v>
      </c>
      <c r="V3036" s="493">
        <v>2024</v>
      </c>
      <c r="W3036" s="495"/>
      <c r="X3036" s="496"/>
      <c r="Y3036" s="497"/>
      <c r="Z3036" s="497"/>
    </row>
    <row r="3037" spans="1:26" s="82" customFormat="1" ht="32" x14ac:dyDescent="0.4">
      <c r="A3037" s="493">
        <v>99999</v>
      </c>
      <c r="B3037" s="105" t="s">
        <v>329</v>
      </c>
      <c r="C3037" s="493" t="s">
        <v>330</v>
      </c>
      <c r="D3037" s="105" t="s">
        <v>3659</v>
      </c>
      <c r="E3037" s="105" t="s">
        <v>3659</v>
      </c>
      <c r="F3037" s="493">
        <v>99999</v>
      </c>
      <c r="G3037" s="105" t="s">
        <v>37</v>
      </c>
      <c r="H3037" s="105" t="s">
        <v>342</v>
      </c>
      <c r="I3037" s="105" t="s">
        <v>339</v>
      </c>
      <c r="J3037" s="493">
        <v>99999</v>
      </c>
      <c r="K3037" s="493">
        <v>2</v>
      </c>
      <c r="L3037" s="105" t="s">
        <v>343</v>
      </c>
      <c r="M3037" s="105" t="s">
        <v>380</v>
      </c>
      <c r="N3037" s="105" t="s">
        <v>226</v>
      </c>
      <c r="O3037" s="105" t="s">
        <v>226</v>
      </c>
      <c r="P3037" s="105" t="s">
        <v>350</v>
      </c>
      <c r="Q3037" s="494">
        <v>0</v>
      </c>
      <c r="R3037" s="494">
        <v>0</v>
      </c>
      <c r="S3037" s="494">
        <v>0</v>
      </c>
      <c r="T3037" s="494">
        <v>0</v>
      </c>
      <c r="U3037" s="494">
        <v>0</v>
      </c>
      <c r="V3037" s="493">
        <v>2024</v>
      </c>
      <c r="W3037" s="495"/>
      <c r="X3037" s="496"/>
      <c r="Y3037" s="497"/>
      <c r="Z3037" s="497"/>
    </row>
    <row r="3038" spans="1:26" s="82" customFormat="1" ht="32" x14ac:dyDescent="0.4">
      <c r="A3038" s="493">
        <v>99999</v>
      </c>
      <c r="B3038" s="105" t="s">
        <v>433</v>
      </c>
      <c r="C3038" s="493" t="s">
        <v>330</v>
      </c>
      <c r="D3038" s="105" t="s">
        <v>3659</v>
      </c>
      <c r="E3038" s="105" t="s">
        <v>3659</v>
      </c>
      <c r="F3038" s="493">
        <v>99999</v>
      </c>
      <c r="G3038" s="105" t="s">
        <v>37</v>
      </c>
      <c r="H3038" s="105" t="s">
        <v>342</v>
      </c>
      <c r="I3038" s="105" t="s">
        <v>339</v>
      </c>
      <c r="J3038" s="493">
        <v>99999</v>
      </c>
      <c r="K3038" s="493">
        <v>3</v>
      </c>
      <c r="L3038" s="105" t="s">
        <v>436</v>
      </c>
      <c r="M3038" s="105" t="s">
        <v>990</v>
      </c>
      <c r="N3038" s="105" t="s">
        <v>228</v>
      </c>
      <c r="O3038" s="105" t="s">
        <v>228</v>
      </c>
      <c r="P3038" s="105" t="s">
        <v>356</v>
      </c>
      <c r="Q3038" s="494">
        <v>0</v>
      </c>
      <c r="R3038" s="494">
        <v>0</v>
      </c>
      <c r="S3038" s="494">
        <v>0</v>
      </c>
      <c r="T3038" s="494">
        <v>0</v>
      </c>
      <c r="U3038" s="494">
        <v>0</v>
      </c>
      <c r="V3038" s="493">
        <v>2024</v>
      </c>
      <c r="W3038" s="495"/>
      <c r="X3038" s="496"/>
      <c r="Y3038" s="497"/>
      <c r="Z3038" s="497"/>
    </row>
    <row r="3039" spans="1:26" s="82" customFormat="1" ht="32" x14ac:dyDescent="0.4">
      <c r="A3039" s="493">
        <v>99999</v>
      </c>
      <c r="B3039" s="105" t="s">
        <v>329</v>
      </c>
      <c r="C3039" s="493" t="s">
        <v>330</v>
      </c>
      <c r="D3039" s="105" t="s">
        <v>3659</v>
      </c>
      <c r="E3039" s="105" t="s">
        <v>3659</v>
      </c>
      <c r="F3039" s="493">
        <v>99999</v>
      </c>
      <c r="G3039" s="105" t="s">
        <v>52</v>
      </c>
      <c r="H3039" s="105" t="s">
        <v>333</v>
      </c>
      <c r="I3039" s="105" t="s">
        <v>339</v>
      </c>
      <c r="J3039" s="493">
        <v>99999</v>
      </c>
      <c r="K3039" s="493">
        <v>1</v>
      </c>
      <c r="L3039" s="105" t="s">
        <v>335</v>
      </c>
      <c r="M3039" s="105" t="s">
        <v>295</v>
      </c>
      <c r="N3039" s="105" t="s">
        <v>226</v>
      </c>
      <c r="O3039" s="105" t="s">
        <v>226</v>
      </c>
      <c r="P3039" s="105" t="s">
        <v>350</v>
      </c>
      <c r="Q3039" s="494">
        <v>952</v>
      </c>
      <c r="R3039" s="494">
        <v>952</v>
      </c>
      <c r="S3039" s="494">
        <v>5538</v>
      </c>
      <c r="T3039" s="494">
        <v>5538</v>
      </c>
      <c r="U3039" s="494">
        <v>401.65899999999999</v>
      </c>
      <c r="V3039" s="493">
        <v>2024</v>
      </c>
      <c r="W3039" s="495"/>
      <c r="X3039" s="496"/>
      <c r="Y3039" s="497"/>
      <c r="Z3039" s="497"/>
    </row>
    <row r="3040" spans="1:26" s="82" customFormat="1" ht="32" x14ac:dyDescent="0.4">
      <c r="A3040" s="493">
        <v>99999</v>
      </c>
      <c r="B3040" s="105" t="s">
        <v>329</v>
      </c>
      <c r="C3040" s="493" t="s">
        <v>330</v>
      </c>
      <c r="D3040" s="105" t="s">
        <v>3659</v>
      </c>
      <c r="E3040" s="105" t="s">
        <v>3659</v>
      </c>
      <c r="F3040" s="493">
        <v>99999</v>
      </c>
      <c r="G3040" s="105" t="s">
        <v>37</v>
      </c>
      <c r="H3040" s="105" t="s">
        <v>342</v>
      </c>
      <c r="I3040" s="105" t="s">
        <v>339</v>
      </c>
      <c r="J3040" s="493">
        <v>99999</v>
      </c>
      <c r="K3040" s="493">
        <v>2</v>
      </c>
      <c r="L3040" s="105" t="s">
        <v>343</v>
      </c>
      <c r="M3040" s="105" t="s">
        <v>295</v>
      </c>
      <c r="N3040" s="105" t="s">
        <v>242</v>
      </c>
      <c r="O3040" s="105" t="s">
        <v>349</v>
      </c>
      <c r="P3040" s="105" t="s">
        <v>350</v>
      </c>
      <c r="Q3040" s="494">
        <v>5837</v>
      </c>
      <c r="R3040" s="494">
        <v>5837</v>
      </c>
      <c r="S3040" s="494">
        <v>2663</v>
      </c>
      <c r="T3040" s="494">
        <v>2663</v>
      </c>
      <c r="U3040" s="494">
        <v>504.30900000000003</v>
      </c>
      <c r="V3040" s="493">
        <v>2024</v>
      </c>
      <c r="W3040" s="495"/>
      <c r="X3040" s="496"/>
      <c r="Y3040" s="497"/>
      <c r="Z3040" s="497"/>
    </row>
    <row r="3041" spans="1:26" s="82" customFormat="1" ht="32" x14ac:dyDescent="0.4">
      <c r="A3041" s="493">
        <v>99999</v>
      </c>
      <c r="B3041" s="105" t="s">
        <v>329</v>
      </c>
      <c r="C3041" s="493" t="s">
        <v>330</v>
      </c>
      <c r="D3041" s="105" t="s">
        <v>3659</v>
      </c>
      <c r="E3041" s="105" t="s">
        <v>3659</v>
      </c>
      <c r="F3041" s="493">
        <v>99999</v>
      </c>
      <c r="G3041" s="105" t="s">
        <v>37</v>
      </c>
      <c r="H3041" s="105" t="s">
        <v>342</v>
      </c>
      <c r="I3041" s="105" t="s">
        <v>339</v>
      </c>
      <c r="J3041" s="493">
        <v>99999</v>
      </c>
      <c r="K3041" s="493">
        <v>2</v>
      </c>
      <c r="L3041" s="105" t="s">
        <v>343</v>
      </c>
      <c r="M3041" s="105" t="s">
        <v>295</v>
      </c>
      <c r="N3041" s="105" t="s">
        <v>228</v>
      </c>
      <c r="O3041" s="105" t="s">
        <v>228</v>
      </c>
      <c r="P3041" s="105" t="s">
        <v>356</v>
      </c>
      <c r="Q3041" s="494">
        <v>1340</v>
      </c>
      <c r="R3041" s="494">
        <v>1340</v>
      </c>
      <c r="S3041" s="494">
        <v>1382</v>
      </c>
      <c r="T3041" s="494">
        <v>1382</v>
      </c>
      <c r="U3041" s="494">
        <v>142.89099999999999</v>
      </c>
      <c r="V3041" s="493">
        <v>2024</v>
      </c>
      <c r="W3041" s="495"/>
      <c r="X3041" s="496"/>
      <c r="Y3041" s="497"/>
      <c r="Z3041" s="497"/>
    </row>
    <row r="3042" spans="1:26" s="82" customFormat="1" ht="32" x14ac:dyDescent="0.4">
      <c r="A3042" s="493">
        <v>99999</v>
      </c>
      <c r="B3042" s="105" t="s">
        <v>329</v>
      </c>
      <c r="C3042" s="493" t="s">
        <v>330</v>
      </c>
      <c r="D3042" s="105" t="s">
        <v>3659</v>
      </c>
      <c r="E3042" s="105" t="s">
        <v>3659</v>
      </c>
      <c r="F3042" s="493">
        <v>99999</v>
      </c>
      <c r="G3042" s="105" t="s">
        <v>37</v>
      </c>
      <c r="H3042" s="105" t="s">
        <v>342</v>
      </c>
      <c r="I3042" s="105" t="s">
        <v>339</v>
      </c>
      <c r="J3042" s="493">
        <v>99999</v>
      </c>
      <c r="K3042" s="493">
        <v>2</v>
      </c>
      <c r="L3042" s="105" t="s">
        <v>343</v>
      </c>
      <c r="M3042" s="105" t="s">
        <v>295</v>
      </c>
      <c r="N3042" s="105" t="s">
        <v>236</v>
      </c>
      <c r="O3042" s="105" t="s">
        <v>236</v>
      </c>
      <c r="P3042" s="105" t="s">
        <v>388</v>
      </c>
      <c r="Q3042" s="494">
        <v>0</v>
      </c>
      <c r="R3042" s="494">
        <v>0</v>
      </c>
      <c r="S3042" s="494">
        <v>0</v>
      </c>
      <c r="T3042" s="494">
        <v>0</v>
      </c>
      <c r="U3042" s="494">
        <v>0</v>
      </c>
      <c r="V3042" s="493">
        <v>2024</v>
      </c>
      <c r="W3042" s="495"/>
      <c r="X3042" s="496"/>
      <c r="Y3042" s="497"/>
      <c r="Z3042" s="497"/>
    </row>
    <row r="3043" spans="1:26" s="82" customFormat="1" ht="32" x14ac:dyDescent="0.4">
      <c r="A3043" s="493">
        <v>99999</v>
      </c>
      <c r="B3043" s="105" t="s">
        <v>433</v>
      </c>
      <c r="C3043" s="493" t="s">
        <v>330</v>
      </c>
      <c r="D3043" s="105" t="s">
        <v>3659</v>
      </c>
      <c r="E3043" s="105" t="s">
        <v>3659</v>
      </c>
      <c r="F3043" s="493">
        <v>99999</v>
      </c>
      <c r="G3043" s="105" t="s">
        <v>34</v>
      </c>
      <c r="H3043" s="105" t="s">
        <v>342</v>
      </c>
      <c r="I3043" s="105" t="s">
        <v>339</v>
      </c>
      <c r="J3043" s="493">
        <v>99999</v>
      </c>
      <c r="K3043" s="493">
        <v>3</v>
      </c>
      <c r="L3043" s="105" t="s">
        <v>436</v>
      </c>
      <c r="M3043" s="105" t="s">
        <v>336</v>
      </c>
      <c r="N3043" s="105" t="s">
        <v>337</v>
      </c>
      <c r="O3043" s="105" t="s">
        <v>338</v>
      </c>
      <c r="P3043" s="105" t="s">
        <v>339</v>
      </c>
      <c r="Q3043" s="494">
        <v>0</v>
      </c>
      <c r="R3043" s="494">
        <v>0</v>
      </c>
      <c r="S3043" s="494">
        <v>104672</v>
      </c>
      <c r="T3043" s="494">
        <v>104672</v>
      </c>
      <c r="U3043" s="494">
        <v>30677.468000000001</v>
      </c>
      <c r="V3043" s="493">
        <v>2024</v>
      </c>
      <c r="W3043" s="495"/>
      <c r="X3043" s="496"/>
      <c r="Y3043" s="497"/>
      <c r="Z3043" s="497"/>
    </row>
    <row r="3044" spans="1:26" s="82" customFormat="1" ht="32" x14ac:dyDescent="0.4">
      <c r="A3044" s="493">
        <v>99999</v>
      </c>
      <c r="B3044" s="105" t="s">
        <v>329</v>
      </c>
      <c r="C3044" s="493" t="s">
        <v>330</v>
      </c>
      <c r="D3044" s="105" t="s">
        <v>3659</v>
      </c>
      <c r="E3044" s="105" t="s">
        <v>3659</v>
      </c>
      <c r="F3044" s="493">
        <v>99999</v>
      </c>
      <c r="G3044" s="105" t="s">
        <v>52</v>
      </c>
      <c r="H3044" s="105" t="s">
        <v>333</v>
      </c>
      <c r="I3044" s="105" t="s">
        <v>339</v>
      </c>
      <c r="J3044" s="493">
        <v>99999</v>
      </c>
      <c r="K3044" s="493">
        <v>2</v>
      </c>
      <c r="L3044" s="105" t="s">
        <v>343</v>
      </c>
      <c r="M3044" s="105" t="s">
        <v>336</v>
      </c>
      <c r="N3044" s="105" t="s">
        <v>337</v>
      </c>
      <c r="O3044" s="105" t="s">
        <v>338</v>
      </c>
      <c r="P3044" s="105" t="s">
        <v>339</v>
      </c>
      <c r="Q3044" s="494">
        <v>0</v>
      </c>
      <c r="R3044" s="494">
        <v>0</v>
      </c>
      <c r="S3044" s="494">
        <v>220016</v>
      </c>
      <c r="T3044" s="494">
        <v>220016</v>
      </c>
      <c r="U3044" s="494">
        <v>64483.74</v>
      </c>
      <c r="V3044" s="493">
        <v>2024</v>
      </c>
      <c r="W3044" s="495"/>
      <c r="X3044" s="496"/>
      <c r="Y3044" s="497"/>
      <c r="Z3044" s="497"/>
    </row>
    <row r="3045" spans="1:26" s="82" customFormat="1" ht="32" x14ac:dyDescent="0.4">
      <c r="A3045" s="493">
        <v>99999</v>
      </c>
      <c r="B3045" s="105" t="s">
        <v>329</v>
      </c>
      <c r="C3045" s="493" t="s">
        <v>330</v>
      </c>
      <c r="D3045" s="105" t="s">
        <v>3659</v>
      </c>
      <c r="E3045" s="105" t="s">
        <v>3659</v>
      </c>
      <c r="F3045" s="493">
        <v>99999</v>
      </c>
      <c r="G3045" s="105" t="s">
        <v>33</v>
      </c>
      <c r="H3045" s="105" t="s">
        <v>342</v>
      </c>
      <c r="I3045" s="105" t="s">
        <v>339</v>
      </c>
      <c r="J3045" s="493">
        <v>99999</v>
      </c>
      <c r="K3045" s="493">
        <v>2</v>
      </c>
      <c r="L3045" s="105" t="s">
        <v>343</v>
      </c>
      <c r="M3045" s="105" t="s">
        <v>336</v>
      </c>
      <c r="N3045" s="105" t="s">
        <v>337</v>
      </c>
      <c r="O3045" s="105" t="s">
        <v>338</v>
      </c>
      <c r="P3045" s="105" t="s">
        <v>339</v>
      </c>
      <c r="Q3045" s="494">
        <v>0</v>
      </c>
      <c r="R3045" s="494">
        <v>0</v>
      </c>
      <c r="S3045" s="494">
        <v>21229</v>
      </c>
      <c r="T3045" s="494">
        <v>21229</v>
      </c>
      <c r="U3045" s="494">
        <v>6221.8059999999996</v>
      </c>
      <c r="V3045" s="493">
        <v>2024</v>
      </c>
      <c r="W3045" s="495"/>
      <c r="X3045" s="496"/>
      <c r="Y3045" s="497"/>
      <c r="Z3045" s="497"/>
    </row>
    <row r="3046" spans="1:26" s="82" customFormat="1" ht="32" x14ac:dyDescent="0.4">
      <c r="A3046" s="493">
        <v>99999</v>
      </c>
      <c r="B3046" s="105" t="s">
        <v>329</v>
      </c>
      <c r="C3046" s="493" t="s">
        <v>330</v>
      </c>
      <c r="D3046" s="105" t="s">
        <v>3659</v>
      </c>
      <c r="E3046" s="105" t="s">
        <v>3659</v>
      </c>
      <c r="F3046" s="493">
        <v>99999</v>
      </c>
      <c r="G3046" s="105" t="s">
        <v>37</v>
      </c>
      <c r="H3046" s="105" t="s">
        <v>342</v>
      </c>
      <c r="I3046" s="105" t="s">
        <v>339</v>
      </c>
      <c r="J3046" s="493">
        <v>99999</v>
      </c>
      <c r="K3046" s="493">
        <v>2</v>
      </c>
      <c r="L3046" s="105" t="s">
        <v>343</v>
      </c>
      <c r="M3046" s="105" t="s">
        <v>336</v>
      </c>
      <c r="N3046" s="105" t="s">
        <v>337</v>
      </c>
      <c r="O3046" s="105" t="s">
        <v>338</v>
      </c>
      <c r="P3046" s="105" t="s">
        <v>339</v>
      </c>
      <c r="Q3046" s="494">
        <v>0</v>
      </c>
      <c r="R3046" s="494">
        <v>0</v>
      </c>
      <c r="S3046" s="494">
        <v>25516</v>
      </c>
      <c r="T3046" s="494">
        <v>25516</v>
      </c>
      <c r="U3046" s="494">
        <v>7477.8990000000003</v>
      </c>
      <c r="V3046" s="493">
        <v>2024</v>
      </c>
      <c r="W3046" s="495"/>
      <c r="X3046" s="496"/>
      <c r="Y3046" s="497"/>
      <c r="Z3046" s="497"/>
    </row>
    <row r="3047" spans="1:26" s="82" customFormat="1" ht="32" x14ac:dyDescent="0.4">
      <c r="A3047" s="493">
        <v>99999</v>
      </c>
      <c r="B3047" s="105" t="s">
        <v>329</v>
      </c>
      <c r="C3047" s="493" t="s">
        <v>330</v>
      </c>
      <c r="D3047" s="105" t="s">
        <v>3659</v>
      </c>
      <c r="E3047" s="105" t="s">
        <v>3659</v>
      </c>
      <c r="F3047" s="493">
        <v>99999</v>
      </c>
      <c r="G3047" s="105" t="s">
        <v>52</v>
      </c>
      <c r="H3047" s="105" t="s">
        <v>333</v>
      </c>
      <c r="I3047" s="105" t="s">
        <v>339</v>
      </c>
      <c r="J3047" s="493">
        <v>99999</v>
      </c>
      <c r="K3047" s="493">
        <v>4</v>
      </c>
      <c r="L3047" s="105" t="s">
        <v>766</v>
      </c>
      <c r="M3047" s="105" t="s">
        <v>359</v>
      </c>
      <c r="N3047" s="105" t="s">
        <v>226</v>
      </c>
      <c r="O3047" s="105" t="s">
        <v>226</v>
      </c>
      <c r="P3047" s="105" t="s">
        <v>350</v>
      </c>
      <c r="Q3047" s="494">
        <v>24</v>
      </c>
      <c r="R3047" s="494">
        <v>24</v>
      </c>
      <c r="S3047" s="494">
        <v>144</v>
      </c>
      <c r="T3047" s="494">
        <v>144</v>
      </c>
      <c r="U3047" s="494">
        <v>14.157999999999999</v>
      </c>
      <c r="V3047" s="493">
        <v>2024</v>
      </c>
      <c r="W3047" s="495"/>
      <c r="X3047" s="496"/>
      <c r="Y3047" s="497"/>
      <c r="Z3047" s="497"/>
    </row>
    <row r="3048" spans="1:26" s="82" customFormat="1" ht="32" x14ac:dyDescent="0.4">
      <c r="A3048" s="493">
        <v>99999</v>
      </c>
      <c r="B3048" s="105" t="s">
        <v>329</v>
      </c>
      <c r="C3048" s="493" t="s">
        <v>330</v>
      </c>
      <c r="D3048" s="105" t="s">
        <v>3659</v>
      </c>
      <c r="E3048" s="105" t="s">
        <v>3659</v>
      </c>
      <c r="F3048" s="493">
        <v>99999</v>
      </c>
      <c r="G3048" s="105" t="s">
        <v>52</v>
      </c>
      <c r="H3048" s="105" t="s">
        <v>333</v>
      </c>
      <c r="I3048" s="105" t="s">
        <v>339</v>
      </c>
      <c r="J3048" s="493">
        <v>99999</v>
      </c>
      <c r="K3048" s="493">
        <v>4</v>
      </c>
      <c r="L3048" s="105" t="s">
        <v>766</v>
      </c>
      <c r="M3048" s="105" t="s">
        <v>359</v>
      </c>
      <c r="N3048" s="105" t="s">
        <v>228</v>
      </c>
      <c r="O3048" s="105" t="s">
        <v>228</v>
      </c>
      <c r="P3048" s="105" t="s">
        <v>356</v>
      </c>
      <c r="Q3048" s="494">
        <v>10538</v>
      </c>
      <c r="R3048" s="494">
        <v>10538</v>
      </c>
      <c r="S3048" s="494">
        <v>10859</v>
      </c>
      <c r="T3048" s="494">
        <v>10859</v>
      </c>
      <c r="U3048" s="494">
        <v>1090.4549999999999</v>
      </c>
      <c r="V3048" s="493">
        <v>2024</v>
      </c>
      <c r="W3048" s="495"/>
      <c r="X3048" s="496"/>
      <c r="Y3048" s="497"/>
      <c r="Z3048" s="497"/>
    </row>
    <row r="3049" spans="1:26" s="82" customFormat="1" ht="32" x14ac:dyDescent="0.4">
      <c r="A3049" s="493">
        <v>99999</v>
      </c>
      <c r="B3049" s="105" t="s">
        <v>329</v>
      </c>
      <c r="C3049" s="493" t="s">
        <v>330</v>
      </c>
      <c r="D3049" s="105" t="s">
        <v>3659</v>
      </c>
      <c r="E3049" s="105" t="s">
        <v>3659</v>
      </c>
      <c r="F3049" s="493">
        <v>99999</v>
      </c>
      <c r="G3049" s="105" t="s">
        <v>34</v>
      </c>
      <c r="H3049" s="105" t="s">
        <v>342</v>
      </c>
      <c r="I3049" s="105" t="s">
        <v>339</v>
      </c>
      <c r="J3049" s="493">
        <v>99999</v>
      </c>
      <c r="K3049" s="493">
        <v>2</v>
      </c>
      <c r="L3049" s="105" t="s">
        <v>343</v>
      </c>
      <c r="M3049" s="105" t="s">
        <v>655</v>
      </c>
      <c r="N3049" s="105" t="s">
        <v>656</v>
      </c>
      <c r="O3049" s="105" t="s">
        <v>656</v>
      </c>
      <c r="P3049" s="105" t="s">
        <v>339</v>
      </c>
      <c r="Q3049" s="494">
        <v>0</v>
      </c>
      <c r="R3049" s="494">
        <v>0</v>
      </c>
      <c r="S3049" s="494">
        <v>7097</v>
      </c>
      <c r="T3049" s="494">
        <v>7097</v>
      </c>
      <c r="U3049" s="494">
        <v>2079.6979999999999</v>
      </c>
      <c r="V3049" s="493">
        <v>2024</v>
      </c>
      <c r="W3049" s="495"/>
      <c r="X3049" s="496"/>
      <c r="Y3049" s="497"/>
      <c r="Z3049" s="497"/>
    </row>
    <row r="3050" spans="1:26" s="82" customFormat="1" ht="32" x14ac:dyDescent="0.4">
      <c r="A3050" s="493">
        <v>99999</v>
      </c>
      <c r="B3050" s="105" t="s">
        <v>329</v>
      </c>
      <c r="C3050" s="493" t="s">
        <v>330</v>
      </c>
      <c r="D3050" s="105" t="s">
        <v>3659</v>
      </c>
      <c r="E3050" s="105" t="s">
        <v>3659</v>
      </c>
      <c r="F3050" s="493">
        <v>99999</v>
      </c>
      <c r="G3050" s="105" t="s">
        <v>52</v>
      </c>
      <c r="H3050" s="105" t="s">
        <v>333</v>
      </c>
      <c r="I3050" s="105" t="s">
        <v>339</v>
      </c>
      <c r="J3050" s="493">
        <v>99999</v>
      </c>
      <c r="K3050" s="493">
        <v>2</v>
      </c>
      <c r="L3050" s="105" t="s">
        <v>343</v>
      </c>
      <c r="M3050" s="105" t="s">
        <v>655</v>
      </c>
      <c r="N3050" s="105" t="s">
        <v>656</v>
      </c>
      <c r="O3050" s="105" t="s">
        <v>656</v>
      </c>
      <c r="P3050" s="105" t="s">
        <v>339</v>
      </c>
      <c r="Q3050" s="494">
        <v>0</v>
      </c>
      <c r="R3050" s="494">
        <v>0</v>
      </c>
      <c r="S3050" s="494">
        <v>95226</v>
      </c>
      <c r="T3050" s="494">
        <v>95226</v>
      </c>
      <c r="U3050" s="494">
        <v>27909.681</v>
      </c>
      <c r="V3050" s="493">
        <v>2024</v>
      </c>
      <c r="W3050" s="495"/>
      <c r="X3050" s="496"/>
      <c r="Y3050" s="497"/>
      <c r="Z3050" s="497"/>
    </row>
    <row r="3051" spans="1:26" s="82" customFormat="1" ht="32" x14ac:dyDescent="0.4">
      <c r="A3051" s="493">
        <v>99999</v>
      </c>
      <c r="B3051" s="105" t="s">
        <v>329</v>
      </c>
      <c r="C3051" s="493" t="s">
        <v>330</v>
      </c>
      <c r="D3051" s="105" t="s">
        <v>3659</v>
      </c>
      <c r="E3051" s="105" t="s">
        <v>3659</v>
      </c>
      <c r="F3051" s="493">
        <v>99999</v>
      </c>
      <c r="G3051" s="105" t="s">
        <v>36</v>
      </c>
      <c r="H3051" s="105" t="s">
        <v>342</v>
      </c>
      <c r="I3051" s="105" t="s">
        <v>339</v>
      </c>
      <c r="J3051" s="493">
        <v>99999</v>
      </c>
      <c r="K3051" s="493">
        <v>2</v>
      </c>
      <c r="L3051" s="105" t="s">
        <v>343</v>
      </c>
      <c r="M3051" s="105" t="s">
        <v>655</v>
      </c>
      <c r="N3051" s="105" t="s">
        <v>656</v>
      </c>
      <c r="O3051" s="105" t="s">
        <v>656</v>
      </c>
      <c r="P3051" s="105" t="s">
        <v>339</v>
      </c>
      <c r="Q3051" s="494">
        <v>0</v>
      </c>
      <c r="R3051" s="494">
        <v>0</v>
      </c>
      <c r="S3051" s="494">
        <v>5515</v>
      </c>
      <c r="T3051" s="494">
        <v>5515</v>
      </c>
      <c r="U3051" s="494">
        <v>1616.107</v>
      </c>
      <c r="V3051" s="493">
        <v>2024</v>
      </c>
      <c r="W3051" s="495"/>
      <c r="X3051" s="496"/>
      <c r="Y3051" s="497"/>
      <c r="Z3051" s="497"/>
    </row>
    <row r="3052" spans="1:26" s="82" customFormat="1" ht="32" x14ac:dyDescent="0.4">
      <c r="A3052" s="493">
        <v>99999</v>
      </c>
      <c r="B3052" s="105" t="s">
        <v>329</v>
      </c>
      <c r="C3052" s="493" t="s">
        <v>330</v>
      </c>
      <c r="D3052" s="105" t="s">
        <v>3659</v>
      </c>
      <c r="E3052" s="105" t="s">
        <v>3659</v>
      </c>
      <c r="F3052" s="493">
        <v>99999</v>
      </c>
      <c r="G3052" s="105" t="s">
        <v>33</v>
      </c>
      <c r="H3052" s="105" t="s">
        <v>342</v>
      </c>
      <c r="I3052" s="105" t="s">
        <v>339</v>
      </c>
      <c r="J3052" s="493">
        <v>99999</v>
      </c>
      <c r="K3052" s="493">
        <v>2</v>
      </c>
      <c r="L3052" s="105" t="s">
        <v>343</v>
      </c>
      <c r="M3052" s="105" t="s">
        <v>655</v>
      </c>
      <c r="N3052" s="105" t="s">
        <v>656</v>
      </c>
      <c r="O3052" s="105" t="s">
        <v>656</v>
      </c>
      <c r="P3052" s="105" t="s">
        <v>339</v>
      </c>
      <c r="Q3052" s="494">
        <v>0</v>
      </c>
      <c r="R3052" s="494">
        <v>0</v>
      </c>
      <c r="S3052" s="494">
        <v>46063</v>
      </c>
      <c r="T3052" s="494">
        <v>46063</v>
      </c>
      <c r="U3052" s="494">
        <v>13500.777</v>
      </c>
      <c r="V3052" s="493">
        <v>2024</v>
      </c>
      <c r="W3052" s="495"/>
      <c r="X3052" s="496"/>
      <c r="Y3052" s="497"/>
      <c r="Z3052" s="497"/>
    </row>
    <row r="3053" spans="1:26" s="82" customFormat="1" ht="32" x14ac:dyDescent="0.4">
      <c r="A3053" s="493">
        <v>99999</v>
      </c>
      <c r="B3053" s="105" t="s">
        <v>329</v>
      </c>
      <c r="C3053" s="493" t="s">
        <v>330</v>
      </c>
      <c r="D3053" s="105" t="s">
        <v>3659</v>
      </c>
      <c r="E3053" s="105" t="s">
        <v>3659</v>
      </c>
      <c r="F3053" s="493">
        <v>99999</v>
      </c>
      <c r="G3053" s="105" t="s">
        <v>37</v>
      </c>
      <c r="H3053" s="105" t="s">
        <v>342</v>
      </c>
      <c r="I3053" s="105" t="s">
        <v>339</v>
      </c>
      <c r="J3053" s="493">
        <v>99999</v>
      </c>
      <c r="K3053" s="493">
        <v>4</v>
      </c>
      <c r="L3053" s="105" t="s">
        <v>766</v>
      </c>
      <c r="M3053" s="105" t="s">
        <v>655</v>
      </c>
      <c r="N3053" s="105" t="s">
        <v>656</v>
      </c>
      <c r="O3053" s="105" t="s">
        <v>656</v>
      </c>
      <c r="P3053" s="105" t="s">
        <v>339</v>
      </c>
      <c r="Q3053" s="494">
        <v>0</v>
      </c>
      <c r="R3053" s="494">
        <v>0</v>
      </c>
      <c r="S3053" s="494">
        <v>17520</v>
      </c>
      <c r="T3053" s="494">
        <v>17520</v>
      </c>
      <c r="U3053" s="494">
        <v>5134.33</v>
      </c>
      <c r="V3053" s="493">
        <v>2024</v>
      </c>
      <c r="W3053" s="495"/>
      <c r="X3053" s="496"/>
      <c r="Y3053" s="497"/>
      <c r="Z3053" s="497"/>
    </row>
    <row r="3054" spans="1:26" s="82" customFormat="1" ht="32" x14ac:dyDescent="0.4">
      <c r="A3054" s="493">
        <v>99999</v>
      </c>
      <c r="B3054" s="105" t="s">
        <v>329</v>
      </c>
      <c r="C3054" s="493" t="s">
        <v>330</v>
      </c>
      <c r="D3054" s="105" t="s">
        <v>3659</v>
      </c>
      <c r="E3054" s="105" t="s">
        <v>3659</v>
      </c>
      <c r="F3054" s="493">
        <v>99999</v>
      </c>
      <c r="G3054" s="105" t="s">
        <v>37</v>
      </c>
      <c r="H3054" s="105" t="s">
        <v>342</v>
      </c>
      <c r="I3054" s="105" t="s">
        <v>339</v>
      </c>
      <c r="J3054" s="493">
        <v>99999</v>
      </c>
      <c r="K3054" s="493">
        <v>2</v>
      </c>
      <c r="L3054" s="105" t="s">
        <v>343</v>
      </c>
      <c r="M3054" s="105" t="s">
        <v>655</v>
      </c>
      <c r="N3054" s="105" t="s">
        <v>656</v>
      </c>
      <c r="O3054" s="105" t="s">
        <v>656</v>
      </c>
      <c r="P3054" s="105" t="s">
        <v>339</v>
      </c>
      <c r="Q3054" s="494">
        <v>0</v>
      </c>
      <c r="R3054" s="494">
        <v>0</v>
      </c>
      <c r="S3054" s="494">
        <v>6017</v>
      </c>
      <c r="T3054" s="494">
        <v>6017</v>
      </c>
      <c r="U3054" s="494">
        <v>1763.191</v>
      </c>
      <c r="V3054" s="493">
        <v>2024</v>
      </c>
      <c r="W3054" s="495"/>
      <c r="X3054" s="496"/>
      <c r="Y3054" s="497"/>
      <c r="Z3054" s="497"/>
    </row>
    <row r="3055" spans="1:26" s="82" customFormat="1" ht="32" x14ac:dyDescent="0.4">
      <c r="A3055" s="493">
        <v>99999</v>
      </c>
      <c r="B3055" s="105" t="s">
        <v>433</v>
      </c>
      <c r="C3055" s="493" t="s">
        <v>330</v>
      </c>
      <c r="D3055" s="105" t="s">
        <v>3659</v>
      </c>
      <c r="E3055" s="105" t="s">
        <v>3659</v>
      </c>
      <c r="F3055" s="493">
        <v>99999</v>
      </c>
      <c r="G3055" s="105" t="s">
        <v>34</v>
      </c>
      <c r="H3055" s="105" t="s">
        <v>342</v>
      </c>
      <c r="I3055" s="105" t="s">
        <v>339</v>
      </c>
      <c r="J3055" s="493">
        <v>99999</v>
      </c>
      <c r="K3055" s="493">
        <v>3</v>
      </c>
      <c r="L3055" s="105" t="s">
        <v>436</v>
      </c>
      <c r="M3055" s="105" t="s">
        <v>360</v>
      </c>
      <c r="N3055" s="105" t="s">
        <v>222</v>
      </c>
      <c r="O3055" s="105" t="s">
        <v>479</v>
      </c>
      <c r="P3055" s="105" t="s">
        <v>388</v>
      </c>
      <c r="Q3055" s="494">
        <v>0</v>
      </c>
      <c r="R3055" s="494">
        <v>0</v>
      </c>
      <c r="S3055" s="494">
        <v>0</v>
      </c>
      <c r="T3055" s="494">
        <v>0</v>
      </c>
      <c r="U3055" s="494">
        <v>0</v>
      </c>
      <c r="V3055" s="493">
        <v>2024</v>
      </c>
      <c r="W3055" s="495"/>
      <c r="X3055" s="496"/>
      <c r="Y3055" s="497"/>
      <c r="Z3055" s="497"/>
    </row>
    <row r="3056" spans="1:26" s="82" customFormat="1" ht="32" x14ac:dyDescent="0.4">
      <c r="A3056" s="493">
        <v>99999</v>
      </c>
      <c r="B3056" s="105" t="s">
        <v>433</v>
      </c>
      <c r="C3056" s="493" t="s">
        <v>330</v>
      </c>
      <c r="D3056" s="105" t="s">
        <v>3659</v>
      </c>
      <c r="E3056" s="105" t="s">
        <v>3659</v>
      </c>
      <c r="F3056" s="493">
        <v>99999</v>
      </c>
      <c r="G3056" s="105" t="s">
        <v>34</v>
      </c>
      <c r="H3056" s="105" t="s">
        <v>342</v>
      </c>
      <c r="I3056" s="105" t="s">
        <v>339</v>
      </c>
      <c r="J3056" s="493">
        <v>99999</v>
      </c>
      <c r="K3056" s="493">
        <v>3</v>
      </c>
      <c r="L3056" s="105" t="s">
        <v>436</v>
      </c>
      <c r="M3056" s="105" t="s">
        <v>360</v>
      </c>
      <c r="N3056" s="105" t="s">
        <v>226</v>
      </c>
      <c r="O3056" s="105" t="s">
        <v>226</v>
      </c>
      <c r="P3056" s="105" t="s">
        <v>350</v>
      </c>
      <c r="Q3056" s="494">
        <v>0</v>
      </c>
      <c r="R3056" s="494">
        <v>0</v>
      </c>
      <c r="S3056" s="494">
        <v>0</v>
      </c>
      <c r="T3056" s="494">
        <v>0</v>
      </c>
      <c r="U3056" s="494">
        <v>0</v>
      </c>
      <c r="V3056" s="493">
        <v>2024</v>
      </c>
      <c r="W3056" s="495"/>
      <c r="X3056" s="496"/>
      <c r="Y3056" s="497"/>
      <c r="Z3056" s="497"/>
    </row>
    <row r="3057" spans="1:26" s="82" customFormat="1" ht="32" x14ac:dyDescent="0.4">
      <c r="A3057" s="493">
        <v>99999</v>
      </c>
      <c r="B3057" s="105" t="s">
        <v>433</v>
      </c>
      <c r="C3057" s="493" t="s">
        <v>330</v>
      </c>
      <c r="D3057" s="105" t="s">
        <v>3659</v>
      </c>
      <c r="E3057" s="105" t="s">
        <v>3659</v>
      </c>
      <c r="F3057" s="493">
        <v>99999</v>
      </c>
      <c r="G3057" s="105" t="s">
        <v>37</v>
      </c>
      <c r="H3057" s="105" t="s">
        <v>342</v>
      </c>
      <c r="I3057" s="105" t="s">
        <v>339</v>
      </c>
      <c r="J3057" s="493">
        <v>99999</v>
      </c>
      <c r="K3057" s="493">
        <v>7</v>
      </c>
      <c r="L3057" s="105" t="s">
        <v>727</v>
      </c>
      <c r="M3057" s="105" t="s">
        <v>360</v>
      </c>
      <c r="N3057" s="105" t="s">
        <v>226</v>
      </c>
      <c r="O3057" s="105" t="s">
        <v>226</v>
      </c>
      <c r="P3057" s="105" t="s">
        <v>350</v>
      </c>
      <c r="Q3057" s="494">
        <v>0</v>
      </c>
      <c r="R3057" s="494">
        <v>0</v>
      </c>
      <c r="S3057" s="494">
        <v>0</v>
      </c>
      <c r="T3057" s="494">
        <v>0</v>
      </c>
      <c r="U3057" s="494">
        <v>0</v>
      </c>
      <c r="V3057" s="493">
        <v>2024</v>
      </c>
      <c r="W3057" s="495"/>
      <c r="X3057" s="496"/>
      <c r="Y3057" s="497"/>
      <c r="Z3057" s="497"/>
    </row>
    <row r="3058" spans="1:26" s="82" customFormat="1" ht="32" x14ac:dyDescent="0.4">
      <c r="A3058" s="493">
        <v>99999</v>
      </c>
      <c r="B3058" s="105" t="s">
        <v>329</v>
      </c>
      <c r="C3058" s="493" t="s">
        <v>330</v>
      </c>
      <c r="D3058" s="105" t="s">
        <v>3659</v>
      </c>
      <c r="E3058" s="105" t="s">
        <v>3659</v>
      </c>
      <c r="F3058" s="493">
        <v>99999</v>
      </c>
      <c r="G3058" s="105" t="s">
        <v>37</v>
      </c>
      <c r="H3058" s="105" t="s">
        <v>342</v>
      </c>
      <c r="I3058" s="105" t="s">
        <v>339</v>
      </c>
      <c r="J3058" s="493">
        <v>99999</v>
      </c>
      <c r="K3058" s="493">
        <v>2</v>
      </c>
      <c r="L3058" s="105" t="s">
        <v>343</v>
      </c>
      <c r="M3058" s="105" t="s">
        <v>360</v>
      </c>
      <c r="N3058" s="105" t="s">
        <v>226</v>
      </c>
      <c r="O3058" s="105" t="s">
        <v>226</v>
      </c>
      <c r="P3058" s="105" t="s">
        <v>350</v>
      </c>
      <c r="Q3058" s="494">
        <v>0</v>
      </c>
      <c r="R3058" s="494">
        <v>0</v>
      </c>
      <c r="S3058" s="494">
        <v>0</v>
      </c>
      <c r="T3058" s="494">
        <v>0</v>
      </c>
      <c r="U3058" s="494">
        <v>0</v>
      </c>
      <c r="V3058" s="493">
        <v>2024</v>
      </c>
      <c r="W3058" s="495"/>
      <c r="X3058" s="496"/>
      <c r="Y3058" s="497"/>
      <c r="Z3058" s="497"/>
    </row>
    <row r="3059" spans="1:26" s="82" customFormat="1" ht="32" x14ac:dyDescent="0.4">
      <c r="A3059" s="493">
        <v>99999</v>
      </c>
      <c r="B3059" s="105" t="s">
        <v>329</v>
      </c>
      <c r="C3059" s="493" t="s">
        <v>330</v>
      </c>
      <c r="D3059" s="105" t="s">
        <v>3659</v>
      </c>
      <c r="E3059" s="105" t="s">
        <v>3659</v>
      </c>
      <c r="F3059" s="493">
        <v>99999</v>
      </c>
      <c r="G3059" s="105" t="s">
        <v>52</v>
      </c>
      <c r="H3059" s="105" t="s">
        <v>333</v>
      </c>
      <c r="I3059" s="105" t="s">
        <v>339</v>
      </c>
      <c r="J3059" s="493">
        <v>99999</v>
      </c>
      <c r="K3059" s="493">
        <v>1</v>
      </c>
      <c r="L3059" s="105" t="s">
        <v>335</v>
      </c>
      <c r="M3059" s="105" t="s">
        <v>360</v>
      </c>
      <c r="N3059" s="105" t="s">
        <v>242</v>
      </c>
      <c r="O3059" s="105" t="s">
        <v>349</v>
      </c>
      <c r="P3059" s="105" t="s">
        <v>350</v>
      </c>
      <c r="Q3059" s="494">
        <v>0</v>
      </c>
      <c r="R3059" s="494">
        <v>0</v>
      </c>
      <c r="S3059" s="494">
        <v>0</v>
      </c>
      <c r="T3059" s="494">
        <v>0</v>
      </c>
      <c r="U3059" s="494">
        <v>0</v>
      </c>
      <c r="V3059" s="493">
        <v>2024</v>
      </c>
      <c r="W3059" s="495"/>
      <c r="X3059" s="496"/>
      <c r="Y3059" s="497"/>
      <c r="Z3059" s="497"/>
    </row>
    <row r="3060" spans="1:26" s="82" customFormat="1" ht="32" x14ac:dyDescent="0.4">
      <c r="A3060" s="493">
        <v>99999</v>
      </c>
      <c r="B3060" s="105" t="s">
        <v>329</v>
      </c>
      <c r="C3060" s="493" t="s">
        <v>330</v>
      </c>
      <c r="D3060" s="105" t="s">
        <v>3659</v>
      </c>
      <c r="E3060" s="105" t="s">
        <v>3659</v>
      </c>
      <c r="F3060" s="493">
        <v>99999</v>
      </c>
      <c r="G3060" s="105" t="s">
        <v>34</v>
      </c>
      <c r="H3060" s="105" t="s">
        <v>342</v>
      </c>
      <c r="I3060" s="105" t="s">
        <v>339</v>
      </c>
      <c r="J3060" s="493">
        <v>99999</v>
      </c>
      <c r="K3060" s="493">
        <v>2</v>
      </c>
      <c r="L3060" s="105" t="s">
        <v>343</v>
      </c>
      <c r="M3060" s="105" t="s">
        <v>360</v>
      </c>
      <c r="N3060" s="105" t="s">
        <v>254</v>
      </c>
      <c r="O3060" s="105" t="s">
        <v>688</v>
      </c>
      <c r="P3060" s="105" t="s">
        <v>388</v>
      </c>
      <c r="Q3060" s="494">
        <v>0</v>
      </c>
      <c r="R3060" s="494">
        <v>0</v>
      </c>
      <c r="S3060" s="494">
        <v>0</v>
      </c>
      <c r="T3060" s="494">
        <v>0</v>
      </c>
      <c r="U3060" s="494">
        <v>3204.848</v>
      </c>
      <c r="V3060" s="493">
        <v>2024</v>
      </c>
      <c r="W3060" s="495"/>
      <c r="X3060" s="496"/>
      <c r="Y3060" s="497"/>
      <c r="Z3060" s="497"/>
    </row>
    <row r="3061" spans="1:26" s="82" customFormat="1" ht="32" x14ac:dyDescent="0.4">
      <c r="A3061" s="493">
        <v>99999</v>
      </c>
      <c r="B3061" s="105" t="s">
        <v>329</v>
      </c>
      <c r="C3061" s="493" t="s">
        <v>330</v>
      </c>
      <c r="D3061" s="105" t="s">
        <v>3659</v>
      </c>
      <c r="E3061" s="105" t="s">
        <v>3659</v>
      </c>
      <c r="F3061" s="493">
        <v>99999</v>
      </c>
      <c r="G3061" s="105" t="s">
        <v>34</v>
      </c>
      <c r="H3061" s="105" t="s">
        <v>342</v>
      </c>
      <c r="I3061" s="105" t="s">
        <v>339</v>
      </c>
      <c r="J3061" s="493">
        <v>99999</v>
      </c>
      <c r="K3061" s="493">
        <v>2</v>
      </c>
      <c r="L3061" s="105" t="s">
        <v>343</v>
      </c>
      <c r="M3061" s="105" t="s">
        <v>360</v>
      </c>
      <c r="N3061" s="105" t="s">
        <v>230</v>
      </c>
      <c r="O3061" s="105" t="s">
        <v>232</v>
      </c>
      <c r="P3061" s="105" t="s">
        <v>388</v>
      </c>
      <c r="Q3061" s="494">
        <v>0</v>
      </c>
      <c r="R3061" s="494">
        <v>0</v>
      </c>
      <c r="S3061" s="494">
        <v>0</v>
      </c>
      <c r="T3061" s="494">
        <v>0</v>
      </c>
      <c r="U3061" s="494">
        <v>3994.5810000000001</v>
      </c>
      <c r="V3061" s="493">
        <v>2024</v>
      </c>
      <c r="W3061" s="495"/>
      <c r="X3061" s="496"/>
      <c r="Y3061" s="497"/>
      <c r="Z3061" s="497"/>
    </row>
    <row r="3062" spans="1:26" s="82" customFormat="1" ht="32" x14ac:dyDescent="0.4">
      <c r="A3062" s="493">
        <v>99999</v>
      </c>
      <c r="B3062" s="105" t="s">
        <v>433</v>
      </c>
      <c r="C3062" s="493" t="s">
        <v>330</v>
      </c>
      <c r="D3062" s="105" t="s">
        <v>3659</v>
      </c>
      <c r="E3062" s="105" t="s">
        <v>3659</v>
      </c>
      <c r="F3062" s="493">
        <v>99999</v>
      </c>
      <c r="G3062" s="105" t="s">
        <v>38</v>
      </c>
      <c r="H3062" s="105" t="s">
        <v>342</v>
      </c>
      <c r="I3062" s="105" t="s">
        <v>339</v>
      </c>
      <c r="J3062" s="493">
        <v>99999</v>
      </c>
      <c r="K3062" s="493">
        <v>5</v>
      </c>
      <c r="L3062" s="105" t="s">
        <v>771</v>
      </c>
      <c r="M3062" s="105" t="s">
        <v>360</v>
      </c>
      <c r="N3062" s="105" t="s">
        <v>228</v>
      </c>
      <c r="O3062" s="105" t="s">
        <v>228</v>
      </c>
      <c r="P3062" s="105" t="s">
        <v>356</v>
      </c>
      <c r="Q3062" s="494">
        <v>197847</v>
      </c>
      <c r="R3062" s="494">
        <v>28328</v>
      </c>
      <c r="S3062" s="494">
        <v>203387</v>
      </c>
      <c r="T3062" s="494">
        <v>29121</v>
      </c>
      <c r="U3062" s="494">
        <v>5381.1750000000002</v>
      </c>
      <c r="V3062" s="493">
        <v>2024</v>
      </c>
      <c r="W3062" s="495"/>
      <c r="X3062" s="496"/>
      <c r="Y3062" s="497"/>
      <c r="Z3062" s="497"/>
    </row>
    <row r="3063" spans="1:26" s="82" customFormat="1" ht="32" x14ac:dyDescent="0.4">
      <c r="A3063" s="493">
        <v>99999</v>
      </c>
      <c r="B3063" s="105" t="s">
        <v>433</v>
      </c>
      <c r="C3063" s="493" t="s">
        <v>330</v>
      </c>
      <c r="D3063" s="105" t="s">
        <v>3659</v>
      </c>
      <c r="E3063" s="105" t="s">
        <v>3659</v>
      </c>
      <c r="F3063" s="493">
        <v>99999</v>
      </c>
      <c r="G3063" s="105" t="s">
        <v>37</v>
      </c>
      <c r="H3063" s="105" t="s">
        <v>342</v>
      </c>
      <c r="I3063" s="105" t="s">
        <v>339</v>
      </c>
      <c r="J3063" s="493">
        <v>99999</v>
      </c>
      <c r="K3063" s="493">
        <v>7</v>
      </c>
      <c r="L3063" s="105" t="s">
        <v>727</v>
      </c>
      <c r="M3063" s="105" t="s">
        <v>360</v>
      </c>
      <c r="N3063" s="105" t="s">
        <v>228</v>
      </c>
      <c r="O3063" s="105" t="s">
        <v>228</v>
      </c>
      <c r="P3063" s="105" t="s">
        <v>356</v>
      </c>
      <c r="Q3063" s="494">
        <v>0</v>
      </c>
      <c r="R3063" s="494">
        <v>0</v>
      </c>
      <c r="S3063" s="494">
        <v>0</v>
      </c>
      <c r="T3063" s="494">
        <v>0</v>
      </c>
      <c r="U3063" s="494">
        <v>0</v>
      </c>
      <c r="V3063" s="493">
        <v>2024</v>
      </c>
      <c r="W3063" s="495"/>
      <c r="X3063" s="496"/>
      <c r="Y3063" s="497"/>
      <c r="Z3063" s="497"/>
    </row>
    <row r="3064" spans="1:26" s="82" customFormat="1" ht="32" x14ac:dyDescent="0.4">
      <c r="A3064" s="493">
        <v>99999</v>
      </c>
      <c r="B3064" s="105" t="s">
        <v>329</v>
      </c>
      <c r="C3064" s="493" t="s">
        <v>330</v>
      </c>
      <c r="D3064" s="105" t="s">
        <v>3659</v>
      </c>
      <c r="E3064" s="105" t="s">
        <v>3659</v>
      </c>
      <c r="F3064" s="493">
        <v>99999</v>
      </c>
      <c r="G3064" s="105" t="s">
        <v>34</v>
      </c>
      <c r="H3064" s="105" t="s">
        <v>342</v>
      </c>
      <c r="I3064" s="105" t="s">
        <v>339</v>
      </c>
      <c r="J3064" s="493">
        <v>99999</v>
      </c>
      <c r="K3064" s="493">
        <v>2</v>
      </c>
      <c r="L3064" s="105" t="s">
        <v>343</v>
      </c>
      <c r="M3064" s="105" t="s">
        <v>360</v>
      </c>
      <c r="N3064" s="105" t="s">
        <v>228</v>
      </c>
      <c r="O3064" s="105" t="s">
        <v>228</v>
      </c>
      <c r="P3064" s="105" t="s">
        <v>356</v>
      </c>
      <c r="Q3064" s="494">
        <v>1831</v>
      </c>
      <c r="R3064" s="494">
        <v>1831</v>
      </c>
      <c r="S3064" s="494">
        <v>1901</v>
      </c>
      <c r="T3064" s="494">
        <v>1901</v>
      </c>
      <c r="U3064" s="494">
        <v>98.364999999999995</v>
      </c>
      <c r="V3064" s="493">
        <v>2024</v>
      </c>
      <c r="W3064" s="495"/>
      <c r="X3064" s="496"/>
      <c r="Y3064" s="497"/>
      <c r="Z3064" s="497"/>
    </row>
    <row r="3065" spans="1:26" s="82" customFormat="1" ht="32" x14ac:dyDescent="0.4">
      <c r="A3065" s="493">
        <v>99999</v>
      </c>
      <c r="B3065" s="105" t="s">
        <v>329</v>
      </c>
      <c r="C3065" s="493" t="s">
        <v>330</v>
      </c>
      <c r="D3065" s="105" t="s">
        <v>3659</v>
      </c>
      <c r="E3065" s="105" t="s">
        <v>3659</v>
      </c>
      <c r="F3065" s="493">
        <v>99999</v>
      </c>
      <c r="G3065" s="105" t="s">
        <v>37</v>
      </c>
      <c r="H3065" s="105" t="s">
        <v>342</v>
      </c>
      <c r="I3065" s="105" t="s">
        <v>339</v>
      </c>
      <c r="J3065" s="493">
        <v>99999</v>
      </c>
      <c r="K3065" s="493">
        <v>2</v>
      </c>
      <c r="L3065" s="105" t="s">
        <v>343</v>
      </c>
      <c r="M3065" s="105" t="s">
        <v>360</v>
      </c>
      <c r="N3065" s="105" t="s">
        <v>228</v>
      </c>
      <c r="O3065" s="105" t="s">
        <v>228</v>
      </c>
      <c r="P3065" s="105" t="s">
        <v>356</v>
      </c>
      <c r="Q3065" s="494">
        <v>73235</v>
      </c>
      <c r="R3065" s="494">
        <v>73235</v>
      </c>
      <c r="S3065" s="494">
        <v>75505</v>
      </c>
      <c r="T3065" s="494">
        <v>75505</v>
      </c>
      <c r="U3065" s="494">
        <v>7508.4650000000001</v>
      </c>
      <c r="V3065" s="493">
        <v>2024</v>
      </c>
      <c r="W3065" s="495"/>
      <c r="X3065" s="496"/>
      <c r="Y3065" s="497"/>
      <c r="Z3065" s="497"/>
    </row>
    <row r="3066" spans="1:26" s="82" customFormat="1" ht="32" x14ac:dyDescent="0.4">
      <c r="A3066" s="493">
        <v>99999</v>
      </c>
      <c r="B3066" s="105" t="s">
        <v>329</v>
      </c>
      <c r="C3066" s="493" t="s">
        <v>330</v>
      </c>
      <c r="D3066" s="105" t="s">
        <v>3659</v>
      </c>
      <c r="E3066" s="105" t="s">
        <v>3659</v>
      </c>
      <c r="F3066" s="493">
        <v>99999</v>
      </c>
      <c r="G3066" s="105" t="s">
        <v>37</v>
      </c>
      <c r="H3066" s="105" t="s">
        <v>342</v>
      </c>
      <c r="I3066" s="105" t="s">
        <v>339</v>
      </c>
      <c r="J3066" s="493">
        <v>99999</v>
      </c>
      <c r="K3066" s="493">
        <v>2</v>
      </c>
      <c r="L3066" s="105" t="s">
        <v>343</v>
      </c>
      <c r="M3066" s="105" t="s">
        <v>360</v>
      </c>
      <c r="N3066" s="105" t="s">
        <v>236</v>
      </c>
      <c r="O3066" s="105" t="s">
        <v>236</v>
      </c>
      <c r="P3066" s="105" t="s">
        <v>388</v>
      </c>
      <c r="Q3066" s="494">
        <v>0</v>
      </c>
      <c r="R3066" s="494">
        <v>0</v>
      </c>
      <c r="S3066" s="494">
        <v>0</v>
      </c>
      <c r="T3066" s="494">
        <v>0</v>
      </c>
      <c r="U3066" s="494">
        <v>0</v>
      </c>
      <c r="V3066" s="493">
        <v>2024</v>
      </c>
      <c r="W3066" s="495"/>
      <c r="X3066" s="496"/>
      <c r="Y3066" s="497"/>
      <c r="Z3066" s="497"/>
    </row>
    <row r="3067" spans="1:26" s="82" customFormat="1" ht="32" x14ac:dyDescent="0.4">
      <c r="A3067" s="493">
        <v>99999</v>
      </c>
      <c r="B3067" s="105" t="s">
        <v>433</v>
      </c>
      <c r="C3067" s="493" t="s">
        <v>330</v>
      </c>
      <c r="D3067" s="105" t="s">
        <v>3659</v>
      </c>
      <c r="E3067" s="105" t="s">
        <v>3659</v>
      </c>
      <c r="F3067" s="493">
        <v>99999</v>
      </c>
      <c r="G3067" s="105" t="s">
        <v>34</v>
      </c>
      <c r="H3067" s="105" t="s">
        <v>342</v>
      </c>
      <c r="I3067" s="105" t="s">
        <v>339</v>
      </c>
      <c r="J3067" s="493">
        <v>99999</v>
      </c>
      <c r="K3067" s="493">
        <v>3</v>
      </c>
      <c r="L3067" s="105" t="s">
        <v>436</v>
      </c>
      <c r="M3067" s="105" t="s">
        <v>360</v>
      </c>
      <c r="N3067" s="105" t="s">
        <v>238</v>
      </c>
      <c r="O3067" s="105" t="s">
        <v>238</v>
      </c>
      <c r="P3067" s="105" t="s">
        <v>350</v>
      </c>
      <c r="Q3067" s="494">
        <v>0</v>
      </c>
      <c r="R3067" s="494">
        <v>0</v>
      </c>
      <c r="S3067" s="494">
        <v>0</v>
      </c>
      <c r="T3067" s="494">
        <v>0</v>
      </c>
      <c r="U3067" s="494">
        <v>0</v>
      </c>
      <c r="V3067" s="493">
        <v>2024</v>
      </c>
      <c r="W3067" s="495"/>
      <c r="X3067" s="496"/>
      <c r="Y3067" s="497"/>
      <c r="Z3067" s="497"/>
    </row>
    <row r="3068" spans="1:26" s="82" customFormat="1" ht="32" x14ac:dyDescent="0.4">
      <c r="A3068" s="493">
        <v>99999</v>
      </c>
      <c r="B3068" s="105" t="s">
        <v>433</v>
      </c>
      <c r="C3068" s="493" t="s">
        <v>330</v>
      </c>
      <c r="D3068" s="105" t="s">
        <v>3659</v>
      </c>
      <c r="E3068" s="105" t="s">
        <v>3659</v>
      </c>
      <c r="F3068" s="493">
        <v>99999</v>
      </c>
      <c r="G3068" s="105" t="s">
        <v>38</v>
      </c>
      <c r="H3068" s="105" t="s">
        <v>342</v>
      </c>
      <c r="I3068" s="105" t="s">
        <v>339</v>
      </c>
      <c r="J3068" s="493">
        <v>99999</v>
      </c>
      <c r="K3068" s="493">
        <v>5</v>
      </c>
      <c r="L3068" s="105" t="s">
        <v>771</v>
      </c>
      <c r="M3068" s="105" t="s">
        <v>360</v>
      </c>
      <c r="N3068" s="105" t="s">
        <v>238</v>
      </c>
      <c r="O3068" s="105" t="s">
        <v>238</v>
      </c>
      <c r="P3068" s="105" t="s">
        <v>350</v>
      </c>
      <c r="Q3068" s="494">
        <v>2780</v>
      </c>
      <c r="R3068" s="494">
        <v>343</v>
      </c>
      <c r="S3068" s="494">
        <v>17350</v>
      </c>
      <c r="T3068" s="494">
        <v>2140</v>
      </c>
      <c r="U3068" s="494">
        <v>395.59300000000002</v>
      </c>
      <c r="V3068" s="493">
        <v>2024</v>
      </c>
      <c r="W3068" s="495"/>
      <c r="X3068" s="496"/>
      <c r="Y3068" s="497"/>
      <c r="Z3068" s="497"/>
    </row>
    <row r="3069" spans="1:26" s="82" customFormat="1" ht="32" x14ac:dyDescent="0.4">
      <c r="A3069" s="493">
        <v>99999</v>
      </c>
      <c r="B3069" s="105" t="s">
        <v>329</v>
      </c>
      <c r="C3069" s="493" t="s">
        <v>330</v>
      </c>
      <c r="D3069" s="105" t="s">
        <v>3659</v>
      </c>
      <c r="E3069" s="105" t="s">
        <v>3659</v>
      </c>
      <c r="F3069" s="493">
        <v>99999</v>
      </c>
      <c r="G3069" s="105" t="s">
        <v>37</v>
      </c>
      <c r="H3069" s="105" t="s">
        <v>342</v>
      </c>
      <c r="I3069" s="105" t="s">
        <v>339</v>
      </c>
      <c r="J3069" s="493">
        <v>99999</v>
      </c>
      <c r="K3069" s="493">
        <v>2</v>
      </c>
      <c r="L3069" s="105" t="s">
        <v>343</v>
      </c>
      <c r="M3069" s="105" t="s">
        <v>360</v>
      </c>
      <c r="N3069" s="105" t="s">
        <v>238</v>
      </c>
      <c r="O3069" s="105" t="s">
        <v>238</v>
      </c>
      <c r="P3069" s="105" t="s">
        <v>350</v>
      </c>
      <c r="Q3069" s="494">
        <v>4116</v>
      </c>
      <c r="R3069" s="494">
        <v>4116</v>
      </c>
      <c r="S3069" s="494">
        <v>25706</v>
      </c>
      <c r="T3069" s="494">
        <v>25706</v>
      </c>
      <c r="U3069" s="494">
        <v>1431.0889999999999</v>
      </c>
      <c r="V3069" s="493">
        <v>2024</v>
      </c>
      <c r="W3069" s="495"/>
      <c r="X3069" s="496"/>
      <c r="Y3069" s="497"/>
      <c r="Z3069" s="497"/>
    </row>
    <row r="3070" spans="1:26" s="82" customFormat="1" ht="32" x14ac:dyDescent="0.4">
      <c r="A3070" s="493">
        <v>99999</v>
      </c>
      <c r="B3070" s="105" t="s">
        <v>329</v>
      </c>
      <c r="C3070" s="493" t="s">
        <v>330</v>
      </c>
      <c r="D3070" s="105" t="s">
        <v>3659</v>
      </c>
      <c r="E3070" s="105" t="s">
        <v>3659</v>
      </c>
      <c r="F3070" s="493">
        <v>99999</v>
      </c>
      <c r="G3070" s="105" t="s">
        <v>33</v>
      </c>
      <c r="H3070" s="105" t="s">
        <v>342</v>
      </c>
      <c r="I3070" s="105" t="s">
        <v>339</v>
      </c>
      <c r="J3070" s="493">
        <v>99999</v>
      </c>
      <c r="K3070" s="493">
        <v>2</v>
      </c>
      <c r="L3070" s="105" t="s">
        <v>343</v>
      </c>
      <c r="M3070" s="105" t="s">
        <v>695</v>
      </c>
      <c r="N3070" s="105" t="s">
        <v>696</v>
      </c>
      <c r="O3070" s="105" t="s">
        <v>696</v>
      </c>
      <c r="P3070" s="105" t="s">
        <v>339</v>
      </c>
      <c r="Q3070" s="494">
        <v>0</v>
      </c>
      <c r="R3070" s="494">
        <v>0</v>
      </c>
      <c r="S3070" s="494">
        <v>25174</v>
      </c>
      <c r="T3070" s="494">
        <v>25174</v>
      </c>
      <c r="U3070" s="494">
        <v>7377.5569999999998</v>
      </c>
      <c r="V3070" s="493">
        <v>2024</v>
      </c>
      <c r="W3070" s="495"/>
      <c r="X3070" s="496"/>
      <c r="Y3070" s="497"/>
      <c r="Z3070" s="497"/>
    </row>
    <row r="3071" spans="1:26" s="82" customFormat="1" ht="32" x14ac:dyDescent="0.4">
      <c r="A3071" s="493">
        <v>99999</v>
      </c>
      <c r="B3071" s="105" t="s">
        <v>329</v>
      </c>
      <c r="C3071" s="493" t="s">
        <v>330</v>
      </c>
      <c r="D3071" s="105" t="s">
        <v>3659</v>
      </c>
      <c r="E3071" s="105" t="s">
        <v>3659</v>
      </c>
      <c r="F3071" s="493">
        <v>99999</v>
      </c>
      <c r="G3071" s="105" t="s">
        <v>52</v>
      </c>
      <c r="H3071" s="105" t="s">
        <v>333</v>
      </c>
      <c r="I3071" s="105" t="s">
        <v>339</v>
      </c>
      <c r="J3071" s="493">
        <v>99999</v>
      </c>
      <c r="K3071" s="493">
        <v>6</v>
      </c>
      <c r="L3071" s="105" t="s">
        <v>729</v>
      </c>
      <c r="M3071" s="105" t="s">
        <v>695</v>
      </c>
      <c r="N3071" s="105" t="s">
        <v>696</v>
      </c>
      <c r="O3071" s="105" t="s">
        <v>696</v>
      </c>
      <c r="P3071" s="105" t="s">
        <v>339</v>
      </c>
      <c r="Q3071" s="494">
        <v>0</v>
      </c>
      <c r="R3071" s="494">
        <v>0</v>
      </c>
      <c r="S3071" s="494">
        <v>356</v>
      </c>
      <c r="T3071" s="494">
        <v>356</v>
      </c>
      <c r="U3071" s="494">
        <v>104.319</v>
      </c>
      <c r="V3071" s="493">
        <v>2024</v>
      </c>
      <c r="W3071" s="495"/>
      <c r="X3071" s="496"/>
      <c r="Y3071" s="497"/>
      <c r="Z3071" s="497"/>
    </row>
    <row r="3072" spans="1:26" s="82" customFormat="1" ht="32" x14ac:dyDescent="0.4">
      <c r="A3072" s="157">
        <v>99999</v>
      </c>
      <c r="B3072" s="156" t="s">
        <v>329</v>
      </c>
      <c r="C3072" s="157" t="s">
        <v>330</v>
      </c>
      <c r="D3072" s="156" t="s">
        <v>3659</v>
      </c>
      <c r="E3072" s="156" t="s">
        <v>3659</v>
      </c>
      <c r="F3072" s="157">
        <v>99999</v>
      </c>
      <c r="G3072" s="156" t="s">
        <v>33</v>
      </c>
      <c r="H3072" s="156" t="s">
        <v>342</v>
      </c>
      <c r="I3072" s="156" t="s">
        <v>339</v>
      </c>
      <c r="J3072" s="157">
        <v>99999</v>
      </c>
      <c r="K3072" s="157">
        <v>4</v>
      </c>
      <c r="L3072" s="156" t="s">
        <v>766</v>
      </c>
      <c r="M3072" s="156" t="s">
        <v>695</v>
      </c>
      <c r="N3072" s="156" t="s">
        <v>696</v>
      </c>
      <c r="O3072" s="156" t="s">
        <v>696</v>
      </c>
      <c r="P3072" s="156" t="s">
        <v>339</v>
      </c>
      <c r="Q3072" s="158">
        <v>0</v>
      </c>
      <c r="R3072" s="158">
        <v>0</v>
      </c>
      <c r="S3072" s="158">
        <v>10446</v>
      </c>
      <c r="T3072" s="158">
        <v>10446</v>
      </c>
      <c r="U3072" s="158">
        <v>3061.6880000000001</v>
      </c>
      <c r="V3072" s="157">
        <v>2024</v>
      </c>
      <c r="W3072" s="270"/>
      <c r="X3072" s="271"/>
      <c r="Y3072" s="272"/>
      <c r="Z3072" s="272"/>
    </row>
    <row r="3073" spans="1:27" x14ac:dyDescent="0.4">
      <c r="A3073" s="112" t="s">
        <v>11</v>
      </c>
      <c r="B3073" s="114"/>
      <c r="C3073" s="263"/>
      <c r="D3073" s="114"/>
      <c r="E3073" s="114"/>
      <c r="F3073" s="263"/>
      <c r="G3073" s="114"/>
      <c r="H3073" s="114"/>
      <c r="I3073" s="114"/>
      <c r="J3073" s="263"/>
      <c r="K3073" s="263"/>
      <c r="L3073" s="114"/>
      <c r="M3073" s="114"/>
      <c r="N3073" s="114"/>
      <c r="O3073" s="114"/>
      <c r="P3073" s="114"/>
      <c r="Q3073" s="264"/>
      <c r="R3073" s="264"/>
      <c r="S3073" s="264"/>
      <c r="T3073" s="264"/>
      <c r="U3073" s="264"/>
      <c r="V3073" s="264"/>
      <c r="W3073" s="273"/>
      <c r="X3073" s="265"/>
      <c r="Y3073" s="274"/>
      <c r="Z3073" s="274"/>
      <c r="AA3073" s="86"/>
    </row>
    <row r="3074" spans="1:27" x14ac:dyDescent="0.4">
      <c r="P3074" s="3"/>
      <c r="Q3074" s="3"/>
      <c r="U3074" s="26"/>
      <c r="V3074" s="26"/>
      <c r="W3074" s="26"/>
      <c r="X3074" s="26"/>
      <c r="Y3074" s="26"/>
      <c r="Z3074" s="26"/>
      <c r="AA3074" s="86"/>
    </row>
    <row r="3075" spans="1:27" x14ac:dyDescent="0.4">
      <c r="A3075" s="26" t="s">
        <v>3660</v>
      </c>
      <c r="B3075" s="26"/>
      <c r="C3075" s="26"/>
      <c r="D3075" s="26"/>
      <c r="E3075" s="26"/>
      <c r="F3075" s="26"/>
      <c r="P3075" s="3"/>
      <c r="U3075" s="26"/>
      <c r="Z3075" s="3"/>
    </row>
    <row r="3076" spans="1:27" x14ac:dyDescent="0.4">
      <c r="A3076" s="253" t="s">
        <v>3661</v>
      </c>
      <c r="B3076" s="253" t="s">
        <v>3662</v>
      </c>
      <c r="C3076" s="253" t="s">
        <v>3663</v>
      </c>
      <c r="D3076" s="253" t="s">
        <v>3664</v>
      </c>
      <c r="E3076" s="253" t="s">
        <v>3665</v>
      </c>
      <c r="F3076" s="269" t="s">
        <v>3666</v>
      </c>
      <c r="P3076" s="3"/>
      <c r="U3076" s="26"/>
      <c r="Z3076" s="3"/>
    </row>
    <row r="3077" spans="1:27" x14ac:dyDescent="0.4">
      <c r="A3077" s="498">
        <f>SUBTOTAL(9,Q8:Q3073)</f>
        <v>1052147759</v>
      </c>
      <c r="B3077" s="498">
        <f>SUBTOTAL(9,R8:R3073)</f>
        <v>975431169</v>
      </c>
      <c r="C3077" s="498">
        <f>SUBTOTAL(9,S8:S3073)</f>
        <v>1953091572</v>
      </c>
      <c r="D3077" s="498">
        <f>SUBTOTAL(9,T8:T3073)</f>
        <v>1833101494</v>
      </c>
      <c r="E3077" s="498">
        <f>SUBTOTAL(9,U8:U3073)</f>
        <v>238325368.96200016</v>
      </c>
      <c r="F3077" s="499">
        <f>D3077/E3077</f>
        <v>7.6915919693479182</v>
      </c>
      <c r="P3077" s="3"/>
      <c r="U3077" s="26"/>
      <c r="Z3077" s="3"/>
    </row>
    <row r="3078" spans="1:27" x14ac:dyDescent="0.4">
      <c r="A3078" s="26" t="s">
        <v>11</v>
      </c>
      <c r="B3078" s="26"/>
      <c r="D3078" s="251"/>
      <c r="E3078" s="251"/>
      <c r="F3078" s="251"/>
      <c r="P3078" s="3"/>
      <c r="U3078" s="26"/>
      <c r="Z3078" s="3"/>
    </row>
    <row r="3079" spans="1:27" x14ac:dyDescent="0.4">
      <c r="P3079" s="3"/>
      <c r="U3079" s="26"/>
      <c r="Z3079" s="3"/>
      <c r="AA3079" s="91"/>
    </row>
    <row r="3080" spans="1:27" x14ac:dyDescent="0.4">
      <c r="F3080" s="26"/>
      <c r="H3080" s="44"/>
      <c r="I3080" s="91"/>
      <c r="P3080" s="3"/>
      <c r="Q3080" s="3"/>
      <c r="R3080" s="3"/>
      <c r="S3080" s="3"/>
      <c r="T3080" s="3"/>
      <c r="Z3080" s="3"/>
    </row>
    <row r="3081" spans="1:27" x14ac:dyDescent="0.4">
      <c r="A3081" s="4" t="s">
        <v>3667</v>
      </c>
      <c r="E3081" s="26"/>
      <c r="F3081" s="26"/>
      <c r="H3081" s="44"/>
      <c r="I3081" s="91"/>
      <c r="P3081" s="3"/>
      <c r="Q3081" s="3"/>
      <c r="R3081" s="3"/>
      <c r="S3081" s="3"/>
      <c r="T3081" s="3"/>
      <c r="Z3081" s="3"/>
    </row>
    <row r="3082" spans="1:27" x14ac:dyDescent="0.4">
      <c r="A3082" s="4" t="s">
        <v>3668</v>
      </c>
      <c r="B3082" s="4" t="s">
        <v>3669</v>
      </c>
      <c r="E3082" s="26"/>
      <c r="F3082" s="26"/>
      <c r="H3082" s="44"/>
      <c r="I3082" s="91"/>
      <c r="P3082" s="3"/>
      <c r="Q3082" s="3"/>
      <c r="R3082" s="3"/>
      <c r="S3082" s="3"/>
      <c r="T3082" s="3"/>
      <c r="Z3082" s="3"/>
    </row>
    <row r="3083" spans="1:27" x14ac:dyDescent="0.4">
      <c r="A3083" s="500" t="s">
        <v>3670</v>
      </c>
      <c r="B3083" s="501">
        <f>AVERAGE(Y8:Y3073)</f>
        <v>6.0529542809198977</v>
      </c>
      <c r="E3083" s="26"/>
      <c r="F3083" s="26"/>
      <c r="H3083" s="44"/>
      <c r="I3083" s="91"/>
      <c r="P3083" s="3"/>
      <c r="Q3083" s="3"/>
      <c r="R3083" s="3"/>
      <c r="S3083" s="3"/>
      <c r="T3083" s="3"/>
      <c r="Z3083" s="3"/>
    </row>
    <row r="3084" spans="1:27" x14ac:dyDescent="0.4">
      <c r="A3084" s="500" t="s">
        <v>3671</v>
      </c>
      <c r="B3084" s="501">
        <f>AVERAGE(Z8:Z3073)</f>
        <v>6.0529542809198977</v>
      </c>
      <c r="E3084" s="26"/>
      <c r="F3084" s="26"/>
      <c r="H3084" s="44"/>
      <c r="I3084" s="91"/>
      <c r="P3084" s="3"/>
      <c r="Q3084" s="3"/>
      <c r="R3084" s="3"/>
      <c r="S3084" s="3"/>
      <c r="T3084" s="3"/>
      <c r="Z3084" s="3"/>
    </row>
    <row r="3085" spans="1:27" x14ac:dyDescent="0.4">
      <c r="A3085" s="500" t="s">
        <v>3672</v>
      </c>
      <c r="B3085" s="502">
        <f>SUM(G3117,G3146,G3174,G3201,G3229,G3257,G3284)/SUM(H3117,H3146,H3174,H3201,H3229,H3257,H3284)</f>
        <v>14.319079714387172</v>
      </c>
      <c r="E3085" s="26"/>
      <c r="F3085" s="26"/>
      <c r="H3085" s="44"/>
      <c r="I3085" s="91"/>
      <c r="P3085" s="3"/>
      <c r="Q3085" s="3"/>
      <c r="R3085" s="3"/>
      <c r="S3085" s="3"/>
      <c r="T3085" s="3"/>
      <c r="Z3085" s="3"/>
    </row>
    <row r="3086" spans="1:27" x14ac:dyDescent="0.4">
      <c r="A3086" s="500" t="s">
        <v>3673</v>
      </c>
      <c r="B3086" s="502">
        <f>SUM(G3114,G3143,G3171,G3198,G3226,G3254,G3281)/SUM(H3114,H3143,H3171,H3198,H3226,H3254,H3281)</f>
        <v>11.600092037262325</v>
      </c>
      <c r="E3086" s="26"/>
      <c r="F3086" s="26"/>
      <c r="H3086" s="44"/>
      <c r="I3086" s="91"/>
      <c r="P3086" s="3"/>
      <c r="Q3086" s="3"/>
      <c r="R3086" s="3"/>
      <c r="S3086" s="3"/>
      <c r="T3086" s="3"/>
      <c r="Z3086" s="3"/>
    </row>
    <row r="3087" spans="1:27" x14ac:dyDescent="0.4">
      <c r="A3087" s="503" t="s">
        <v>11</v>
      </c>
      <c r="B3087" s="26"/>
      <c r="D3087" s="44"/>
      <c r="E3087" s="26"/>
      <c r="F3087" s="26"/>
      <c r="H3087" s="44"/>
      <c r="I3087" s="91"/>
      <c r="P3087" s="3"/>
      <c r="Q3087" s="3"/>
      <c r="R3087" s="3"/>
      <c r="S3087" s="3"/>
      <c r="T3087" s="3"/>
      <c r="Z3087" s="3"/>
    </row>
    <row r="3088" spans="1:27" x14ac:dyDescent="0.4">
      <c r="A3088" s="26" t="s">
        <v>3674</v>
      </c>
      <c r="E3088" s="26"/>
      <c r="F3088" s="26"/>
      <c r="H3088" s="44"/>
      <c r="I3088" s="91"/>
      <c r="P3088" s="3"/>
      <c r="Q3088" s="3"/>
      <c r="R3088" s="3"/>
      <c r="S3088" s="3"/>
      <c r="T3088" s="3"/>
      <c r="Z3088" s="3"/>
    </row>
    <row r="3089" spans="1:26" x14ac:dyDescent="0.4">
      <c r="E3089" s="26"/>
      <c r="F3089" s="26"/>
      <c r="H3089" s="44"/>
      <c r="I3089" s="91"/>
      <c r="P3089" s="3"/>
      <c r="Q3089" s="3"/>
      <c r="R3089" s="3"/>
      <c r="S3089" s="3"/>
      <c r="T3089" s="3"/>
      <c r="Z3089" s="3"/>
    </row>
    <row r="3090" spans="1:26" x14ac:dyDescent="0.4">
      <c r="A3090" s="4" t="s">
        <v>3675</v>
      </c>
      <c r="E3090" s="26"/>
      <c r="F3090" s="26"/>
      <c r="H3090" s="44"/>
      <c r="I3090" s="91"/>
      <c r="P3090" s="3"/>
      <c r="Q3090" s="3"/>
      <c r="R3090" s="3"/>
      <c r="S3090" s="3"/>
      <c r="T3090" s="3"/>
      <c r="Z3090" s="3"/>
    </row>
    <row r="3091" spans="1:26" x14ac:dyDescent="0.4">
      <c r="A3091" s="4" t="s">
        <v>3676</v>
      </c>
      <c r="B3091" s="3" t="s">
        <v>3677</v>
      </c>
      <c r="E3091" s="26"/>
      <c r="F3091" s="26"/>
      <c r="H3091" s="44"/>
      <c r="I3091" s="91"/>
      <c r="P3091" s="3"/>
      <c r="Q3091" s="3"/>
      <c r="R3091" s="3"/>
      <c r="S3091" s="3"/>
      <c r="T3091" s="3"/>
      <c r="Z3091" s="3"/>
    </row>
    <row r="3092" spans="1:26" x14ac:dyDescent="0.4">
      <c r="A3092" s="89" t="s">
        <v>3678</v>
      </c>
      <c r="B3092" s="90">
        <f>G3105/(G3105+G3115)</f>
        <v>0.55000450253125743</v>
      </c>
      <c r="E3092" s="26"/>
      <c r="F3092" s="26"/>
      <c r="H3092" s="44"/>
      <c r="I3092" s="91"/>
      <c r="P3092" s="3"/>
      <c r="Q3092" s="3"/>
      <c r="R3092" s="3"/>
      <c r="S3092" s="3"/>
      <c r="T3092" s="3"/>
      <c r="Z3092" s="3"/>
    </row>
    <row r="3093" spans="1:26" x14ac:dyDescent="0.4">
      <c r="A3093" s="89" t="s">
        <v>3679</v>
      </c>
      <c r="B3093" s="90">
        <f>G3115/(G3105+G3115)</f>
        <v>0.44999549746874251</v>
      </c>
      <c r="E3093" s="26"/>
      <c r="F3093" s="26"/>
      <c r="H3093" s="44"/>
      <c r="I3093" s="91"/>
      <c r="P3093" s="3"/>
      <c r="Q3093" s="3"/>
      <c r="R3093" s="3"/>
      <c r="S3093" s="3"/>
      <c r="T3093" s="3"/>
      <c r="Z3093" s="3"/>
    </row>
    <row r="3094" spans="1:26" x14ac:dyDescent="0.4">
      <c r="A3094" s="504" t="s">
        <v>11</v>
      </c>
      <c r="E3094" s="26"/>
      <c r="F3094" s="26"/>
      <c r="H3094" s="44"/>
      <c r="I3094" s="91"/>
      <c r="P3094" s="3"/>
      <c r="Q3094" s="3"/>
      <c r="R3094" s="3"/>
      <c r="S3094" s="3"/>
      <c r="T3094" s="3"/>
      <c r="Z3094" s="3"/>
    </row>
    <row r="3095" spans="1:26" x14ac:dyDescent="0.4">
      <c r="E3095" s="26"/>
      <c r="F3095" s="26"/>
      <c r="H3095" s="44"/>
      <c r="I3095" s="91"/>
      <c r="P3095" s="3"/>
      <c r="Q3095" s="3"/>
      <c r="R3095" s="3"/>
      <c r="S3095" s="3"/>
      <c r="T3095" s="3"/>
      <c r="Z3095" s="3"/>
    </row>
    <row r="3096" spans="1:26" x14ac:dyDescent="0.4">
      <c r="E3096" s="26"/>
      <c r="F3096" s="26"/>
      <c r="H3096" s="44"/>
      <c r="I3096" s="91"/>
      <c r="P3096" s="3"/>
      <c r="Q3096" s="3"/>
      <c r="R3096" s="3"/>
      <c r="S3096" s="3"/>
      <c r="T3096" s="3"/>
      <c r="Z3096" s="3"/>
    </row>
    <row r="3097" spans="1:26" x14ac:dyDescent="0.4">
      <c r="A3097" s="14" t="s">
        <v>4538</v>
      </c>
      <c r="E3097" s="26"/>
      <c r="F3097" s="26"/>
      <c r="H3097" s="44"/>
      <c r="I3097" s="91"/>
      <c r="P3097" s="3"/>
      <c r="Q3097" s="3"/>
      <c r="R3097" s="3"/>
      <c r="S3097" s="3"/>
      <c r="T3097" s="3"/>
      <c r="Z3097" s="3"/>
    </row>
    <row r="3098" spans="1:26" x14ac:dyDescent="0.4">
      <c r="A3098" s="406" t="s">
        <v>33</v>
      </c>
      <c r="E3098" s="26"/>
      <c r="F3098" s="26"/>
      <c r="H3098" s="44"/>
      <c r="I3098" s="91"/>
      <c r="P3098" s="3"/>
      <c r="Q3098" s="3"/>
      <c r="R3098" s="3"/>
      <c r="S3098" s="3"/>
      <c r="T3098" s="3"/>
      <c r="Z3098" s="3"/>
    </row>
    <row r="3099" spans="1:26" ht="80" x14ac:dyDescent="0.4">
      <c r="A3099" s="266" t="s">
        <v>3680</v>
      </c>
      <c r="B3099" s="267" t="s">
        <v>316</v>
      </c>
      <c r="C3099" s="267" t="s">
        <v>317</v>
      </c>
      <c r="D3099" s="266" t="s">
        <v>319</v>
      </c>
      <c r="E3099" s="266" t="s">
        <v>320</v>
      </c>
      <c r="F3099" s="266" t="s">
        <v>321</v>
      </c>
      <c r="G3099" s="266" t="s">
        <v>322</v>
      </c>
      <c r="H3099" s="266" t="s">
        <v>323</v>
      </c>
      <c r="I3099" s="268" t="s">
        <v>4562</v>
      </c>
      <c r="J3099" s="266" t="s">
        <v>3681</v>
      </c>
      <c r="K3099" s="266" t="s">
        <v>3682</v>
      </c>
      <c r="L3099" s="266" t="s">
        <v>3683</v>
      </c>
    </row>
    <row r="3100" spans="1:26" x14ac:dyDescent="0.4">
      <c r="A3100" s="505" t="s">
        <v>221</v>
      </c>
      <c r="B3100" s="506" t="s">
        <v>222</v>
      </c>
      <c r="C3100" s="506" t="s">
        <v>479</v>
      </c>
      <c r="D3100" s="507">
        <f t="shared" ref="D3100:H3102" si="200">SUMIFS(Q$8:Q$3073,$K$8:$K$3073, "&lt;4",$G$8:$G$3073,$A$3098,$N$8:$N$3073,$B3100)</f>
        <v>0</v>
      </c>
      <c r="E3100" s="507">
        <f t="shared" si="200"/>
        <v>0</v>
      </c>
      <c r="F3100" s="507">
        <f t="shared" si="200"/>
        <v>0</v>
      </c>
      <c r="G3100" s="159">
        <f t="shared" si="200"/>
        <v>0</v>
      </c>
      <c r="H3100" s="26">
        <f t="shared" si="200"/>
        <v>0</v>
      </c>
      <c r="I3100" s="508">
        <f>SUMIFS(T$8:T$3073,$K$8:$K$3073, "&lt;4",$G$8:$G$3073,$A$3098,$N$8:$N$3073,$B3100, $W$8:$W$3073, "=x")</f>
        <v>0</v>
      </c>
      <c r="J3100" s="507">
        <f>SUMIFS(T$8:T$3073,U$8:U$3073, "&gt;0",$K$8:$K$3073, "&lt;4",$G$8:$G$3073,$A$3098,$N$8:$N$3073,$B3100)</f>
        <v>0</v>
      </c>
      <c r="K3100" s="507">
        <f>SUMIFS(U$8:U$3073,U$8:U$3073, "&gt;0",$K$8:$K$3073, "&lt;4",$G$8:$G$3073,$A$3098,$N$8:$N$3073,$B3100)</f>
        <v>0</v>
      </c>
      <c r="L3100" s="509" t="e">
        <f t="shared" ref="L3100:L3113" si="201">J3100/K3100</f>
        <v>#DIV/0!</v>
      </c>
    </row>
    <row r="3101" spans="1:26" x14ac:dyDescent="0.4">
      <c r="A3101" s="8" t="s">
        <v>223</v>
      </c>
      <c r="B3101" s="47" t="s">
        <v>224</v>
      </c>
      <c r="C3101" s="47" t="s">
        <v>479</v>
      </c>
      <c r="D3101" s="159">
        <f t="shared" si="200"/>
        <v>0</v>
      </c>
      <c r="E3101" s="159">
        <f t="shared" si="200"/>
        <v>0</v>
      </c>
      <c r="F3101" s="159">
        <f t="shared" si="200"/>
        <v>0</v>
      </c>
      <c r="G3101" s="159">
        <f t="shared" si="200"/>
        <v>0</v>
      </c>
      <c r="H3101" s="159">
        <f t="shared" si="200"/>
        <v>0</v>
      </c>
      <c r="I3101" s="160">
        <f>SUMIFS(T$8:T$3073,$K$8:$K$3073, "&lt;4",$G$8:$G$3073,$A$3098,$N$8:$N$3073,$B3101, $W$8:$W$3073, "=x")</f>
        <v>0</v>
      </c>
      <c r="J3101" s="159">
        <f>SUMIFS(T$8:T$3073,U$8:U$3073, "&gt;0",$K$8:$K$3073, "&lt;4",$G$8:$G$3073,$A$3098,$N$8:$N$3073,$B3101)</f>
        <v>0</v>
      </c>
      <c r="K3101" s="159">
        <f>SUMIFS(U$8:U$3073,U$8:U$3073, "&gt;0",$K$8:$K$3073, "&lt;4",$G$8:$G$3073,$A$3098,$N$8:$N$3073,$B3101)</f>
        <v>0</v>
      </c>
      <c r="L3101" s="94" t="e">
        <f t="shared" si="201"/>
        <v>#DIV/0!</v>
      </c>
    </row>
    <row r="3102" spans="1:26" x14ac:dyDescent="0.4">
      <c r="A3102" s="8" t="s">
        <v>225</v>
      </c>
      <c r="B3102" s="47" t="s">
        <v>226</v>
      </c>
      <c r="C3102" s="47" t="s">
        <v>226</v>
      </c>
      <c r="D3102" s="159">
        <f t="shared" si="200"/>
        <v>155713</v>
      </c>
      <c r="E3102" s="159">
        <f t="shared" si="200"/>
        <v>152373</v>
      </c>
      <c r="F3102" s="159">
        <f t="shared" si="200"/>
        <v>901300</v>
      </c>
      <c r="G3102" s="159">
        <f t="shared" si="200"/>
        <v>881927</v>
      </c>
      <c r="H3102" s="159">
        <f t="shared" si="200"/>
        <v>98123.239000000001</v>
      </c>
      <c r="I3102" s="160">
        <f>SUMIFS(T$8:T$3073,$K$8:$K$3073, "&lt;4",$G$8:$G$3073,$A$3098,$N$8:$N$3073,$B3102, $W$8:$W$3073, "=x")</f>
        <v>765319</v>
      </c>
      <c r="J3102" s="159">
        <f>SUMIFS(T$8:T$3073,U$8:U$3073, "&gt;0",$K$8:$K$3073, "&lt;4",$G$8:$G$3073,$A$3098,$N$8:$N$3073,$B3102)</f>
        <v>881921</v>
      </c>
      <c r="K3102" s="159">
        <f>SUMIFS(U$8:U$3073,U$8:U$3073, "&gt;0",$K$8:$K$3073, "&lt;4",$G$8:$G$3073,$A$3098,$N$8:$N$3073,$B3102)</f>
        <v>98123.239000000001</v>
      </c>
      <c r="L3102" s="94">
        <f t="shared" si="201"/>
        <v>8.9878912374672009</v>
      </c>
    </row>
    <row r="3103" spans="1:26" x14ac:dyDescent="0.4">
      <c r="A3103" s="8" t="s">
        <v>227</v>
      </c>
      <c r="B3103" s="47" t="s">
        <v>228</v>
      </c>
      <c r="C3103" s="47" t="s">
        <v>228</v>
      </c>
      <c r="D3103" s="159">
        <f>SUMIFS(Q$8:Q$3073,$K$8:$K$3073, "&lt;4",$G$8:$G$3073,$A$3098,$N$8:$N$3073,$B3103)-D3104</f>
        <v>117976864</v>
      </c>
      <c r="E3103" s="159">
        <f>SUMIFS(R$8:R$3073,$K$8:$K$3073, "&lt;4",$G$8:$G$3073,$A$3098,$N$8:$N$3073,$B3103)-E3104</f>
        <v>112434811</v>
      </c>
      <c r="F3103" s="159">
        <f>SUMIFS(S$8:S$3073,$K$8:$K$3073, "&lt;4",$G$8:$G$3073,$A$3098,$N$8:$N$3073,$B3103)-F3104</f>
        <v>121582482</v>
      </c>
      <c r="G3103" s="159">
        <f>SUMIFS(T$8:T$3073,$K$8:$K$3073, "&lt;4",$G$8:$G$3073,$A$3098,$N$8:$N$3073,$B3103)-G3104</f>
        <v>115881457</v>
      </c>
      <c r="H3103" s="159">
        <f>SUMIFS(U$8:U$3073,$K$8:$K$3073, "&lt;4",$G$8:$G$3073,$A$3098,$N$8:$N$3073,$B3103)-H3104</f>
        <v>15282262.179000001</v>
      </c>
      <c r="I3103" s="160">
        <f>SUMIFS(T$8:T$3073,$K$8:$K$3073, "&lt;4",$G$8:$G$3073,$A$3098,$N$8:$N$3073,$B3103, $W$8:$W$3073, "=x")</f>
        <v>106201551</v>
      </c>
      <c r="J3103" s="159">
        <f>SUMIFS(T$8:T$3073,U$8:U$3073, "&gt;0",$K$8:$K$3073, "&lt;4",$G$8:$G$3073,$A$3098,$N$8:$N$3073,$B3103)-J3104</f>
        <v>115861896</v>
      </c>
      <c r="K3103" s="159">
        <f>SUMIFS(U$8:U$3073,U$8:U$3073, "&gt;0",$K$8:$K$3073, "&lt;4",$G$8:$G$3073,$A$3098,$N$8:$N$3073,$B3103)-K3104</f>
        <v>15283573.024</v>
      </c>
      <c r="L3103" s="94">
        <f t="shared" si="201"/>
        <v>7.5808121450436037</v>
      </c>
    </row>
    <row r="3104" spans="1:26" x14ac:dyDescent="0.4">
      <c r="A3104" s="8" t="s">
        <v>3684</v>
      </c>
      <c r="B3104" s="47" t="s">
        <v>228</v>
      </c>
      <c r="C3104" s="277" t="s">
        <v>990</v>
      </c>
      <c r="D3104" s="159">
        <f>SUMIFS(Q$8:Q$3073,$K$8:$K$3073, "&lt;4",$G$8:$G$3073,$A$3098,$M$8:$M$3073,EIA923DataSubtotalsMA[[#This Row],[MER
Fuel Type Code]],$N$8:$N$3073,$B$3104)</f>
        <v>135306</v>
      </c>
      <c r="E3104" s="159">
        <f>SUMIFS(R$8:R$3073,$K$8:$K$3073, "&lt;4",$G$8:$G$3073,$A$3098,$M$8:$M$3073,EIA923DataSubtotalsMA[[#This Row],[MER
Fuel Type Code]],$N$8:$N$3073,$B$3104)</f>
        <v>135306</v>
      </c>
      <c r="F3104" s="159">
        <f>SUMIFS(S$8:S$3073,$K$8:$K$3073, "&lt;4",$G$8:$G$3073,$A$3098,$M$8:$M$3073,EIA923DataSubtotalsMA[[#This Row],[MER
Fuel Type Code]],$N$8:$N$3073,$B$3104)</f>
        <v>138529</v>
      </c>
      <c r="G3104" s="159">
        <f>SUMIFS(T$8:T$3073,$K$8:$K$3073, "&lt;4",$G$8:$G$3073,$A$3098,$M$8:$M$3073,EIA923DataSubtotalsMA[[#This Row],[MER
Fuel Type Code]],$N$8:$N$3073,$B$3104)</f>
        <v>138529</v>
      </c>
      <c r="H3104" s="159">
        <f>SUMIFS(U$8:U$3073,$K$8:$K$3073, "&lt;4",$G$8:$G$3073,$A$3098,$M$8:$M$3073,EIA923DataSubtotalsMA[[#This Row],[MER
Fuel Type Code]],$N$8:$N$3073,$B$3104)</f>
        <v>19521</v>
      </c>
      <c r="I3104" s="275">
        <v>0</v>
      </c>
      <c r="J3104" s="159">
        <f>SUMIFS(T$8:T$3073,U$8:U$3073, "&gt;0",$K$8:$K$3073, "&lt;4",$G$8:$G$3073,$A$3098,$M$8:$M$3073,EIA923DataSubtotalsMA[[#This Row],[MER
Fuel Type Code]],$N$8:$N$3073,$B$3104)</f>
        <v>138529</v>
      </c>
      <c r="K3104" s="159">
        <f>SUMIFS(U$8:U$3073,V$8:V$3073, "&gt;0",$K$8:$K$3073, "&lt;4",$G$8:$G$3073,$A$3098,$M$8:$M$3073,EIA923DataSubtotalsMA[[#This Row],[MER
Fuel Type Code]],$N$8:$N$3073,$B$3104)</f>
        <v>19521</v>
      </c>
      <c r="L3104" s="94">
        <f>J3104/K3104</f>
        <v>7.0964089954408074</v>
      </c>
    </row>
    <row r="3105" spans="1:27" x14ac:dyDescent="0.4">
      <c r="A3105" s="8" t="s">
        <v>229</v>
      </c>
      <c r="B3105" s="47" t="s">
        <v>230</v>
      </c>
      <c r="C3105" s="47" t="s">
        <v>232</v>
      </c>
      <c r="D3105" s="159">
        <f>SUMIFS(Q$8:Q$3073,$G$8:$G$3073,$A$3098,$N$8:$N$3073,$B3105)</f>
        <v>1180213</v>
      </c>
      <c r="E3105" s="159">
        <f>SUMIFS(R$8:R$3073,$G$8:$G$3073,$A$3098,$N$8:$N$3073,$B3105)</f>
        <v>1180213</v>
      </c>
      <c r="F3105" s="159">
        <f>SUMIFS(S$8:S$3073,$G$8:$G$3073,$A$3098,$N$8:$N$3073,$B3105)</f>
        <v>16600798</v>
      </c>
      <c r="G3105" s="159">
        <f>SUMIFS(T$8:T$3073,$G$8:$G$3073,$A$3098,$N$8:$N$3073,$B3105)</f>
        <v>16600798</v>
      </c>
      <c r="H3105" s="159">
        <f>SUMIFS(U$8:U$3073,$G$8:$G$3073,$A$3098,$N$8:$N$3073,$B3105)</f>
        <v>926903.32999999984</v>
      </c>
      <c r="I3105" s="160">
        <f t="shared" ref="I3105:I3121" si="202">SUMIFS(T$8:T$3073,$K$8:$K$3073, "&lt;4",$G$8:$G$3073,$A$3098,$N$8:$N$3073,$B3105, $W$8:$W$3073, "=x")</f>
        <v>0</v>
      </c>
      <c r="J3105" s="159">
        <f t="shared" ref="J3105:J3121" si="203">SUMIFS(T$8:T$3073,U$8:U$3073, "&gt;0",$K$8:$K$3073, "&lt;4",$G$8:$G$3073,$A$3098,$N$8:$N$3073,$B3105)</f>
        <v>7763729</v>
      </c>
      <c r="K3105" s="159">
        <f t="shared" ref="K3105:K3121" si="204">SUMIFS(U$8:U$3073,U$8:U$3073, "&gt;0",$K$8:$K$3073, "&lt;4",$G$8:$G$3073,$A$3098,$N$8:$N$3073,$B3105)</f>
        <v>432047.37000000005</v>
      </c>
      <c r="L3105" s="94">
        <f t="shared" si="201"/>
        <v>17.969624488166655</v>
      </c>
    </row>
    <row r="3106" spans="1:27" x14ac:dyDescent="0.4">
      <c r="A3106" s="8" t="s">
        <v>231</v>
      </c>
      <c r="B3106" s="47" t="s">
        <v>232</v>
      </c>
      <c r="C3106" s="47" t="s">
        <v>232</v>
      </c>
      <c r="D3106" s="159">
        <f t="shared" ref="D3106:D3114" si="205">SUMIFS(Q$8:Q$3073,$K$8:$K$3073, "&lt;4",$G$8:$G$3073,$A$3098,$N$8:$N$3073,$B3106)</f>
        <v>0</v>
      </c>
      <c r="E3106" s="159">
        <f t="shared" ref="E3106:E3114" si="206">SUMIFS(R$8:R$3073,$K$8:$K$3073, "&lt;4",$G$8:$G$3073,$A$3098,$N$8:$N$3073,$B3106)</f>
        <v>0</v>
      </c>
      <c r="F3106" s="159">
        <f t="shared" ref="F3106:F3114" si="207">SUMIFS(S$8:S$3073,$K$8:$K$3073, "&lt;4",$G$8:$G$3073,$A$3098,$N$8:$N$3073,$B3106)</f>
        <v>0</v>
      </c>
      <c r="G3106" s="159">
        <f t="shared" ref="G3106:G3114" si="208">SUMIFS(T$8:T$3073,$K$8:$K$3073, "&lt;4",$G$8:$G$3073,$A$3098,$N$8:$N$3073,$B3106)</f>
        <v>0</v>
      </c>
      <c r="H3106" s="159">
        <f t="shared" ref="H3106:H3114" si="209">SUMIFS(U$8:U$3073,$K$8:$K$3073, "&lt;4",$G$8:$G$3073,$A$3098,$N$8:$N$3073,$B3106)</f>
        <v>0</v>
      </c>
      <c r="I3106" s="160">
        <f t="shared" si="202"/>
        <v>0</v>
      </c>
      <c r="J3106" s="159">
        <f t="shared" si="203"/>
        <v>0</v>
      </c>
      <c r="K3106" s="159">
        <f t="shared" si="204"/>
        <v>0</v>
      </c>
      <c r="L3106" s="94" t="e">
        <f t="shared" si="201"/>
        <v>#DIV/0!</v>
      </c>
    </row>
    <row r="3107" spans="1:27" x14ac:dyDescent="0.4">
      <c r="A3107" s="8" t="s">
        <v>233</v>
      </c>
      <c r="B3107" s="47" t="s">
        <v>234</v>
      </c>
      <c r="C3107" s="47" t="s">
        <v>232</v>
      </c>
      <c r="D3107" s="159">
        <f t="shared" si="205"/>
        <v>0</v>
      </c>
      <c r="E3107" s="159">
        <f t="shared" si="206"/>
        <v>0</v>
      </c>
      <c r="F3107" s="159">
        <f t="shared" si="207"/>
        <v>0</v>
      </c>
      <c r="G3107" s="159">
        <f t="shared" si="208"/>
        <v>0</v>
      </c>
      <c r="H3107" s="159">
        <f t="shared" si="209"/>
        <v>0</v>
      </c>
      <c r="I3107" s="160">
        <f t="shared" si="202"/>
        <v>0</v>
      </c>
      <c r="J3107" s="159">
        <f t="shared" si="203"/>
        <v>0</v>
      </c>
      <c r="K3107" s="159">
        <f t="shared" si="204"/>
        <v>0</v>
      </c>
      <c r="L3107" s="94" t="e">
        <f t="shared" si="201"/>
        <v>#DIV/0!</v>
      </c>
      <c r="AA3107" s="26"/>
    </row>
    <row r="3108" spans="1:27" x14ac:dyDescent="0.4">
      <c r="A3108" s="8" t="s">
        <v>235</v>
      </c>
      <c r="B3108" s="47" t="s">
        <v>236</v>
      </c>
      <c r="C3108" s="47" t="s">
        <v>236</v>
      </c>
      <c r="D3108" s="159">
        <f t="shared" si="205"/>
        <v>0</v>
      </c>
      <c r="E3108" s="159">
        <f t="shared" si="206"/>
        <v>0</v>
      </c>
      <c r="F3108" s="159">
        <f t="shared" si="207"/>
        <v>0</v>
      </c>
      <c r="G3108" s="159">
        <f t="shared" si="208"/>
        <v>0</v>
      </c>
      <c r="H3108" s="159">
        <f t="shared" si="209"/>
        <v>0</v>
      </c>
      <c r="I3108" s="160">
        <f t="shared" si="202"/>
        <v>0</v>
      </c>
      <c r="J3108" s="159">
        <f t="shared" si="203"/>
        <v>0</v>
      </c>
      <c r="K3108" s="159">
        <f t="shared" si="204"/>
        <v>0</v>
      </c>
      <c r="L3108" s="94" t="e">
        <f t="shared" si="201"/>
        <v>#DIV/0!</v>
      </c>
      <c r="AA3108" s="26"/>
    </row>
    <row r="3109" spans="1:27" x14ac:dyDescent="0.4">
      <c r="A3109" s="8" t="s">
        <v>237</v>
      </c>
      <c r="B3109" s="47" t="s">
        <v>238</v>
      </c>
      <c r="C3109" s="47" t="s">
        <v>238</v>
      </c>
      <c r="D3109" s="159">
        <f t="shared" si="205"/>
        <v>118291</v>
      </c>
      <c r="E3109" s="159">
        <f t="shared" si="206"/>
        <v>118291</v>
      </c>
      <c r="F3109" s="159">
        <f t="shared" si="207"/>
        <v>745233</v>
      </c>
      <c r="G3109" s="159">
        <f t="shared" si="208"/>
        <v>745233</v>
      </c>
      <c r="H3109" s="159">
        <f t="shared" si="209"/>
        <v>63001.849000000002</v>
      </c>
      <c r="I3109" s="160">
        <f t="shared" si="202"/>
        <v>745233</v>
      </c>
      <c r="J3109" s="159">
        <f t="shared" si="203"/>
        <v>745233</v>
      </c>
      <c r="K3109" s="159">
        <f t="shared" si="204"/>
        <v>63001.849000000002</v>
      </c>
      <c r="L3109" s="94">
        <f t="shared" si="201"/>
        <v>11.828748073727169</v>
      </c>
      <c r="AA3109" s="26"/>
    </row>
    <row r="3110" spans="1:27" x14ac:dyDescent="0.4">
      <c r="A3110" s="8" t="s">
        <v>239</v>
      </c>
      <c r="B3110" s="47" t="s">
        <v>240</v>
      </c>
      <c r="C3110" s="47" t="s">
        <v>349</v>
      </c>
      <c r="D3110" s="159">
        <f t="shared" si="205"/>
        <v>0</v>
      </c>
      <c r="E3110" s="159">
        <f t="shared" si="206"/>
        <v>0</v>
      </c>
      <c r="F3110" s="159">
        <f t="shared" si="207"/>
        <v>0</v>
      </c>
      <c r="G3110" s="159">
        <f t="shared" si="208"/>
        <v>0</v>
      </c>
      <c r="H3110" s="159">
        <f t="shared" si="209"/>
        <v>0</v>
      </c>
      <c r="I3110" s="160">
        <f t="shared" si="202"/>
        <v>0</v>
      </c>
      <c r="J3110" s="159">
        <f t="shared" si="203"/>
        <v>0</v>
      </c>
      <c r="K3110" s="159">
        <f t="shared" si="204"/>
        <v>0</v>
      </c>
      <c r="L3110" s="94" t="e">
        <f t="shared" si="201"/>
        <v>#DIV/0!</v>
      </c>
      <c r="AA3110" s="26"/>
    </row>
    <row r="3111" spans="1:27" x14ac:dyDescent="0.4">
      <c r="A3111" s="8" t="s">
        <v>241</v>
      </c>
      <c r="B3111" s="47" t="s">
        <v>242</v>
      </c>
      <c r="C3111" s="47" t="s">
        <v>349</v>
      </c>
      <c r="D3111" s="159">
        <f t="shared" si="205"/>
        <v>4266</v>
      </c>
      <c r="E3111" s="159">
        <f t="shared" si="206"/>
        <v>4266</v>
      </c>
      <c r="F3111" s="159">
        <f t="shared" si="207"/>
        <v>23946</v>
      </c>
      <c r="G3111" s="159">
        <f t="shared" si="208"/>
        <v>23946</v>
      </c>
      <c r="H3111" s="159">
        <f t="shared" si="209"/>
        <v>1888.9469999999999</v>
      </c>
      <c r="I3111" s="160">
        <f t="shared" si="202"/>
        <v>23946</v>
      </c>
      <c r="J3111" s="159">
        <f t="shared" si="203"/>
        <v>23946</v>
      </c>
      <c r="K3111" s="159">
        <f t="shared" si="204"/>
        <v>1888.9469999999999</v>
      </c>
      <c r="L3111" s="94">
        <f t="shared" si="201"/>
        <v>12.676904116420419</v>
      </c>
      <c r="AA3111" s="26"/>
    </row>
    <row r="3112" spans="1:27" x14ac:dyDescent="0.4">
      <c r="A3112" s="8" t="s">
        <v>243</v>
      </c>
      <c r="B3112" s="47" t="s">
        <v>244</v>
      </c>
      <c r="C3112" s="47" t="s">
        <v>349</v>
      </c>
      <c r="D3112" s="159">
        <f t="shared" si="205"/>
        <v>0</v>
      </c>
      <c r="E3112" s="159">
        <f t="shared" si="206"/>
        <v>0</v>
      </c>
      <c r="F3112" s="159">
        <f t="shared" si="207"/>
        <v>0</v>
      </c>
      <c r="G3112" s="159">
        <f t="shared" si="208"/>
        <v>0</v>
      </c>
      <c r="H3112" s="159">
        <f t="shared" si="209"/>
        <v>0</v>
      </c>
      <c r="I3112" s="160">
        <f t="shared" si="202"/>
        <v>0</v>
      </c>
      <c r="J3112" s="159">
        <f t="shared" si="203"/>
        <v>0</v>
      </c>
      <c r="K3112" s="159">
        <f t="shared" si="204"/>
        <v>0</v>
      </c>
      <c r="L3112" s="94" t="e">
        <f t="shared" si="201"/>
        <v>#DIV/0!</v>
      </c>
      <c r="AA3112" s="26"/>
    </row>
    <row r="3113" spans="1:27" x14ac:dyDescent="0.4">
      <c r="A3113" s="8" t="s">
        <v>245</v>
      </c>
      <c r="B3113" s="47" t="s">
        <v>246</v>
      </c>
      <c r="C3113" s="47" t="s">
        <v>1004</v>
      </c>
      <c r="D3113" s="159">
        <f t="shared" si="205"/>
        <v>0</v>
      </c>
      <c r="E3113" s="159">
        <f t="shared" si="206"/>
        <v>0</v>
      </c>
      <c r="F3113" s="159">
        <f t="shared" si="207"/>
        <v>0</v>
      </c>
      <c r="G3113" s="159">
        <f t="shared" si="208"/>
        <v>0</v>
      </c>
      <c r="H3113" s="159">
        <f t="shared" si="209"/>
        <v>0</v>
      </c>
      <c r="I3113" s="160">
        <f t="shared" si="202"/>
        <v>0</v>
      </c>
      <c r="J3113" s="159">
        <f t="shared" si="203"/>
        <v>0</v>
      </c>
      <c r="K3113" s="159">
        <f t="shared" si="204"/>
        <v>0</v>
      </c>
      <c r="L3113" s="94" t="e">
        <f t="shared" si="201"/>
        <v>#DIV/0!</v>
      </c>
      <c r="AA3113" s="26"/>
    </row>
    <row r="3114" spans="1:27" x14ac:dyDescent="0.4">
      <c r="A3114" s="8" t="s">
        <v>251</v>
      </c>
      <c r="B3114" s="47" t="s">
        <v>252</v>
      </c>
      <c r="C3114" s="47" t="s">
        <v>688</v>
      </c>
      <c r="D3114" s="159">
        <f t="shared" si="205"/>
        <v>1960930</v>
      </c>
      <c r="E3114" s="159">
        <f t="shared" si="206"/>
        <v>1960930</v>
      </c>
      <c r="F3114" s="159">
        <f t="shared" si="207"/>
        <v>949040</v>
      </c>
      <c r="G3114" s="159">
        <f t="shared" si="208"/>
        <v>949040</v>
      </c>
      <c r="H3114" s="159">
        <f t="shared" si="209"/>
        <v>79519</v>
      </c>
      <c r="I3114" s="160">
        <f t="shared" si="202"/>
        <v>0</v>
      </c>
      <c r="J3114" s="159">
        <f t="shared" si="203"/>
        <v>949040</v>
      </c>
      <c r="K3114" s="159">
        <f t="shared" si="204"/>
        <v>79519</v>
      </c>
      <c r="L3114" s="94">
        <f t="shared" ref="L3114:L3121" si="210">J3114/K3114</f>
        <v>11.934757730856777</v>
      </c>
      <c r="AA3114" s="26"/>
    </row>
    <row r="3115" spans="1:27" x14ac:dyDescent="0.4">
      <c r="A3115" s="8" t="s">
        <v>253</v>
      </c>
      <c r="B3115" s="47" t="s">
        <v>254</v>
      </c>
      <c r="C3115" s="47" t="s">
        <v>688</v>
      </c>
      <c r="D3115" s="159">
        <f>SUMIFS(Q$8:Q$3073,$G$8:$G$3073,$A$3098,$N$8:$N$3073,$B3115)</f>
        <v>1845975</v>
      </c>
      <c r="E3115" s="159">
        <f>SUMIFS(R$8:R$3073,$G$8:$G$3073,$A$3098,$N$8:$N$3073,$B3115)</f>
        <v>1845975</v>
      </c>
      <c r="F3115" s="159">
        <f>SUMIFS(S$8:S$3073,$G$8:$G$3073,$A$3098,$N$8:$N$3073,$B3115)</f>
        <v>13582224</v>
      </c>
      <c r="G3115" s="159">
        <f>SUMIFS(T$8:T$3073,$G$8:$G$3073,$A$3098,$N$8:$N$3073,$B3115)</f>
        <v>13582224</v>
      </c>
      <c r="H3115" s="159">
        <f>SUMIFS(U$8:U$3073,$G$8:$G$3073,$A$3098,$N$8:$N$3073,$B3115)</f>
        <v>758361.16000000015</v>
      </c>
      <c r="I3115" s="160">
        <f t="shared" si="202"/>
        <v>0</v>
      </c>
      <c r="J3115" s="159">
        <f t="shared" si="203"/>
        <v>6352039</v>
      </c>
      <c r="K3115" s="159">
        <f t="shared" si="204"/>
        <v>353487.63</v>
      </c>
      <c r="L3115" s="94">
        <f t="shared" si="210"/>
        <v>17.969621737541424</v>
      </c>
      <c r="AA3115" s="26"/>
    </row>
    <row r="3116" spans="1:27" x14ac:dyDescent="0.4">
      <c r="A3116" s="8" t="s">
        <v>255</v>
      </c>
      <c r="B3116" s="47" t="s">
        <v>256</v>
      </c>
      <c r="C3116" s="47" t="s">
        <v>387</v>
      </c>
      <c r="D3116" s="159">
        <f t="shared" ref="D3116:H3121" si="211">SUMIFS(Q$8:Q$3073,$K$8:$K$3073, "&lt;4",$G$8:$G$3073,$A$3098,$N$8:$N$3073,$B3116)</f>
        <v>0</v>
      </c>
      <c r="E3116" s="159">
        <f t="shared" si="211"/>
        <v>0</v>
      </c>
      <c r="F3116" s="159">
        <f t="shared" si="211"/>
        <v>0</v>
      </c>
      <c r="G3116" s="159">
        <f t="shared" si="211"/>
        <v>0</v>
      </c>
      <c r="H3116" s="159">
        <f t="shared" si="211"/>
        <v>0</v>
      </c>
      <c r="I3116" s="160">
        <f t="shared" si="202"/>
        <v>0</v>
      </c>
      <c r="J3116" s="159">
        <f t="shared" si="203"/>
        <v>0</v>
      </c>
      <c r="K3116" s="159">
        <f t="shared" si="204"/>
        <v>0</v>
      </c>
      <c r="L3116" s="94" t="e">
        <f t="shared" si="210"/>
        <v>#DIV/0!</v>
      </c>
      <c r="AA3116" s="26"/>
    </row>
    <row r="3117" spans="1:27" x14ac:dyDescent="0.4">
      <c r="A3117" s="8" t="s">
        <v>257</v>
      </c>
      <c r="B3117" s="47" t="s">
        <v>258</v>
      </c>
      <c r="C3117" s="47" t="s">
        <v>387</v>
      </c>
      <c r="D3117" s="159">
        <f t="shared" si="211"/>
        <v>127515</v>
      </c>
      <c r="E3117" s="159">
        <f t="shared" si="211"/>
        <v>127515</v>
      </c>
      <c r="F3117" s="159">
        <f t="shared" si="211"/>
        <v>1164213</v>
      </c>
      <c r="G3117" s="159">
        <f t="shared" si="211"/>
        <v>1164213</v>
      </c>
      <c r="H3117" s="159">
        <f t="shared" si="211"/>
        <v>60056.83</v>
      </c>
      <c r="I3117" s="160">
        <f t="shared" si="202"/>
        <v>0</v>
      </c>
      <c r="J3117" s="159">
        <f t="shared" si="203"/>
        <v>1164213</v>
      </c>
      <c r="K3117" s="159">
        <f t="shared" si="204"/>
        <v>60056.83</v>
      </c>
      <c r="L3117" s="94">
        <f t="shared" si="210"/>
        <v>19.385188995156753</v>
      </c>
      <c r="AA3117" s="26"/>
    </row>
    <row r="3118" spans="1:27" x14ac:dyDescent="0.4">
      <c r="A3118" s="8" t="s">
        <v>259</v>
      </c>
      <c r="B3118" s="47" t="s">
        <v>260</v>
      </c>
      <c r="C3118" s="47" t="s">
        <v>481</v>
      </c>
      <c r="D3118" s="159">
        <f t="shared" si="211"/>
        <v>0</v>
      </c>
      <c r="E3118" s="159">
        <f t="shared" si="211"/>
        <v>0</v>
      </c>
      <c r="F3118" s="159">
        <f t="shared" si="211"/>
        <v>0</v>
      </c>
      <c r="G3118" s="159">
        <f t="shared" si="211"/>
        <v>0</v>
      </c>
      <c r="H3118" s="159">
        <f t="shared" si="211"/>
        <v>0</v>
      </c>
      <c r="I3118" s="160">
        <f t="shared" si="202"/>
        <v>0</v>
      </c>
      <c r="J3118" s="159">
        <f t="shared" si="203"/>
        <v>0</v>
      </c>
      <c r="K3118" s="159">
        <f t="shared" si="204"/>
        <v>0</v>
      </c>
      <c r="L3118" s="94" t="e">
        <f t="shared" si="210"/>
        <v>#DIV/0!</v>
      </c>
      <c r="AA3118" s="26"/>
    </row>
    <row r="3119" spans="1:27" x14ac:dyDescent="0.4">
      <c r="A3119" s="8" t="s">
        <v>261</v>
      </c>
      <c r="B3119" s="47" t="s">
        <v>262</v>
      </c>
      <c r="C3119" s="47" t="s">
        <v>481</v>
      </c>
      <c r="D3119" s="159">
        <f t="shared" si="211"/>
        <v>0</v>
      </c>
      <c r="E3119" s="159">
        <f t="shared" si="211"/>
        <v>0</v>
      </c>
      <c r="F3119" s="159">
        <f t="shared" si="211"/>
        <v>0</v>
      </c>
      <c r="G3119" s="159">
        <f t="shared" si="211"/>
        <v>0</v>
      </c>
      <c r="H3119" s="159">
        <f t="shared" si="211"/>
        <v>0</v>
      </c>
      <c r="I3119" s="160">
        <f t="shared" si="202"/>
        <v>0</v>
      </c>
      <c r="J3119" s="159">
        <f t="shared" si="203"/>
        <v>0</v>
      </c>
      <c r="K3119" s="159">
        <f t="shared" si="204"/>
        <v>0</v>
      </c>
      <c r="L3119" s="94" t="e">
        <f t="shared" si="210"/>
        <v>#DIV/0!</v>
      </c>
      <c r="AA3119" s="26"/>
    </row>
    <row r="3120" spans="1:27" x14ac:dyDescent="0.4">
      <c r="A3120" s="8" t="s">
        <v>263</v>
      </c>
      <c r="B3120" s="47" t="s">
        <v>264</v>
      </c>
      <c r="C3120" s="47" t="s">
        <v>481</v>
      </c>
      <c r="D3120" s="159">
        <f t="shared" si="211"/>
        <v>0</v>
      </c>
      <c r="E3120" s="159">
        <f t="shared" si="211"/>
        <v>0</v>
      </c>
      <c r="F3120" s="159">
        <f t="shared" si="211"/>
        <v>0</v>
      </c>
      <c r="G3120" s="159">
        <f t="shared" si="211"/>
        <v>0</v>
      </c>
      <c r="H3120" s="159">
        <f t="shared" si="211"/>
        <v>0</v>
      </c>
      <c r="I3120" s="160">
        <f t="shared" si="202"/>
        <v>0</v>
      </c>
      <c r="J3120" s="159">
        <f t="shared" si="203"/>
        <v>0</v>
      </c>
      <c r="K3120" s="159">
        <f t="shared" si="204"/>
        <v>0</v>
      </c>
      <c r="L3120" s="94" t="e">
        <f t="shared" si="210"/>
        <v>#DIV/0!</v>
      </c>
      <c r="AA3120" s="26"/>
    </row>
    <row r="3121" spans="1:27" x14ac:dyDescent="0.4">
      <c r="A3121" s="8" t="s">
        <v>265</v>
      </c>
      <c r="B3121" s="47" t="s">
        <v>266</v>
      </c>
      <c r="C3121" s="47" t="s">
        <v>481</v>
      </c>
      <c r="D3121" s="159">
        <f t="shared" si="211"/>
        <v>0</v>
      </c>
      <c r="E3121" s="159">
        <f t="shared" si="211"/>
        <v>0</v>
      </c>
      <c r="F3121" s="159">
        <f t="shared" si="211"/>
        <v>0</v>
      </c>
      <c r="G3121" s="159">
        <f t="shared" si="211"/>
        <v>0</v>
      </c>
      <c r="H3121" s="159">
        <f t="shared" si="211"/>
        <v>0</v>
      </c>
      <c r="I3121" s="160">
        <f t="shared" si="202"/>
        <v>0</v>
      </c>
      <c r="J3121" s="159">
        <f t="shared" si="203"/>
        <v>0</v>
      </c>
      <c r="K3121" s="159">
        <f t="shared" si="204"/>
        <v>0</v>
      </c>
      <c r="L3121" s="94" t="e">
        <f t="shared" si="210"/>
        <v>#DIV/0!</v>
      </c>
      <c r="AA3121" s="26"/>
    </row>
    <row r="3122" spans="1:27" x14ac:dyDescent="0.4">
      <c r="A3122" s="510" t="s">
        <v>55</v>
      </c>
      <c r="B3122" s="339" t="s">
        <v>170</v>
      </c>
      <c r="C3122" s="511" t="s">
        <v>170</v>
      </c>
      <c r="D3122" s="512">
        <f>SUM(D3100:D3121)</f>
        <v>123505073</v>
      </c>
      <c r="E3122" s="512">
        <f>SUM(E3100:E3121)</f>
        <v>117959680</v>
      </c>
      <c r="F3122" s="512">
        <f>SUM(F3100:F3121)</f>
        <v>155687765</v>
      </c>
      <c r="G3122" s="512">
        <f>SUM(G3100:G3121)</f>
        <v>149967367</v>
      </c>
      <c r="H3122" s="512">
        <f>SUM(H3100:H3121)</f>
        <v>17289637.534000002</v>
      </c>
      <c r="I3122" s="339" t="s">
        <v>170</v>
      </c>
      <c r="J3122" s="339" t="s">
        <v>170</v>
      </c>
      <c r="K3122" s="339" t="s">
        <v>170</v>
      </c>
      <c r="L3122" s="339" t="s">
        <v>170</v>
      </c>
      <c r="AA3122" s="26"/>
    </row>
    <row r="3123" spans="1:27" x14ac:dyDescent="0.4">
      <c r="A3123" s="3" t="s">
        <v>11</v>
      </c>
      <c r="AA3123" s="26"/>
    </row>
    <row r="3124" spans="1:27" x14ac:dyDescent="0.4">
      <c r="A3124" s="3" t="s">
        <v>3685</v>
      </c>
      <c r="W3124" s="26"/>
      <c r="X3124" s="26"/>
      <c r="Y3124" s="26"/>
    </row>
    <row r="3125" spans="1:27" x14ac:dyDescent="0.4">
      <c r="A3125" s="278" t="s">
        <v>3686</v>
      </c>
      <c r="W3125" s="26"/>
      <c r="X3125" s="26"/>
      <c r="Y3125" s="26"/>
    </row>
    <row r="3126" spans="1:27" x14ac:dyDescent="0.4">
      <c r="W3126" s="26"/>
      <c r="X3126" s="26"/>
      <c r="Y3126" s="26"/>
    </row>
    <row r="3127" spans="1:27" x14ac:dyDescent="0.4">
      <c r="A3127" s="406" t="s">
        <v>37</v>
      </c>
      <c r="W3127" s="26"/>
      <c r="X3127" s="26"/>
      <c r="Y3127" s="26"/>
    </row>
    <row r="3128" spans="1:27" ht="80" x14ac:dyDescent="0.4">
      <c r="A3128" s="266" t="s">
        <v>3680</v>
      </c>
      <c r="B3128" s="267" t="s">
        <v>316</v>
      </c>
      <c r="C3128" s="267" t="s">
        <v>317</v>
      </c>
      <c r="D3128" s="266" t="s">
        <v>319</v>
      </c>
      <c r="E3128" s="266" t="s">
        <v>320</v>
      </c>
      <c r="F3128" s="266" t="s">
        <v>321</v>
      </c>
      <c r="G3128" s="266" t="s">
        <v>322</v>
      </c>
      <c r="H3128" s="266" t="s">
        <v>323</v>
      </c>
      <c r="I3128" s="268" t="s">
        <v>4562</v>
      </c>
      <c r="J3128" s="266" t="s">
        <v>3681</v>
      </c>
      <c r="K3128" s="266" t="s">
        <v>3682</v>
      </c>
      <c r="L3128" s="266" t="s">
        <v>3683</v>
      </c>
    </row>
    <row r="3129" spans="1:27" x14ac:dyDescent="0.4">
      <c r="A3129" s="513" t="s">
        <v>221</v>
      </c>
      <c r="B3129" s="505" t="s">
        <v>222</v>
      </c>
      <c r="C3129" s="505" t="s">
        <v>479</v>
      </c>
      <c r="D3129" s="507">
        <f t="shared" ref="D3129:H3131" si="212">SUMIFS(Q$8:Q$3073,$K$8:$K$3073, "&lt;4",$G$8:$G$3073,$A$3127,$N$8:$N$3073,$B3129)</f>
        <v>0</v>
      </c>
      <c r="E3129" s="507">
        <f t="shared" si="212"/>
        <v>0</v>
      </c>
      <c r="F3129" s="507">
        <f t="shared" si="212"/>
        <v>0</v>
      </c>
      <c r="G3129" s="507">
        <f t="shared" si="212"/>
        <v>0</v>
      </c>
      <c r="H3129" s="507">
        <f t="shared" si="212"/>
        <v>0</v>
      </c>
      <c r="I3129" s="508">
        <f>SUMIFS(T$8:T$3073,$K$8:$K$3073, "&lt;4",$G$8:$G$3073,$A$3127,$N$8:$N$3073,$B3129, $W$8:$W$3073, "=x")</f>
        <v>0</v>
      </c>
      <c r="J3129" s="507">
        <f>SUMIFS(T$8:T$3073,U$8:U$3073, "&gt;0",$K$8:$K$3073, "&lt;4",$G$8:$G$3073,$A$3127,$N$8:$N$3073,$B3129)</f>
        <v>0</v>
      </c>
      <c r="K3129" s="507">
        <f>SUMIFS(U$8:U$3073,U$8:U$3073, "&gt;0",$K$8:$K$3073, "&lt;4",$G$8:$G$3073,$A$3127,$N$8:$N$3073,$B3129)</f>
        <v>0</v>
      </c>
      <c r="L3129" s="509" t="e">
        <f t="shared" ref="L3129:L3142" si="213">J3129/K3129</f>
        <v>#DIV/0!</v>
      </c>
      <c r="W3129" s="26"/>
      <c r="X3129" s="26"/>
      <c r="Y3129" s="26"/>
    </row>
    <row r="3130" spans="1:27" x14ac:dyDescent="0.4">
      <c r="A3130" s="44" t="s">
        <v>223</v>
      </c>
      <c r="B3130" s="8" t="s">
        <v>224</v>
      </c>
      <c r="C3130" s="8" t="s">
        <v>479</v>
      </c>
      <c r="D3130" s="159">
        <f t="shared" si="212"/>
        <v>0</v>
      </c>
      <c r="E3130" s="159">
        <f t="shared" si="212"/>
        <v>0</v>
      </c>
      <c r="F3130" s="159">
        <f t="shared" si="212"/>
        <v>0</v>
      </c>
      <c r="G3130" s="159">
        <f t="shared" si="212"/>
        <v>0</v>
      </c>
      <c r="H3130" s="159">
        <f t="shared" si="212"/>
        <v>0</v>
      </c>
      <c r="I3130" s="160">
        <f>SUMIFS(T$8:T$3073,$K$8:$K$3073, "&lt;4",$G$8:$G$3073,$A$3127,$N$8:$N$3073,$B3130, $W$8:$W$3073, "=x")</f>
        <v>0</v>
      </c>
      <c r="J3130" s="159">
        <f>SUMIFS(T$8:T$3073,U$8:U$3073, "&gt;0",$K$8:$K$3073, "&lt;4",$G$8:$G$3073,$A$3127,$N$8:$N$3073,$B3130)</f>
        <v>0</v>
      </c>
      <c r="K3130" s="159">
        <f>SUMIFS(U$8:U$3073,U$8:U$3073, "&gt;0",$K$8:$K$3073, "&lt;4",$G$8:$G$3073,$A$3127,$N$8:$N$3073,$B3130)</f>
        <v>0</v>
      </c>
      <c r="L3130" s="94" t="e">
        <f t="shared" si="213"/>
        <v>#DIV/0!</v>
      </c>
      <c r="P3130" s="3"/>
      <c r="Q3130" s="3"/>
      <c r="R3130" s="3"/>
      <c r="S3130" s="3"/>
      <c r="T3130" s="3"/>
    </row>
    <row r="3131" spans="1:27" x14ac:dyDescent="0.4">
      <c r="A3131" s="44" t="s">
        <v>225</v>
      </c>
      <c r="B3131" s="8" t="s">
        <v>226</v>
      </c>
      <c r="C3131" s="8" t="s">
        <v>226</v>
      </c>
      <c r="D3131" s="159">
        <f t="shared" si="212"/>
        <v>42082</v>
      </c>
      <c r="E3131" s="159">
        <f t="shared" si="212"/>
        <v>41997</v>
      </c>
      <c r="F3131" s="159">
        <f t="shared" si="212"/>
        <v>244909</v>
      </c>
      <c r="G3131" s="159">
        <f t="shared" si="212"/>
        <v>244418</v>
      </c>
      <c r="H3131" s="159">
        <f t="shared" si="212"/>
        <v>26384.186999999998</v>
      </c>
      <c r="I3131" s="160">
        <f>SUMIFS(T$8:T$3073,$K$8:$K$3073, "&lt;4",$G$8:$G$3073,$A$3127,$N$8:$N$3073,$B3131, $W$8:$W$3073, "=x")</f>
        <v>134774</v>
      </c>
      <c r="J3131" s="159">
        <f>SUMIFS(T$8:T$3073,U$8:U$3073, "&gt;0",$K$8:$K$3073, "&lt;4",$G$8:$G$3073,$A$3127,$N$8:$N$3073,$B3131)</f>
        <v>240242</v>
      </c>
      <c r="K3131" s="159">
        <f>SUMIFS(U$8:U$3073,U$8:U$3073, "&gt;0",$K$8:$K$3073, "&lt;4",$G$8:$G$3073,$A$3127,$N$8:$N$3073,$B3131)</f>
        <v>26647.220999999998</v>
      </c>
      <c r="L3131" s="94">
        <f t="shared" si="213"/>
        <v>9.015649324182812</v>
      </c>
      <c r="P3131" s="3"/>
      <c r="Q3131" s="3"/>
      <c r="R3131" s="3"/>
      <c r="S3131" s="3"/>
      <c r="T3131" s="3"/>
    </row>
    <row r="3132" spans="1:27" x14ac:dyDescent="0.4">
      <c r="A3132" s="44" t="s">
        <v>227</v>
      </c>
      <c r="B3132" s="8" t="s">
        <v>228</v>
      </c>
      <c r="C3132" s="8" t="s">
        <v>228</v>
      </c>
      <c r="D3132" s="159">
        <f>SUMIFS(Q$8:Q$3073,$K$8:$K$3073, "&lt;4",$G$8:$G$3073,$A$3127,$N$8:$N$3073,$B3132)-D3133</f>
        <v>170148684</v>
      </c>
      <c r="E3132" s="159">
        <f>SUMIFS(R$8:R$3073,$K$8:$K$3073, "&lt;4",$G$8:$G$3073,$A$3127,$N$8:$N$3073,$B3132)-E3133</f>
        <v>169447483</v>
      </c>
      <c r="F3132" s="159">
        <f>SUMIFS(S$8:S$3073,$K$8:$K$3073, "&lt;4",$G$8:$G$3073,$A$3127,$N$8:$N$3073,$B3132)-F3133</f>
        <v>175383543</v>
      </c>
      <c r="G3132" s="159">
        <f>SUMIFS(T$8:T$3073,$K$8:$K$3073, "&lt;4",$G$8:$G$3073,$A$3127,$N$8:$N$3073,$B3132)-G3133</f>
        <v>174662529</v>
      </c>
      <c r="H3132" s="159">
        <f>SUMIFS(U$8:U$3073,$K$8:$K$3073, "&lt;4",$G$8:$G$3073,$A$3127,$N$8:$N$3073,$B3132)-H3133</f>
        <v>24566723.433999993</v>
      </c>
      <c r="I3132" s="160">
        <f>SUMIFS(T$8:T$3073,$K$8:$K$3073, "&lt;4",$G$8:$G$3073,$A$3127,$N$8:$N$3073,$B3132, $W$8:$W$3073, "=x")</f>
        <v>173826859</v>
      </c>
      <c r="J3132" s="159">
        <f>SUMIFS(T$8:T$3073,U$8:U$3073, "&gt;0",$K$8:$K$3073, "&lt;4",$G$8:$G$3073,$A$3127,$N$8:$N$3073,$B3132)-J3133</f>
        <v>174662529</v>
      </c>
      <c r="K3132" s="159">
        <f>SUMIFS(U$8:U$3073,U$8:U$3073, "&gt;0",$K$8:$K$3073, "&lt;4",$G$8:$G$3073,$A$3127,$N$8:$N$3073,$B3132)-K3133</f>
        <v>24566723.433999993</v>
      </c>
      <c r="L3132" s="94">
        <f t="shared" si="213"/>
        <v>7.1097201655418791</v>
      </c>
      <c r="P3132" s="3"/>
      <c r="Q3132" s="3"/>
      <c r="R3132" s="3"/>
      <c r="S3132" s="3"/>
      <c r="T3132" s="3"/>
    </row>
    <row r="3133" spans="1:27" x14ac:dyDescent="0.4">
      <c r="A3133" s="44" t="s">
        <v>3684</v>
      </c>
      <c r="B3133" s="8" t="s">
        <v>228</v>
      </c>
      <c r="C3133" s="276" t="s">
        <v>990</v>
      </c>
      <c r="D3133" s="159">
        <f>SUMIFS(Q$8:Q$3073,$K$8:$K$3073, "&lt;4",$G$8:$G$3073,$A$3127,$M$8:$M$3073,EIA923DataSubtotalsCT[[#This Row],[MER
Fuel Type Code]],$N$8:$N$3073,$B$3104)</f>
        <v>4619335</v>
      </c>
      <c r="E3133" s="159">
        <f>SUMIFS(R$8:R$3073,$K$8:$K$3073, "&lt;4",$G$8:$G$3073,$A$3127,$M$8:$M$3073,EIA923DataSubtotalsCT[[#This Row],[MER
Fuel Type Code]],$N$8:$N$3073,$B$3104)</f>
        <v>4619335</v>
      </c>
      <c r="F3133" s="159">
        <f>SUMIFS(S$8:S$3073,$K$8:$K$3073, "&lt;4",$G$8:$G$3073,$A$3127,$M$8:$M$3073,EIA923DataSubtotalsCT[[#This Row],[MER
Fuel Type Code]],$N$8:$N$3073,$B$3104)</f>
        <v>4768952</v>
      </c>
      <c r="G3133" s="159">
        <f>SUMIFS(T$8:T$3073,$K$8:$K$3073, "&lt;4",$G$8:$G$3073,$A$3127,$M$8:$M$3073,EIA923DataSubtotalsCT[[#This Row],[MER
Fuel Type Code]],$N$8:$N$3073,$B$3104)</f>
        <v>4768952</v>
      </c>
      <c r="H3133" s="159">
        <f>SUMIFS(U$8:U$3073,$K$8:$K$3073, "&lt;4",$G$8:$G$3073,$A$3127,$M$8:$M$3073,EIA923DataSubtotalsCT[[#This Row],[MER
Fuel Type Code]],$N$8:$N$3073,$B$3104)</f>
        <v>570460.56000000006</v>
      </c>
      <c r="I3133" s="93">
        <v>0</v>
      </c>
      <c r="J3133" s="159">
        <f>SUMIFS(T$8:T$3073,U$8:U$3073, "&gt;0",$K$8:$K$3073, "&lt;4",$G$8:$G$3073,$A$3127,$M$8:$M$3073,EIA923DataSubtotalsCT[[#This Row],[MER
Fuel Type Code]],$N$8:$N$3073,$B$3133)</f>
        <v>4768952</v>
      </c>
      <c r="K3133" s="159">
        <f>SUMIFS(U$8:U$3073,V$8:V$3073, "&gt;0",$K$8:$K$3073, "&lt;4",$G$8:$G$3073,$A$3127,$M$8:$M$3073,EIA923DataSubtotalsCT[[#This Row],[MER
Fuel Type Code]],$N$8:$N$3073,$B$3133)</f>
        <v>570460.56000000006</v>
      </c>
      <c r="L3133" s="94">
        <f>J3133/K3133</f>
        <v>8.3598277153463503</v>
      </c>
      <c r="P3133" s="3"/>
      <c r="Q3133" s="3"/>
      <c r="R3133" s="3"/>
      <c r="S3133" s="3"/>
      <c r="T3133" s="3"/>
    </row>
    <row r="3134" spans="1:27" x14ac:dyDescent="0.4">
      <c r="A3134" s="44" t="s">
        <v>229</v>
      </c>
      <c r="B3134" s="8" t="s">
        <v>230</v>
      </c>
      <c r="C3134" s="8" t="s">
        <v>232</v>
      </c>
      <c r="D3134" s="159">
        <f t="shared" ref="D3134:D3150" si="214">SUMIFS(Q$8:Q$3073,$K$8:$K$3073, "&lt;4",$G$8:$G$3073,$A$3127,$N$8:$N$3073,$B3134)</f>
        <v>546764</v>
      </c>
      <c r="E3134" s="159">
        <f t="shared" ref="E3134:E3150" si="215">SUMIFS(R$8:R$3073,$K$8:$K$3073, "&lt;4",$G$8:$G$3073,$A$3127,$N$8:$N$3073,$B3134)</f>
        <v>546764</v>
      </c>
      <c r="F3134" s="159">
        <f t="shared" ref="F3134:F3150" si="216">SUMIFS(S$8:S$3073,$K$8:$K$3073, "&lt;4",$G$8:$G$3073,$A$3127,$N$8:$N$3073,$B3134)</f>
        <v>7784101</v>
      </c>
      <c r="G3134" s="159">
        <f t="shared" ref="G3134:G3150" si="217">SUMIFS(T$8:T$3073,$K$8:$K$3073, "&lt;4",$G$8:$G$3073,$A$3127,$N$8:$N$3073,$B3134)</f>
        <v>7784101</v>
      </c>
      <c r="H3134" s="159">
        <f t="shared" ref="H3134:H3150" si="218">SUMIFS(U$8:U$3073,$K$8:$K$3073, "&lt;4",$G$8:$G$3073,$A$3127,$N$8:$N$3073,$B3134)</f>
        <v>424135.01</v>
      </c>
      <c r="I3134" s="160">
        <f t="shared" ref="I3134:I3150" si="219">SUMIFS(T$8:T$3073,$K$8:$K$3073, "&lt;4",$G$8:$G$3073,$A$3127,$N$8:$N$3073,$B3134, $W$8:$W$3073, "=x")</f>
        <v>0</v>
      </c>
      <c r="J3134" s="159">
        <f t="shared" ref="J3134:J3150" si="220">SUMIFS(T$8:T$3073,U$8:U$3073, "&gt;0",$K$8:$K$3073, "&lt;4",$G$8:$G$3073,$A$3127,$N$8:$N$3073,$B3134)</f>
        <v>7784101</v>
      </c>
      <c r="K3134" s="159">
        <f t="shared" ref="K3134:K3150" si="221">SUMIFS(U$8:U$3073,U$8:U$3073, "&gt;0",$K$8:$K$3073, "&lt;4",$G$8:$G$3073,$A$3127,$N$8:$N$3073,$B3134)</f>
        <v>424135.01</v>
      </c>
      <c r="L3134" s="94">
        <f t="shared" si="213"/>
        <v>18.352884851453314</v>
      </c>
      <c r="P3134" s="3"/>
      <c r="Q3134" s="3"/>
      <c r="R3134" s="3"/>
      <c r="S3134" s="3"/>
      <c r="T3134" s="3"/>
    </row>
    <row r="3135" spans="1:27" x14ac:dyDescent="0.4">
      <c r="A3135" s="44" t="s">
        <v>231</v>
      </c>
      <c r="B3135" s="8" t="s">
        <v>232</v>
      </c>
      <c r="C3135" s="8" t="s">
        <v>232</v>
      </c>
      <c r="D3135" s="159">
        <f t="shared" si="214"/>
        <v>0</v>
      </c>
      <c r="E3135" s="159">
        <f t="shared" si="215"/>
        <v>0</v>
      </c>
      <c r="F3135" s="159">
        <f t="shared" si="216"/>
        <v>0</v>
      </c>
      <c r="G3135" s="159">
        <f t="shared" si="217"/>
        <v>0</v>
      </c>
      <c r="H3135" s="159">
        <f t="shared" si="218"/>
        <v>0</v>
      </c>
      <c r="I3135" s="160">
        <f t="shared" si="219"/>
        <v>0</v>
      </c>
      <c r="J3135" s="159">
        <f t="shared" si="220"/>
        <v>0</v>
      </c>
      <c r="K3135" s="159">
        <f t="shared" si="221"/>
        <v>0</v>
      </c>
      <c r="L3135" s="94" t="e">
        <f t="shared" si="213"/>
        <v>#DIV/0!</v>
      </c>
      <c r="P3135" s="3"/>
      <c r="Q3135" s="3"/>
      <c r="R3135" s="3"/>
      <c r="S3135" s="3"/>
      <c r="T3135" s="3"/>
    </row>
    <row r="3136" spans="1:27" x14ac:dyDescent="0.4">
      <c r="A3136" s="44" t="s">
        <v>233</v>
      </c>
      <c r="B3136" s="8" t="s">
        <v>234</v>
      </c>
      <c r="C3136" s="8" t="s">
        <v>232</v>
      </c>
      <c r="D3136" s="159">
        <f t="shared" si="214"/>
        <v>0</v>
      </c>
      <c r="E3136" s="159">
        <f t="shared" si="215"/>
        <v>0</v>
      </c>
      <c r="F3136" s="159">
        <f t="shared" si="216"/>
        <v>0</v>
      </c>
      <c r="G3136" s="159">
        <f t="shared" si="217"/>
        <v>0</v>
      </c>
      <c r="H3136" s="159">
        <f t="shared" si="218"/>
        <v>0</v>
      </c>
      <c r="I3136" s="160">
        <f t="shared" si="219"/>
        <v>0</v>
      </c>
      <c r="J3136" s="159">
        <f t="shared" si="220"/>
        <v>0</v>
      </c>
      <c r="K3136" s="159">
        <f t="shared" si="221"/>
        <v>0</v>
      </c>
      <c r="L3136" s="94" t="e">
        <f t="shared" si="213"/>
        <v>#DIV/0!</v>
      </c>
      <c r="P3136" s="3"/>
      <c r="Q3136" s="3"/>
      <c r="R3136" s="3"/>
      <c r="S3136" s="3"/>
      <c r="T3136" s="3"/>
    </row>
    <row r="3137" spans="1:27" x14ac:dyDescent="0.4">
      <c r="A3137" s="44" t="s">
        <v>235</v>
      </c>
      <c r="B3137" s="8" t="s">
        <v>236</v>
      </c>
      <c r="C3137" s="8" t="s">
        <v>236</v>
      </c>
      <c r="D3137" s="159">
        <f t="shared" si="214"/>
        <v>0</v>
      </c>
      <c r="E3137" s="159">
        <f t="shared" si="215"/>
        <v>0</v>
      </c>
      <c r="F3137" s="159">
        <f t="shared" si="216"/>
        <v>0</v>
      </c>
      <c r="G3137" s="159">
        <f t="shared" si="217"/>
        <v>0</v>
      </c>
      <c r="H3137" s="159">
        <f t="shared" si="218"/>
        <v>0</v>
      </c>
      <c r="I3137" s="160">
        <f t="shared" si="219"/>
        <v>0</v>
      </c>
      <c r="J3137" s="159">
        <f t="shared" si="220"/>
        <v>0</v>
      </c>
      <c r="K3137" s="159">
        <f t="shared" si="221"/>
        <v>0</v>
      </c>
      <c r="L3137" s="94" t="e">
        <f t="shared" si="213"/>
        <v>#DIV/0!</v>
      </c>
      <c r="P3137" s="3"/>
      <c r="Q3137" s="3"/>
      <c r="R3137" s="3"/>
      <c r="S3137" s="3"/>
      <c r="T3137" s="3"/>
    </row>
    <row r="3138" spans="1:27" x14ac:dyDescent="0.4">
      <c r="A3138" s="44" t="s">
        <v>237</v>
      </c>
      <c r="B3138" s="8" t="s">
        <v>238</v>
      </c>
      <c r="C3138" s="8" t="s">
        <v>238</v>
      </c>
      <c r="D3138" s="159">
        <f t="shared" si="214"/>
        <v>95646</v>
      </c>
      <c r="E3138" s="159">
        <f t="shared" si="215"/>
        <v>95646</v>
      </c>
      <c r="F3138" s="159">
        <f t="shared" si="216"/>
        <v>584338</v>
      </c>
      <c r="G3138" s="159">
        <f t="shared" si="217"/>
        <v>584338</v>
      </c>
      <c r="H3138" s="159">
        <f t="shared" si="218"/>
        <v>39895.219000000005</v>
      </c>
      <c r="I3138" s="160">
        <f t="shared" si="219"/>
        <v>558632</v>
      </c>
      <c r="J3138" s="159">
        <f t="shared" si="220"/>
        <v>584338</v>
      </c>
      <c r="K3138" s="159">
        <f t="shared" si="221"/>
        <v>39895.219000000005</v>
      </c>
      <c r="L3138" s="94">
        <f t="shared" si="213"/>
        <v>14.646817705149079</v>
      </c>
      <c r="P3138" s="3"/>
      <c r="Q3138" s="3"/>
      <c r="R3138" s="3"/>
      <c r="S3138" s="3"/>
      <c r="T3138" s="3"/>
    </row>
    <row r="3139" spans="1:27" x14ac:dyDescent="0.4">
      <c r="A3139" s="44" t="s">
        <v>239</v>
      </c>
      <c r="B3139" s="8" t="s">
        <v>240</v>
      </c>
      <c r="C3139" s="8" t="s">
        <v>349</v>
      </c>
      <c r="D3139" s="159">
        <f t="shared" si="214"/>
        <v>0</v>
      </c>
      <c r="E3139" s="159">
        <f t="shared" si="215"/>
        <v>0</v>
      </c>
      <c r="F3139" s="159">
        <f t="shared" si="216"/>
        <v>0</v>
      </c>
      <c r="G3139" s="159">
        <f t="shared" si="217"/>
        <v>0</v>
      </c>
      <c r="H3139" s="159">
        <f t="shared" si="218"/>
        <v>0</v>
      </c>
      <c r="I3139" s="160">
        <f t="shared" si="219"/>
        <v>0</v>
      </c>
      <c r="J3139" s="159">
        <f t="shared" si="220"/>
        <v>0</v>
      </c>
      <c r="K3139" s="159">
        <f t="shared" si="221"/>
        <v>0</v>
      </c>
      <c r="L3139" s="94" t="e">
        <f t="shared" si="213"/>
        <v>#DIV/0!</v>
      </c>
      <c r="P3139" s="3"/>
      <c r="Q3139" s="3"/>
      <c r="R3139" s="3"/>
      <c r="S3139" s="3"/>
      <c r="T3139" s="3"/>
    </row>
    <row r="3140" spans="1:27" x14ac:dyDescent="0.4">
      <c r="A3140" s="44" t="s">
        <v>241</v>
      </c>
      <c r="B3140" s="8" t="s">
        <v>242</v>
      </c>
      <c r="C3140" s="8" t="s">
        <v>349</v>
      </c>
      <c r="D3140" s="159">
        <f t="shared" si="214"/>
        <v>31915</v>
      </c>
      <c r="E3140" s="159">
        <f t="shared" si="215"/>
        <v>31915</v>
      </c>
      <c r="F3140" s="159">
        <f t="shared" si="216"/>
        <v>150600</v>
      </c>
      <c r="G3140" s="159">
        <f t="shared" si="217"/>
        <v>150600</v>
      </c>
      <c r="H3140" s="159">
        <f t="shared" si="218"/>
        <v>13004.748</v>
      </c>
      <c r="I3140" s="160">
        <f t="shared" si="219"/>
        <v>69886</v>
      </c>
      <c r="J3140" s="159">
        <f t="shared" si="220"/>
        <v>128951</v>
      </c>
      <c r="K3140" s="159">
        <f t="shared" si="221"/>
        <v>13603.748</v>
      </c>
      <c r="L3140" s="94">
        <f t="shared" si="213"/>
        <v>9.4790788538570396</v>
      </c>
      <c r="P3140" s="3"/>
      <c r="Q3140" s="3"/>
      <c r="R3140" s="3"/>
      <c r="S3140" s="3"/>
      <c r="T3140" s="3"/>
    </row>
    <row r="3141" spans="1:27" x14ac:dyDescent="0.4">
      <c r="A3141" s="44" t="s">
        <v>243</v>
      </c>
      <c r="B3141" s="8" t="s">
        <v>244</v>
      </c>
      <c r="C3141" s="8" t="s">
        <v>349</v>
      </c>
      <c r="D3141" s="159">
        <f t="shared" si="214"/>
        <v>0</v>
      </c>
      <c r="E3141" s="159">
        <f t="shared" si="215"/>
        <v>0</v>
      </c>
      <c r="F3141" s="159">
        <f t="shared" si="216"/>
        <v>0</v>
      </c>
      <c r="G3141" s="159">
        <f t="shared" si="217"/>
        <v>0</v>
      </c>
      <c r="H3141" s="159">
        <f t="shared" si="218"/>
        <v>0</v>
      </c>
      <c r="I3141" s="160">
        <f t="shared" si="219"/>
        <v>0</v>
      </c>
      <c r="J3141" s="159">
        <f t="shared" si="220"/>
        <v>0</v>
      </c>
      <c r="K3141" s="159">
        <f t="shared" si="221"/>
        <v>0</v>
      </c>
      <c r="L3141" s="94" t="e">
        <f t="shared" si="213"/>
        <v>#DIV/0!</v>
      </c>
      <c r="P3141" s="3"/>
      <c r="Q3141" s="3"/>
      <c r="R3141" s="3"/>
      <c r="S3141" s="3"/>
      <c r="T3141" s="3"/>
    </row>
    <row r="3142" spans="1:27" x14ac:dyDescent="0.4">
      <c r="A3142" s="44" t="s">
        <v>245</v>
      </c>
      <c r="B3142" s="8" t="s">
        <v>246</v>
      </c>
      <c r="C3142" s="8" t="s">
        <v>1004</v>
      </c>
      <c r="D3142" s="159">
        <f t="shared" si="214"/>
        <v>0</v>
      </c>
      <c r="E3142" s="159">
        <f t="shared" si="215"/>
        <v>0</v>
      </c>
      <c r="F3142" s="159">
        <f t="shared" si="216"/>
        <v>0</v>
      </c>
      <c r="G3142" s="159">
        <f t="shared" si="217"/>
        <v>0</v>
      </c>
      <c r="H3142" s="159">
        <f t="shared" si="218"/>
        <v>0</v>
      </c>
      <c r="I3142" s="160">
        <f t="shared" si="219"/>
        <v>0</v>
      </c>
      <c r="J3142" s="159">
        <f t="shared" si="220"/>
        <v>0</v>
      </c>
      <c r="K3142" s="159">
        <f t="shared" si="221"/>
        <v>0</v>
      </c>
      <c r="L3142" s="94" t="e">
        <f t="shared" si="213"/>
        <v>#DIV/0!</v>
      </c>
      <c r="P3142" s="3"/>
      <c r="Q3142" s="3"/>
      <c r="R3142" s="3"/>
      <c r="S3142" s="3"/>
      <c r="T3142" s="3"/>
    </row>
    <row r="3143" spans="1:27" x14ac:dyDescent="0.4">
      <c r="A3143" s="44" t="s">
        <v>251</v>
      </c>
      <c r="B3143" s="8" t="s">
        <v>252</v>
      </c>
      <c r="C3143" s="8" t="s">
        <v>688</v>
      </c>
      <c r="D3143" s="159">
        <f t="shared" si="214"/>
        <v>130120</v>
      </c>
      <c r="E3143" s="159">
        <f t="shared" si="215"/>
        <v>130120</v>
      </c>
      <c r="F3143" s="159">
        <f t="shared" si="216"/>
        <v>62458</v>
      </c>
      <c r="G3143" s="159">
        <f t="shared" si="217"/>
        <v>62458</v>
      </c>
      <c r="H3143" s="159">
        <f t="shared" si="218"/>
        <v>4725</v>
      </c>
      <c r="I3143" s="160">
        <f t="shared" si="219"/>
        <v>0</v>
      </c>
      <c r="J3143" s="159">
        <f t="shared" si="220"/>
        <v>62458</v>
      </c>
      <c r="K3143" s="159">
        <f t="shared" si="221"/>
        <v>4725</v>
      </c>
      <c r="L3143" s="94">
        <f t="shared" ref="L3143:L3150" si="222">J3143/K3143</f>
        <v>13.218624338624339</v>
      </c>
      <c r="P3143" s="3"/>
      <c r="Q3143" s="3"/>
      <c r="R3143" s="3"/>
      <c r="S3143" s="3"/>
      <c r="T3143" s="3"/>
    </row>
    <row r="3144" spans="1:27" x14ac:dyDescent="0.4">
      <c r="A3144" s="44" t="s">
        <v>253</v>
      </c>
      <c r="B3144" s="8" t="s">
        <v>254</v>
      </c>
      <c r="C3144" s="8" t="s">
        <v>688</v>
      </c>
      <c r="D3144" s="159">
        <f t="shared" si="214"/>
        <v>855203</v>
      </c>
      <c r="E3144" s="159">
        <f t="shared" si="215"/>
        <v>855203</v>
      </c>
      <c r="F3144" s="159">
        <f t="shared" si="216"/>
        <v>6368784</v>
      </c>
      <c r="G3144" s="159">
        <f t="shared" si="217"/>
        <v>6368784</v>
      </c>
      <c r="H3144" s="159">
        <f t="shared" si="218"/>
        <v>347017.864</v>
      </c>
      <c r="I3144" s="160">
        <f t="shared" si="219"/>
        <v>0</v>
      </c>
      <c r="J3144" s="159">
        <f t="shared" si="220"/>
        <v>6368784</v>
      </c>
      <c r="K3144" s="159">
        <f t="shared" si="221"/>
        <v>347017.864</v>
      </c>
      <c r="L3144" s="94">
        <f t="shared" si="222"/>
        <v>18.352899549862943</v>
      </c>
      <c r="P3144" s="3"/>
      <c r="Q3144" s="3"/>
      <c r="R3144" s="3"/>
      <c r="S3144" s="3"/>
      <c r="T3144" s="3"/>
    </row>
    <row r="3145" spans="1:27" x14ac:dyDescent="0.4">
      <c r="A3145" s="44" t="s">
        <v>255</v>
      </c>
      <c r="B3145" s="8" t="s">
        <v>256</v>
      </c>
      <c r="C3145" s="8" t="s">
        <v>387</v>
      </c>
      <c r="D3145" s="159">
        <f t="shared" si="214"/>
        <v>0</v>
      </c>
      <c r="E3145" s="159">
        <f t="shared" si="215"/>
        <v>0</v>
      </c>
      <c r="F3145" s="159">
        <f t="shared" si="216"/>
        <v>0</v>
      </c>
      <c r="G3145" s="159">
        <f t="shared" si="217"/>
        <v>0</v>
      </c>
      <c r="H3145" s="159">
        <f t="shared" si="218"/>
        <v>0</v>
      </c>
      <c r="I3145" s="160">
        <f t="shared" si="219"/>
        <v>0</v>
      </c>
      <c r="J3145" s="159">
        <f t="shared" si="220"/>
        <v>0</v>
      </c>
      <c r="K3145" s="159">
        <f t="shared" si="221"/>
        <v>0</v>
      </c>
      <c r="L3145" s="94" t="e">
        <f t="shared" si="222"/>
        <v>#DIV/0!</v>
      </c>
      <c r="P3145" s="3"/>
      <c r="Q3145" s="3"/>
      <c r="R3145" s="3"/>
      <c r="S3145" s="3"/>
      <c r="T3145" s="3"/>
    </row>
    <row r="3146" spans="1:27" x14ac:dyDescent="0.4">
      <c r="A3146" s="44" t="s">
        <v>257</v>
      </c>
      <c r="B3146" s="8" t="s">
        <v>258</v>
      </c>
      <c r="C3146" s="8" t="s">
        <v>387</v>
      </c>
      <c r="D3146" s="159">
        <f t="shared" si="214"/>
        <v>269389</v>
      </c>
      <c r="E3146" s="159">
        <f t="shared" si="215"/>
        <v>269389</v>
      </c>
      <c r="F3146" s="159">
        <f t="shared" si="216"/>
        <v>2478379</v>
      </c>
      <c r="G3146" s="159">
        <f t="shared" si="217"/>
        <v>2478379</v>
      </c>
      <c r="H3146" s="159">
        <f t="shared" si="218"/>
        <v>198080.24</v>
      </c>
      <c r="I3146" s="160">
        <f t="shared" si="219"/>
        <v>0</v>
      </c>
      <c r="J3146" s="159">
        <f t="shared" si="220"/>
        <v>2478379</v>
      </c>
      <c r="K3146" s="159">
        <f t="shared" si="221"/>
        <v>198080.24</v>
      </c>
      <c r="L3146" s="94">
        <f t="shared" si="222"/>
        <v>12.511995138939655</v>
      </c>
      <c r="P3146" s="3"/>
      <c r="Q3146" s="3"/>
      <c r="R3146" s="3"/>
      <c r="S3146" s="3"/>
      <c r="T3146" s="3"/>
    </row>
    <row r="3147" spans="1:27" x14ac:dyDescent="0.4">
      <c r="A3147" s="44" t="s">
        <v>259</v>
      </c>
      <c r="B3147" s="8" t="s">
        <v>260</v>
      </c>
      <c r="C3147" s="8" t="s">
        <v>481</v>
      </c>
      <c r="D3147" s="159">
        <f t="shared" si="214"/>
        <v>0</v>
      </c>
      <c r="E3147" s="159">
        <f t="shared" si="215"/>
        <v>0</v>
      </c>
      <c r="F3147" s="159">
        <f t="shared" si="216"/>
        <v>0</v>
      </c>
      <c r="G3147" s="159">
        <f t="shared" si="217"/>
        <v>0</v>
      </c>
      <c r="H3147" s="159">
        <f t="shared" si="218"/>
        <v>0</v>
      </c>
      <c r="I3147" s="160">
        <f t="shared" si="219"/>
        <v>0</v>
      </c>
      <c r="J3147" s="159">
        <f t="shared" si="220"/>
        <v>0</v>
      </c>
      <c r="K3147" s="159">
        <f t="shared" si="221"/>
        <v>0</v>
      </c>
      <c r="L3147" s="94" t="e">
        <f t="shared" si="222"/>
        <v>#DIV/0!</v>
      </c>
      <c r="P3147" s="3"/>
      <c r="Q3147" s="3"/>
      <c r="R3147" s="3"/>
      <c r="S3147" s="3"/>
      <c r="T3147" s="3"/>
    </row>
    <row r="3148" spans="1:27" x14ac:dyDescent="0.4">
      <c r="A3148" s="44" t="s">
        <v>261</v>
      </c>
      <c r="B3148" s="8" t="s">
        <v>262</v>
      </c>
      <c r="C3148" s="8" t="s">
        <v>481</v>
      </c>
      <c r="D3148" s="159">
        <f t="shared" si="214"/>
        <v>0</v>
      </c>
      <c r="E3148" s="159">
        <f t="shared" si="215"/>
        <v>0</v>
      </c>
      <c r="F3148" s="159">
        <f t="shared" si="216"/>
        <v>0</v>
      </c>
      <c r="G3148" s="159">
        <f t="shared" si="217"/>
        <v>0</v>
      </c>
      <c r="H3148" s="159">
        <f t="shared" si="218"/>
        <v>0</v>
      </c>
      <c r="I3148" s="160">
        <f t="shared" si="219"/>
        <v>0</v>
      </c>
      <c r="J3148" s="159">
        <f t="shared" si="220"/>
        <v>0</v>
      </c>
      <c r="K3148" s="159">
        <f t="shared" si="221"/>
        <v>0</v>
      </c>
      <c r="L3148" s="94" t="e">
        <f t="shared" si="222"/>
        <v>#DIV/0!</v>
      </c>
      <c r="P3148" s="3"/>
      <c r="Q3148" s="3"/>
      <c r="R3148" s="3"/>
      <c r="S3148" s="3"/>
      <c r="T3148" s="3"/>
    </row>
    <row r="3149" spans="1:27" x14ac:dyDescent="0.4">
      <c r="A3149" s="44" t="s">
        <v>263</v>
      </c>
      <c r="B3149" s="8" t="s">
        <v>264</v>
      </c>
      <c r="C3149" s="8" t="s">
        <v>481</v>
      </c>
      <c r="D3149" s="159">
        <f t="shared" si="214"/>
        <v>2916</v>
      </c>
      <c r="E3149" s="159">
        <f t="shared" si="215"/>
        <v>2916</v>
      </c>
      <c r="F3149" s="159">
        <f t="shared" si="216"/>
        <v>15747</v>
      </c>
      <c r="G3149" s="159">
        <f t="shared" si="217"/>
        <v>15747</v>
      </c>
      <c r="H3149" s="159">
        <f t="shared" si="218"/>
        <v>1064.7650000000001</v>
      </c>
      <c r="I3149" s="160">
        <f t="shared" si="219"/>
        <v>0</v>
      </c>
      <c r="J3149" s="159">
        <f t="shared" si="220"/>
        <v>15747</v>
      </c>
      <c r="K3149" s="159">
        <f t="shared" si="221"/>
        <v>1064.7650000000001</v>
      </c>
      <c r="L3149" s="94">
        <f t="shared" si="222"/>
        <v>14.789178832888007</v>
      </c>
      <c r="P3149" s="3"/>
      <c r="Q3149" s="3"/>
      <c r="R3149" s="3"/>
      <c r="S3149" s="3"/>
      <c r="T3149" s="3"/>
    </row>
    <row r="3150" spans="1:27" x14ac:dyDescent="0.4">
      <c r="A3150" s="44" t="s">
        <v>265</v>
      </c>
      <c r="B3150" s="8" t="s">
        <v>266</v>
      </c>
      <c r="C3150" s="8" t="s">
        <v>481</v>
      </c>
      <c r="D3150" s="159">
        <f t="shared" si="214"/>
        <v>0</v>
      </c>
      <c r="E3150" s="159">
        <f t="shared" si="215"/>
        <v>0</v>
      </c>
      <c r="F3150" s="159">
        <f t="shared" si="216"/>
        <v>0</v>
      </c>
      <c r="G3150" s="159">
        <f t="shared" si="217"/>
        <v>0</v>
      </c>
      <c r="H3150" s="159">
        <f t="shared" si="218"/>
        <v>0</v>
      </c>
      <c r="I3150" s="160">
        <f t="shared" si="219"/>
        <v>0</v>
      </c>
      <c r="J3150" s="159">
        <f t="shared" si="220"/>
        <v>0</v>
      </c>
      <c r="K3150" s="159">
        <f t="shared" si="221"/>
        <v>0</v>
      </c>
      <c r="L3150" s="94" t="e">
        <f t="shared" si="222"/>
        <v>#DIV/0!</v>
      </c>
      <c r="P3150" s="3"/>
      <c r="Q3150" s="3"/>
      <c r="R3150" s="3"/>
      <c r="S3150" s="3"/>
      <c r="T3150" s="3"/>
    </row>
    <row r="3151" spans="1:27" x14ac:dyDescent="0.4">
      <c r="A3151" s="510" t="s">
        <v>55</v>
      </c>
      <c r="B3151" s="339" t="s">
        <v>170</v>
      </c>
      <c r="C3151" s="511" t="s">
        <v>170</v>
      </c>
      <c r="D3151" s="512">
        <f>SUM(D3130:D3150)</f>
        <v>176742054</v>
      </c>
      <c r="E3151" s="512">
        <f>SUM(E3130:E3150)</f>
        <v>176040768</v>
      </c>
      <c r="F3151" s="512">
        <f>SUM(F3130:F3150)</f>
        <v>197841811</v>
      </c>
      <c r="G3151" s="512">
        <f>SUM(G3130:G3150)</f>
        <v>197120306</v>
      </c>
      <c r="H3151" s="512">
        <f>SUM(H3130:H3150)</f>
        <v>26191491.026999991</v>
      </c>
      <c r="I3151" s="339" t="s">
        <v>170</v>
      </c>
      <c r="J3151" s="339" t="s">
        <v>170</v>
      </c>
      <c r="K3151" s="339" t="s">
        <v>170</v>
      </c>
      <c r="L3151" s="339" t="s">
        <v>170</v>
      </c>
      <c r="AA3151" s="26"/>
    </row>
    <row r="3152" spans="1:27" x14ac:dyDescent="0.4">
      <c r="A3152" s="3" t="s">
        <v>11</v>
      </c>
      <c r="AA3152" s="26"/>
    </row>
    <row r="3153" spans="1:27" x14ac:dyDescent="0.4">
      <c r="AA3153" s="26"/>
    </row>
    <row r="3154" spans="1:27" s="4" customFormat="1" x14ac:dyDescent="0.4">
      <c r="A3154" s="278" t="s">
        <v>990</v>
      </c>
    </row>
    <row r="3155" spans="1:27" x14ac:dyDescent="0.4">
      <c r="P3155" s="3"/>
      <c r="Q3155" s="3"/>
      <c r="R3155" s="3"/>
      <c r="S3155" s="3"/>
      <c r="T3155" s="3"/>
    </row>
    <row r="3156" spans="1:27" x14ac:dyDescent="0.4">
      <c r="A3156" s="406" t="s">
        <v>34</v>
      </c>
      <c r="P3156" s="3"/>
      <c r="Q3156" s="3"/>
      <c r="R3156" s="3"/>
      <c r="S3156" s="3"/>
      <c r="T3156" s="3"/>
    </row>
    <row r="3157" spans="1:27" ht="80" x14ac:dyDescent="0.4">
      <c r="A3157" s="266" t="s">
        <v>3680</v>
      </c>
      <c r="B3157" s="267" t="s">
        <v>316</v>
      </c>
      <c r="C3157" s="267" t="s">
        <v>317</v>
      </c>
      <c r="D3157" s="266" t="s">
        <v>319</v>
      </c>
      <c r="E3157" s="266" t="s">
        <v>320</v>
      </c>
      <c r="F3157" s="266" t="s">
        <v>321</v>
      </c>
      <c r="G3157" s="266" t="s">
        <v>322</v>
      </c>
      <c r="H3157" s="266" t="s">
        <v>323</v>
      </c>
      <c r="I3157" s="268" t="s">
        <v>4562</v>
      </c>
      <c r="J3157" s="266" t="s">
        <v>3681</v>
      </c>
      <c r="K3157" s="266" t="s">
        <v>3682</v>
      </c>
      <c r="L3157" s="266" t="s">
        <v>3683</v>
      </c>
    </row>
    <row r="3158" spans="1:27" x14ac:dyDescent="0.4">
      <c r="A3158" s="513" t="s">
        <v>221</v>
      </c>
      <c r="B3158" s="505" t="s">
        <v>222</v>
      </c>
      <c r="C3158" s="505" t="s">
        <v>479</v>
      </c>
      <c r="D3158" s="507">
        <f t="shared" ref="D3158:D3178" si="223">SUMIFS(Q$8:Q$3073,$K$8:$K$3073, "&lt;4",$G$8:$G$3073,$A$3156,$N$8:$N$3073,$B3158)</f>
        <v>42036</v>
      </c>
      <c r="E3158" s="507">
        <f t="shared" ref="E3158:E3178" si="224">SUMIFS(R$8:R$3073,$K$8:$K$3073, "&lt;4",$G$8:$G$3073,$A$3156,$N$8:$N$3073,$B3158)</f>
        <v>7552</v>
      </c>
      <c r="F3158" s="507">
        <f t="shared" ref="F3158:F3178" si="225">SUMIFS(S$8:S$3073,$K$8:$K$3073, "&lt;4",$G$8:$G$3073,$A$3156,$N$8:$N$3073,$B3158)</f>
        <v>856667</v>
      </c>
      <c r="G3158" s="507">
        <f t="shared" ref="G3158:G3178" si="226">SUMIFS(T$8:T$3073,$K$8:$K$3073, "&lt;4",$G$8:$G$3073,$A$3156,$N$8:$N$3073,$B3158)</f>
        <v>153833</v>
      </c>
      <c r="H3158" s="507">
        <f t="shared" ref="H3158:H3178" si="227">SUMIFS(U$8:U$3073,$K$8:$K$3073, "&lt;4",$G$8:$G$3073,$A$3156,$N$8:$N$3073,$B3158)</f>
        <v>29379.760999999999</v>
      </c>
      <c r="I3158" s="508">
        <f t="shared" ref="I3158:I3178" si="228">SUMIFS(T$8:T$3073,$K$8:$K$3073, "&lt;4",$G$8:$G$3073,$A$3156,$N$8:$N$3073,$B3158, $W$8:$W$3073, "=x")</f>
        <v>0</v>
      </c>
      <c r="J3158" s="507">
        <f t="shared" ref="J3158:J3178" si="229">SUMIFS(T$8:T$3073,U$8:U$3073, "&gt;0",$K$8:$K$3073, "&lt;4",$G$8:$G$3073,$A$3156,$N$8:$N$3073,$B3158)</f>
        <v>153833</v>
      </c>
      <c r="K3158" s="507">
        <f t="shared" ref="K3158:K3178" si="230">SUMIFS(U$8:U$3073,U$8:U$3073, "&gt;0",$K$8:$K$3073, "&lt;4",$G$8:$G$3073,$A$3156,$N$8:$N$3073,$B3158)</f>
        <v>29379.760999999999</v>
      </c>
      <c r="L3158" s="509">
        <f t="shared" ref="L3158:L3170" si="231">J3158/K3158</f>
        <v>5.236019448898853</v>
      </c>
      <c r="W3158" s="26"/>
      <c r="X3158" s="26"/>
      <c r="Y3158" s="26"/>
    </row>
    <row r="3159" spans="1:27" x14ac:dyDescent="0.4">
      <c r="A3159" s="44" t="s">
        <v>223</v>
      </c>
      <c r="B3159" s="8" t="s">
        <v>224</v>
      </c>
      <c r="C3159" s="8" t="s">
        <v>479</v>
      </c>
      <c r="D3159" s="159">
        <f t="shared" si="223"/>
        <v>0</v>
      </c>
      <c r="E3159" s="159">
        <f t="shared" si="224"/>
        <v>0</v>
      </c>
      <c r="F3159" s="159">
        <f t="shared" si="225"/>
        <v>0</v>
      </c>
      <c r="G3159" s="159">
        <f t="shared" si="226"/>
        <v>0</v>
      </c>
      <c r="H3159" s="159">
        <f t="shared" si="227"/>
        <v>0</v>
      </c>
      <c r="I3159" s="160">
        <f t="shared" si="228"/>
        <v>0</v>
      </c>
      <c r="J3159" s="159">
        <f t="shared" si="229"/>
        <v>0</v>
      </c>
      <c r="K3159" s="159">
        <f t="shared" si="230"/>
        <v>0</v>
      </c>
      <c r="L3159" s="94" t="e">
        <f t="shared" si="231"/>
        <v>#DIV/0!</v>
      </c>
      <c r="P3159" s="3"/>
      <c r="Q3159" s="3"/>
      <c r="R3159" s="3"/>
      <c r="S3159" s="3"/>
      <c r="T3159" s="3"/>
    </row>
    <row r="3160" spans="1:27" x14ac:dyDescent="0.4">
      <c r="A3160" s="44" t="s">
        <v>225</v>
      </c>
      <c r="B3160" s="8" t="s">
        <v>226</v>
      </c>
      <c r="C3160" s="8" t="s">
        <v>226</v>
      </c>
      <c r="D3160" s="159">
        <f t="shared" si="223"/>
        <v>2028</v>
      </c>
      <c r="E3160" s="159">
        <f t="shared" si="224"/>
        <v>2028</v>
      </c>
      <c r="F3160" s="159">
        <f t="shared" si="225"/>
        <v>11700</v>
      </c>
      <c r="G3160" s="159">
        <f t="shared" si="226"/>
        <v>11700</v>
      </c>
      <c r="H3160" s="159">
        <f t="shared" si="227"/>
        <v>659.48199999999997</v>
      </c>
      <c r="I3160" s="160">
        <f t="shared" si="228"/>
        <v>7660</v>
      </c>
      <c r="J3160" s="159">
        <f t="shared" si="229"/>
        <v>11700</v>
      </c>
      <c r="K3160" s="159">
        <f t="shared" si="230"/>
        <v>659.48199999999997</v>
      </c>
      <c r="L3160" s="94">
        <f t="shared" si="231"/>
        <v>17.741196878762423</v>
      </c>
      <c r="P3160" s="3"/>
      <c r="Q3160" s="3"/>
      <c r="R3160" s="3"/>
      <c r="S3160" s="3"/>
      <c r="T3160" s="3"/>
    </row>
    <row r="3161" spans="1:27" x14ac:dyDescent="0.4">
      <c r="A3161" s="44" t="s">
        <v>270</v>
      </c>
      <c r="B3161" s="8" t="s">
        <v>228</v>
      </c>
      <c r="C3161" s="8" t="s">
        <v>228</v>
      </c>
      <c r="D3161" s="159">
        <f t="shared" si="223"/>
        <v>42651941</v>
      </c>
      <c r="E3161" s="159">
        <f t="shared" si="224"/>
        <v>42651941</v>
      </c>
      <c r="F3161" s="159">
        <f t="shared" si="225"/>
        <v>44480727</v>
      </c>
      <c r="G3161" s="159">
        <f t="shared" si="226"/>
        <v>44480727</v>
      </c>
      <c r="H3161" s="159">
        <f t="shared" si="227"/>
        <v>6221616.0439999998</v>
      </c>
      <c r="I3161" s="160">
        <f t="shared" si="228"/>
        <v>44464024</v>
      </c>
      <c r="J3161" s="159">
        <f t="shared" si="229"/>
        <v>44480727</v>
      </c>
      <c r="K3161" s="159">
        <f t="shared" si="230"/>
        <v>6221616.0439999998</v>
      </c>
      <c r="L3161" s="94">
        <f t="shared" si="231"/>
        <v>7.149384771645674</v>
      </c>
      <c r="P3161" s="3"/>
      <c r="Q3161" s="3"/>
      <c r="R3161" s="3"/>
      <c r="S3161" s="3"/>
      <c r="T3161" s="3"/>
    </row>
    <row r="3162" spans="1:27" x14ac:dyDescent="0.4">
      <c r="A3162" s="44" t="s">
        <v>229</v>
      </c>
      <c r="B3162" s="8" t="s">
        <v>230</v>
      </c>
      <c r="C3162" s="8" t="s">
        <v>232</v>
      </c>
      <c r="D3162" s="159">
        <f t="shared" si="223"/>
        <v>59951</v>
      </c>
      <c r="E3162" s="159">
        <f t="shared" si="224"/>
        <v>59951</v>
      </c>
      <c r="F3162" s="159">
        <f t="shared" si="225"/>
        <v>845474</v>
      </c>
      <c r="G3162" s="159">
        <f t="shared" si="226"/>
        <v>845474</v>
      </c>
      <c r="H3162" s="159">
        <f t="shared" si="227"/>
        <v>48813.45</v>
      </c>
      <c r="I3162" s="160">
        <f t="shared" si="228"/>
        <v>0</v>
      </c>
      <c r="J3162" s="159">
        <f t="shared" si="229"/>
        <v>845474</v>
      </c>
      <c r="K3162" s="159">
        <f t="shared" si="230"/>
        <v>48813.45</v>
      </c>
      <c r="L3162" s="94">
        <f t="shared" si="231"/>
        <v>17.320513096288011</v>
      </c>
      <c r="P3162" s="3"/>
      <c r="Q3162" s="3"/>
      <c r="R3162" s="3"/>
      <c r="S3162" s="3"/>
      <c r="T3162" s="3"/>
    </row>
    <row r="3163" spans="1:27" x14ac:dyDescent="0.4">
      <c r="A3163" s="44" t="s">
        <v>231</v>
      </c>
      <c r="B3163" s="8" t="s">
        <v>232</v>
      </c>
      <c r="C3163" s="8" t="s">
        <v>232</v>
      </c>
      <c r="D3163" s="159">
        <f t="shared" si="223"/>
        <v>0</v>
      </c>
      <c r="E3163" s="159">
        <f t="shared" si="224"/>
        <v>0</v>
      </c>
      <c r="F3163" s="159">
        <f t="shared" si="225"/>
        <v>0</v>
      </c>
      <c r="G3163" s="159">
        <f t="shared" si="226"/>
        <v>0</v>
      </c>
      <c r="H3163" s="159">
        <f t="shared" si="227"/>
        <v>0</v>
      </c>
      <c r="I3163" s="160">
        <f t="shared" si="228"/>
        <v>0</v>
      </c>
      <c r="J3163" s="159">
        <f t="shared" si="229"/>
        <v>0</v>
      </c>
      <c r="K3163" s="159">
        <f t="shared" si="230"/>
        <v>0</v>
      </c>
      <c r="L3163" s="94" t="e">
        <f t="shared" si="231"/>
        <v>#DIV/0!</v>
      </c>
      <c r="P3163" s="3"/>
      <c r="Q3163" s="3"/>
      <c r="R3163" s="3"/>
      <c r="S3163" s="3"/>
      <c r="T3163" s="3"/>
    </row>
    <row r="3164" spans="1:27" x14ac:dyDescent="0.4">
      <c r="A3164" s="44" t="s">
        <v>233</v>
      </c>
      <c r="B3164" s="8" t="s">
        <v>234</v>
      </c>
      <c r="C3164" s="8" t="s">
        <v>232</v>
      </c>
      <c r="D3164" s="159">
        <f t="shared" si="223"/>
        <v>90904</v>
      </c>
      <c r="E3164" s="159">
        <f t="shared" si="224"/>
        <v>16549</v>
      </c>
      <c r="F3164" s="159">
        <f t="shared" si="225"/>
        <v>2727120</v>
      </c>
      <c r="G3164" s="159">
        <f t="shared" si="226"/>
        <v>496451</v>
      </c>
      <c r="H3164" s="159">
        <f t="shared" si="227"/>
        <v>94368.024000000005</v>
      </c>
      <c r="I3164" s="160">
        <f t="shared" si="228"/>
        <v>0</v>
      </c>
      <c r="J3164" s="159">
        <f t="shared" si="229"/>
        <v>496451</v>
      </c>
      <c r="K3164" s="159">
        <f t="shared" si="230"/>
        <v>94368.024000000005</v>
      </c>
      <c r="L3164" s="94">
        <f t="shared" si="231"/>
        <v>5.2607968139716474</v>
      </c>
      <c r="P3164" s="3"/>
      <c r="Q3164" s="3"/>
      <c r="R3164" s="3"/>
      <c r="S3164" s="3"/>
      <c r="T3164" s="3"/>
    </row>
    <row r="3165" spans="1:27" x14ac:dyDescent="0.4">
      <c r="A3165" s="44" t="s">
        <v>235</v>
      </c>
      <c r="B3165" s="8" t="s">
        <v>236</v>
      </c>
      <c r="C3165" s="8" t="s">
        <v>236</v>
      </c>
      <c r="D3165" s="159">
        <f t="shared" si="223"/>
        <v>0</v>
      </c>
      <c r="E3165" s="159">
        <f t="shared" si="224"/>
        <v>0</v>
      </c>
      <c r="F3165" s="159">
        <f t="shared" si="225"/>
        <v>0</v>
      </c>
      <c r="G3165" s="159">
        <f t="shared" si="226"/>
        <v>0</v>
      </c>
      <c r="H3165" s="159">
        <f t="shared" si="227"/>
        <v>0</v>
      </c>
      <c r="I3165" s="160">
        <f t="shared" si="228"/>
        <v>0</v>
      </c>
      <c r="J3165" s="159">
        <f t="shared" si="229"/>
        <v>0</v>
      </c>
      <c r="K3165" s="159">
        <f t="shared" si="230"/>
        <v>0</v>
      </c>
      <c r="L3165" s="94" t="e">
        <f t="shared" si="231"/>
        <v>#DIV/0!</v>
      </c>
      <c r="P3165" s="3"/>
      <c r="Q3165" s="3"/>
      <c r="R3165" s="3"/>
      <c r="S3165" s="3"/>
      <c r="T3165" s="3"/>
    </row>
    <row r="3166" spans="1:27" x14ac:dyDescent="0.4">
      <c r="A3166" s="44" t="s">
        <v>237</v>
      </c>
      <c r="B3166" s="8" t="s">
        <v>238</v>
      </c>
      <c r="C3166" s="8" t="s">
        <v>238</v>
      </c>
      <c r="D3166" s="159">
        <f t="shared" si="223"/>
        <v>122097</v>
      </c>
      <c r="E3166" s="159">
        <f t="shared" si="224"/>
        <v>79425</v>
      </c>
      <c r="F3166" s="159">
        <f t="shared" si="225"/>
        <v>750826</v>
      </c>
      <c r="G3166" s="159">
        <f t="shared" si="226"/>
        <v>502049</v>
      </c>
      <c r="H3166" s="159">
        <f t="shared" si="227"/>
        <v>46665.620999999999</v>
      </c>
      <c r="I3166" s="160">
        <f t="shared" si="228"/>
        <v>445843</v>
      </c>
      <c r="J3166" s="159">
        <f t="shared" si="229"/>
        <v>502049</v>
      </c>
      <c r="K3166" s="159">
        <f t="shared" si="230"/>
        <v>46665.620999999999</v>
      </c>
      <c r="L3166" s="94">
        <f t="shared" si="231"/>
        <v>10.758433922908686</v>
      </c>
      <c r="P3166" s="3"/>
      <c r="Q3166" s="3"/>
      <c r="R3166" s="3"/>
      <c r="S3166" s="3"/>
      <c r="T3166" s="3"/>
    </row>
    <row r="3167" spans="1:27" x14ac:dyDescent="0.4">
      <c r="A3167" s="44" t="s">
        <v>239</v>
      </c>
      <c r="B3167" s="8" t="s">
        <v>240</v>
      </c>
      <c r="C3167" s="8" t="s">
        <v>349</v>
      </c>
      <c r="D3167" s="159">
        <f t="shared" si="223"/>
        <v>0</v>
      </c>
      <c r="E3167" s="159">
        <f t="shared" si="224"/>
        <v>0</v>
      </c>
      <c r="F3167" s="159">
        <f t="shared" si="225"/>
        <v>0</v>
      </c>
      <c r="G3167" s="159">
        <f t="shared" si="226"/>
        <v>0</v>
      </c>
      <c r="H3167" s="159">
        <f t="shared" si="227"/>
        <v>0</v>
      </c>
      <c r="I3167" s="160">
        <f t="shared" si="228"/>
        <v>0</v>
      </c>
      <c r="J3167" s="159">
        <f t="shared" si="229"/>
        <v>0</v>
      </c>
      <c r="K3167" s="159">
        <f t="shared" si="230"/>
        <v>0</v>
      </c>
      <c r="L3167" s="94" t="e">
        <f t="shared" si="231"/>
        <v>#DIV/0!</v>
      </c>
      <c r="P3167" s="3"/>
      <c r="Q3167" s="3"/>
      <c r="R3167" s="3"/>
      <c r="S3167" s="3"/>
      <c r="T3167" s="3"/>
    </row>
    <row r="3168" spans="1:27" x14ac:dyDescent="0.4">
      <c r="A3168" s="44" t="s">
        <v>241</v>
      </c>
      <c r="B3168" s="8" t="s">
        <v>242</v>
      </c>
      <c r="C3168" s="8" t="s">
        <v>349</v>
      </c>
      <c r="D3168" s="159">
        <f t="shared" si="223"/>
        <v>0</v>
      </c>
      <c r="E3168" s="159">
        <f t="shared" si="224"/>
        <v>0</v>
      </c>
      <c r="F3168" s="159">
        <f t="shared" si="225"/>
        <v>0</v>
      </c>
      <c r="G3168" s="159">
        <f t="shared" si="226"/>
        <v>0</v>
      </c>
      <c r="H3168" s="159">
        <f t="shared" si="227"/>
        <v>0</v>
      </c>
      <c r="I3168" s="160">
        <f t="shared" si="228"/>
        <v>0</v>
      </c>
      <c r="J3168" s="159">
        <f t="shared" si="229"/>
        <v>0</v>
      </c>
      <c r="K3168" s="159">
        <f t="shared" si="230"/>
        <v>0</v>
      </c>
      <c r="L3168" s="94" t="e">
        <f t="shared" si="231"/>
        <v>#DIV/0!</v>
      </c>
      <c r="P3168" s="3"/>
      <c r="Q3168" s="3"/>
      <c r="R3168" s="3"/>
      <c r="S3168" s="3"/>
      <c r="T3168" s="3"/>
    </row>
    <row r="3169" spans="1:27" x14ac:dyDescent="0.4">
      <c r="A3169" s="44" t="s">
        <v>243</v>
      </c>
      <c r="B3169" s="8" t="s">
        <v>244</v>
      </c>
      <c r="C3169" s="8" t="s">
        <v>349</v>
      </c>
      <c r="D3169" s="159">
        <f t="shared" si="223"/>
        <v>0</v>
      </c>
      <c r="E3169" s="159">
        <f t="shared" si="224"/>
        <v>0</v>
      </c>
      <c r="F3169" s="159">
        <f t="shared" si="225"/>
        <v>0</v>
      </c>
      <c r="G3169" s="159">
        <f t="shared" si="226"/>
        <v>0</v>
      </c>
      <c r="H3169" s="159">
        <f t="shared" si="227"/>
        <v>0</v>
      </c>
      <c r="I3169" s="160">
        <f t="shared" si="228"/>
        <v>0</v>
      </c>
      <c r="J3169" s="159">
        <f t="shared" si="229"/>
        <v>0</v>
      </c>
      <c r="K3169" s="159">
        <f t="shared" si="230"/>
        <v>0</v>
      </c>
      <c r="L3169" s="94" t="e">
        <f t="shared" si="231"/>
        <v>#DIV/0!</v>
      </c>
      <c r="P3169" s="3"/>
      <c r="Q3169" s="3"/>
      <c r="R3169" s="3"/>
      <c r="S3169" s="3"/>
      <c r="T3169" s="3"/>
    </row>
    <row r="3170" spans="1:27" x14ac:dyDescent="0.4">
      <c r="A3170" s="44" t="s">
        <v>245</v>
      </c>
      <c r="B3170" s="8" t="s">
        <v>246</v>
      </c>
      <c r="C3170" s="8" t="s">
        <v>1004</v>
      </c>
      <c r="D3170" s="159">
        <f t="shared" si="223"/>
        <v>234</v>
      </c>
      <c r="E3170" s="159">
        <f t="shared" si="224"/>
        <v>234</v>
      </c>
      <c r="F3170" s="159">
        <f t="shared" si="225"/>
        <v>587</v>
      </c>
      <c r="G3170" s="159">
        <f t="shared" si="226"/>
        <v>587</v>
      </c>
      <c r="H3170" s="159">
        <f t="shared" si="227"/>
        <v>30.763999999999999</v>
      </c>
      <c r="I3170" s="160">
        <f t="shared" si="228"/>
        <v>0</v>
      </c>
      <c r="J3170" s="159">
        <f t="shared" si="229"/>
        <v>587</v>
      </c>
      <c r="K3170" s="159">
        <f t="shared" si="230"/>
        <v>30.763999999999999</v>
      </c>
      <c r="L3170" s="94">
        <f t="shared" si="231"/>
        <v>19.080743726433493</v>
      </c>
      <c r="P3170" s="3"/>
      <c r="Q3170" s="3"/>
      <c r="R3170" s="3"/>
      <c r="S3170" s="3"/>
      <c r="T3170" s="3"/>
    </row>
    <row r="3171" spans="1:27" x14ac:dyDescent="0.4">
      <c r="A3171" s="44" t="s">
        <v>251</v>
      </c>
      <c r="B3171" s="8" t="s">
        <v>252</v>
      </c>
      <c r="C3171" s="8" t="s">
        <v>688</v>
      </c>
      <c r="D3171" s="159">
        <f t="shared" si="223"/>
        <v>408149</v>
      </c>
      <c r="E3171" s="159">
        <f t="shared" si="224"/>
        <v>408149</v>
      </c>
      <c r="F3171" s="159">
        <f t="shared" si="225"/>
        <v>208155</v>
      </c>
      <c r="G3171" s="159">
        <f t="shared" si="226"/>
        <v>208155</v>
      </c>
      <c r="H3171" s="159">
        <f t="shared" si="227"/>
        <v>18403</v>
      </c>
      <c r="I3171" s="160">
        <f t="shared" si="228"/>
        <v>0</v>
      </c>
      <c r="J3171" s="159">
        <f t="shared" si="229"/>
        <v>208155</v>
      </c>
      <c r="K3171" s="159">
        <f t="shared" si="230"/>
        <v>18403</v>
      </c>
      <c r="L3171" s="94">
        <f t="shared" ref="L3171:L3178" si="232">J3171/K3171</f>
        <v>11.310927566157691</v>
      </c>
      <c r="P3171" s="3"/>
      <c r="Q3171" s="3"/>
      <c r="R3171" s="3"/>
      <c r="S3171" s="3"/>
      <c r="T3171" s="3"/>
    </row>
    <row r="3172" spans="1:27" x14ac:dyDescent="0.4">
      <c r="A3172" s="44" t="s">
        <v>253</v>
      </c>
      <c r="B3172" s="8" t="s">
        <v>254</v>
      </c>
      <c r="C3172" s="8" t="s">
        <v>688</v>
      </c>
      <c r="D3172" s="159">
        <f t="shared" si="223"/>
        <v>93772</v>
      </c>
      <c r="E3172" s="159">
        <f t="shared" si="224"/>
        <v>93772</v>
      </c>
      <c r="F3172" s="159">
        <f t="shared" si="225"/>
        <v>691759</v>
      </c>
      <c r="G3172" s="159">
        <f t="shared" si="226"/>
        <v>691759</v>
      </c>
      <c r="H3172" s="159">
        <f t="shared" si="227"/>
        <v>39875.288999999997</v>
      </c>
      <c r="I3172" s="160">
        <f t="shared" si="228"/>
        <v>0</v>
      </c>
      <c r="J3172" s="159">
        <f t="shared" si="229"/>
        <v>691759</v>
      </c>
      <c r="K3172" s="159">
        <f t="shared" si="230"/>
        <v>39875.288999999997</v>
      </c>
      <c r="L3172" s="94">
        <f t="shared" si="232"/>
        <v>17.348062355109203</v>
      </c>
      <c r="P3172" s="3"/>
      <c r="Q3172" s="3"/>
      <c r="R3172" s="3"/>
      <c r="S3172" s="3"/>
      <c r="T3172" s="3"/>
    </row>
    <row r="3173" spans="1:27" x14ac:dyDescent="0.4">
      <c r="A3173" s="44" t="s">
        <v>255</v>
      </c>
      <c r="B3173" s="8" t="s">
        <v>256</v>
      </c>
      <c r="C3173" s="8" t="s">
        <v>387</v>
      </c>
      <c r="D3173" s="159">
        <f t="shared" si="223"/>
        <v>578771</v>
      </c>
      <c r="E3173" s="159">
        <f t="shared" si="224"/>
        <v>104022</v>
      </c>
      <c r="F3173" s="159">
        <f t="shared" si="225"/>
        <v>6655870</v>
      </c>
      <c r="G3173" s="159">
        <f t="shared" si="226"/>
        <v>1196254</v>
      </c>
      <c r="H3173" s="159">
        <f t="shared" si="227"/>
        <v>228645.38</v>
      </c>
      <c r="I3173" s="160">
        <f t="shared" si="228"/>
        <v>0</v>
      </c>
      <c r="J3173" s="159">
        <f t="shared" si="229"/>
        <v>1196254</v>
      </c>
      <c r="K3173" s="159">
        <f t="shared" si="230"/>
        <v>228645.38</v>
      </c>
      <c r="L3173" s="94">
        <f t="shared" si="232"/>
        <v>5.2319185281591958</v>
      </c>
      <c r="P3173" s="3"/>
      <c r="Q3173" s="3"/>
      <c r="R3173" s="3"/>
      <c r="S3173" s="3"/>
      <c r="T3173" s="3"/>
    </row>
    <row r="3174" spans="1:27" x14ac:dyDescent="0.4">
      <c r="A3174" s="44" t="s">
        <v>257</v>
      </c>
      <c r="B3174" s="8" t="s">
        <v>258</v>
      </c>
      <c r="C3174" s="8" t="s">
        <v>387</v>
      </c>
      <c r="D3174" s="159">
        <f t="shared" si="223"/>
        <v>1293930</v>
      </c>
      <c r="E3174" s="159">
        <f t="shared" si="224"/>
        <v>1112949</v>
      </c>
      <c r="F3174" s="159">
        <f t="shared" si="225"/>
        <v>10700934</v>
      </c>
      <c r="G3174" s="159">
        <f t="shared" si="226"/>
        <v>9161204</v>
      </c>
      <c r="H3174" s="159">
        <f t="shared" si="227"/>
        <v>678833.52399999998</v>
      </c>
      <c r="I3174" s="160">
        <f t="shared" si="228"/>
        <v>0</v>
      </c>
      <c r="J3174" s="159">
        <f t="shared" si="229"/>
        <v>9161204</v>
      </c>
      <c r="K3174" s="159">
        <f t="shared" si="230"/>
        <v>678833.52399999998</v>
      </c>
      <c r="L3174" s="94">
        <f t="shared" si="232"/>
        <v>13.495509099223568</v>
      </c>
      <c r="P3174" s="3"/>
      <c r="Q3174" s="3"/>
      <c r="R3174" s="3"/>
      <c r="S3174" s="3"/>
      <c r="T3174" s="3"/>
    </row>
    <row r="3175" spans="1:27" x14ac:dyDescent="0.4">
      <c r="A3175" s="44" t="s">
        <v>259</v>
      </c>
      <c r="B3175" s="8" t="s">
        <v>260</v>
      </c>
      <c r="C3175" s="8" t="s">
        <v>481</v>
      </c>
      <c r="D3175" s="159">
        <f t="shared" si="223"/>
        <v>28840</v>
      </c>
      <c r="E3175" s="159">
        <f t="shared" si="224"/>
        <v>5325</v>
      </c>
      <c r="F3175" s="159">
        <f t="shared" si="225"/>
        <v>121130</v>
      </c>
      <c r="G3175" s="159">
        <f t="shared" si="226"/>
        <v>22362</v>
      </c>
      <c r="H3175" s="159">
        <f t="shared" si="227"/>
        <v>4274.4579999999996</v>
      </c>
      <c r="I3175" s="160">
        <f t="shared" si="228"/>
        <v>0</v>
      </c>
      <c r="J3175" s="159">
        <f t="shared" si="229"/>
        <v>22362</v>
      </c>
      <c r="K3175" s="159">
        <f t="shared" si="230"/>
        <v>4274.4579999999996</v>
      </c>
      <c r="L3175" s="94">
        <f t="shared" si="232"/>
        <v>5.2315404666509773</v>
      </c>
      <c r="P3175" s="3"/>
      <c r="Q3175" s="3"/>
      <c r="R3175" s="3"/>
      <c r="S3175" s="3"/>
      <c r="T3175" s="3"/>
    </row>
    <row r="3176" spans="1:27" x14ac:dyDescent="0.4">
      <c r="A3176" s="44" t="s">
        <v>261</v>
      </c>
      <c r="B3176" s="8" t="s">
        <v>262</v>
      </c>
      <c r="C3176" s="8" t="s">
        <v>481</v>
      </c>
      <c r="D3176" s="159">
        <f t="shared" si="223"/>
        <v>0</v>
      </c>
      <c r="E3176" s="159">
        <f t="shared" si="224"/>
        <v>0</v>
      </c>
      <c r="F3176" s="159">
        <f t="shared" si="225"/>
        <v>0</v>
      </c>
      <c r="G3176" s="159">
        <f t="shared" si="226"/>
        <v>0</v>
      </c>
      <c r="H3176" s="159">
        <f t="shared" si="227"/>
        <v>0</v>
      </c>
      <c r="I3176" s="160">
        <f t="shared" si="228"/>
        <v>0</v>
      </c>
      <c r="J3176" s="159">
        <f t="shared" si="229"/>
        <v>0</v>
      </c>
      <c r="K3176" s="159">
        <f t="shared" si="230"/>
        <v>0</v>
      </c>
      <c r="L3176" s="94" t="e">
        <f t="shared" si="232"/>
        <v>#DIV/0!</v>
      </c>
      <c r="P3176" s="3"/>
      <c r="Q3176" s="3"/>
      <c r="R3176" s="3"/>
      <c r="S3176" s="3"/>
      <c r="T3176" s="3"/>
    </row>
    <row r="3177" spans="1:27" x14ac:dyDescent="0.4">
      <c r="A3177" s="44" t="s">
        <v>263</v>
      </c>
      <c r="B3177" s="8" t="s">
        <v>264</v>
      </c>
      <c r="C3177" s="8" t="s">
        <v>481</v>
      </c>
      <c r="D3177" s="159">
        <f t="shared" si="223"/>
        <v>0</v>
      </c>
      <c r="E3177" s="159">
        <f t="shared" si="224"/>
        <v>0</v>
      </c>
      <c r="F3177" s="159">
        <f t="shared" si="225"/>
        <v>0</v>
      </c>
      <c r="G3177" s="159">
        <f t="shared" si="226"/>
        <v>0</v>
      </c>
      <c r="H3177" s="159">
        <f t="shared" si="227"/>
        <v>0</v>
      </c>
      <c r="I3177" s="160">
        <f t="shared" si="228"/>
        <v>0</v>
      </c>
      <c r="J3177" s="159">
        <f t="shared" si="229"/>
        <v>0</v>
      </c>
      <c r="K3177" s="159">
        <f t="shared" si="230"/>
        <v>0</v>
      </c>
      <c r="L3177" s="94" t="e">
        <f t="shared" si="232"/>
        <v>#DIV/0!</v>
      </c>
      <c r="P3177" s="3"/>
      <c r="Q3177" s="3"/>
      <c r="R3177" s="3"/>
      <c r="S3177" s="3"/>
      <c r="T3177" s="3"/>
    </row>
    <row r="3178" spans="1:27" x14ac:dyDescent="0.4">
      <c r="A3178" s="44" t="s">
        <v>265</v>
      </c>
      <c r="B3178" s="8" t="s">
        <v>266</v>
      </c>
      <c r="C3178" s="8" t="s">
        <v>481</v>
      </c>
      <c r="D3178" s="159">
        <f t="shared" si="223"/>
        <v>0</v>
      </c>
      <c r="E3178" s="159">
        <f t="shared" si="224"/>
        <v>0</v>
      </c>
      <c r="F3178" s="159">
        <f t="shared" si="225"/>
        <v>0</v>
      </c>
      <c r="G3178" s="159">
        <f t="shared" si="226"/>
        <v>0</v>
      </c>
      <c r="H3178" s="159">
        <f t="shared" si="227"/>
        <v>0</v>
      </c>
      <c r="I3178" s="160">
        <f t="shared" si="228"/>
        <v>0</v>
      </c>
      <c r="J3178" s="159">
        <f t="shared" si="229"/>
        <v>0</v>
      </c>
      <c r="K3178" s="159">
        <f t="shared" si="230"/>
        <v>0</v>
      </c>
      <c r="L3178" s="94" t="e">
        <f t="shared" si="232"/>
        <v>#DIV/0!</v>
      </c>
      <c r="P3178" s="3"/>
      <c r="Q3178" s="3"/>
      <c r="R3178" s="3"/>
      <c r="S3178" s="3"/>
      <c r="T3178" s="3"/>
    </row>
    <row r="3179" spans="1:27" x14ac:dyDescent="0.4">
      <c r="A3179" s="510" t="s">
        <v>55</v>
      </c>
      <c r="B3179" s="339" t="s">
        <v>170</v>
      </c>
      <c r="C3179" s="511" t="s">
        <v>170</v>
      </c>
      <c r="D3179" s="512">
        <f>SUM(D3158:D3178)</f>
        <v>45372653</v>
      </c>
      <c r="E3179" s="512">
        <f>SUM(E3158:E3178)</f>
        <v>44541897</v>
      </c>
      <c r="F3179" s="512">
        <f>SUM(F3158:F3178)</f>
        <v>68050949</v>
      </c>
      <c r="G3179" s="512">
        <f>SUM(G3158:G3178)</f>
        <v>57770555</v>
      </c>
      <c r="H3179" s="512">
        <f>SUM(H3158:H3178)</f>
        <v>7411564.7970000003</v>
      </c>
      <c r="I3179" s="339" t="s">
        <v>170</v>
      </c>
      <c r="J3179" s="339" t="s">
        <v>170</v>
      </c>
      <c r="K3179" s="339" t="s">
        <v>170</v>
      </c>
      <c r="L3179" s="339" t="s">
        <v>170</v>
      </c>
      <c r="AA3179" s="26"/>
    </row>
    <row r="3180" spans="1:27" x14ac:dyDescent="0.4">
      <c r="A3180" s="3" t="s">
        <v>11</v>
      </c>
      <c r="AA3180" s="26"/>
    </row>
    <row r="3181" spans="1:27" x14ac:dyDescent="0.4">
      <c r="P3181" s="3"/>
      <c r="Q3181" s="3"/>
      <c r="R3181" s="3"/>
      <c r="S3181" s="3"/>
      <c r="T3181" s="3"/>
    </row>
    <row r="3182" spans="1:27" x14ac:dyDescent="0.4">
      <c r="P3182" s="3"/>
      <c r="Q3182" s="3"/>
      <c r="R3182" s="3"/>
      <c r="S3182" s="3"/>
      <c r="T3182" s="3"/>
    </row>
    <row r="3183" spans="1:27" x14ac:dyDescent="0.4">
      <c r="A3183" s="406" t="s">
        <v>35</v>
      </c>
      <c r="P3183" s="3"/>
      <c r="Q3183" s="3"/>
      <c r="R3183" s="3"/>
      <c r="S3183" s="3"/>
      <c r="T3183" s="3"/>
    </row>
    <row r="3184" spans="1:27" ht="80" x14ac:dyDescent="0.4">
      <c r="A3184" s="266" t="s">
        <v>3680</v>
      </c>
      <c r="B3184" s="267" t="s">
        <v>316</v>
      </c>
      <c r="C3184" s="267" t="s">
        <v>317</v>
      </c>
      <c r="D3184" s="266" t="s">
        <v>319</v>
      </c>
      <c r="E3184" s="266" t="s">
        <v>320</v>
      </c>
      <c r="F3184" s="266" t="s">
        <v>321</v>
      </c>
      <c r="G3184" s="266" t="s">
        <v>322</v>
      </c>
      <c r="H3184" s="266" t="s">
        <v>323</v>
      </c>
      <c r="I3184" s="248" t="s">
        <v>4562</v>
      </c>
      <c r="J3184" s="266" t="s">
        <v>3681</v>
      </c>
      <c r="K3184" s="266" t="s">
        <v>3682</v>
      </c>
      <c r="L3184" s="266" t="s">
        <v>3683</v>
      </c>
    </row>
    <row r="3185" spans="1:25" x14ac:dyDescent="0.4">
      <c r="A3185" s="513" t="s">
        <v>221</v>
      </c>
      <c r="B3185" s="505" t="s">
        <v>222</v>
      </c>
      <c r="C3185" s="505" t="s">
        <v>479</v>
      </c>
      <c r="D3185" s="507">
        <f t="shared" ref="D3185:D3205" si="233">SUMIFS(Q$8:Q$3073,$K$8:$K$3073, "&lt;4",$G$8:$G$3073,$A$3183,$N$8:$N$3073,$B3185)</f>
        <v>98251</v>
      </c>
      <c r="E3185" s="507">
        <f t="shared" ref="E3185:E3205" si="234">SUMIFS(R$8:R$3073,$K$8:$K$3073, "&lt;4",$G$8:$G$3073,$A$3183,$N$8:$N$3073,$B3185)</f>
        <v>98251</v>
      </c>
      <c r="F3185" s="507">
        <f t="shared" ref="F3185:F3205" si="235">SUMIFS(S$8:S$3073,$K$8:$K$3073, "&lt;4",$G$8:$G$3073,$A$3183,$N$8:$N$3073,$B3185)</f>
        <v>2602559</v>
      </c>
      <c r="G3185" s="507">
        <f t="shared" ref="G3185:G3205" si="236">SUMIFS(T$8:T$3073,$K$8:$K$3073, "&lt;4",$G$8:$G$3073,$A$3183,$N$8:$N$3073,$B3185)</f>
        <v>2602559</v>
      </c>
      <c r="H3185" s="507">
        <f t="shared" ref="H3185:H3205" si="237">SUMIFS(U$8:U$3073,$K$8:$K$3073, "&lt;4",$G$8:$G$3073,$A$3183,$N$8:$N$3073,$B3185)</f>
        <v>224470.37</v>
      </c>
      <c r="I3185" s="508">
        <f t="shared" ref="I3185:I3205" si="238">SUMIFS(T$8:T$3073,$K$8:$K$3073, "&lt;4",$G$8:$G$3073,$A$3183,$N$8:$N$3073,$B3185, $W$8:$W$3073, "=x")</f>
        <v>2602559</v>
      </c>
      <c r="J3185" s="507">
        <f t="shared" ref="J3185:J3205" si="239">SUMIFS(T$8:T$3073,U$8:U$3073, "&gt;0",$K$8:$K$3073, "&lt;4",$G$8:$G$3073,$A$3183,$N$8:$N$3073,$B3185)</f>
        <v>2602559</v>
      </c>
      <c r="K3185" s="507">
        <f t="shared" ref="K3185:K3205" si="240">SUMIFS(U$8:U$3073,U$8:U$3073, "&gt;0",$K$8:$K$3073, "&lt;4",$G$8:$G$3073,$A$3183,$N$8:$N$3073,$B3185)</f>
        <v>224470.37</v>
      </c>
      <c r="L3185" s="509">
        <f t="shared" ref="L3185:L3197" si="241">J3185/K3185</f>
        <v>11.594220653710332</v>
      </c>
      <c r="W3185" s="26"/>
      <c r="X3185" s="26"/>
      <c r="Y3185" s="26"/>
    </row>
    <row r="3186" spans="1:25" x14ac:dyDescent="0.4">
      <c r="A3186" s="44" t="s">
        <v>223</v>
      </c>
      <c r="B3186" s="8" t="s">
        <v>224</v>
      </c>
      <c r="C3186" s="8" t="s">
        <v>479</v>
      </c>
      <c r="D3186" s="159">
        <f t="shared" si="233"/>
        <v>0</v>
      </c>
      <c r="E3186" s="159">
        <f t="shared" si="234"/>
        <v>0</v>
      </c>
      <c r="F3186" s="159">
        <f t="shared" si="235"/>
        <v>0</v>
      </c>
      <c r="G3186" s="159">
        <f t="shared" si="236"/>
        <v>0</v>
      </c>
      <c r="H3186" s="159">
        <f t="shared" si="237"/>
        <v>0</v>
      </c>
      <c r="I3186" s="160">
        <f t="shared" si="238"/>
        <v>0</v>
      </c>
      <c r="J3186" s="159">
        <f t="shared" si="239"/>
        <v>0</v>
      </c>
      <c r="K3186" s="159">
        <f t="shared" si="240"/>
        <v>0</v>
      </c>
      <c r="L3186" s="94" t="e">
        <f t="shared" si="241"/>
        <v>#DIV/0!</v>
      </c>
      <c r="P3186" s="3"/>
      <c r="Q3186" s="3"/>
      <c r="R3186" s="3"/>
      <c r="S3186" s="3"/>
      <c r="T3186" s="3"/>
    </row>
    <row r="3187" spans="1:25" x14ac:dyDescent="0.4">
      <c r="A3187" s="44" t="s">
        <v>225</v>
      </c>
      <c r="B3187" s="8" t="s">
        <v>226</v>
      </c>
      <c r="C3187" s="8" t="s">
        <v>226</v>
      </c>
      <c r="D3187" s="159">
        <f t="shared" si="233"/>
        <v>39564</v>
      </c>
      <c r="E3187" s="159">
        <f t="shared" si="234"/>
        <v>39564</v>
      </c>
      <c r="F3187" s="159">
        <f t="shared" si="235"/>
        <v>228665</v>
      </c>
      <c r="G3187" s="159">
        <f t="shared" si="236"/>
        <v>228665</v>
      </c>
      <c r="H3187" s="159">
        <f t="shared" si="237"/>
        <v>28375.985999999997</v>
      </c>
      <c r="I3187" s="160">
        <f t="shared" si="238"/>
        <v>212752</v>
      </c>
      <c r="J3187" s="159">
        <f t="shared" si="239"/>
        <v>228665</v>
      </c>
      <c r="K3187" s="159">
        <f t="shared" si="240"/>
        <v>28375.985999999997</v>
      </c>
      <c r="L3187" s="94">
        <f t="shared" si="241"/>
        <v>8.0583983936276269</v>
      </c>
      <c r="P3187" s="3"/>
      <c r="Q3187" s="3"/>
      <c r="R3187" s="3"/>
      <c r="S3187" s="3"/>
      <c r="T3187" s="3"/>
    </row>
    <row r="3188" spans="1:25" x14ac:dyDescent="0.4">
      <c r="A3188" s="44" t="s">
        <v>270</v>
      </c>
      <c r="B3188" s="8" t="s">
        <v>228</v>
      </c>
      <c r="C3188" s="8" t="s">
        <v>228</v>
      </c>
      <c r="D3188" s="159">
        <f t="shared" si="233"/>
        <v>31757729</v>
      </c>
      <c r="E3188" s="159">
        <f t="shared" si="234"/>
        <v>31757729</v>
      </c>
      <c r="F3188" s="159">
        <f t="shared" si="235"/>
        <v>32843891</v>
      </c>
      <c r="G3188" s="159">
        <f t="shared" si="236"/>
        <v>32843891</v>
      </c>
      <c r="H3188" s="159">
        <f t="shared" si="237"/>
        <v>4384872.05</v>
      </c>
      <c r="I3188" s="160">
        <f t="shared" si="238"/>
        <v>24301826</v>
      </c>
      <c r="J3188" s="159">
        <f t="shared" si="239"/>
        <v>32843891</v>
      </c>
      <c r="K3188" s="159">
        <f t="shared" si="240"/>
        <v>4384872.05</v>
      </c>
      <c r="L3188" s="94">
        <f t="shared" si="241"/>
        <v>7.490273518927423</v>
      </c>
      <c r="P3188" s="3"/>
      <c r="Q3188" s="3"/>
      <c r="R3188" s="3"/>
      <c r="S3188" s="3"/>
      <c r="T3188" s="3"/>
    </row>
    <row r="3189" spans="1:25" x14ac:dyDescent="0.4">
      <c r="A3189" s="44" t="s">
        <v>229</v>
      </c>
      <c r="B3189" s="8" t="s">
        <v>230</v>
      </c>
      <c r="C3189" s="8" t="s">
        <v>232</v>
      </c>
      <c r="D3189" s="159">
        <f t="shared" si="233"/>
        <v>69679</v>
      </c>
      <c r="E3189" s="159">
        <f t="shared" si="234"/>
        <v>69679</v>
      </c>
      <c r="F3189" s="159">
        <f t="shared" si="235"/>
        <v>1021978</v>
      </c>
      <c r="G3189" s="159">
        <f t="shared" si="236"/>
        <v>1021978</v>
      </c>
      <c r="H3189" s="159">
        <f t="shared" si="237"/>
        <v>51243.896999999997</v>
      </c>
      <c r="I3189" s="160">
        <f t="shared" si="238"/>
        <v>0</v>
      </c>
      <c r="J3189" s="159">
        <f t="shared" si="239"/>
        <v>1021978</v>
      </c>
      <c r="K3189" s="159">
        <f t="shared" si="240"/>
        <v>51243.896999999997</v>
      </c>
      <c r="L3189" s="94">
        <f t="shared" si="241"/>
        <v>19.943409065863982</v>
      </c>
      <c r="P3189" s="3"/>
      <c r="Q3189" s="3"/>
      <c r="R3189" s="3"/>
      <c r="S3189" s="3"/>
      <c r="T3189" s="3"/>
    </row>
    <row r="3190" spans="1:25" x14ac:dyDescent="0.4">
      <c r="A3190" s="44" t="s">
        <v>231</v>
      </c>
      <c r="B3190" s="8" t="s">
        <v>232</v>
      </c>
      <c r="C3190" s="8" t="s">
        <v>232</v>
      </c>
      <c r="D3190" s="159">
        <f t="shared" si="233"/>
        <v>0</v>
      </c>
      <c r="E3190" s="159">
        <f t="shared" si="234"/>
        <v>0</v>
      </c>
      <c r="F3190" s="159">
        <f t="shared" si="235"/>
        <v>0</v>
      </c>
      <c r="G3190" s="159">
        <f t="shared" si="236"/>
        <v>0</v>
      </c>
      <c r="H3190" s="159">
        <f t="shared" si="237"/>
        <v>0</v>
      </c>
      <c r="I3190" s="160">
        <f t="shared" si="238"/>
        <v>0</v>
      </c>
      <c r="J3190" s="159">
        <f t="shared" si="239"/>
        <v>0</v>
      </c>
      <c r="K3190" s="159">
        <f t="shared" si="240"/>
        <v>0</v>
      </c>
      <c r="L3190" s="94" t="e">
        <f t="shared" si="241"/>
        <v>#DIV/0!</v>
      </c>
      <c r="P3190" s="3"/>
      <c r="Q3190" s="3"/>
      <c r="R3190" s="3"/>
      <c r="S3190" s="3"/>
      <c r="T3190" s="3"/>
    </row>
    <row r="3191" spans="1:25" x14ac:dyDescent="0.4">
      <c r="A3191" s="44" t="s">
        <v>233</v>
      </c>
      <c r="B3191" s="8" t="s">
        <v>234</v>
      </c>
      <c r="C3191" s="8" t="s">
        <v>232</v>
      </c>
      <c r="D3191" s="159">
        <f t="shared" si="233"/>
        <v>0</v>
      </c>
      <c r="E3191" s="159">
        <f t="shared" si="234"/>
        <v>0</v>
      </c>
      <c r="F3191" s="159">
        <f t="shared" si="235"/>
        <v>0</v>
      </c>
      <c r="G3191" s="159">
        <f t="shared" si="236"/>
        <v>0</v>
      </c>
      <c r="H3191" s="159">
        <f t="shared" si="237"/>
        <v>0</v>
      </c>
      <c r="I3191" s="160">
        <f t="shared" si="238"/>
        <v>0</v>
      </c>
      <c r="J3191" s="159">
        <f t="shared" si="239"/>
        <v>0</v>
      </c>
      <c r="K3191" s="159">
        <f t="shared" si="240"/>
        <v>0</v>
      </c>
      <c r="L3191" s="94" t="e">
        <f t="shared" si="241"/>
        <v>#DIV/0!</v>
      </c>
      <c r="P3191" s="3"/>
      <c r="Q3191" s="3"/>
      <c r="R3191" s="3"/>
      <c r="S3191" s="3"/>
      <c r="T3191" s="3"/>
    </row>
    <row r="3192" spans="1:25" x14ac:dyDescent="0.4">
      <c r="A3192" s="44" t="s">
        <v>235</v>
      </c>
      <c r="B3192" s="8" t="s">
        <v>236</v>
      </c>
      <c r="C3192" s="8" t="s">
        <v>236</v>
      </c>
      <c r="D3192" s="159">
        <f t="shared" si="233"/>
        <v>0</v>
      </c>
      <c r="E3192" s="159">
        <f t="shared" si="234"/>
        <v>0</v>
      </c>
      <c r="F3192" s="159">
        <f t="shared" si="235"/>
        <v>0</v>
      </c>
      <c r="G3192" s="159">
        <f t="shared" si="236"/>
        <v>0</v>
      </c>
      <c r="H3192" s="159">
        <f t="shared" si="237"/>
        <v>0</v>
      </c>
      <c r="I3192" s="160">
        <f t="shared" si="238"/>
        <v>0</v>
      </c>
      <c r="J3192" s="159">
        <f t="shared" si="239"/>
        <v>0</v>
      </c>
      <c r="K3192" s="159">
        <f t="shared" si="240"/>
        <v>0</v>
      </c>
      <c r="L3192" s="94" t="e">
        <f t="shared" si="241"/>
        <v>#DIV/0!</v>
      </c>
      <c r="P3192" s="3"/>
      <c r="Q3192" s="3"/>
      <c r="R3192" s="3"/>
      <c r="S3192" s="3"/>
      <c r="T3192" s="3"/>
    </row>
    <row r="3193" spans="1:25" x14ac:dyDescent="0.4">
      <c r="A3193" s="44" t="s">
        <v>237</v>
      </c>
      <c r="B3193" s="8" t="s">
        <v>238</v>
      </c>
      <c r="C3193" s="8" t="s">
        <v>238</v>
      </c>
      <c r="D3193" s="159">
        <f t="shared" si="233"/>
        <v>12131</v>
      </c>
      <c r="E3193" s="159">
        <f t="shared" si="234"/>
        <v>12131</v>
      </c>
      <c r="F3193" s="159">
        <f t="shared" si="235"/>
        <v>75212</v>
      </c>
      <c r="G3193" s="159">
        <f t="shared" si="236"/>
        <v>75212</v>
      </c>
      <c r="H3193" s="159">
        <f t="shared" si="237"/>
        <v>5654.098</v>
      </c>
      <c r="I3193" s="160">
        <f t="shared" si="238"/>
        <v>0</v>
      </c>
      <c r="J3193" s="159">
        <f t="shared" si="239"/>
        <v>75212</v>
      </c>
      <c r="K3193" s="159">
        <f t="shared" si="240"/>
        <v>5654.098</v>
      </c>
      <c r="L3193" s="94">
        <f t="shared" si="241"/>
        <v>13.302210184542256</v>
      </c>
      <c r="P3193" s="3"/>
      <c r="Q3193" s="3"/>
      <c r="R3193" s="3"/>
      <c r="S3193" s="3"/>
      <c r="T3193" s="3"/>
    </row>
    <row r="3194" spans="1:25" x14ac:dyDescent="0.4">
      <c r="A3194" s="44" t="s">
        <v>239</v>
      </c>
      <c r="B3194" s="8" t="s">
        <v>240</v>
      </c>
      <c r="C3194" s="8" t="s">
        <v>349</v>
      </c>
      <c r="D3194" s="159">
        <f t="shared" si="233"/>
        <v>5803</v>
      </c>
      <c r="E3194" s="159">
        <f t="shared" si="234"/>
        <v>5803</v>
      </c>
      <c r="F3194" s="159">
        <f t="shared" si="235"/>
        <v>33216</v>
      </c>
      <c r="G3194" s="159">
        <f t="shared" si="236"/>
        <v>33216</v>
      </c>
      <c r="H3194" s="159">
        <f t="shared" si="237"/>
        <v>2010</v>
      </c>
      <c r="I3194" s="160">
        <f t="shared" si="238"/>
        <v>16964</v>
      </c>
      <c r="J3194" s="159">
        <f t="shared" si="239"/>
        <v>33216</v>
      </c>
      <c r="K3194" s="159">
        <f t="shared" si="240"/>
        <v>2010</v>
      </c>
      <c r="L3194" s="94">
        <f t="shared" si="241"/>
        <v>16.525373134328358</v>
      </c>
      <c r="P3194" s="3"/>
      <c r="Q3194" s="3"/>
      <c r="R3194" s="3"/>
      <c r="S3194" s="3"/>
      <c r="T3194" s="3"/>
    </row>
    <row r="3195" spans="1:25" x14ac:dyDescent="0.4">
      <c r="A3195" s="44" t="s">
        <v>241</v>
      </c>
      <c r="B3195" s="8" t="s">
        <v>242</v>
      </c>
      <c r="C3195" s="8" t="s">
        <v>349</v>
      </c>
      <c r="D3195" s="159">
        <f t="shared" si="233"/>
        <v>0</v>
      </c>
      <c r="E3195" s="159">
        <f t="shared" si="234"/>
        <v>0</v>
      </c>
      <c r="F3195" s="159">
        <f t="shared" si="235"/>
        <v>0</v>
      </c>
      <c r="G3195" s="159">
        <f t="shared" si="236"/>
        <v>0</v>
      </c>
      <c r="H3195" s="159">
        <f t="shared" si="237"/>
        <v>0</v>
      </c>
      <c r="I3195" s="160">
        <f t="shared" si="238"/>
        <v>0</v>
      </c>
      <c r="J3195" s="159">
        <f t="shared" si="239"/>
        <v>0</v>
      </c>
      <c r="K3195" s="159">
        <f t="shared" si="240"/>
        <v>0</v>
      </c>
      <c r="L3195" s="94" t="e">
        <f t="shared" si="241"/>
        <v>#DIV/0!</v>
      </c>
      <c r="P3195" s="3"/>
      <c r="Q3195" s="3"/>
      <c r="R3195" s="3"/>
      <c r="S3195" s="3"/>
      <c r="T3195" s="3"/>
    </row>
    <row r="3196" spans="1:25" x14ac:dyDescent="0.4">
      <c r="A3196" s="44" t="s">
        <v>243</v>
      </c>
      <c r="B3196" s="8" t="s">
        <v>244</v>
      </c>
      <c r="C3196" s="8" t="s">
        <v>349</v>
      </c>
      <c r="D3196" s="159">
        <f t="shared" si="233"/>
        <v>0</v>
      </c>
      <c r="E3196" s="159">
        <f t="shared" si="234"/>
        <v>0</v>
      </c>
      <c r="F3196" s="159">
        <f t="shared" si="235"/>
        <v>0</v>
      </c>
      <c r="G3196" s="159">
        <f t="shared" si="236"/>
        <v>0</v>
      </c>
      <c r="H3196" s="159">
        <f t="shared" si="237"/>
        <v>0</v>
      </c>
      <c r="I3196" s="160">
        <f t="shared" si="238"/>
        <v>0</v>
      </c>
      <c r="J3196" s="159">
        <f t="shared" si="239"/>
        <v>0</v>
      </c>
      <c r="K3196" s="159">
        <f t="shared" si="240"/>
        <v>0</v>
      </c>
      <c r="L3196" s="94" t="e">
        <f t="shared" si="241"/>
        <v>#DIV/0!</v>
      </c>
      <c r="P3196" s="3"/>
      <c r="Q3196" s="3"/>
      <c r="R3196" s="3"/>
      <c r="S3196" s="3"/>
      <c r="T3196" s="3"/>
    </row>
    <row r="3197" spans="1:25" x14ac:dyDescent="0.4">
      <c r="A3197" s="44" t="s">
        <v>245</v>
      </c>
      <c r="B3197" s="8" t="s">
        <v>246</v>
      </c>
      <c r="C3197" s="8" t="s">
        <v>1004</v>
      </c>
      <c r="D3197" s="159">
        <f t="shared" si="233"/>
        <v>0</v>
      </c>
      <c r="E3197" s="159">
        <f t="shared" si="234"/>
        <v>0</v>
      </c>
      <c r="F3197" s="159">
        <f t="shared" si="235"/>
        <v>0</v>
      </c>
      <c r="G3197" s="159">
        <f t="shared" si="236"/>
        <v>0</v>
      </c>
      <c r="H3197" s="159">
        <f t="shared" si="237"/>
        <v>0</v>
      </c>
      <c r="I3197" s="160">
        <f t="shared" si="238"/>
        <v>0</v>
      </c>
      <c r="J3197" s="159">
        <f t="shared" si="239"/>
        <v>0</v>
      </c>
      <c r="K3197" s="159">
        <f t="shared" si="240"/>
        <v>0</v>
      </c>
      <c r="L3197" s="94" t="e">
        <f t="shared" si="241"/>
        <v>#DIV/0!</v>
      </c>
      <c r="P3197" s="3"/>
      <c r="Q3197" s="3"/>
      <c r="R3197" s="3"/>
      <c r="S3197" s="3"/>
      <c r="T3197" s="3"/>
    </row>
    <row r="3198" spans="1:25" x14ac:dyDescent="0.4">
      <c r="A3198" s="44" t="s">
        <v>251</v>
      </c>
      <c r="B3198" s="8" t="s">
        <v>252</v>
      </c>
      <c r="C3198" s="8" t="s">
        <v>688</v>
      </c>
      <c r="D3198" s="159">
        <f t="shared" si="233"/>
        <v>1975050</v>
      </c>
      <c r="E3198" s="159">
        <f t="shared" si="234"/>
        <v>1975050</v>
      </c>
      <c r="F3198" s="159">
        <f t="shared" si="235"/>
        <v>936861</v>
      </c>
      <c r="G3198" s="159">
        <f t="shared" si="236"/>
        <v>936861</v>
      </c>
      <c r="H3198" s="159">
        <f t="shared" si="237"/>
        <v>57605</v>
      </c>
      <c r="I3198" s="160">
        <f t="shared" si="238"/>
        <v>0</v>
      </c>
      <c r="J3198" s="159">
        <f t="shared" si="239"/>
        <v>936861</v>
      </c>
      <c r="K3198" s="159">
        <f t="shared" si="240"/>
        <v>57605</v>
      </c>
      <c r="L3198" s="94">
        <f t="shared" ref="L3198:L3205" si="242">J3198/K3198</f>
        <v>16.263536151375749</v>
      </c>
      <c r="P3198" s="3"/>
      <c r="Q3198" s="3"/>
      <c r="R3198" s="3"/>
      <c r="S3198" s="3"/>
      <c r="T3198" s="3"/>
    </row>
    <row r="3199" spans="1:25" x14ac:dyDescent="0.4">
      <c r="A3199" s="44" t="s">
        <v>253</v>
      </c>
      <c r="B3199" s="8" t="s">
        <v>254</v>
      </c>
      <c r="C3199" s="8" t="s">
        <v>688</v>
      </c>
      <c r="D3199" s="159">
        <f t="shared" si="233"/>
        <v>108985</v>
      </c>
      <c r="E3199" s="159">
        <f t="shared" si="234"/>
        <v>108985</v>
      </c>
      <c r="F3199" s="159">
        <f t="shared" si="235"/>
        <v>836150</v>
      </c>
      <c r="G3199" s="159">
        <f t="shared" si="236"/>
        <v>836150</v>
      </c>
      <c r="H3199" s="159">
        <f t="shared" si="237"/>
        <v>41926.103000000003</v>
      </c>
      <c r="I3199" s="160">
        <f t="shared" si="238"/>
        <v>0</v>
      </c>
      <c r="J3199" s="159">
        <f t="shared" si="239"/>
        <v>836150</v>
      </c>
      <c r="K3199" s="159">
        <f t="shared" si="240"/>
        <v>41926.103000000003</v>
      </c>
      <c r="L3199" s="94">
        <f t="shared" si="242"/>
        <v>19.943422836126697</v>
      </c>
      <c r="P3199" s="3"/>
      <c r="Q3199" s="3"/>
      <c r="R3199" s="3"/>
      <c r="S3199" s="3"/>
      <c r="T3199" s="3"/>
    </row>
    <row r="3200" spans="1:25" x14ac:dyDescent="0.4">
      <c r="A3200" s="44" t="s">
        <v>255</v>
      </c>
      <c r="B3200" s="8" t="s">
        <v>256</v>
      </c>
      <c r="C3200" s="8" t="s">
        <v>387</v>
      </c>
      <c r="D3200" s="159">
        <f t="shared" si="233"/>
        <v>0</v>
      </c>
      <c r="E3200" s="159">
        <f t="shared" si="234"/>
        <v>0</v>
      </c>
      <c r="F3200" s="159">
        <f t="shared" si="235"/>
        <v>0</v>
      </c>
      <c r="G3200" s="159">
        <f t="shared" si="236"/>
        <v>0</v>
      </c>
      <c r="H3200" s="159">
        <f t="shared" si="237"/>
        <v>0</v>
      </c>
      <c r="I3200" s="160">
        <f t="shared" si="238"/>
        <v>0</v>
      </c>
      <c r="J3200" s="159">
        <f t="shared" si="239"/>
        <v>0</v>
      </c>
      <c r="K3200" s="159">
        <f t="shared" si="240"/>
        <v>0</v>
      </c>
      <c r="L3200" s="94" t="e">
        <f t="shared" si="242"/>
        <v>#DIV/0!</v>
      </c>
      <c r="P3200" s="3"/>
      <c r="Q3200" s="3"/>
      <c r="R3200" s="3"/>
      <c r="S3200" s="3"/>
      <c r="T3200" s="3"/>
    </row>
    <row r="3201" spans="1:27" x14ac:dyDescent="0.4">
      <c r="A3201" s="44" t="s">
        <v>257</v>
      </c>
      <c r="B3201" s="8" t="s">
        <v>258</v>
      </c>
      <c r="C3201" s="8" t="s">
        <v>387</v>
      </c>
      <c r="D3201" s="159">
        <f t="shared" si="233"/>
        <v>896782</v>
      </c>
      <c r="E3201" s="159">
        <f t="shared" si="234"/>
        <v>896782</v>
      </c>
      <c r="F3201" s="159">
        <f t="shared" si="235"/>
        <v>7817255</v>
      </c>
      <c r="G3201" s="159">
        <f t="shared" si="236"/>
        <v>7817255</v>
      </c>
      <c r="H3201" s="159">
        <f t="shared" si="237"/>
        <v>528451.50300000003</v>
      </c>
      <c r="I3201" s="160">
        <f t="shared" si="238"/>
        <v>0</v>
      </c>
      <c r="J3201" s="159">
        <f t="shared" si="239"/>
        <v>7817255</v>
      </c>
      <c r="K3201" s="159">
        <f t="shared" si="240"/>
        <v>528451.50300000003</v>
      </c>
      <c r="L3201" s="94">
        <f t="shared" si="242"/>
        <v>14.792757624156099</v>
      </c>
      <c r="P3201" s="3"/>
      <c r="Q3201" s="3"/>
      <c r="R3201" s="3"/>
      <c r="S3201" s="3"/>
      <c r="T3201" s="3"/>
    </row>
    <row r="3202" spans="1:27" x14ac:dyDescent="0.4">
      <c r="A3202" s="44" t="s">
        <v>259</v>
      </c>
      <c r="B3202" s="8" t="s">
        <v>260</v>
      </c>
      <c r="C3202" s="8" t="s">
        <v>481</v>
      </c>
      <c r="D3202" s="159">
        <f t="shared" si="233"/>
        <v>0</v>
      </c>
      <c r="E3202" s="159">
        <f t="shared" si="234"/>
        <v>0</v>
      </c>
      <c r="F3202" s="159">
        <f t="shared" si="235"/>
        <v>0</v>
      </c>
      <c r="G3202" s="159">
        <f t="shared" si="236"/>
        <v>0</v>
      </c>
      <c r="H3202" s="159">
        <f t="shared" si="237"/>
        <v>0</v>
      </c>
      <c r="I3202" s="160">
        <f t="shared" si="238"/>
        <v>0</v>
      </c>
      <c r="J3202" s="159">
        <f t="shared" si="239"/>
        <v>0</v>
      </c>
      <c r="K3202" s="159">
        <f t="shared" si="240"/>
        <v>0</v>
      </c>
      <c r="L3202" s="94" t="e">
        <f t="shared" si="242"/>
        <v>#DIV/0!</v>
      </c>
      <c r="P3202" s="3"/>
      <c r="Q3202" s="3"/>
      <c r="R3202" s="3"/>
      <c r="S3202" s="3"/>
      <c r="T3202" s="3"/>
    </row>
    <row r="3203" spans="1:27" x14ac:dyDescent="0.4">
      <c r="A3203" s="44" t="s">
        <v>261</v>
      </c>
      <c r="B3203" s="8" t="s">
        <v>262</v>
      </c>
      <c r="C3203" s="8" t="s">
        <v>481</v>
      </c>
      <c r="D3203" s="159">
        <f t="shared" si="233"/>
        <v>0</v>
      </c>
      <c r="E3203" s="159">
        <f t="shared" si="234"/>
        <v>0</v>
      </c>
      <c r="F3203" s="159">
        <f t="shared" si="235"/>
        <v>0</v>
      </c>
      <c r="G3203" s="159">
        <f t="shared" si="236"/>
        <v>0</v>
      </c>
      <c r="H3203" s="159">
        <f t="shared" si="237"/>
        <v>0</v>
      </c>
      <c r="I3203" s="160">
        <f t="shared" si="238"/>
        <v>0</v>
      </c>
      <c r="J3203" s="159">
        <f t="shared" si="239"/>
        <v>0</v>
      </c>
      <c r="K3203" s="159">
        <f t="shared" si="240"/>
        <v>0</v>
      </c>
      <c r="L3203" s="94" t="e">
        <f t="shared" si="242"/>
        <v>#DIV/0!</v>
      </c>
      <c r="P3203" s="3"/>
      <c r="Q3203" s="3"/>
      <c r="R3203" s="3"/>
      <c r="S3203" s="3"/>
      <c r="T3203" s="3"/>
    </row>
    <row r="3204" spans="1:27" x14ac:dyDescent="0.4">
      <c r="A3204" s="44" t="s">
        <v>263</v>
      </c>
      <c r="B3204" s="8" t="s">
        <v>264</v>
      </c>
      <c r="C3204" s="8" t="s">
        <v>481</v>
      </c>
      <c r="D3204" s="159">
        <f t="shared" si="233"/>
        <v>0</v>
      </c>
      <c r="E3204" s="159">
        <f t="shared" si="234"/>
        <v>0</v>
      </c>
      <c r="F3204" s="159">
        <f t="shared" si="235"/>
        <v>0</v>
      </c>
      <c r="G3204" s="159">
        <f t="shared" si="236"/>
        <v>0</v>
      </c>
      <c r="H3204" s="159">
        <f t="shared" si="237"/>
        <v>0</v>
      </c>
      <c r="I3204" s="160">
        <f t="shared" si="238"/>
        <v>0</v>
      </c>
      <c r="J3204" s="159">
        <f t="shared" si="239"/>
        <v>0</v>
      </c>
      <c r="K3204" s="159">
        <f t="shared" si="240"/>
        <v>0</v>
      </c>
      <c r="L3204" s="94" t="e">
        <f t="shared" si="242"/>
        <v>#DIV/0!</v>
      </c>
      <c r="P3204" s="3"/>
      <c r="Q3204" s="3"/>
      <c r="R3204" s="3"/>
      <c r="S3204" s="3"/>
      <c r="T3204" s="3"/>
    </row>
    <row r="3205" spans="1:27" x14ac:dyDescent="0.4">
      <c r="A3205" s="44" t="s">
        <v>265</v>
      </c>
      <c r="B3205" s="8" t="s">
        <v>266</v>
      </c>
      <c r="C3205" s="8" t="s">
        <v>481</v>
      </c>
      <c r="D3205" s="159">
        <f t="shared" si="233"/>
        <v>0</v>
      </c>
      <c r="E3205" s="159">
        <f t="shared" si="234"/>
        <v>0</v>
      </c>
      <c r="F3205" s="159">
        <f t="shared" si="235"/>
        <v>0</v>
      </c>
      <c r="G3205" s="159">
        <f t="shared" si="236"/>
        <v>0</v>
      </c>
      <c r="H3205" s="159">
        <f t="shared" si="237"/>
        <v>0</v>
      </c>
      <c r="I3205" s="160">
        <f t="shared" si="238"/>
        <v>0</v>
      </c>
      <c r="J3205" s="159">
        <f t="shared" si="239"/>
        <v>0</v>
      </c>
      <c r="K3205" s="159">
        <f t="shared" si="240"/>
        <v>0</v>
      </c>
      <c r="L3205" s="94" t="e">
        <f t="shared" si="242"/>
        <v>#DIV/0!</v>
      </c>
      <c r="P3205" s="3"/>
      <c r="Q3205" s="3"/>
      <c r="R3205" s="3"/>
      <c r="S3205" s="3"/>
      <c r="T3205" s="3"/>
    </row>
    <row r="3206" spans="1:27" x14ac:dyDescent="0.4">
      <c r="A3206" s="510" t="s">
        <v>55</v>
      </c>
      <c r="B3206" s="339" t="s">
        <v>170</v>
      </c>
      <c r="C3206" s="511" t="s">
        <v>170</v>
      </c>
      <c r="D3206" s="512">
        <f>SUM(D3185:D3205)</f>
        <v>34963974</v>
      </c>
      <c r="E3206" s="512">
        <f>SUM(E3185:E3205)</f>
        <v>34963974</v>
      </c>
      <c r="F3206" s="512">
        <f>SUM(F3185:F3205)</f>
        <v>46395787</v>
      </c>
      <c r="G3206" s="512">
        <f>SUM(G3185:G3205)</f>
        <v>46395787</v>
      </c>
      <c r="H3206" s="512">
        <f>SUM(H3185:H3205)</f>
        <v>5324609.0069999993</v>
      </c>
      <c r="I3206" s="339" t="s">
        <v>170</v>
      </c>
      <c r="J3206" s="339" t="s">
        <v>170</v>
      </c>
      <c r="K3206" s="339" t="s">
        <v>170</v>
      </c>
      <c r="L3206" s="339" t="s">
        <v>170</v>
      </c>
      <c r="AA3206" s="26"/>
    </row>
    <row r="3207" spans="1:27" x14ac:dyDescent="0.4">
      <c r="A3207" s="3" t="s">
        <v>11</v>
      </c>
      <c r="AA3207" s="26"/>
    </row>
    <row r="3208" spans="1:27" x14ac:dyDescent="0.4">
      <c r="P3208" s="3"/>
      <c r="Q3208" s="3"/>
      <c r="R3208" s="3"/>
      <c r="S3208" s="3"/>
      <c r="T3208" s="3"/>
    </row>
    <row r="3209" spans="1:27" x14ac:dyDescent="0.4">
      <c r="P3209" s="3"/>
      <c r="Q3209" s="3"/>
      <c r="R3209" s="3"/>
      <c r="S3209" s="3"/>
      <c r="T3209" s="3"/>
    </row>
    <row r="3210" spans="1:27" x14ac:dyDescent="0.4">
      <c r="A3210" s="406" t="s">
        <v>52</v>
      </c>
      <c r="P3210" s="3"/>
      <c r="Q3210" s="3"/>
      <c r="R3210" s="3"/>
      <c r="S3210" s="3"/>
      <c r="T3210" s="3"/>
    </row>
    <row r="3211" spans="1:27" ht="80" x14ac:dyDescent="0.4">
      <c r="A3211" s="266" t="s">
        <v>3680</v>
      </c>
      <c r="B3211" s="267" t="s">
        <v>316</v>
      </c>
      <c r="C3211" s="267" t="s">
        <v>317</v>
      </c>
      <c r="D3211" s="266" t="s">
        <v>319</v>
      </c>
      <c r="E3211" s="266" t="s">
        <v>320</v>
      </c>
      <c r="F3211" s="266" t="s">
        <v>321</v>
      </c>
      <c r="G3211" s="266" t="s">
        <v>322</v>
      </c>
      <c r="H3211" s="266" t="s">
        <v>323</v>
      </c>
      <c r="I3211" s="248" t="s">
        <v>4562</v>
      </c>
      <c r="J3211" s="266" t="s">
        <v>3681</v>
      </c>
      <c r="K3211" s="266" t="s">
        <v>3682</v>
      </c>
      <c r="L3211" s="266" t="s">
        <v>3683</v>
      </c>
    </row>
    <row r="3212" spans="1:27" x14ac:dyDescent="0.4">
      <c r="A3212" s="513" t="s">
        <v>221</v>
      </c>
      <c r="B3212" s="505" t="s">
        <v>222</v>
      </c>
      <c r="C3212" s="505" t="s">
        <v>479</v>
      </c>
      <c r="D3212" s="507">
        <f t="shared" ref="D3212:H3214" si="243">SUMIFS(Q$8:Q$3073,$K$8:$K$3073, "&lt;4",$G$8:$G$3073,$A$3210,$N$8:$N$3073,$B3212)</f>
        <v>0</v>
      </c>
      <c r="E3212" s="507">
        <f t="shared" si="243"/>
        <v>0</v>
      </c>
      <c r="F3212" s="507">
        <f t="shared" si="243"/>
        <v>0</v>
      </c>
      <c r="G3212" s="507">
        <f t="shared" si="243"/>
        <v>0</v>
      </c>
      <c r="H3212" s="507">
        <f t="shared" si="243"/>
        <v>0</v>
      </c>
      <c r="I3212" s="508">
        <f>SUMIFS(T$8:T$3073,$K$8:$K$3073, "&lt;4",$G$8:$G$3073,$A$3210,$N$8:$N$3073,$B3212, $W$8:$W$3073, "=x")</f>
        <v>0</v>
      </c>
      <c r="J3212" s="507">
        <f>SUMIFS(T$8:T$3073,U$8:U$3073, "&gt;0",$K$8:$K$3073, "&lt;4",$G$8:$G$3073,$A$3210,$N$8:$N$3073,$B3212)</f>
        <v>0</v>
      </c>
      <c r="K3212" s="507">
        <f>SUMIFS(U$8:U$3073,U$8:U$3073, "&gt;0",$K$8:$K$3073, "&lt;4",$G$8:$G$3073,$A$3210,$N$8:$N$3073,$B3212)</f>
        <v>0</v>
      </c>
      <c r="L3212" s="509" t="e">
        <f t="shared" ref="L3212:L3225" si="244">J3212/K3212</f>
        <v>#DIV/0!</v>
      </c>
      <c r="W3212" s="26"/>
      <c r="X3212" s="26"/>
      <c r="Y3212" s="26"/>
    </row>
    <row r="3213" spans="1:27" x14ac:dyDescent="0.4">
      <c r="A3213" s="44" t="s">
        <v>223</v>
      </c>
      <c r="B3213" s="8" t="s">
        <v>224</v>
      </c>
      <c r="C3213" s="8" t="s">
        <v>479</v>
      </c>
      <c r="D3213" s="159">
        <f t="shared" si="243"/>
        <v>0</v>
      </c>
      <c r="E3213" s="159">
        <f t="shared" si="243"/>
        <v>0</v>
      </c>
      <c r="F3213" s="159">
        <f t="shared" si="243"/>
        <v>0</v>
      </c>
      <c r="G3213" s="159">
        <f t="shared" si="243"/>
        <v>0</v>
      </c>
      <c r="H3213" s="159">
        <f t="shared" si="243"/>
        <v>0</v>
      </c>
      <c r="I3213" s="160">
        <f>SUMIFS(T$8:T$3073,$K$8:$K$3073, "&lt;4",$G$8:$G$3073,$A$3210,$N$8:$N$3073,$B3213, $W$8:$W$3073, "=x")</f>
        <v>0</v>
      </c>
      <c r="J3213" s="159">
        <f>SUMIFS(T$8:T$3073,U$8:U$3073, "&gt;0",$K$8:$K$3073, "&lt;4",$G$8:$G$3073,$A$3210,$N$8:$N$3073,$B3213)</f>
        <v>0</v>
      </c>
      <c r="K3213" s="159">
        <f>SUMIFS(U$8:U$3073,U$8:U$3073, "&gt;0",$K$8:$K$3073, "&lt;4",$G$8:$G$3073,$A$3210,$N$8:$N$3073,$B3213)</f>
        <v>0</v>
      </c>
      <c r="L3213" s="94" t="e">
        <f t="shared" si="244"/>
        <v>#DIV/0!</v>
      </c>
      <c r="P3213" s="3"/>
      <c r="Q3213" s="3"/>
      <c r="R3213" s="3"/>
      <c r="S3213" s="3"/>
      <c r="T3213" s="3"/>
    </row>
    <row r="3214" spans="1:27" x14ac:dyDescent="0.4">
      <c r="A3214" s="44" t="s">
        <v>225</v>
      </c>
      <c r="B3214" s="8" t="s">
        <v>226</v>
      </c>
      <c r="C3214" s="8" t="s">
        <v>226</v>
      </c>
      <c r="D3214" s="159">
        <f t="shared" si="243"/>
        <v>148315</v>
      </c>
      <c r="E3214" s="159">
        <f t="shared" si="243"/>
        <v>147970</v>
      </c>
      <c r="F3214" s="159">
        <f t="shared" si="243"/>
        <v>852458</v>
      </c>
      <c r="G3214" s="159">
        <f t="shared" si="243"/>
        <v>850448</v>
      </c>
      <c r="H3214" s="159">
        <f t="shared" si="243"/>
        <v>72366.940999999992</v>
      </c>
      <c r="I3214" s="160">
        <f>SUMIFS(T$8:T$3073,$K$8:$K$3073, "&lt;4",$G$8:$G$3073,$A$3210,$N$8:$N$3073,$B3214, $W$8:$W$3073, "=x")</f>
        <v>523539</v>
      </c>
      <c r="J3214" s="159">
        <f>SUMIFS(T$8:T$3073,U$8:U$3073, "&gt;0",$K$8:$K$3073, "&lt;4",$G$8:$G$3073,$A$3210,$N$8:$N$3073,$B3214)</f>
        <v>850413</v>
      </c>
      <c r="K3214" s="159">
        <f>SUMIFS(U$8:U$3073,U$8:U$3073, "&gt;0",$K$8:$K$3073, "&lt;4",$G$8:$G$3073,$A$3210,$N$8:$N$3073,$B3214)</f>
        <v>72499.940999999992</v>
      </c>
      <c r="L3214" s="94">
        <f t="shared" si="244"/>
        <v>11.729844028424797</v>
      </c>
      <c r="P3214" s="3"/>
      <c r="Q3214" s="3"/>
      <c r="R3214" s="3"/>
      <c r="S3214" s="3"/>
      <c r="T3214" s="3"/>
    </row>
    <row r="3215" spans="1:27" x14ac:dyDescent="0.4">
      <c r="A3215" s="44" t="s">
        <v>227</v>
      </c>
      <c r="B3215" s="8" t="s">
        <v>228</v>
      </c>
      <c r="C3215" s="8" t="s">
        <v>228</v>
      </c>
      <c r="D3215" s="159">
        <f>SUMIFS(Q$8:Q$3073,$K$8:$K$3073, "&lt;4",$G$8:$G$3073,$A$3210,$N$8:$N$3073,$B3215)-D3216</f>
        <v>507105243</v>
      </c>
      <c r="E3215" s="159">
        <f>SUMIFS(R$8:R$3073,$K$8:$K$3073, "&lt;4",$G$8:$G$3073,$A$3210,$N$8:$N$3073,$B3215)-E3216</f>
        <v>483170090</v>
      </c>
      <c r="F3215" s="159">
        <f>SUMIFS(S$8:S$3073,$K$8:$K$3073, "&lt;4",$G$8:$G$3073,$A$3210,$N$8:$N$3073,$B3215)-F3216</f>
        <v>523215669</v>
      </c>
      <c r="G3215" s="159">
        <f>SUMIFS(T$8:T$3073,$K$8:$K$3073, "&lt;4",$G$8:$G$3073,$A$3210,$N$8:$N$3073,$B3215)-G3216</f>
        <v>498475792</v>
      </c>
      <c r="H3215" s="159">
        <f>SUMIFS(U$8:U$3073,$K$8:$K$3073, "&lt;4",$G$8:$G$3073,$A$3210,$N$8:$N$3073,$B3215)-H3216</f>
        <v>61056091.879000001</v>
      </c>
      <c r="I3215" s="160">
        <f>SUMIFS(T$8:T$3073,$K$8:$K$3073, "&lt;4",$G$8:$G$3073,$A$3210,$N$8:$N$3073,$B3215, $W$8:$W$3073, "=x")</f>
        <v>354104918</v>
      </c>
      <c r="J3215" s="159">
        <f>SUMIFS(T$8:T$3073,U$8:U$3073, "&gt;0",$K$8:$K$3073, "&lt;4",$G$8:$G$3073,$A$3210,$N$8:$N$3073,$B3215)-J3216</f>
        <v>498475792</v>
      </c>
      <c r="K3215" s="159">
        <f>SUMIFS(U$8:U$3073,U$8:U$3073, "&gt;0",$K$8:$K$3073, "&lt;4",$G$8:$G$3073,$A$3210,$N$8:$N$3073,$B3215)-K3216</f>
        <v>61056091.879000001</v>
      </c>
      <c r="L3215" s="94">
        <f t="shared" si="244"/>
        <v>8.1642269699782197</v>
      </c>
      <c r="P3215" s="3"/>
      <c r="Q3215" s="3"/>
      <c r="R3215" s="3"/>
      <c r="S3215" s="3"/>
      <c r="T3215" s="3"/>
    </row>
    <row r="3216" spans="1:27" x14ac:dyDescent="0.4">
      <c r="A3216" s="44" t="s">
        <v>3684</v>
      </c>
      <c r="B3216" s="8" t="s">
        <v>228</v>
      </c>
      <c r="C3216" s="277" t="s">
        <v>990</v>
      </c>
      <c r="D3216" s="159">
        <f>SUMIFS(Q$8:Q$3073,$K$8:$K$3073, "&lt;4",$G$8:$G$3073,$A$3210,$M$8:$M$3073,EIA923DataSubtotalsNY[[#This Row],[MER
Fuel Type Code]],$N$8:$N$3073,$B$3216)</f>
        <v>2541215</v>
      </c>
      <c r="E3216" s="159">
        <f>SUMIFS(R$8:R$3073,$K$8:$K$3073, "&lt;4",$G$8:$G$3073,$A$3210,$M$8:$M$3073,EIA923DataSubtotalsNY[[#This Row],[MER
Fuel Type Code]],$N$8:$N$3073,$B$3216)</f>
        <v>2541215</v>
      </c>
      <c r="F3216" s="159">
        <f>SUMIFS(S$8:S$3073,$K$8:$K$3073, "&lt;4",$G$8:$G$3073,$A$3210,$M$8:$M$3073,EIA923DataSubtotalsNY[[#This Row],[MER
Fuel Type Code]],$N$8:$N$3073,$B$3216)</f>
        <v>2437824</v>
      </c>
      <c r="G3216" s="159">
        <f>SUMIFS(T$8:T$3073,$K$8:$K$3073, "&lt;4",$G$8:$G$3073,$A$3210,$M$8:$M$3073,EIA923DataSubtotalsNY[[#This Row],[MER
Fuel Type Code]],$N$8:$N$3073,$B$3216)</f>
        <v>2437824</v>
      </c>
      <c r="H3216" s="159">
        <f>SUMIFS(U$8:U$3073,$K$8:$K$3073, "&lt;4",$G$8:$G$3073,$A$3210,$M$8:$M$3073,EIA923DataSubtotalsNY[[#This Row],[MER
Fuel Type Code]],$N$8:$N$3073,$B$3216)</f>
        <v>347462</v>
      </c>
      <c r="I3216" s="93">
        <v>0</v>
      </c>
      <c r="J3216" s="159">
        <f>SUMIFS(T$8:T$3073,U$8:U$3073, "&gt;0",$K$8:$K$3073, "&lt;4",$G$8:$G$3073,$A$3210,$M$8:$M$3073,EIA923DataSubtotalsNY[[#This Row],[MER
Fuel Type Code]],$N$8:$N$3073,$B$3216)</f>
        <v>2437824</v>
      </c>
      <c r="K3216" s="159">
        <f>SUMIFS(U$8:U$3073,V$8:V$3073, "&gt;0",$K$8:$K$3073, "&lt;4",$G$8:$G$3073,$A$3210,$M$8:$M$3073,EIA923DataSubtotalsNY[[#This Row],[MER
Fuel Type Code]],$N$8:$N$3073,$B$3216)</f>
        <v>347462</v>
      </c>
      <c r="L3216" s="94">
        <f>J3216/K3216</f>
        <v>7.0160880902084255</v>
      </c>
      <c r="P3216" s="3"/>
      <c r="Q3216" s="3"/>
      <c r="R3216" s="3"/>
      <c r="S3216" s="3"/>
      <c r="T3216" s="3"/>
    </row>
    <row r="3217" spans="1:20" x14ac:dyDescent="0.4">
      <c r="A3217" s="44" t="s">
        <v>229</v>
      </c>
      <c r="B3217" s="8" t="s">
        <v>230</v>
      </c>
      <c r="C3217" s="8" t="s">
        <v>232</v>
      </c>
      <c r="D3217" s="159">
        <f t="shared" ref="D3217:D3233" si="245">SUMIFS(Q$8:Q$3073,$K$8:$K$3073, "&lt;4",$G$8:$G$3073,$A$3210,$N$8:$N$3073,$B3217)</f>
        <v>274253</v>
      </c>
      <c r="E3217" s="159">
        <f t="shared" ref="E3217:E3233" si="246">SUMIFS(R$8:R$3073,$K$8:$K$3073, "&lt;4",$G$8:$G$3073,$A$3210,$N$8:$N$3073,$B3217)</f>
        <v>194206</v>
      </c>
      <c r="F3217" s="159">
        <f t="shared" ref="F3217:F3233" si="247">SUMIFS(S$8:S$3073,$K$8:$K$3073, "&lt;4",$G$8:$G$3073,$A$3210,$N$8:$N$3073,$B3217)</f>
        <v>4022381</v>
      </c>
      <c r="G3217" s="159">
        <f t="shared" ref="G3217:G3233" si="248">SUMIFS(T$8:T$3073,$K$8:$K$3073, "&lt;4",$G$8:$G$3073,$A$3210,$N$8:$N$3073,$B3217)</f>
        <v>2848374</v>
      </c>
      <c r="H3217" s="159">
        <f t="shared" ref="H3217:H3233" si="249">SUMIFS(U$8:U$3073,$K$8:$K$3073, "&lt;4",$G$8:$G$3073,$A$3210,$N$8:$N$3073,$B3217)</f>
        <v>218757.39</v>
      </c>
      <c r="I3217" s="160">
        <f t="shared" ref="I3217:I3233" si="250">SUMIFS(T$8:T$3073,$K$8:$K$3073, "&lt;4",$G$8:$G$3073,$A$3210,$N$8:$N$3073,$B3217, $W$8:$W$3073, "=x")</f>
        <v>0</v>
      </c>
      <c r="J3217" s="159">
        <f t="shared" ref="J3217:J3233" si="251">SUMIFS(T$8:T$3073,U$8:U$3073, "&gt;0",$K$8:$K$3073, "&lt;4",$G$8:$G$3073,$A$3210,$N$8:$N$3073,$B3217)</f>
        <v>2848374</v>
      </c>
      <c r="K3217" s="159">
        <f t="shared" ref="K3217:K3233" si="252">SUMIFS(U$8:U$3073,U$8:U$3073, "&gt;0",$K$8:$K$3073, "&lt;4",$G$8:$G$3073,$A$3210,$N$8:$N$3073,$B3217)</f>
        <v>218757.39</v>
      </c>
      <c r="L3217" s="94">
        <f t="shared" si="244"/>
        <v>13.020698409320023</v>
      </c>
      <c r="P3217" s="3"/>
      <c r="Q3217" s="3"/>
      <c r="R3217" s="3"/>
      <c r="S3217" s="3"/>
      <c r="T3217" s="3"/>
    </row>
    <row r="3218" spans="1:20" x14ac:dyDescent="0.4">
      <c r="A3218" s="44" t="s">
        <v>231</v>
      </c>
      <c r="B3218" s="8" t="s">
        <v>232</v>
      </c>
      <c r="C3218" s="8" t="s">
        <v>232</v>
      </c>
      <c r="D3218" s="159">
        <f t="shared" si="245"/>
        <v>0</v>
      </c>
      <c r="E3218" s="159">
        <f t="shared" si="246"/>
        <v>0</v>
      </c>
      <c r="F3218" s="159">
        <f t="shared" si="247"/>
        <v>0</v>
      </c>
      <c r="G3218" s="159">
        <f t="shared" si="248"/>
        <v>0</v>
      </c>
      <c r="H3218" s="159">
        <f t="shared" si="249"/>
        <v>0</v>
      </c>
      <c r="I3218" s="160">
        <f t="shared" si="250"/>
        <v>0</v>
      </c>
      <c r="J3218" s="159">
        <f t="shared" si="251"/>
        <v>0</v>
      </c>
      <c r="K3218" s="159">
        <f t="shared" si="252"/>
        <v>0</v>
      </c>
      <c r="L3218" s="94" t="e">
        <f t="shared" si="244"/>
        <v>#DIV/0!</v>
      </c>
      <c r="P3218" s="3"/>
      <c r="Q3218" s="3"/>
      <c r="R3218" s="3"/>
      <c r="S3218" s="3"/>
      <c r="T3218" s="3"/>
    </row>
    <row r="3219" spans="1:20" x14ac:dyDescent="0.4">
      <c r="A3219" s="44" t="s">
        <v>233</v>
      </c>
      <c r="B3219" s="8" t="s">
        <v>234</v>
      </c>
      <c r="C3219" s="8" t="s">
        <v>232</v>
      </c>
      <c r="D3219" s="159">
        <f t="shared" si="245"/>
        <v>0</v>
      </c>
      <c r="E3219" s="159">
        <f t="shared" si="246"/>
        <v>0</v>
      </c>
      <c r="F3219" s="159">
        <f t="shared" si="247"/>
        <v>0</v>
      </c>
      <c r="G3219" s="159">
        <f t="shared" si="248"/>
        <v>0</v>
      </c>
      <c r="H3219" s="159">
        <f t="shared" si="249"/>
        <v>0</v>
      </c>
      <c r="I3219" s="160">
        <f t="shared" si="250"/>
        <v>0</v>
      </c>
      <c r="J3219" s="159">
        <f t="shared" si="251"/>
        <v>0</v>
      </c>
      <c r="K3219" s="159">
        <f t="shared" si="252"/>
        <v>0</v>
      </c>
      <c r="L3219" s="94" t="e">
        <f t="shared" si="244"/>
        <v>#DIV/0!</v>
      </c>
      <c r="P3219" s="3"/>
      <c r="Q3219" s="3"/>
      <c r="R3219" s="3"/>
      <c r="S3219" s="3"/>
      <c r="T3219" s="3"/>
    </row>
    <row r="3220" spans="1:20" x14ac:dyDescent="0.4">
      <c r="A3220" s="44" t="s">
        <v>235</v>
      </c>
      <c r="B3220" s="8" t="s">
        <v>236</v>
      </c>
      <c r="C3220" s="8" t="s">
        <v>236</v>
      </c>
      <c r="D3220" s="159">
        <f t="shared" si="245"/>
        <v>0</v>
      </c>
      <c r="E3220" s="159">
        <f t="shared" si="246"/>
        <v>0</v>
      </c>
      <c r="F3220" s="159">
        <f t="shared" si="247"/>
        <v>0</v>
      </c>
      <c r="G3220" s="159">
        <f t="shared" si="248"/>
        <v>0</v>
      </c>
      <c r="H3220" s="159">
        <f t="shared" si="249"/>
        <v>0</v>
      </c>
      <c r="I3220" s="160">
        <f t="shared" si="250"/>
        <v>0</v>
      </c>
      <c r="J3220" s="159">
        <f t="shared" si="251"/>
        <v>0</v>
      </c>
      <c r="K3220" s="159">
        <f t="shared" si="252"/>
        <v>0</v>
      </c>
      <c r="L3220" s="94" t="e">
        <f t="shared" si="244"/>
        <v>#DIV/0!</v>
      </c>
      <c r="P3220" s="3"/>
      <c r="Q3220" s="3"/>
      <c r="R3220" s="3"/>
      <c r="S3220" s="3"/>
      <c r="T3220" s="3"/>
    </row>
    <row r="3221" spans="1:20" x14ac:dyDescent="0.4">
      <c r="A3221" s="44" t="s">
        <v>237</v>
      </c>
      <c r="B3221" s="8" t="s">
        <v>238</v>
      </c>
      <c r="C3221" s="8" t="s">
        <v>238</v>
      </c>
      <c r="D3221" s="159">
        <f t="shared" si="245"/>
        <v>283535</v>
      </c>
      <c r="E3221" s="159">
        <f t="shared" si="246"/>
        <v>283535</v>
      </c>
      <c r="F3221" s="159">
        <f t="shared" si="247"/>
        <v>1744655</v>
      </c>
      <c r="G3221" s="159">
        <f t="shared" si="248"/>
        <v>1744655</v>
      </c>
      <c r="H3221" s="159">
        <f t="shared" si="249"/>
        <v>149749.24900000001</v>
      </c>
      <c r="I3221" s="160">
        <f t="shared" si="250"/>
        <v>1744655</v>
      </c>
      <c r="J3221" s="159">
        <f t="shared" si="251"/>
        <v>1744655</v>
      </c>
      <c r="K3221" s="159">
        <f t="shared" si="252"/>
        <v>149749.24900000001</v>
      </c>
      <c r="L3221" s="94">
        <f t="shared" si="244"/>
        <v>11.650509178847367</v>
      </c>
      <c r="P3221" s="3"/>
      <c r="Q3221" s="3"/>
      <c r="R3221" s="3"/>
      <c r="S3221" s="3"/>
      <c r="T3221" s="3"/>
    </row>
    <row r="3222" spans="1:20" x14ac:dyDescent="0.4">
      <c r="A3222" s="44" t="s">
        <v>239</v>
      </c>
      <c r="B3222" s="8" t="s">
        <v>240</v>
      </c>
      <c r="C3222" s="8" t="s">
        <v>349</v>
      </c>
      <c r="D3222" s="159">
        <f t="shared" si="245"/>
        <v>0</v>
      </c>
      <c r="E3222" s="159">
        <f t="shared" si="246"/>
        <v>0</v>
      </c>
      <c r="F3222" s="159">
        <f t="shared" si="247"/>
        <v>0</v>
      </c>
      <c r="G3222" s="159">
        <f t="shared" si="248"/>
        <v>0</v>
      </c>
      <c r="H3222" s="159">
        <f t="shared" si="249"/>
        <v>0</v>
      </c>
      <c r="I3222" s="160">
        <f t="shared" si="250"/>
        <v>0</v>
      </c>
      <c r="J3222" s="159">
        <f t="shared" si="251"/>
        <v>0</v>
      </c>
      <c r="K3222" s="159">
        <f t="shared" si="252"/>
        <v>0</v>
      </c>
      <c r="L3222" s="94" t="e">
        <f t="shared" si="244"/>
        <v>#DIV/0!</v>
      </c>
      <c r="P3222" s="3"/>
      <c r="Q3222" s="3"/>
      <c r="R3222" s="3"/>
      <c r="S3222" s="3"/>
      <c r="T3222" s="3"/>
    </row>
    <row r="3223" spans="1:20" x14ac:dyDescent="0.4">
      <c r="A3223" s="44" t="s">
        <v>241</v>
      </c>
      <c r="B3223" s="8" t="s">
        <v>242</v>
      </c>
      <c r="C3223" s="8" t="s">
        <v>349</v>
      </c>
      <c r="D3223" s="159">
        <f t="shared" si="245"/>
        <v>122872</v>
      </c>
      <c r="E3223" s="159">
        <f t="shared" si="246"/>
        <v>122872</v>
      </c>
      <c r="F3223" s="159">
        <f t="shared" si="247"/>
        <v>717003</v>
      </c>
      <c r="G3223" s="159">
        <f t="shared" si="248"/>
        <v>717003</v>
      </c>
      <c r="H3223" s="159">
        <f t="shared" si="249"/>
        <v>74751.736000000004</v>
      </c>
      <c r="I3223" s="160">
        <f t="shared" si="250"/>
        <v>427832</v>
      </c>
      <c r="J3223" s="159">
        <f t="shared" si="251"/>
        <v>717003</v>
      </c>
      <c r="K3223" s="159">
        <f t="shared" si="252"/>
        <v>74751.736000000004</v>
      </c>
      <c r="L3223" s="94">
        <f t="shared" si="244"/>
        <v>9.5917906174112133</v>
      </c>
      <c r="P3223" s="3"/>
      <c r="Q3223" s="3"/>
      <c r="R3223" s="3"/>
      <c r="S3223" s="3"/>
      <c r="T3223" s="3"/>
    </row>
    <row r="3224" spans="1:20" x14ac:dyDescent="0.4">
      <c r="A3224" s="44" t="s">
        <v>243</v>
      </c>
      <c r="B3224" s="8" t="s">
        <v>244</v>
      </c>
      <c r="C3224" s="8" t="s">
        <v>349</v>
      </c>
      <c r="D3224" s="159">
        <f t="shared" si="245"/>
        <v>0</v>
      </c>
      <c r="E3224" s="159">
        <f t="shared" si="246"/>
        <v>0</v>
      </c>
      <c r="F3224" s="159">
        <f t="shared" si="247"/>
        <v>0</v>
      </c>
      <c r="G3224" s="159">
        <f t="shared" si="248"/>
        <v>0</v>
      </c>
      <c r="H3224" s="159">
        <f t="shared" si="249"/>
        <v>0</v>
      </c>
      <c r="I3224" s="160">
        <f t="shared" si="250"/>
        <v>0</v>
      </c>
      <c r="J3224" s="159">
        <f t="shared" si="251"/>
        <v>0</v>
      </c>
      <c r="K3224" s="159">
        <f t="shared" si="252"/>
        <v>0</v>
      </c>
      <c r="L3224" s="94" t="e">
        <f t="shared" si="244"/>
        <v>#DIV/0!</v>
      </c>
      <c r="P3224" s="3"/>
      <c r="Q3224" s="3"/>
      <c r="R3224" s="3"/>
      <c r="S3224" s="3"/>
      <c r="T3224" s="3"/>
    </row>
    <row r="3225" spans="1:20" x14ac:dyDescent="0.4">
      <c r="A3225" s="44" t="s">
        <v>245</v>
      </c>
      <c r="B3225" s="8" t="s">
        <v>246</v>
      </c>
      <c r="C3225" s="8" t="s">
        <v>1004</v>
      </c>
      <c r="D3225" s="159">
        <f t="shared" si="245"/>
        <v>0</v>
      </c>
      <c r="E3225" s="159">
        <f t="shared" si="246"/>
        <v>0</v>
      </c>
      <c r="F3225" s="159">
        <f t="shared" si="247"/>
        <v>0</v>
      </c>
      <c r="G3225" s="159">
        <f t="shared" si="248"/>
        <v>0</v>
      </c>
      <c r="H3225" s="159">
        <f t="shared" si="249"/>
        <v>0</v>
      </c>
      <c r="I3225" s="160">
        <f t="shared" si="250"/>
        <v>0</v>
      </c>
      <c r="J3225" s="159">
        <f t="shared" si="251"/>
        <v>0</v>
      </c>
      <c r="K3225" s="159">
        <f t="shared" si="252"/>
        <v>0</v>
      </c>
      <c r="L3225" s="94" t="e">
        <f t="shared" si="244"/>
        <v>#DIV/0!</v>
      </c>
      <c r="P3225" s="3"/>
      <c r="Q3225" s="3"/>
      <c r="R3225" s="3"/>
      <c r="S3225" s="3"/>
      <c r="T3225" s="3"/>
    </row>
    <row r="3226" spans="1:20" x14ac:dyDescent="0.4">
      <c r="A3226" s="44" t="s">
        <v>251</v>
      </c>
      <c r="B3226" s="8" t="s">
        <v>252</v>
      </c>
      <c r="C3226" s="8" t="s">
        <v>688</v>
      </c>
      <c r="D3226" s="159">
        <f t="shared" si="245"/>
        <v>14372678</v>
      </c>
      <c r="E3226" s="159">
        <f t="shared" si="246"/>
        <v>14372678</v>
      </c>
      <c r="F3226" s="159">
        <f t="shared" si="247"/>
        <v>6960063</v>
      </c>
      <c r="G3226" s="159">
        <f t="shared" si="248"/>
        <v>6960063</v>
      </c>
      <c r="H3226" s="159">
        <f t="shared" si="249"/>
        <v>607248</v>
      </c>
      <c r="I3226" s="160">
        <f t="shared" si="250"/>
        <v>0</v>
      </c>
      <c r="J3226" s="159">
        <f t="shared" si="251"/>
        <v>6958142</v>
      </c>
      <c r="K3226" s="159">
        <f t="shared" si="252"/>
        <v>607248</v>
      </c>
      <c r="L3226" s="94">
        <f t="shared" ref="L3226:L3233" si="253">J3226/K3226</f>
        <v>11.458484836508314</v>
      </c>
      <c r="P3226" s="3"/>
      <c r="Q3226" s="3"/>
      <c r="R3226" s="3"/>
      <c r="S3226" s="3"/>
      <c r="T3226" s="3"/>
    </row>
    <row r="3227" spans="1:20" x14ac:dyDescent="0.4">
      <c r="A3227" s="44" t="s">
        <v>253</v>
      </c>
      <c r="B3227" s="8" t="s">
        <v>254</v>
      </c>
      <c r="C3227" s="8" t="s">
        <v>688</v>
      </c>
      <c r="D3227" s="159">
        <f t="shared" si="245"/>
        <v>428961</v>
      </c>
      <c r="E3227" s="159">
        <f t="shared" si="246"/>
        <v>303760</v>
      </c>
      <c r="F3227" s="159">
        <f t="shared" si="247"/>
        <v>3290988</v>
      </c>
      <c r="G3227" s="159">
        <f t="shared" si="248"/>
        <v>2330453</v>
      </c>
      <c r="H3227" s="159">
        <f t="shared" si="249"/>
        <v>178980.61</v>
      </c>
      <c r="I3227" s="160">
        <f t="shared" si="250"/>
        <v>0</v>
      </c>
      <c r="J3227" s="159">
        <f t="shared" si="251"/>
        <v>2330453</v>
      </c>
      <c r="K3227" s="159">
        <f t="shared" si="252"/>
        <v>178980.61</v>
      </c>
      <c r="L3227" s="94">
        <f t="shared" si="253"/>
        <v>13.020700957494782</v>
      </c>
      <c r="P3227" s="3"/>
      <c r="Q3227" s="3"/>
      <c r="R3227" s="3"/>
      <c r="S3227" s="3"/>
      <c r="T3227" s="3"/>
    </row>
    <row r="3228" spans="1:20" x14ac:dyDescent="0.4">
      <c r="A3228" s="44" t="s">
        <v>255</v>
      </c>
      <c r="B3228" s="8" t="s">
        <v>256</v>
      </c>
      <c r="C3228" s="8" t="s">
        <v>387</v>
      </c>
      <c r="D3228" s="159">
        <f t="shared" si="245"/>
        <v>0</v>
      </c>
      <c r="E3228" s="159">
        <f t="shared" si="246"/>
        <v>0</v>
      </c>
      <c r="F3228" s="159">
        <f t="shared" si="247"/>
        <v>0</v>
      </c>
      <c r="G3228" s="159">
        <f t="shared" si="248"/>
        <v>0</v>
      </c>
      <c r="H3228" s="159">
        <f t="shared" si="249"/>
        <v>0</v>
      </c>
      <c r="I3228" s="160">
        <f t="shared" si="250"/>
        <v>0</v>
      </c>
      <c r="J3228" s="159">
        <f t="shared" si="251"/>
        <v>0</v>
      </c>
      <c r="K3228" s="159">
        <f t="shared" si="252"/>
        <v>0</v>
      </c>
      <c r="L3228" s="94" t="e">
        <f t="shared" si="253"/>
        <v>#DIV/0!</v>
      </c>
      <c r="P3228" s="3"/>
      <c r="Q3228" s="3"/>
      <c r="R3228" s="3"/>
      <c r="S3228" s="3"/>
      <c r="T3228" s="3"/>
    </row>
    <row r="3229" spans="1:20" x14ac:dyDescent="0.4">
      <c r="A3229" s="44" t="s">
        <v>257</v>
      </c>
      <c r="B3229" s="8" t="s">
        <v>258</v>
      </c>
      <c r="C3229" s="8" t="s">
        <v>387</v>
      </c>
      <c r="D3229" s="159">
        <f t="shared" si="245"/>
        <v>0</v>
      </c>
      <c r="E3229" s="159">
        <f t="shared" si="246"/>
        <v>0</v>
      </c>
      <c r="F3229" s="159">
        <f t="shared" si="247"/>
        <v>0</v>
      </c>
      <c r="G3229" s="159">
        <f t="shared" si="248"/>
        <v>0</v>
      </c>
      <c r="H3229" s="159">
        <f t="shared" si="249"/>
        <v>0</v>
      </c>
      <c r="I3229" s="160">
        <f t="shared" si="250"/>
        <v>0</v>
      </c>
      <c r="J3229" s="159">
        <f t="shared" si="251"/>
        <v>0</v>
      </c>
      <c r="K3229" s="159">
        <f t="shared" si="252"/>
        <v>0</v>
      </c>
      <c r="L3229" s="94" t="e">
        <f t="shared" si="253"/>
        <v>#DIV/0!</v>
      </c>
      <c r="P3229" s="3"/>
      <c r="Q3229" s="3"/>
      <c r="R3229" s="3"/>
      <c r="S3229" s="3"/>
      <c r="T3229" s="3"/>
    </row>
    <row r="3230" spans="1:20" x14ac:dyDescent="0.4">
      <c r="A3230" s="44" t="s">
        <v>259</v>
      </c>
      <c r="B3230" s="8" t="s">
        <v>260</v>
      </c>
      <c r="C3230" s="8" t="s">
        <v>481</v>
      </c>
      <c r="D3230" s="159">
        <f t="shared" si="245"/>
        <v>0</v>
      </c>
      <c r="E3230" s="159">
        <f t="shared" si="246"/>
        <v>0</v>
      </c>
      <c r="F3230" s="159">
        <f t="shared" si="247"/>
        <v>0</v>
      </c>
      <c r="G3230" s="159">
        <f t="shared" si="248"/>
        <v>0</v>
      </c>
      <c r="H3230" s="159">
        <f t="shared" si="249"/>
        <v>0</v>
      </c>
      <c r="I3230" s="160">
        <f t="shared" si="250"/>
        <v>0</v>
      </c>
      <c r="J3230" s="159">
        <f t="shared" si="251"/>
        <v>0</v>
      </c>
      <c r="K3230" s="159">
        <f t="shared" si="252"/>
        <v>0</v>
      </c>
      <c r="L3230" s="94" t="e">
        <f>J3230/K3230</f>
        <v>#DIV/0!</v>
      </c>
      <c r="P3230" s="3"/>
      <c r="Q3230" s="3"/>
      <c r="R3230" s="3"/>
      <c r="S3230" s="3"/>
      <c r="T3230" s="3"/>
    </row>
    <row r="3231" spans="1:20" x14ac:dyDescent="0.4">
      <c r="A3231" s="44" t="s">
        <v>261</v>
      </c>
      <c r="B3231" s="8" t="s">
        <v>262</v>
      </c>
      <c r="C3231" s="8" t="s">
        <v>481</v>
      </c>
      <c r="D3231" s="159">
        <f t="shared" si="245"/>
        <v>0</v>
      </c>
      <c r="E3231" s="159">
        <f t="shared" si="246"/>
        <v>0</v>
      </c>
      <c r="F3231" s="159">
        <f t="shared" si="247"/>
        <v>0</v>
      </c>
      <c r="G3231" s="159">
        <f t="shared" si="248"/>
        <v>0</v>
      </c>
      <c r="H3231" s="159">
        <f t="shared" si="249"/>
        <v>0</v>
      </c>
      <c r="I3231" s="160">
        <f t="shared" si="250"/>
        <v>0</v>
      </c>
      <c r="J3231" s="159">
        <f t="shared" si="251"/>
        <v>0</v>
      </c>
      <c r="K3231" s="159">
        <f t="shared" si="252"/>
        <v>0</v>
      </c>
      <c r="L3231" s="94" t="e">
        <f t="shared" si="253"/>
        <v>#DIV/0!</v>
      </c>
      <c r="P3231" s="3"/>
      <c r="Q3231" s="3"/>
      <c r="R3231" s="3"/>
      <c r="S3231" s="3"/>
      <c r="T3231" s="3"/>
    </row>
    <row r="3232" spans="1:20" x14ac:dyDescent="0.4">
      <c r="A3232" s="44" t="s">
        <v>263</v>
      </c>
      <c r="B3232" s="8" t="s">
        <v>264</v>
      </c>
      <c r="C3232" s="8" t="s">
        <v>481</v>
      </c>
      <c r="D3232" s="159">
        <f t="shared" si="245"/>
        <v>0</v>
      </c>
      <c r="E3232" s="159">
        <f t="shared" si="246"/>
        <v>0</v>
      </c>
      <c r="F3232" s="159">
        <f t="shared" si="247"/>
        <v>0</v>
      </c>
      <c r="G3232" s="159">
        <f t="shared" si="248"/>
        <v>0</v>
      </c>
      <c r="H3232" s="159">
        <f t="shared" si="249"/>
        <v>0</v>
      </c>
      <c r="I3232" s="160">
        <f t="shared" si="250"/>
        <v>0</v>
      </c>
      <c r="J3232" s="159">
        <f t="shared" si="251"/>
        <v>0</v>
      </c>
      <c r="K3232" s="159">
        <f t="shared" si="252"/>
        <v>0</v>
      </c>
      <c r="L3232" s="94" t="e">
        <f>J3232/K3232</f>
        <v>#DIV/0!</v>
      </c>
      <c r="P3232" s="3"/>
      <c r="Q3232" s="3"/>
      <c r="R3232" s="3"/>
      <c r="S3232" s="3"/>
      <c r="T3232" s="3"/>
    </row>
    <row r="3233" spans="1:27" x14ac:dyDescent="0.4">
      <c r="A3233" s="44" t="s">
        <v>265</v>
      </c>
      <c r="B3233" s="8" t="s">
        <v>266</v>
      </c>
      <c r="C3233" s="8" t="s">
        <v>481</v>
      </c>
      <c r="D3233" s="159">
        <f t="shared" si="245"/>
        <v>0</v>
      </c>
      <c r="E3233" s="159">
        <f t="shared" si="246"/>
        <v>0</v>
      </c>
      <c r="F3233" s="159">
        <f t="shared" si="247"/>
        <v>0</v>
      </c>
      <c r="G3233" s="159">
        <f t="shared" si="248"/>
        <v>0</v>
      </c>
      <c r="H3233" s="159">
        <f t="shared" si="249"/>
        <v>0</v>
      </c>
      <c r="I3233" s="160">
        <f t="shared" si="250"/>
        <v>0</v>
      </c>
      <c r="J3233" s="159">
        <f t="shared" si="251"/>
        <v>0</v>
      </c>
      <c r="K3233" s="159">
        <f t="shared" si="252"/>
        <v>0</v>
      </c>
      <c r="L3233" s="94" t="e">
        <f t="shared" si="253"/>
        <v>#DIV/0!</v>
      </c>
      <c r="P3233" s="3"/>
      <c r="Q3233" s="3"/>
      <c r="R3233" s="3"/>
      <c r="S3233" s="3"/>
      <c r="T3233" s="3"/>
    </row>
    <row r="3234" spans="1:27" x14ac:dyDescent="0.4">
      <c r="A3234" s="510" t="s">
        <v>55</v>
      </c>
      <c r="B3234" s="339" t="s">
        <v>170</v>
      </c>
      <c r="C3234" s="511" t="s">
        <v>170</v>
      </c>
      <c r="D3234" s="512">
        <f>SUM(D3213:D3233)</f>
        <v>525277072</v>
      </c>
      <c r="E3234" s="512">
        <f>SUM(E3213:E3233)</f>
        <v>501136326</v>
      </c>
      <c r="F3234" s="512">
        <f>SUM(F3213:F3233)</f>
        <v>543241041</v>
      </c>
      <c r="G3234" s="512">
        <f>SUM(G3213:G3233)</f>
        <v>516364612</v>
      </c>
      <c r="H3234" s="512">
        <f>SUM(H3213:H3233)</f>
        <v>62705407.805</v>
      </c>
      <c r="I3234" s="339" t="s">
        <v>170</v>
      </c>
      <c r="J3234" s="339" t="s">
        <v>170</v>
      </c>
      <c r="K3234" s="339" t="s">
        <v>170</v>
      </c>
      <c r="L3234" s="339" t="s">
        <v>170</v>
      </c>
      <c r="AA3234" s="26"/>
    </row>
    <row r="3235" spans="1:27" x14ac:dyDescent="0.4">
      <c r="A3235" s="3" t="s">
        <v>11</v>
      </c>
      <c r="AA3235" s="26"/>
    </row>
    <row r="3237" spans="1:27" x14ac:dyDescent="0.4">
      <c r="A3237" s="278" t="s">
        <v>990</v>
      </c>
    </row>
    <row r="3239" spans="1:27" x14ac:dyDescent="0.4">
      <c r="A3239" s="406" t="s">
        <v>38</v>
      </c>
    </row>
    <row r="3240" spans="1:27" ht="80" x14ac:dyDescent="0.4">
      <c r="A3240" s="266" t="s">
        <v>3680</v>
      </c>
      <c r="B3240" s="267" t="s">
        <v>316</v>
      </c>
      <c r="C3240" s="267" t="s">
        <v>317</v>
      </c>
      <c r="D3240" s="266" t="s">
        <v>319</v>
      </c>
      <c r="E3240" s="266" t="s">
        <v>320</v>
      </c>
      <c r="F3240" s="266" t="s">
        <v>321</v>
      </c>
      <c r="G3240" s="266" t="s">
        <v>322</v>
      </c>
      <c r="H3240" s="266" t="s">
        <v>323</v>
      </c>
      <c r="I3240" s="248" t="s">
        <v>4562</v>
      </c>
      <c r="J3240" s="266" t="s">
        <v>3681</v>
      </c>
      <c r="K3240" s="266" t="s">
        <v>3682</v>
      </c>
      <c r="L3240" s="266" t="s">
        <v>3683</v>
      </c>
    </row>
    <row r="3241" spans="1:27" x14ac:dyDescent="0.4">
      <c r="A3241" s="513" t="s">
        <v>221</v>
      </c>
      <c r="B3241" s="505" t="s">
        <v>222</v>
      </c>
      <c r="C3241" s="505" t="s">
        <v>479</v>
      </c>
      <c r="D3241" s="507">
        <f t="shared" ref="D3241:D3261" si="254">SUMIFS(Q$8:Q$3073,$K$8:$K$3073, "&lt;4",$G$8:$G$3073,$A$3239,$N$8:$N$3073,$B3241)</f>
        <v>0</v>
      </c>
      <c r="E3241" s="507">
        <f t="shared" ref="E3241:E3261" si="255">SUMIFS(R$8:R$3073,$K$8:$K$3073, "&lt;4",$G$8:$G$3073,$A$3239,$N$8:$N$3073,$B3241)</f>
        <v>0</v>
      </c>
      <c r="F3241" s="507">
        <f t="shared" ref="F3241:F3261" si="256">SUMIFS(S$8:S$3073,$K$8:$K$3073, "&lt;4",$G$8:$G$3073,$A$3239,$N$8:$N$3073,$B3241)</f>
        <v>0</v>
      </c>
      <c r="G3241" s="507">
        <f t="shared" ref="G3241:G3261" si="257">SUMIFS(T$8:T$3073,$K$8:$K$3073, "&lt;4",$G$8:$G$3073,$A$3239,$N$8:$N$3073,$B3241)</f>
        <v>0</v>
      </c>
      <c r="H3241" s="507">
        <f t="shared" ref="H3241:H3261" si="258">SUMIFS(U$8:U$3073,$K$8:$K$3073, "&lt;4",$G$8:$G$3073,$A$3239,$N$8:$N$3073,$B3241)</f>
        <v>0</v>
      </c>
      <c r="I3241" s="508">
        <f t="shared" ref="I3241:I3261" si="259">SUMIFS(T$8:T$3073,$K$8:$K$3073, "&lt;4",$G$8:$G$3073,$A$3239,$N$8:$N$3073,$B3241, $W$8:$W$3073, "=x")</f>
        <v>0</v>
      </c>
      <c r="J3241" s="507">
        <f t="shared" ref="J3241:J3261" si="260">SUMIFS(T$8:T$3073,U$8:U$3073, "&gt;0",$K$8:$K$3073, "&lt;4",$G$8:$G$3073,$A$3239,$N$8:$N$3073,$B3241)</f>
        <v>0</v>
      </c>
      <c r="K3241" s="507">
        <f t="shared" ref="K3241:K3261" si="261">SUMIFS(U$8:U$3073,U$8:U$3073, "&gt;0",$K$8:$K$3073, "&lt;4",$G$8:$G$3073,$A$3239,$N$8:$N$3073,$B3241)</f>
        <v>0</v>
      </c>
      <c r="L3241" s="509" t="e">
        <f t="shared" ref="L3241:L3253" si="262">J3241/K3241</f>
        <v>#DIV/0!</v>
      </c>
    </row>
    <row r="3242" spans="1:27" x14ac:dyDescent="0.4">
      <c r="A3242" s="44" t="s">
        <v>223</v>
      </c>
      <c r="B3242" s="8" t="s">
        <v>224</v>
      </c>
      <c r="C3242" s="8" t="s">
        <v>479</v>
      </c>
      <c r="D3242" s="159">
        <f t="shared" si="254"/>
        <v>0</v>
      </c>
      <c r="E3242" s="159">
        <f t="shared" si="255"/>
        <v>0</v>
      </c>
      <c r="F3242" s="159">
        <f t="shared" si="256"/>
        <v>0</v>
      </c>
      <c r="G3242" s="159">
        <f t="shared" si="257"/>
        <v>0</v>
      </c>
      <c r="H3242" s="159">
        <f t="shared" si="258"/>
        <v>0</v>
      </c>
      <c r="I3242" s="160">
        <f t="shared" si="259"/>
        <v>0</v>
      </c>
      <c r="J3242" s="159">
        <f t="shared" si="260"/>
        <v>0</v>
      </c>
      <c r="K3242" s="159">
        <f t="shared" si="261"/>
        <v>0</v>
      </c>
      <c r="L3242" s="94" t="e">
        <f t="shared" si="262"/>
        <v>#DIV/0!</v>
      </c>
      <c r="W3242" s="26"/>
      <c r="X3242" s="26"/>
      <c r="Y3242" s="26"/>
    </row>
    <row r="3243" spans="1:27" x14ac:dyDescent="0.4">
      <c r="A3243" s="44" t="s">
        <v>225</v>
      </c>
      <c r="B3243" s="8" t="s">
        <v>226</v>
      </c>
      <c r="C3243" s="8" t="s">
        <v>226</v>
      </c>
      <c r="D3243" s="159">
        <f t="shared" si="254"/>
        <v>10001</v>
      </c>
      <c r="E3243" s="159">
        <f t="shared" si="255"/>
        <v>10001</v>
      </c>
      <c r="F3243" s="159">
        <f t="shared" si="256"/>
        <v>58030</v>
      </c>
      <c r="G3243" s="159">
        <f t="shared" si="257"/>
        <v>58030</v>
      </c>
      <c r="H3243" s="159">
        <f t="shared" si="258"/>
        <v>6851.7979999999998</v>
      </c>
      <c r="I3243" s="160">
        <f t="shared" si="259"/>
        <v>56838</v>
      </c>
      <c r="J3243" s="159">
        <f t="shared" si="260"/>
        <v>58030</v>
      </c>
      <c r="K3243" s="159">
        <f t="shared" si="261"/>
        <v>6851.7979999999998</v>
      </c>
      <c r="L3243" s="94">
        <f t="shared" si="262"/>
        <v>8.4693098074403252</v>
      </c>
      <c r="P3243" s="3"/>
      <c r="Q3243" s="3"/>
      <c r="R3243" s="3"/>
      <c r="S3243" s="3"/>
      <c r="T3243" s="3"/>
    </row>
    <row r="3244" spans="1:27" x14ac:dyDescent="0.4">
      <c r="A3244" s="44" t="s">
        <v>270</v>
      </c>
      <c r="B3244" s="8" t="s">
        <v>228</v>
      </c>
      <c r="C3244" s="8" t="s">
        <v>228</v>
      </c>
      <c r="D3244" s="159">
        <f t="shared" si="254"/>
        <v>64922200</v>
      </c>
      <c r="E3244" s="159">
        <f t="shared" si="255"/>
        <v>64922200</v>
      </c>
      <c r="F3244" s="159">
        <f t="shared" si="256"/>
        <v>66754057</v>
      </c>
      <c r="G3244" s="159">
        <f t="shared" si="257"/>
        <v>66754057</v>
      </c>
      <c r="H3244" s="159">
        <f t="shared" si="258"/>
        <v>8610661.2100000009</v>
      </c>
      <c r="I3244" s="160">
        <f t="shared" si="259"/>
        <v>66754057</v>
      </c>
      <c r="J3244" s="159">
        <f t="shared" si="260"/>
        <v>66754057</v>
      </c>
      <c r="K3244" s="159">
        <f t="shared" si="261"/>
        <v>8610661.2100000009</v>
      </c>
      <c r="L3244" s="94">
        <f t="shared" si="262"/>
        <v>7.7524890797555832</v>
      </c>
      <c r="P3244" s="3"/>
      <c r="Q3244" s="3"/>
      <c r="R3244" s="3"/>
      <c r="S3244" s="3"/>
      <c r="T3244" s="3"/>
    </row>
    <row r="3245" spans="1:27" x14ac:dyDescent="0.4">
      <c r="A3245" s="44" t="s">
        <v>229</v>
      </c>
      <c r="B3245" s="8" t="s">
        <v>230</v>
      </c>
      <c r="C3245" s="8" t="s">
        <v>232</v>
      </c>
      <c r="D3245" s="159">
        <f t="shared" si="254"/>
        <v>0</v>
      </c>
      <c r="E3245" s="159">
        <f t="shared" si="255"/>
        <v>0</v>
      </c>
      <c r="F3245" s="159">
        <f t="shared" si="256"/>
        <v>0</v>
      </c>
      <c r="G3245" s="159">
        <f t="shared" si="257"/>
        <v>0</v>
      </c>
      <c r="H3245" s="159">
        <f t="shared" si="258"/>
        <v>0</v>
      </c>
      <c r="I3245" s="160">
        <f t="shared" si="259"/>
        <v>0</v>
      </c>
      <c r="J3245" s="159">
        <f t="shared" si="260"/>
        <v>0</v>
      </c>
      <c r="K3245" s="159">
        <f t="shared" si="261"/>
        <v>0</v>
      </c>
      <c r="L3245" s="94" t="e">
        <f t="shared" si="262"/>
        <v>#DIV/0!</v>
      </c>
      <c r="P3245" s="3"/>
      <c r="Q3245" s="3"/>
      <c r="R3245" s="3"/>
      <c r="S3245" s="3"/>
      <c r="T3245" s="3"/>
    </row>
    <row r="3246" spans="1:27" x14ac:dyDescent="0.4">
      <c r="A3246" s="44" t="s">
        <v>231</v>
      </c>
      <c r="B3246" s="8" t="s">
        <v>232</v>
      </c>
      <c r="C3246" s="8" t="s">
        <v>232</v>
      </c>
      <c r="D3246" s="159">
        <f t="shared" si="254"/>
        <v>0</v>
      </c>
      <c r="E3246" s="159">
        <f t="shared" si="255"/>
        <v>0</v>
      </c>
      <c r="F3246" s="159">
        <f t="shared" si="256"/>
        <v>0</v>
      </c>
      <c r="G3246" s="159">
        <f t="shared" si="257"/>
        <v>0</v>
      </c>
      <c r="H3246" s="159">
        <f t="shared" si="258"/>
        <v>0</v>
      </c>
      <c r="I3246" s="160">
        <f t="shared" si="259"/>
        <v>0</v>
      </c>
      <c r="J3246" s="159">
        <f t="shared" si="260"/>
        <v>0</v>
      </c>
      <c r="K3246" s="159">
        <f t="shared" si="261"/>
        <v>0</v>
      </c>
      <c r="L3246" s="94" t="e">
        <f t="shared" si="262"/>
        <v>#DIV/0!</v>
      </c>
      <c r="P3246" s="3"/>
      <c r="Q3246" s="3"/>
      <c r="R3246" s="3"/>
      <c r="S3246" s="3"/>
      <c r="T3246" s="3"/>
    </row>
    <row r="3247" spans="1:27" x14ac:dyDescent="0.4">
      <c r="A3247" s="44" t="s">
        <v>233</v>
      </c>
      <c r="B3247" s="8" t="s">
        <v>234</v>
      </c>
      <c r="C3247" s="8" t="s">
        <v>232</v>
      </c>
      <c r="D3247" s="159">
        <f t="shared" si="254"/>
        <v>0</v>
      </c>
      <c r="E3247" s="159">
        <f t="shared" si="255"/>
        <v>0</v>
      </c>
      <c r="F3247" s="159">
        <f t="shared" si="256"/>
        <v>0</v>
      </c>
      <c r="G3247" s="159">
        <f t="shared" si="257"/>
        <v>0</v>
      </c>
      <c r="H3247" s="159">
        <f t="shared" si="258"/>
        <v>0</v>
      </c>
      <c r="I3247" s="160">
        <f t="shared" si="259"/>
        <v>0</v>
      </c>
      <c r="J3247" s="159">
        <f t="shared" si="260"/>
        <v>0</v>
      </c>
      <c r="K3247" s="159">
        <f t="shared" si="261"/>
        <v>0</v>
      </c>
      <c r="L3247" s="94" t="e">
        <f t="shared" si="262"/>
        <v>#DIV/0!</v>
      </c>
      <c r="P3247" s="3"/>
      <c r="Q3247" s="3"/>
      <c r="R3247" s="3"/>
      <c r="S3247" s="3"/>
      <c r="T3247" s="3"/>
    </row>
    <row r="3248" spans="1:27" x14ac:dyDescent="0.4">
      <c r="A3248" s="44" t="s">
        <v>235</v>
      </c>
      <c r="B3248" s="8" t="s">
        <v>236</v>
      </c>
      <c r="C3248" s="8" t="s">
        <v>236</v>
      </c>
      <c r="D3248" s="159">
        <f t="shared" si="254"/>
        <v>0</v>
      </c>
      <c r="E3248" s="159">
        <f t="shared" si="255"/>
        <v>0</v>
      </c>
      <c r="F3248" s="159">
        <f t="shared" si="256"/>
        <v>0</v>
      </c>
      <c r="G3248" s="159">
        <f t="shared" si="257"/>
        <v>0</v>
      </c>
      <c r="H3248" s="159">
        <f t="shared" si="258"/>
        <v>0</v>
      </c>
      <c r="I3248" s="160">
        <f t="shared" si="259"/>
        <v>0</v>
      </c>
      <c r="J3248" s="159">
        <f t="shared" si="260"/>
        <v>0</v>
      </c>
      <c r="K3248" s="159">
        <f t="shared" si="261"/>
        <v>0</v>
      </c>
      <c r="L3248" s="94" t="e">
        <f t="shared" si="262"/>
        <v>#DIV/0!</v>
      </c>
      <c r="P3248" s="3"/>
      <c r="Q3248" s="3"/>
      <c r="R3248" s="3"/>
      <c r="S3248" s="3"/>
      <c r="T3248" s="3"/>
    </row>
    <row r="3249" spans="1:27" x14ac:dyDescent="0.4">
      <c r="A3249" s="44" t="s">
        <v>237</v>
      </c>
      <c r="B3249" s="8" t="s">
        <v>238</v>
      </c>
      <c r="C3249" s="8" t="s">
        <v>238</v>
      </c>
      <c r="D3249" s="159">
        <f t="shared" si="254"/>
        <v>0</v>
      </c>
      <c r="E3249" s="159">
        <f t="shared" si="255"/>
        <v>0</v>
      </c>
      <c r="F3249" s="159">
        <f t="shared" si="256"/>
        <v>0</v>
      </c>
      <c r="G3249" s="159">
        <f t="shared" si="257"/>
        <v>0</v>
      </c>
      <c r="H3249" s="159">
        <f t="shared" si="258"/>
        <v>0</v>
      </c>
      <c r="I3249" s="160">
        <f t="shared" si="259"/>
        <v>0</v>
      </c>
      <c r="J3249" s="159">
        <f t="shared" si="260"/>
        <v>0</v>
      </c>
      <c r="K3249" s="159">
        <f t="shared" si="261"/>
        <v>0</v>
      </c>
      <c r="L3249" s="94" t="e">
        <f t="shared" si="262"/>
        <v>#DIV/0!</v>
      </c>
      <c r="P3249" s="3"/>
      <c r="Q3249" s="3"/>
      <c r="R3249" s="3"/>
      <c r="S3249" s="3"/>
      <c r="T3249" s="3"/>
    </row>
    <row r="3250" spans="1:27" x14ac:dyDescent="0.4">
      <c r="A3250" s="44" t="s">
        <v>239</v>
      </c>
      <c r="B3250" s="8" t="s">
        <v>240</v>
      </c>
      <c r="C3250" s="8" t="s">
        <v>349</v>
      </c>
      <c r="D3250" s="159">
        <f t="shared" si="254"/>
        <v>0</v>
      </c>
      <c r="E3250" s="159">
        <f t="shared" si="255"/>
        <v>0</v>
      </c>
      <c r="F3250" s="159">
        <f t="shared" si="256"/>
        <v>0</v>
      </c>
      <c r="G3250" s="159">
        <f t="shared" si="257"/>
        <v>0</v>
      </c>
      <c r="H3250" s="159">
        <f t="shared" si="258"/>
        <v>0</v>
      </c>
      <c r="I3250" s="160">
        <f t="shared" si="259"/>
        <v>0</v>
      </c>
      <c r="J3250" s="159">
        <f t="shared" si="260"/>
        <v>0</v>
      </c>
      <c r="K3250" s="159">
        <f t="shared" si="261"/>
        <v>0</v>
      </c>
      <c r="L3250" s="94" t="e">
        <f t="shared" si="262"/>
        <v>#DIV/0!</v>
      </c>
      <c r="P3250" s="3"/>
      <c r="Q3250" s="3"/>
      <c r="R3250" s="3"/>
      <c r="S3250" s="3"/>
      <c r="T3250" s="3"/>
    </row>
    <row r="3251" spans="1:27" x14ac:dyDescent="0.4">
      <c r="A3251" s="44" t="s">
        <v>241</v>
      </c>
      <c r="B3251" s="8" t="s">
        <v>242</v>
      </c>
      <c r="C3251" s="8" t="s">
        <v>349</v>
      </c>
      <c r="D3251" s="159">
        <f t="shared" si="254"/>
        <v>0</v>
      </c>
      <c r="E3251" s="159">
        <f t="shared" si="255"/>
        <v>0</v>
      </c>
      <c r="F3251" s="159">
        <f t="shared" si="256"/>
        <v>0</v>
      </c>
      <c r="G3251" s="159">
        <f t="shared" si="257"/>
        <v>0</v>
      </c>
      <c r="H3251" s="159">
        <f t="shared" si="258"/>
        <v>0</v>
      </c>
      <c r="I3251" s="160">
        <f t="shared" si="259"/>
        <v>0</v>
      </c>
      <c r="J3251" s="159">
        <f t="shared" si="260"/>
        <v>0</v>
      </c>
      <c r="K3251" s="159">
        <f t="shared" si="261"/>
        <v>0</v>
      </c>
      <c r="L3251" s="94" t="e">
        <f t="shared" si="262"/>
        <v>#DIV/0!</v>
      </c>
      <c r="P3251" s="3"/>
      <c r="Q3251" s="3"/>
      <c r="R3251" s="3"/>
      <c r="S3251" s="3"/>
      <c r="T3251" s="3"/>
    </row>
    <row r="3252" spans="1:27" x14ac:dyDescent="0.4">
      <c r="A3252" s="44" t="s">
        <v>243</v>
      </c>
      <c r="B3252" s="8" t="s">
        <v>244</v>
      </c>
      <c r="C3252" s="8" t="s">
        <v>349</v>
      </c>
      <c r="D3252" s="159">
        <f t="shared" si="254"/>
        <v>0</v>
      </c>
      <c r="E3252" s="159">
        <f t="shared" si="255"/>
        <v>0</v>
      </c>
      <c r="F3252" s="159">
        <f t="shared" si="256"/>
        <v>0</v>
      </c>
      <c r="G3252" s="159">
        <f t="shared" si="257"/>
        <v>0</v>
      </c>
      <c r="H3252" s="159">
        <f t="shared" si="258"/>
        <v>0</v>
      </c>
      <c r="I3252" s="160">
        <f t="shared" si="259"/>
        <v>0</v>
      </c>
      <c r="J3252" s="159">
        <f t="shared" si="260"/>
        <v>0</v>
      </c>
      <c r="K3252" s="159">
        <f t="shared" si="261"/>
        <v>0</v>
      </c>
      <c r="L3252" s="94" t="e">
        <f t="shared" si="262"/>
        <v>#DIV/0!</v>
      </c>
      <c r="P3252" s="3"/>
      <c r="Q3252" s="3"/>
      <c r="R3252" s="3"/>
      <c r="S3252" s="3"/>
      <c r="T3252" s="3"/>
    </row>
    <row r="3253" spans="1:27" x14ac:dyDescent="0.4">
      <c r="A3253" s="44" t="s">
        <v>245</v>
      </c>
      <c r="B3253" s="8" t="s">
        <v>246</v>
      </c>
      <c r="C3253" s="8" t="s">
        <v>1004</v>
      </c>
      <c r="D3253" s="159">
        <f t="shared" si="254"/>
        <v>0</v>
      </c>
      <c r="E3253" s="159">
        <f t="shared" si="255"/>
        <v>0</v>
      </c>
      <c r="F3253" s="159">
        <f t="shared" si="256"/>
        <v>0</v>
      </c>
      <c r="G3253" s="159">
        <f t="shared" si="257"/>
        <v>0</v>
      </c>
      <c r="H3253" s="159">
        <f t="shared" si="258"/>
        <v>0</v>
      </c>
      <c r="I3253" s="160">
        <f t="shared" si="259"/>
        <v>0</v>
      </c>
      <c r="J3253" s="159">
        <f t="shared" si="260"/>
        <v>0</v>
      </c>
      <c r="K3253" s="159">
        <f t="shared" si="261"/>
        <v>0</v>
      </c>
      <c r="L3253" s="94" t="e">
        <f t="shared" si="262"/>
        <v>#DIV/0!</v>
      </c>
      <c r="P3253" s="3"/>
      <c r="Q3253" s="3"/>
      <c r="R3253" s="3"/>
      <c r="S3253" s="3"/>
      <c r="T3253" s="3"/>
    </row>
    <row r="3254" spans="1:27" x14ac:dyDescent="0.4">
      <c r="A3254" s="44" t="s">
        <v>251</v>
      </c>
      <c r="B3254" s="8" t="s">
        <v>252</v>
      </c>
      <c r="C3254" s="8" t="s">
        <v>688</v>
      </c>
      <c r="D3254" s="159">
        <f t="shared" si="254"/>
        <v>4183029</v>
      </c>
      <c r="E3254" s="159">
        <f t="shared" si="255"/>
        <v>4183029</v>
      </c>
      <c r="F3254" s="159">
        <f t="shared" si="256"/>
        <v>2064175</v>
      </c>
      <c r="G3254" s="159">
        <f t="shared" si="257"/>
        <v>2064175</v>
      </c>
      <c r="H3254" s="159">
        <f t="shared" si="258"/>
        <v>196562.01</v>
      </c>
      <c r="I3254" s="160">
        <f t="shared" si="259"/>
        <v>0</v>
      </c>
      <c r="J3254" s="159">
        <f t="shared" si="260"/>
        <v>2064175</v>
      </c>
      <c r="K3254" s="159">
        <f t="shared" si="261"/>
        <v>196562.01</v>
      </c>
      <c r="L3254" s="94">
        <f t="shared" ref="L3254:L3261" si="263">J3254/K3254</f>
        <v>10.501393427956907</v>
      </c>
      <c r="P3254" s="3"/>
      <c r="Q3254" s="3"/>
      <c r="R3254" s="3"/>
      <c r="S3254" s="3"/>
      <c r="T3254" s="3"/>
    </row>
    <row r="3255" spans="1:27" x14ac:dyDescent="0.4">
      <c r="A3255" s="44" t="s">
        <v>253</v>
      </c>
      <c r="B3255" s="8" t="s">
        <v>254</v>
      </c>
      <c r="C3255" s="8" t="s">
        <v>688</v>
      </c>
      <c r="D3255" s="159">
        <f t="shared" si="254"/>
        <v>0</v>
      </c>
      <c r="E3255" s="159">
        <f t="shared" si="255"/>
        <v>0</v>
      </c>
      <c r="F3255" s="159">
        <f t="shared" si="256"/>
        <v>0</v>
      </c>
      <c r="G3255" s="159">
        <f t="shared" si="257"/>
        <v>0</v>
      </c>
      <c r="H3255" s="159">
        <f t="shared" si="258"/>
        <v>0</v>
      </c>
      <c r="I3255" s="160">
        <f t="shared" si="259"/>
        <v>0</v>
      </c>
      <c r="J3255" s="159">
        <f t="shared" si="260"/>
        <v>0</v>
      </c>
      <c r="K3255" s="159">
        <f t="shared" si="261"/>
        <v>0</v>
      </c>
      <c r="L3255" s="94" t="e">
        <f t="shared" si="263"/>
        <v>#DIV/0!</v>
      </c>
      <c r="P3255" s="3"/>
      <c r="Q3255" s="3"/>
      <c r="R3255" s="3"/>
      <c r="S3255" s="3"/>
      <c r="T3255" s="3"/>
    </row>
    <row r="3256" spans="1:27" x14ac:dyDescent="0.4">
      <c r="A3256" s="44" t="s">
        <v>255</v>
      </c>
      <c r="B3256" s="8" t="s">
        <v>256</v>
      </c>
      <c r="C3256" s="8" t="s">
        <v>387</v>
      </c>
      <c r="D3256" s="159">
        <f t="shared" si="254"/>
        <v>0</v>
      </c>
      <c r="E3256" s="159">
        <f t="shared" si="255"/>
        <v>0</v>
      </c>
      <c r="F3256" s="159">
        <f t="shared" si="256"/>
        <v>0</v>
      </c>
      <c r="G3256" s="159">
        <f t="shared" si="257"/>
        <v>0</v>
      </c>
      <c r="H3256" s="159">
        <f t="shared" si="258"/>
        <v>0</v>
      </c>
      <c r="I3256" s="160">
        <f t="shared" si="259"/>
        <v>0</v>
      </c>
      <c r="J3256" s="159">
        <f t="shared" si="260"/>
        <v>0</v>
      </c>
      <c r="K3256" s="159">
        <f t="shared" si="261"/>
        <v>0</v>
      </c>
      <c r="L3256" s="94" t="e">
        <f t="shared" si="263"/>
        <v>#DIV/0!</v>
      </c>
      <c r="P3256" s="3"/>
      <c r="Q3256" s="3"/>
      <c r="R3256" s="3"/>
      <c r="S3256" s="3"/>
      <c r="T3256" s="3"/>
    </row>
    <row r="3257" spans="1:27" x14ac:dyDescent="0.4">
      <c r="A3257" s="44" t="s">
        <v>257</v>
      </c>
      <c r="B3257" s="8" t="s">
        <v>258</v>
      </c>
      <c r="C3257" s="8" t="s">
        <v>387</v>
      </c>
      <c r="D3257" s="159">
        <f t="shared" si="254"/>
        <v>0</v>
      </c>
      <c r="E3257" s="159">
        <f t="shared" si="255"/>
        <v>0</v>
      </c>
      <c r="F3257" s="159">
        <f t="shared" si="256"/>
        <v>0</v>
      </c>
      <c r="G3257" s="159">
        <f t="shared" si="257"/>
        <v>0</v>
      </c>
      <c r="H3257" s="159">
        <f t="shared" si="258"/>
        <v>0</v>
      </c>
      <c r="I3257" s="160">
        <f t="shared" si="259"/>
        <v>0</v>
      </c>
      <c r="J3257" s="159">
        <f t="shared" si="260"/>
        <v>0</v>
      </c>
      <c r="K3257" s="159">
        <f t="shared" si="261"/>
        <v>0</v>
      </c>
      <c r="L3257" s="94" t="e">
        <f t="shared" si="263"/>
        <v>#DIV/0!</v>
      </c>
      <c r="P3257" s="3"/>
      <c r="Q3257" s="3"/>
      <c r="R3257" s="3"/>
      <c r="S3257" s="3"/>
      <c r="T3257" s="3"/>
    </row>
    <row r="3258" spans="1:27" x14ac:dyDescent="0.4">
      <c r="A3258" s="44" t="s">
        <v>259</v>
      </c>
      <c r="B3258" s="8" t="s">
        <v>260</v>
      </c>
      <c r="C3258" s="8" t="s">
        <v>481</v>
      </c>
      <c r="D3258" s="159">
        <f t="shared" si="254"/>
        <v>0</v>
      </c>
      <c r="E3258" s="159">
        <f t="shared" si="255"/>
        <v>0</v>
      </c>
      <c r="F3258" s="159">
        <f t="shared" si="256"/>
        <v>0</v>
      </c>
      <c r="G3258" s="159">
        <f t="shared" si="257"/>
        <v>0</v>
      </c>
      <c r="H3258" s="159">
        <f t="shared" si="258"/>
        <v>0</v>
      </c>
      <c r="I3258" s="160">
        <f t="shared" si="259"/>
        <v>0</v>
      </c>
      <c r="J3258" s="159">
        <f t="shared" si="260"/>
        <v>0</v>
      </c>
      <c r="K3258" s="159">
        <f t="shared" si="261"/>
        <v>0</v>
      </c>
      <c r="L3258" s="94" t="e">
        <f t="shared" si="263"/>
        <v>#DIV/0!</v>
      </c>
      <c r="P3258" s="3"/>
      <c r="Q3258" s="3"/>
      <c r="R3258" s="3"/>
      <c r="S3258" s="3"/>
      <c r="T3258" s="3"/>
    </row>
    <row r="3259" spans="1:27" x14ac:dyDescent="0.4">
      <c r="A3259" s="44" t="s">
        <v>261</v>
      </c>
      <c r="B3259" s="8" t="s">
        <v>262</v>
      </c>
      <c r="C3259" s="8" t="s">
        <v>481</v>
      </c>
      <c r="D3259" s="159">
        <f t="shared" si="254"/>
        <v>0</v>
      </c>
      <c r="E3259" s="159">
        <f t="shared" si="255"/>
        <v>0</v>
      </c>
      <c r="F3259" s="159">
        <f t="shared" si="256"/>
        <v>0</v>
      </c>
      <c r="G3259" s="159">
        <f t="shared" si="257"/>
        <v>0</v>
      </c>
      <c r="H3259" s="159">
        <f t="shared" si="258"/>
        <v>0</v>
      </c>
      <c r="I3259" s="160">
        <f t="shared" si="259"/>
        <v>0</v>
      </c>
      <c r="J3259" s="159">
        <f t="shared" si="260"/>
        <v>0</v>
      </c>
      <c r="K3259" s="159">
        <f t="shared" si="261"/>
        <v>0</v>
      </c>
      <c r="L3259" s="94" t="e">
        <f t="shared" si="263"/>
        <v>#DIV/0!</v>
      </c>
      <c r="P3259" s="3"/>
      <c r="Q3259" s="3"/>
      <c r="R3259" s="3"/>
      <c r="S3259" s="3"/>
      <c r="T3259" s="3"/>
    </row>
    <row r="3260" spans="1:27" x14ac:dyDescent="0.4">
      <c r="A3260" s="44" t="s">
        <v>263</v>
      </c>
      <c r="B3260" s="8" t="s">
        <v>264</v>
      </c>
      <c r="C3260" s="8" t="s">
        <v>481</v>
      </c>
      <c r="D3260" s="159">
        <f t="shared" si="254"/>
        <v>0</v>
      </c>
      <c r="E3260" s="159">
        <f t="shared" si="255"/>
        <v>0</v>
      </c>
      <c r="F3260" s="159">
        <f t="shared" si="256"/>
        <v>0</v>
      </c>
      <c r="G3260" s="159">
        <f t="shared" si="257"/>
        <v>0</v>
      </c>
      <c r="H3260" s="159">
        <f t="shared" si="258"/>
        <v>0</v>
      </c>
      <c r="I3260" s="160">
        <f t="shared" si="259"/>
        <v>0</v>
      </c>
      <c r="J3260" s="159">
        <f t="shared" si="260"/>
        <v>0</v>
      </c>
      <c r="K3260" s="159">
        <f t="shared" si="261"/>
        <v>0</v>
      </c>
      <c r="L3260" s="94" t="e">
        <f t="shared" si="263"/>
        <v>#DIV/0!</v>
      </c>
      <c r="P3260" s="3"/>
      <c r="Q3260" s="3"/>
      <c r="R3260" s="3"/>
      <c r="S3260" s="3"/>
      <c r="T3260" s="3"/>
    </row>
    <row r="3261" spans="1:27" x14ac:dyDescent="0.4">
      <c r="A3261" s="44" t="s">
        <v>265</v>
      </c>
      <c r="B3261" s="8" t="s">
        <v>266</v>
      </c>
      <c r="C3261" s="8" t="s">
        <v>481</v>
      </c>
      <c r="D3261" s="159">
        <f t="shared" si="254"/>
        <v>3383</v>
      </c>
      <c r="E3261" s="159">
        <f t="shared" si="255"/>
        <v>3383</v>
      </c>
      <c r="F3261" s="159">
        <f t="shared" si="256"/>
        <v>2350</v>
      </c>
      <c r="G3261" s="159">
        <f t="shared" si="257"/>
        <v>2350</v>
      </c>
      <c r="H3261" s="159">
        <f t="shared" si="258"/>
        <v>144</v>
      </c>
      <c r="I3261" s="160">
        <f t="shared" si="259"/>
        <v>0</v>
      </c>
      <c r="J3261" s="159">
        <f t="shared" si="260"/>
        <v>2350</v>
      </c>
      <c r="K3261" s="159">
        <f t="shared" si="261"/>
        <v>144</v>
      </c>
      <c r="L3261" s="94">
        <f t="shared" si="263"/>
        <v>16.319444444444443</v>
      </c>
      <c r="P3261" s="3"/>
      <c r="Q3261" s="3"/>
      <c r="R3261" s="3"/>
      <c r="S3261" s="3"/>
      <c r="T3261" s="3"/>
    </row>
    <row r="3262" spans="1:27" x14ac:dyDescent="0.4">
      <c r="A3262" s="510" t="s">
        <v>55</v>
      </c>
      <c r="B3262" s="339" t="s">
        <v>170</v>
      </c>
      <c r="C3262" s="511" t="s">
        <v>170</v>
      </c>
      <c r="D3262" s="512">
        <f>SUM(D3241:D3261)</f>
        <v>69118613</v>
      </c>
      <c r="E3262" s="512">
        <f>SUM(E3241:E3261)</f>
        <v>69118613</v>
      </c>
      <c r="F3262" s="512">
        <f>SUM(F3241:F3261)</f>
        <v>68878612</v>
      </c>
      <c r="G3262" s="512">
        <f>SUM(G3241:G3261)</f>
        <v>68878612</v>
      </c>
      <c r="H3262" s="512">
        <f>SUM(H3241:H3261)</f>
        <v>8814219.0180000011</v>
      </c>
      <c r="I3262" s="339" t="s">
        <v>170</v>
      </c>
      <c r="J3262" s="339" t="s">
        <v>170</v>
      </c>
      <c r="K3262" s="339" t="s">
        <v>170</v>
      </c>
      <c r="L3262" s="339" t="s">
        <v>170</v>
      </c>
      <c r="AA3262" s="26"/>
    </row>
    <row r="3263" spans="1:27" x14ac:dyDescent="0.4">
      <c r="A3263" s="3" t="s">
        <v>11</v>
      </c>
      <c r="AA3263" s="26"/>
    </row>
    <row r="3264" spans="1:27" x14ac:dyDescent="0.4">
      <c r="P3264" s="3"/>
      <c r="Q3264" s="3"/>
      <c r="R3264" s="3"/>
      <c r="S3264" s="3"/>
      <c r="T3264" s="3"/>
    </row>
    <row r="3265" spans="1:25" x14ac:dyDescent="0.4">
      <c r="P3265" s="3"/>
      <c r="Q3265" s="3"/>
      <c r="R3265" s="3"/>
      <c r="S3265" s="3"/>
      <c r="T3265" s="3"/>
    </row>
    <row r="3266" spans="1:25" x14ac:dyDescent="0.4">
      <c r="A3266" s="406" t="s">
        <v>36</v>
      </c>
      <c r="P3266" s="3"/>
      <c r="Q3266" s="3"/>
      <c r="R3266" s="3"/>
      <c r="S3266" s="3"/>
      <c r="T3266" s="3"/>
    </row>
    <row r="3267" spans="1:25" ht="80" x14ac:dyDescent="0.4">
      <c r="A3267" s="266" t="s">
        <v>3680</v>
      </c>
      <c r="B3267" s="267" t="s">
        <v>316</v>
      </c>
      <c r="C3267" s="267" t="s">
        <v>317</v>
      </c>
      <c r="D3267" s="266" t="s">
        <v>319</v>
      </c>
      <c r="E3267" s="266" t="s">
        <v>320</v>
      </c>
      <c r="F3267" s="266" t="s">
        <v>321</v>
      </c>
      <c r="G3267" s="266" t="s">
        <v>322</v>
      </c>
      <c r="H3267" s="266" t="s">
        <v>323</v>
      </c>
      <c r="I3267" s="248" t="s">
        <v>4562</v>
      </c>
      <c r="J3267" s="266" t="s">
        <v>3681</v>
      </c>
      <c r="K3267" s="266" t="s">
        <v>3682</v>
      </c>
      <c r="L3267" s="266" t="s">
        <v>3683</v>
      </c>
    </row>
    <row r="3268" spans="1:25" x14ac:dyDescent="0.4">
      <c r="A3268" s="513" t="s">
        <v>221</v>
      </c>
      <c r="B3268" s="505" t="s">
        <v>222</v>
      </c>
      <c r="C3268" s="505" t="s">
        <v>479</v>
      </c>
      <c r="D3268" s="507">
        <f t="shared" ref="D3268:D3288" si="264">SUMIFS(Q$8:Q$3073,$K$8:$K$3073, "&lt;4",$G$8:$G$3073,$A$3266,$N$8:$N$3073,$B3268)</f>
        <v>0</v>
      </c>
      <c r="E3268" s="507">
        <f t="shared" ref="E3268:E3288" si="265">SUMIFS(R$8:R$3073,$K$8:$K$3073, "&lt;4",$G$8:$G$3073,$A$3266,$N$8:$N$3073,$B3268)</f>
        <v>0</v>
      </c>
      <c r="F3268" s="507">
        <f t="shared" ref="F3268:F3288" si="266">SUMIFS(S$8:S$3073,$K$8:$K$3073, "&lt;4",$G$8:$G$3073,$A$3266,$N$8:$N$3073,$B3268)</f>
        <v>0</v>
      </c>
      <c r="G3268" s="507">
        <f t="shared" ref="G3268:G3288" si="267">SUMIFS(T$8:T$3073,$K$8:$K$3073, "&lt;4",$G$8:$G$3073,$A$3266,$N$8:$N$3073,$B3268)</f>
        <v>0</v>
      </c>
      <c r="H3268" s="507">
        <f t="shared" ref="H3268:H3288" si="268">SUMIFS(U$8:U$3073,$K$8:$K$3073, "&lt;4",$G$8:$G$3073,$A$3266,$N$8:$N$3073,$B3268)</f>
        <v>0</v>
      </c>
      <c r="I3268" s="508">
        <f t="shared" ref="I3268:I3288" si="269">SUMIFS(T$8:T$3073,$K$8:$K$3073, "&lt;4",$G$8:$G$3073,$A$3266,$N$8:$N$3073,$B3268, $W$8:$W$3073, "=x")</f>
        <v>0</v>
      </c>
      <c r="J3268" s="507">
        <f t="shared" ref="J3268:J3288" si="270">SUMIFS(T$8:T$3073,U$8:U$3073, "&gt;0",$K$8:$K$3073, "&lt;4",$G$8:$G$3073,$A$3266,$N$8:$N$3073,$B3268)</f>
        <v>0</v>
      </c>
      <c r="K3268" s="507">
        <f t="shared" ref="K3268:K3288" si="271">SUMIFS(U$8:U$3073,U$8:U$3073, "&gt;0",$K$8:$K$3073, "&lt;4",$G$8:$G$3073,$A$3266,$N$8:$N$3073,$B3268)</f>
        <v>0</v>
      </c>
      <c r="L3268" s="509" t="e">
        <f t="shared" ref="L3268:L3280" si="272">J3268/K3268</f>
        <v>#DIV/0!</v>
      </c>
      <c r="N3268" s="87"/>
      <c r="O3268" s="87"/>
      <c r="P3268" s="88"/>
      <c r="Q3268" s="88"/>
      <c r="R3268" s="88"/>
      <c r="S3268" s="88"/>
      <c r="T3268" s="88"/>
      <c r="W3268" s="26"/>
      <c r="X3268" s="26"/>
      <c r="Y3268" s="88"/>
    </row>
    <row r="3269" spans="1:25" x14ac:dyDescent="0.4">
      <c r="A3269" s="44" t="s">
        <v>223</v>
      </c>
      <c r="B3269" s="8" t="s">
        <v>224</v>
      </c>
      <c r="C3269" s="8" t="s">
        <v>479</v>
      </c>
      <c r="D3269" s="159">
        <f t="shared" si="264"/>
        <v>0</v>
      </c>
      <c r="E3269" s="159">
        <f t="shared" si="265"/>
        <v>0</v>
      </c>
      <c r="F3269" s="159">
        <f t="shared" si="266"/>
        <v>0</v>
      </c>
      <c r="G3269" s="159">
        <f t="shared" si="267"/>
        <v>0</v>
      </c>
      <c r="H3269" s="159">
        <f t="shared" si="268"/>
        <v>0</v>
      </c>
      <c r="I3269" s="160">
        <f t="shared" si="269"/>
        <v>0</v>
      </c>
      <c r="J3269" s="159">
        <f t="shared" si="270"/>
        <v>0</v>
      </c>
      <c r="K3269" s="159">
        <f t="shared" si="271"/>
        <v>0</v>
      </c>
      <c r="L3269" s="94" t="e">
        <f t="shared" si="272"/>
        <v>#DIV/0!</v>
      </c>
      <c r="P3269" s="3"/>
      <c r="Q3269" s="3"/>
      <c r="R3269" s="3"/>
      <c r="S3269" s="3"/>
      <c r="T3269" s="3"/>
    </row>
    <row r="3270" spans="1:25" x14ac:dyDescent="0.4">
      <c r="A3270" s="44" t="s">
        <v>225</v>
      </c>
      <c r="B3270" s="8" t="s">
        <v>226</v>
      </c>
      <c r="C3270" s="8" t="s">
        <v>226</v>
      </c>
      <c r="D3270" s="159">
        <f t="shared" si="264"/>
        <v>8925</v>
      </c>
      <c r="E3270" s="159">
        <f t="shared" si="265"/>
        <v>8925</v>
      </c>
      <c r="F3270" s="159">
        <f t="shared" si="266"/>
        <v>52171</v>
      </c>
      <c r="G3270" s="159">
        <f t="shared" si="267"/>
        <v>52171</v>
      </c>
      <c r="H3270" s="159">
        <f t="shared" si="268"/>
        <v>2181</v>
      </c>
      <c r="I3270" s="160">
        <f t="shared" si="269"/>
        <v>6630</v>
      </c>
      <c r="J3270" s="159">
        <f t="shared" si="270"/>
        <v>52171</v>
      </c>
      <c r="K3270" s="159">
        <f t="shared" si="271"/>
        <v>2181</v>
      </c>
      <c r="L3270" s="94">
        <f t="shared" si="272"/>
        <v>23.92067858780376</v>
      </c>
      <c r="P3270" s="3"/>
      <c r="Q3270" s="3"/>
      <c r="R3270" s="3"/>
      <c r="S3270" s="3"/>
      <c r="T3270" s="3"/>
    </row>
    <row r="3271" spans="1:25" x14ac:dyDescent="0.4">
      <c r="A3271" s="44" t="s">
        <v>270</v>
      </c>
      <c r="B3271" s="8" t="s">
        <v>228</v>
      </c>
      <c r="C3271" s="8" t="s">
        <v>228</v>
      </c>
      <c r="D3271" s="159">
        <f t="shared" si="264"/>
        <v>7535</v>
      </c>
      <c r="E3271" s="159">
        <f t="shared" si="265"/>
        <v>7535</v>
      </c>
      <c r="F3271" s="159">
        <f t="shared" si="266"/>
        <v>7859</v>
      </c>
      <c r="G3271" s="159">
        <f t="shared" si="267"/>
        <v>7859</v>
      </c>
      <c r="H3271" s="159">
        <f t="shared" si="268"/>
        <v>510.24400000000003</v>
      </c>
      <c r="I3271" s="160">
        <f t="shared" si="269"/>
        <v>0</v>
      </c>
      <c r="J3271" s="159">
        <f t="shared" si="270"/>
        <v>7859</v>
      </c>
      <c r="K3271" s="159">
        <f t="shared" si="271"/>
        <v>510.24400000000003</v>
      </c>
      <c r="L3271" s="94">
        <f t="shared" si="272"/>
        <v>15.402434913492367</v>
      </c>
      <c r="P3271" s="3"/>
      <c r="Q3271" s="3"/>
      <c r="R3271" s="3"/>
      <c r="S3271" s="3"/>
      <c r="T3271" s="3"/>
    </row>
    <row r="3272" spans="1:25" x14ac:dyDescent="0.4">
      <c r="A3272" s="44" t="s">
        <v>229</v>
      </c>
      <c r="B3272" s="8" t="s">
        <v>230</v>
      </c>
      <c r="C3272" s="8" t="s">
        <v>232</v>
      </c>
      <c r="D3272" s="159">
        <f t="shared" si="264"/>
        <v>0</v>
      </c>
      <c r="E3272" s="159">
        <f t="shared" si="265"/>
        <v>0</v>
      </c>
      <c r="F3272" s="159">
        <f t="shared" si="266"/>
        <v>0</v>
      </c>
      <c r="G3272" s="159">
        <f t="shared" si="267"/>
        <v>0</v>
      </c>
      <c r="H3272" s="159">
        <f t="shared" si="268"/>
        <v>0</v>
      </c>
      <c r="I3272" s="160">
        <f t="shared" si="269"/>
        <v>0</v>
      </c>
      <c r="J3272" s="159">
        <f t="shared" si="270"/>
        <v>0</v>
      </c>
      <c r="K3272" s="159">
        <f t="shared" si="271"/>
        <v>0</v>
      </c>
      <c r="L3272" s="94" t="e">
        <f t="shared" si="272"/>
        <v>#DIV/0!</v>
      </c>
      <c r="P3272" s="3"/>
      <c r="Q3272" s="3"/>
      <c r="R3272" s="3"/>
      <c r="S3272" s="3"/>
      <c r="T3272" s="3"/>
    </row>
    <row r="3273" spans="1:25" x14ac:dyDescent="0.4">
      <c r="A3273" s="44" t="s">
        <v>231</v>
      </c>
      <c r="B3273" s="8" t="s">
        <v>232</v>
      </c>
      <c r="C3273" s="8" t="s">
        <v>232</v>
      </c>
      <c r="D3273" s="159">
        <f t="shared" si="264"/>
        <v>0</v>
      </c>
      <c r="E3273" s="159">
        <f t="shared" si="265"/>
        <v>0</v>
      </c>
      <c r="F3273" s="159">
        <f t="shared" si="266"/>
        <v>0</v>
      </c>
      <c r="G3273" s="159">
        <f t="shared" si="267"/>
        <v>0</v>
      </c>
      <c r="H3273" s="159">
        <f t="shared" si="268"/>
        <v>0</v>
      </c>
      <c r="I3273" s="160">
        <f t="shared" si="269"/>
        <v>0</v>
      </c>
      <c r="J3273" s="159">
        <f t="shared" si="270"/>
        <v>0</v>
      </c>
      <c r="K3273" s="159">
        <f t="shared" si="271"/>
        <v>0</v>
      </c>
      <c r="L3273" s="94" t="e">
        <f t="shared" si="272"/>
        <v>#DIV/0!</v>
      </c>
      <c r="P3273" s="3"/>
      <c r="Q3273" s="3"/>
      <c r="R3273" s="3"/>
      <c r="S3273" s="3"/>
      <c r="T3273" s="3"/>
    </row>
    <row r="3274" spans="1:25" x14ac:dyDescent="0.4">
      <c r="A3274" s="44" t="s">
        <v>233</v>
      </c>
      <c r="B3274" s="8" t="s">
        <v>234</v>
      </c>
      <c r="C3274" s="8" t="s">
        <v>232</v>
      </c>
      <c r="D3274" s="159">
        <f t="shared" si="264"/>
        <v>0</v>
      </c>
      <c r="E3274" s="159">
        <f t="shared" si="265"/>
        <v>0</v>
      </c>
      <c r="F3274" s="159">
        <f t="shared" si="266"/>
        <v>0</v>
      </c>
      <c r="G3274" s="159">
        <f t="shared" si="267"/>
        <v>0</v>
      </c>
      <c r="H3274" s="159">
        <f t="shared" si="268"/>
        <v>0</v>
      </c>
      <c r="I3274" s="160">
        <f t="shared" si="269"/>
        <v>0</v>
      </c>
      <c r="J3274" s="159">
        <f t="shared" si="270"/>
        <v>0</v>
      </c>
      <c r="K3274" s="159">
        <f t="shared" si="271"/>
        <v>0</v>
      </c>
      <c r="L3274" s="94" t="e">
        <f t="shared" si="272"/>
        <v>#DIV/0!</v>
      </c>
      <c r="P3274" s="3"/>
      <c r="Q3274" s="3"/>
      <c r="R3274" s="3"/>
      <c r="S3274" s="3"/>
      <c r="T3274" s="3"/>
    </row>
    <row r="3275" spans="1:25" x14ac:dyDescent="0.4">
      <c r="A3275" s="44" t="s">
        <v>235</v>
      </c>
      <c r="B3275" s="8" t="s">
        <v>236</v>
      </c>
      <c r="C3275" s="8" t="s">
        <v>236</v>
      </c>
      <c r="D3275" s="159">
        <f t="shared" si="264"/>
        <v>0</v>
      </c>
      <c r="E3275" s="159">
        <f t="shared" si="265"/>
        <v>0</v>
      </c>
      <c r="F3275" s="159">
        <f t="shared" si="266"/>
        <v>0</v>
      </c>
      <c r="G3275" s="159">
        <f t="shared" si="267"/>
        <v>0</v>
      </c>
      <c r="H3275" s="159">
        <f t="shared" si="268"/>
        <v>0</v>
      </c>
      <c r="I3275" s="160">
        <f t="shared" si="269"/>
        <v>0</v>
      </c>
      <c r="J3275" s="159">
        <f t="shared" si="270"/>
        <v>0</v>
      </c>
      <c r="K3275" s="159">
        <f t="shared" si="271"/>
        <v>0</v>
      </c>
      <c r="L3275" s="94" t="e">
        <f t="shared" si="272"/>
        <v>#DIV/0!</v>
      </c>
      <c r="P3275" s="3"/>
      <c r="Q3275" s="3"/>
      <c r="R3275" s="3"/>
      <c r="S3275" s="3"/>
      <c r="T3275" s="3"/>
    </row>
    <row r="3276" spans="1:25" x14ac:dyDescent="0.4">
      <c r="A3276" s="44" t="s">
        <v>237</v>
      </c>
      <c r="B3276" s="8" t="s">
        <v>238</v>
      </c>
      <c r="C3276" s="8" t="s">
        <v>238</v>
      </c>
      <c r="D3276" s="159">
        <f t="shared" si="264"/>
        <v>0</v>
      </c>
      <c r="E3276" s="159">
        <f t="shared" si="265"/>
        <v>0</v>
      </c>
      <c r="F3276" s="159">
        <f t="shared" si="266"/>
        <v>0</v>
      </c>
      <c r="G3276" s="159">
        <f t="shared" si="267"/>
        <v>0</v>
      </c>
      <c r="H3276" s="159">
        <f t="shared" si="268"/>
        <v>0</v>
      </c>
      <c r="I3276" s="160">
        <f t="shared" si="269"/>
        <v>0</v>
      </c>
      <c r="J3276" s="159">
        <f t="shared" si="270"/>
        <v>0</v>
      </c>
      <c r="K3276" s="159">
        <f t="shared" si="271"/>
        <v>0</v>
      </c>
      <c r="L3276" s="94" t="e">
        <f t="shared" si="272"/>
        <v>#DIV/0!</v>
      </c>
      <c r="P3276" s="3"/>
      <c r="Q3276" s="3"/>
      <c r="R3276" s="3"/>
      <c r="S3276" s="3"/>
      <c r="T3276" s="3"/>
    </row>
    <row r="3277" spans="1:25" x14ac:dyDescent="0.4">
      <c r="A3277" s="44" t="s">
        <v>239</v>
      </c>
      <c r="B3277" s="8" t="s">
        <v>240</v>
      </c>
      <c r="C3277" s="8" t="s">
        <v>349</v>
      </c>
      <c r="D3277" s="159">
        <f t="shared" si="264"/>
        <v>0</v>
      </c>
      <c r="E3277" s="159">
        <f t="shared" si="265"/>
        <v>0</v>
      </c>
      <c r="F3277" s="159">
        <f t="shared" si="266"/>
        <v>0</v>
      </c>
      <c r="G3277" s="159">
        <f t="shared" si="267"/>
        <v>0</v>
      </c>
      <c r="H3277" s="159">
        <f t="shared" si="268"/>
        <v>0</v>
      </c>
      <c r="I3277" s="160">
        <f t="shared" si="269"/>
        <v>0</v>
      </c>
      <c r="J3277" s="159">
        <f t="shared" si="270"/>
        <v>0</v>
      </c>
      <c r="K3277" s="159">
        <f t="shared" si="271"/>
        <v>0</v>
      </c>
      <c r="L3277" s="94" t="e">
        <f t="shared" si="272"/>
        <v>#DIV/0!</v>
      </c>
      <c r="P3277" s="3"/>
      <c r="Q3277" s="3"/>
      <c r="R3277" s="3"/>
      <c r="S3277" s="3"/>
      <c r="T3277" s="3"/>
    </row>
    <row r="3278" spans="1:25" x14ac:dyDescent="0.4">
      <c r="A3278" s="44" t="s">
        <v>241</v>
      </c>
      <c r="B3278" s="8" t="s">
        <v>242</v>
      </c>
      <c r="C3278" s="8" t="s">
        <v>349</v>
      </c>
      <c r="D3278" s="159">
        <f t="shared" si="264"/>
        <v>2617</v>
      </c>
      <c r="E3278" s="159">
        <f t="shared" si="265"/>
        <v>2617</v>
      </c>
      <c r="F3278" s="159">
        <f t="shared" si="266"/>
        <v>15178</v>
      </c>
      <c r="G3278" s="159">
        <f t="shared" si="267"/>
        <v>15178</v>
      </c>
      <c r="H3278" s="159">
        <f t="shared" si="268"/>
        <v>903</v>
      </c>
      <c r="I3278" s="160">
        <f t="shared" si="269"/>
        <v>15178</v>
      </c>
      <c r="J3278" s="159">
        <f t="shared" si="270"/>
        <v>15178</v>
      </c>
      <c r="K3278" s="159">
        <f t="shared" si="271"/>
        <v>903</v>
      </c>
      <c r="L3278" s="94">
        <f t="shared" si="272"/>
        <v>16.80841638981174</v>
      </c>
      <c r="P3278" s="3"/>
      <c r="Q3278" s="3"/>
      <c r="R3278" s="3"/>
      <c r="S3278" s="3"/>
      <c r="T3278" s="3"/>
    </row>
    <row r="3279" spans="1:25" x14ac:dyDescent="0.4">
      <c r="A3279" s="44" t="s">
        <v>243</v>
      </c>
      <c r="B3279" s="8" t="s">
        <v>244</v>
      </c>
      <c r="C3279" s="8" t="s">
        <v>349</v>
      </c>
      <c r="D3279" s="159">
        <f t="shared" si="264"/>
        <v>0</v>
      </c>
      <c r="E3279" s="159">
        <f t="shared" si="265"/>
        <v>0</v>
      </c>
      <c r="F3279" s="159">
        <f t="shared" si="266"/>
        <v>0</v>
      </c>
      <c r="G3279" s="159">
        <f t="shared" si="267"/>
        <v>0</v>
      </c>
      <c r="H3279" s="159">
        <f t="shared" si="268"/>
        <v>0</v>
      </c>
      <c r="I3279" s="160">
        <f t="shared" si="269"/>
        <v>0</v>
      </c>
      <c r="J3279" s="159">
        <f t="shared" si="270"/>
        <v>0</v>
      </c>
      <c r="K3279" s="159">
        <f t="shared" si="271"/>
        <v>0</v>
      </c>
      <c r="L3279" s="94" t="e">
        <f t="shared" si="272"/>
        <v>#DIV/0!</v>
      </c>
      <c r="P3279" s="3"/>
      <c r="Q3279" s="3"/>
      <c r="R3279" s="3"/>
      <c r="S3279" s="3"/>
      <c r="T3279" s="3"/>
    </row>
    <row r="3280" spans="1:25" x14ac:dyDescent="0.4">
      <c r="A3280" s="44" t="s">
        <v>245</v>
      </c>
      <c r="B3280" s="8" t="s">
        <v>246</v>
      </c>
      <c r="C3280" s="8" t="s">
        <v>1004</v>
      </c>
      <c r="D3280" s="159">
        <f t="shared" si="264"/>
        <v>0</v>
      </c>
      <c r="E3280" s="159">
        <f t="shared" si="265"/>
        <v>0</v>
      </c>
      <c r="F3280" s="159">
        <f t="shared" si="266"/>
        <v>0</v>
      </c>
      <c r="G3280" s="159">
        <f t="shared" si="267"/>
        <v>0</v>
      </c>
      <c r="H3280" s="159">
        <f t="shared" si="268"/>
        <v>0</v>
      </c>
      <c r="I3280" s="160">
        <f t="shared" si="269"/>
        <v>0</v>
      </c>
      <c r="J3280" s="159">
        <f t="shared" si="270"/>
        <v>0</v>
      </c>
      <c r="K3280" s="159">
        <f t="shared" si="271"/>
        <v>0</v>
      </c>
      <c r="L3280" s="94" t="e">
        <f t="shared" si="272"/>
        <v>#DIV/0!</v>
      </c>
      <c r="P3280" s="3"/>
      <c r="Q3280" s="3"/>
      <c r="R3280" s="3"/>
      <c r="S3280" s="3"/>
      <c r="T3280" s="3"/>
    </row>
    <row r="3281" spans="1:27" x14ac:dyDescent="0.4">
      <c r="A3281" s="44" t="s">
        <v>251</v>
      </c>
      <c r="B3281" s="8" t="s">
        <v>252</v>
      </c>
      <c r="C3281" s="8" t="s">
        <v>688</v>
      </c>
      <c r="D3281" s="159">
        <f t="shared" si="264"/>
        <v>1258681</v>
      </c>
      <c r="E3281" s="159">
        <f t="shared" si="265"/>
        <v>1258681</v>
      </c>
      <c r="F3281" s="159">
        <f t="shared" si="266"/>
        <v>576475</v>
      </c>
      <c r="G3281" s="159">
        <f t="shared" si="267"/>
        <v>576475</v>
      </c>
      <c r="H3281" s="159">
        <f t="shared" si="268"/>
        <v>49484</v>
      </c>
      <c r="I3281" s="160">
        <f t="shared" si="269"/>
        <v>0</v>
      </c>
      <c r="J3281" s="159">
        <f t="shared" si="270"/>
        <v>576475</v>
      </c>
      <c r="K3281" s="159">
        <f t="shared" si="271"/>
        <v>49484</v>
      </c>
      <c r="L3281" s="94">
        <f t="shared" ref="L3281:L3288" si="273">J3281/K3281</f>
        <v>11.649725163689274</v>
      </c>
      <c r="P3281" s="3"/>
      <c r="Q3281" s="3"/>
      <c r="R3281" s="3"/>
      <c r="S3281" s="3"/>
      <c r="T3281" s="3"/>
    </row>
    <row r="3282" spans="1:27" x14ac:dyDescent="0.4">
      <c r="A3282" s="44" t="s">
        <v>253</v>
      </c>
      <c r="B3282" s="8" t="s">
        <v>254</v>
      </c>
      <c r="C3282" s="8" t="s">
        <v>688</v>
      </c>
      <c r="D3282" s="159">
        <f t="shared" si="264"/>
        <v>0</v>
      </c>
      <c r="E3282" s="159">
        <f t="shared" si="265"/>
        <v>0</v>
      </c>
      <c r="F3282" s="159">
        <f t="shared" si="266"/>
        <v>0</v>
      </c>
      <c r="G3282" s="159">
        <f t="shared" si="267"/>
        <v>0</v>
      </c>
      <c r="H3282" s="159">
        <f t="shared" si="268"/>
        <v>0</v>
      </c>
      <c r="I3282" s="160">
        <f t="shared" si="269"/>
        <v>0</v>
      </c>
      <c r="J3282" s="159">
        <f t="shared" si="270"/>
        <v>0</v>
      </c>
      <c r="K3282" s="159">
        <f t="shared" si="271"/>
        <v>0</v>
      </c>
      <c r="L3282" s="94" t="e">
        <f t="shared" si="273"/>
        <v>#DIV/0!</v>
      </c>
      <c r="P3282" s="3"/>
      <c r="Q3282" s="3"/>
      <c r="R3282" s="3"/>
      <c r="S3282" s="3"/>
      <c r="T3282" s="3"/>
    </row>
    <row r="3283" spans="1:27" x14ac:dyDescent="0.4">
      <c r="A3283" s="44" t="s">
        <v>255</v>
      </c>
      <c r="B3283" s="8" t="s">
        <v>256</v>
      </c>
      <c r="C3283" s="8" t="s">
        <v>387</v>
      </c>
      <c r="D3283" s="159">
        <f t="shared" si="264"/>
        <v>0</v>
      </c>
      <c r="E3283" s="159">
        <f t="shared" si="265"/>
        <v>0</v>
      </c>
      <c r="F3283" s="159">
        <f t="shared" si="266"/>
        <v>0</v>
      </c>
      <c r="G3283" s="159">
        <f t="shared" si="267"/>
        <v>0</v>
      </c>
      <c r="H3283" s="159">
        <f t="shared" si="268"/>
        <v>0</v>
      </c>
      <c r="I3283" s="160">
        <f t="shared" si="269"/>
        <v>0</v>
      </c>
      <c r="J3283" s="159">
        <f t="shared" si="270"/>
        <v>0</v>
      </c>
      <c r="K3283" s="159">
        <f t="shared" si="271"/>
        <v>0</v>
      </c>
      <c r="L3283" s="94" t="e">
        <f t="shared" si="273"/>
        <v>#DIV/0!</v>
      </c>
      <c r="P3283" s="3"/>
      <c r="Q3283" s="3"/>
      <c r="R3283" s="3"/>
      <c r="S3283" s="3"/>
      <c r="T3283" s="3"/>
    </row>
    <row r="3284" spans="1:27" x14ac:dyDescent="0.4">
      <c r="A3284" s="44" t="s">
        <v>257</v>
      </c>
      <c r="B3284" s="8" t="s">
        <v>258</v>
      </c>
      <c r="C3284" s="8" t="s">
        <v>387</v>
      </c>
      <c r="D3284" s="159">
        <f t="shared" si="264"/>
        <v>559856</v>
      </c>
      <c r="E3284" s="159">
        <f t="shared" si="265"/>
        <v>559856</v>
      </c>
      <c r="F3284" s="159">
        <f t="shared" si="266"/>
        <v>5323172</v>
      </c>
      <c r="G3284" s="159">
        <f t="shared" si="267"/>
        <v>5323172</v>
      </c>
      <c r="H3284" s="159">
        <f t="shared" si="268"/>
        <v>346441.76</v>
      </c>
      <c r="I3284" s="160">
        <f t="shared" si="269"/>
        <v>0</v>
      </c>
      <c r="J3284" s="159">
        <f t="shared" si="270"/>
        <v>5323172</v>
      </c>
      <c r="K3284" s="159">
        <f t="shared" si="271"/>
        <v>346441.76</v>
      </c>
      <c r="L3284" s="94">
        <f t="shared" si="273"/>
        <v>15.365272362084756</v>
      </c>
      <c r="P3284" s="3"/>
      <c r="Q3284" s="3"/>
      <c r="R3284" s="3"/>
      <c r="S3284" s="3"/>
      <c r="T3284" s="3"/>
    </row>
    <row r="3285" spans="1:27" x14ac:dyDescent="0.4">
      <c r="A3285" s="44" t="s">
        <v>259</v>
      </c>
      <c r="B3285" s="8" t="s">
        <v>260</v>
      </c>
      <c r="C3285" s="8" t="s">
        <v>481</v>
      </c>
      <c r="D3285" s="159">
        <f t="shared" si="264"/>
        <v>0</v>
      </c>
      <c r="E3285" s="159">
        <f t="shared" si="265"/>
        <v>0</v>
      </c>
      <c r="F3285" s="159">
        <f t="shared" si="266"/>
        <v>0</v>
      </c>
      <c r="G3285" s="159">
        <f t="shared" si="267"/>
        <v>0</v>
      </c>
      <c r="H3285" s="159">
        <f t="shared" si="268"/>
        <v>0</v>
      </c>
      <c r="I3285" s="160">
        <f t="shared" si="269"/>
        <v>0</v>
      </c>
      <c r="J3285" s="159">
        <f t="shared" si="270"/>
        <v>0</v>
      </c>
      <c r="K3285" s="159">
        <f t="shared" si="271"/>
        <v>0</v>
      </c>
      <c r="L3285" s="94" t="e">
        <f t="shared" si="273"/>
        <v>#DIV/0!</v>
      </c>
      <c r="P3285" s="3"/>
      <c r="Q3285" s="3"/>
      <c r="R3285" s="3"/>
      <c r="S3285" s="3"/>
      <c r="T3285" s="3"/>
    </row>
    <row r="3286" spans="1:27" x14ac:dyDescent="0.4">
      <c r="A3286" s="44" t="s">
        <v>261</v>
      </c>
      <c r="B3286" s="8" t="s">
        <v>262</v>
      </c>
      <c r="C3286" s="8" t="s">
        <v>481</v>
      </c>
      <c r="D3286" s="159">
        <f t="shared" si="264"/>
        <v>0</v>
      </c>
      <c r="E3286" s="159">
        <f t="shared" si="265"/>
        <v>0</v>
      </c>
      <c r="F3286" s="159">
        <f t="shared" si="266"/>
        <v>0</v>
      </c>
      <c r="G3286" s="159">
        <f t="shared" si="267"/>
        <v>0</v>
      </c>
      <c r="H3286" s="159">
        <f t="shared" si="268"/>
        <v>0</v>
      </c>
      <c r="I3286" s="160">
        <f t="shared" si="269"/>
        <v>0</v>
      </c>
      <c r="J3286" s="159">
        <f t="shared" si="270"/>
        <v>0</v>
      </c>
      <c r="K3286" s="159">
        <f t="shared" si="271"/>
        <v>0</v>
      </c>
      <c r="L3286" s="94" t="e">
        <f t="shared" si="273"/>
        <v>#DIV/0!</v>
      </c>
      <c r="P3286" s="3"/>
      <c r="Q3286" s="3"/>
      <c r="R3286" s="3"/>
      <c r="S3286" s="3"/>
      <c r="T3286" s="3"/>
    </row>
    <row r="3287" spans="1:27" x14ac:dyDescent="0.4">
      <c r="A3287" s="44" t="s">
        <v>263</v>
      </c>
      <c r="B3287" s="8" t="s">
        <v>264</v>
      </c>
      <c r="C3287" s="8" t="s">
        <v>481</v>
      </c>
      <c r="D3287" s="159">
        <f t="shared" si="264"/>
        <v>0</v>
      </c>
      <c r="E3287" s="159">
        <f t="shared" si="265"/>
        <v>0</v>
      </c>
      <c r="F3287" s="159">
        <f t="shared" si="266"/>
        <v>0</v>
      </c>
      <c r="G3287" s="159">
        <f t="shared" si="267"/>
        <v>0</v>
      </c>
      <c r="H3287" s="159">
        <f t="shared" si="268"/>
        <v>0</v>
      </c>
      <c r="I3287" s="160">
        <f t="shared" si="269"/>
        <v>0</v>
      </c>
      <c r="J3287" s="159">
        <f t="shared" si="270"/>
        <v>0</v>
      </c>
      <c r="K3287" s="159">
        <f t="shared" si="271"/>
        <v>0</v>
      </c>
      <c r="L3287" s="94" t="e">
        <f t="shared" si="273"/>
        <v>#DIV/0!</v>
      </c>
      <c r="P3287" s="3"/>
      <c r="Q3287" s="3"/>
      <c r="R3287" s="3"/>
      <c r="S3287" s="3"/>
      <c r="T3287" s="3"/>
    </row>
    <row r="3288" spans="1:27" x14ac:dyDescent="0.4">
      <c r="A3288" s="44" t="s">
        <v>265</v>
      </c>
      <c r="B3288" s="8" t="s">
        <v>266</v>
      </c>
      <c r="C3288" s="8" t="s">
        <v>481</v>
      </c>
      <c r="D3288" s="159">
        <f t="shared" si="264"/>
        <v>0</v>
      </c>
      <c r="E3288" s="159">
        <f t="shared" si="265"/>
        <v>0</v>
      </c>
      <c r="F3288" s="159">
        <f t="shared" si="266"/>
        <v>0</v>
      </c>
      <c r="G3288" s="159">
        <f t="shared" si="267"/>
        <v>0</v>
      </c>
      <c r="H3288" s="159">
        <f t="shared" si="268"/>
        <v>0</v>
      </c>
      <c r="I3288" s="160">
        <f t="shared" si="269"/>
        <v>0</v>
      </c>
      <c r="J3288" s="159">
        <f t="shared" si="270"/>
        <v>0</v>
      </c>
      <c r="K3288" s="159">
        <f t="shared" si="271"/>
        <v>0</v>
      </c>
      <c r="L3288" s="94" t="e">
        <f t="shared" si="273"/>
        <v>#DIV/0!</v>
      </c>
      <c r="P3288" s="3"/>
      <c r="Q3288" s="3"/>
      <c r="R3288" s="3"/>
      <c r="S3288" s="3"/>
      <c r="T3288" s="3"/>
    </row>
    <row r="3289" spans="1:27" x14ac:dyDescent="0.4">
      <c r="A3289" s="510" t="s">
        <v>55</v>
      </c>
      <c r="B3289" s="339" t="s">
        <v>170</v>
      </c>
      <c r="C3289" s="511" t="s">
        <v>170</v>
      </c>
      <c r="D3289" s="512">
        <f>SUM(D3268:D3288)</f>
        <v>1837614</v>
      </c>
      <c r="E3289" s="512">
        <f>SUM(E3268:E3288)</f>
        <v>1837614</v>
      </c>
      <c r="F3289" s="512">
        <f>SUM(F3268:F3288)</f>
        <v>5974855</v>
      </c>
      <c r="G3289" s="512">
        <f>SUM(G3268:G3288)</f>
        <v>5974855</v>
      </c>
      <c r="H3289" s="512">
        <f>SUM(H3268:H3288)</f>
        <v>399520.00400000002</v>
      </c>
      <c r="I3289" s="339" t="s">
        <v>170</v>
      </c>
      <c r="J3289" s="339" t="s">
        <v>170</v>
      </c>
      <c r="K3289" s="339" t="s">
        <v>170</v>
      </c>
      <c r="L3289" s="339" t="s">
        <v>170</v>
      </c>
      <c r="AA3289" s="26"/>
    </row>
    <row r="3290" spans="1:27" x14ac:dyDescent="0.4">
      <c r="A3290" s="3" t="s">
        <v>11</v>
      </c>
      <c r="AA3290" s="26"/>
    </row>
    <row r="3292" spans="1:27" x14ac:dyDescent="0.4">
      <c r="A3292" s="155" t="s">
        <v>150</v>
      </c>
      <c r="P3292" s="3"/>
      <c r="Q3292" s="3"/>
      <c r="R3292" s="3"/>
      <c r="S3292" s="3"/>
      <c r="T3292" s="3"/>
      <c r="Z3292" s="3"/>
    </row>
  </sheetData>
  <phoneticPr fontId="0" type="noConversion"/>
  <hyperlinks>
    <hyperlink ref="A5" r:id="rId1" display="https://www.eia.gov/electricity/data/eia923/" xr:uid="{AABC91E4-37DD-4653-B95A-8E3AE0337B92}"/>
  </hyperlinks>
  <pageMargins left="0" right="0" top="0.75" bottom="0.75" header="0.5" footer="0.25"/>
  <pageSetup scale="22" fitToHeight="0" orientation="landscape" r:id="rId2"/>
  <headerFooter alignWithMargins="0">
    <oddFooter>&amp;R&amp;A Page &amp;P of &amp;N</oddFooter>
  </headerFooter>
  <tableParts count="11">
    <tablePart r:id="rId3"/>
    <tablePart r:id="rId4"/>
    <tablePart r:id="rId5"/>
    <tablePart r:id="rId6"/>
    <tablePart r:id="rId7"/>
    <tablePart r:id="rId8"/>
    <tablePart r:id="rId9"/>
    <tablePart r:id="rId10"/>
    <tablePart r:id="rId11"/>
    <tablePart r:id="rId12"/>
    <tablePart r:id="rId1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7" tint="0.79998168889431442"/>
    <pageSetUpPr fitToPage="1"/>
  </sheetPr>
  <dimension ref="A1:N384"/>
  <sheetViews>
    <sheetView zoomScaleNormal="100" workbookViewId="0"/>
  </sheetViews>
  <sheetFormatPr defaultColWidth="8.81640625" defaultRowHeight="16" x14ac:dyDescent="0.4"/>
  <cols>
    <col min="1" max="1" width="8.453125" style="3" customWidth="1"/>
    <col min="2" max="2" width="36.81640625" style="3" customWidth="1"/>
    <col min="3" max="3" width="20.453125" style="3" customWidth="1"/>
    <col min="4" max="4" width="12.81640625" style="44" customWidth="1"/>
    <col min="5" max="5" width="9.26953125" style="3" customWidth="1"/>
    <col min="6" max="6" width="18.26953125" style="31" customWidth="1"/>
    <col min="7" max="7" width="20.81640625" style="31" customWidth="1"/>
    <col min="8" max="8" width="33.54296875" style="3" customWidth="1"/>
    <col min="9" max="9" width="18.81640625" style="3" customWidth="1"/>
    <col min="10" max="10" width="42.7265625" style="20" customWidth="1"/>
    <col min="11" max="11" width="15.453125" style="3" customWidth="1"/>
    <col min="12" max="12" width="8.54296875" style="3" customWidth="1"/>
    <col min="13" max="13" width="11.54296875" style="3" customWidth="1"/>
    <col min="14" max="16384" width="8.81640625" style="3"/>
  </cols>
  <sheetData>
    <row r="1" spans="1:10" ht="21" x14ac:dyDescent="0.5">
      <c r="A1" s="49" t="s">
        <v>4576</v>
      </c>
    </row>
    <row r="2" spans="1:10" x14ac:dyDescent="0.4">
      <c r="A2" s="108" t="s">
        <v>3687</v>
      </c>
    </row>
    <row r="3" spans="1:10" x14ac:dyDescent="0.4">
      <c r="A3" s="60" t="s">
        <v>3688</v>
      </c>
    </row>
    <row r="4" spans="1:10" x14ac:dyDescent="0.4">
      <c r="A4" s="60"/>
    </row>
    <row r="5" spans="1:10" x14ac:dyDescent="0.4">
      <c r="A5" s="6" t="s">
        <v>3689</v>
      </c>
    </row>
    <row r="6" spans="1:10" x14ac:dyDescent="0.4">
      <c r="A6" s="3" t="s">
        <v>32</v>
      </c>
      <c r="B6" s="3" t="s">
        <v>3690</v>
      </c>
      <c r="C6" s="3" t="s">
        <v>3691</v>
      </c>
      <c r="D6" s="44" t="s">
        <v>3692</v>
      </c>
      <c r="E6" s="3" t="s">
        <v>3693</v>
      </c>
      <c r="F6" s="3" t="s">
        <v>3694</v>
      </c>
      <c r="G6" s="3" t="s">
        <v>3695</v>
      </c>
      <c r="H6" s="3" t="s">
        <v>3696</v>
      </c>
      <c r="I6" s="3" t="s">
        <v>3697</v>
      </c>
      <c r="J6" s="3" t="s">
        <v>3698</v>
      </c>
    </row>
    <row r="7" spans="1:10" x14ac:dyDescent="0.4">
      <c r="A7" s="3" t="s">
        <v>37</v>
      </c>
      <c r="B7" s="3" t="s">
        <v>3699</v>
      </c>
      <c r="C7" s="3">
        <v>544</v>
      </c>
      <c r="D7" s="44">
        <v>11</v>
      </c>
      <c r="E7" s="3">
        <v>2024</v>
      </c>
      <c r="F7" s="127">
        <v>667.2</v>
      </c>
      <c r="G7" s="86">
        <v>8236</v>
      </c>
      <c r="H7" s="3" t="s">
        <v>3700</v>
      </c>
      <c r="I7" s="30">
        <f t="shared" ref="I7:I24" si="0">F7</f>
        <v>667.2</v>
      </c>
      <c r="J7" s="3"/>
    </row>
    <row r="8" spans="1:10" x14ac:dyDescent="0.4">
      <c r="A8" s="3" t="s">
        <v>37</v>
      </c>
      <c r="B8" s="3" t="s">
        <v>3699</v>
      </c>
      <c r="C8" s="3">
        <v>544</v>
      </c>
      <c r="D8" s="44">
        <v>12</v>
      </c>
      <c r="E8" s="3">
        <v>2024</v>
      </c>
      <c r="F8" s="127">
        <v>455.5</v>
      </c>
      <c r="G8" s="86">
        <v>5624</v>
      </c>
      <c r="H8" s="3" t="s">
        <v>3700</v>
      </c>
      <c r="I8" s="30">
        <f t="shared" si="0"/>
        <v>455.5</v>
      </c>
      <c r="J8" s="3"/>
    </row>
    <row r="9" spans="1:10" x14ac:dyDescent="0.4">
      <c r="A9" s="3" t="s">
        <v>37</v>
      </c>
      <c r="B9" s="3" t="s">
        <v>3699</v>
      </c>
      <c r="C9" s="3">
        <v>544</v>
      </c>
      <c r="D9" s="44">
        <v>13</v>
      </c>
      <c r="E9" s="3">
        <v>2024</v>
      </c>
      <c r="F9" s="127">
        <v>419.2</v>
      </c>
      <c r="G9" s="86">
        <v>5176</v>
      </c>
      <c r="H9" s="3" t="s">
        <v>3700</v>
      </c>
      <c r="I9" s="30">
        <f t="shared" si="0"/>
        <v>419.2</v>
      </c>
      <c r="J9" s="3"/>
    </row>
    <row r="10" spans="1:10" x14ac:dyDescent="0.4">
      <c r="A10" s="3" t="s">
        <v>37</v>
      </c>
      <c r="B10" s="3" t="s">
        <v>3699</v>
      </c>
      <c r="C10" s="3">
        <v>544</v>
      </c>
      <c r="D10" s="44">
        <v>14</v>
      </c>
      <c r="E10" s="3">
        <v>2024</v>
      </c>
      <c r="F10" s="127">
        <v>550.4</v>
      </c>
      <c r="G10" s="86">
        <v>6796</v>
      </c>
      <c r="H10" s="3" t="s">
        <v>3700</v>
      </c>
      <c r="I10" s="30">
        <f t="shared" si="0"/>
        <v>550.4</v>
      </c>
      <c r="J10" s="3"/>
    </row>
    <row r="11" spans="1:10" x14ac:dyDescent="0.4">
      <c r="A11" s="3" t="s">
        <v>37</v>
      </c>
      <c r="B11" s="3" t="s">
        <v>3699</v>
      </c>
      <c r="C11" s="3">
        <v>544</v>
      </c>
      <c r="D11" s="44">
        <v>15</v>
      </c>
      <c r="E11" s="3">
        <v>2024</v>
      </c>
      <c r="F11" s="127">
        <v>961.50699999999995</v>
      </c>
      <c r="G11" s="86">
        <v>12035.267</v>
      </c>
      <c r="H11" s="3" t="s">
        <v>3700</v>
      </c>
      <c r="I11" s="30">
        <f t="shared" si="0"/>
        <v>961.50699999999995</v>
      </c>
      <c r="J11" s="3"/>
    </row>
    <row r="12" spans="1:10" x14ac:dyDescent="0.4">
      <c r="A12" s="3" t="s">
        <v>37</v>
      </c>
      <c r="B12" s="3" t="s">
        <v>3699</v>
      </c>
      <c r="C12" s="3">
        <v>544</v>
      </c>
      <c r="D12" s="44">
        <v>16</v>
      </c>
      <c r="E12" s="3">
        <v>2024</v>
      </c>
      <c r="F12" s="127">
        <v>675.75</v>
      </c>
      <c r="G12" s="86">
        <v>8541.5779999999995</v>
      </c>
      <c r="H12" s="3" t="s">
        <v>3700</v>
      </c>
      <c r="I12" s="30">
        <f t="shared" si="0"/>
        <v>675.75</v>
      </c>
      <c r="J12" s="3"/>
    </row>
    <row r="13" spans="1:10" x14ac:dyDescent="0.4">
      <c r="A13" s="3" t="s">
        <v>37</v>
      </c>
      <c r="B13" s="3" t="s">
        <v>3699</v>
      </c>
      <c r="C13" s="3">
        <v>544</v>
      </c>
      <c r="D13" s="44">
        <v>17</v>
      </c>
      <c r="E13" s="3">
        <v>2024</v>
      </c>
      <c r="F13" s="127">
        <v>663.32299999999998</v>
      </c>
      <c r="G13" s="86">
        <v>8378.5859999999993</v>
      </c>
      <c r="H13" s="3" t="s">
        <v>3700</v>
      </c>
      <c r="I13" s="30">
        <f t="shared" si="0"/>
        <v>663.32299999999998</v>
      </c>
      <c r="J13" s="3"/>
    </row>
    <row r="14" spans="1:10" x14ac:dyDescent="0.4">
      <c r="A14" s="3" t="s">
        <v>37</v>
      </c>
      <c r="B14" s="3" t="s">
        <v>3699</v>
      </c>
      <c r="C14" s="3">
        <v>544</v>
      </c>
      <c r="D14" s="44">
        <v>18</v>
      </c>
      <c r="E14" s="3">
        <v>2024</v>
      </c>
      <c r="F14" s="127">
        <v>741.09799999999996</v>
      </c>
      <c r="G14" s="86">
        <v>9700.0210000000006</v>
      </c>
      <c r="H14" s="3" t="s">
        <v>3700</v>
      </c>
      <c r="I14" s="30">
        <f t="shared" si="0"/>
        <v>741.09799999999996</v>
      </c>
      <c r="J14" s="3"/>
    </row>
    <row r="15" spans="1:10" x14ac:dyDescent="0.4">
      <c r="A15" s="3" t="s">
        <v>37</v>
      </c>
      <c r="B15" s="3" t="s">
        <v>3701</v>
      </c>
      <c r="C15" s="3">
        <v>546</v>
      </c>
      <c r="D15" s="44">
        <v>5</v>
      </c>
      <c r="E15" s="3">
        <v>2024</v>
      </c>
      <c r="F15" s="127">
        <v>15672.848</v>
      </c>
      <c r="G15" s="86">
        <v>244225.253</v>
      </c>
      <c r="H15" s="3" t="s">
        <v>3702</v>
      </c>
      <c r="I15" s="30">
        <f t="shared" si="0"/>
        <v>15672.848</v>
      </c>
      <c r="J15" s="3"/>
    </row>
    <row r="16" spans="1:10" x14ac:dyDescent="0.4">
      <c r="A16" s="3" t="s">
        <v>37</v>
      </c>
      <c r="B16" s="3" t="s">
        <v>3701</v>
      </c>
      <c r="C16" s="3">
        <v>546</v>
      </c>
      <c r="D16" s="44">
        <v>6</v>
      </c>
      <c r="E16" s="3">
        <v>2024</v>
      </c>
      <c r="F16" s="127">
        <v>7492.7460000000001</v>
      </c>
      <c r="G16" s="86">
        <v>92341.15</v>
      </c>
      <c r="H16" s="3" t="s">
        <v>3702</v>
      </c>
      <c r="I16" s="30">
        <f t="shared" si="0"/>
        <v>7492.7460000000001</v>
      </c>
      <c r="J16" s="3"/>
    </row>
    <row r="17" spans="1:10" x14ac:dyDescent="0.4">
      <c r="A17" s="3" t="s">
        <v>37</v>
      </c>
      <c r="B17" s="3" t="s">
        <v>372</v>
      </c>
      <c r="C17" s="3">
        <v>562</v>
      </c>
      <c r="D17" s="44">
        <v>12</v>
      </c>
      <c r="E17" s="3">
        <v>2024</v>
      </c>
      <c r="F17" s="127">
        <v>1055.9780000000001</v>
      </c>
      <c r="G17" s="86">
        <v>13972.218000000001</v>
      </c>
      <c r="H17" s="3" t="s">
        <v>3700</v>
      </c>
      <c r="I17" s="30">
        <f t="shared" si="0"/>
        <v>1055.9780000000001</v>
      </c>
      <c r="J17" s="3"/>
    </row>
    <row r="18" spans="1:10" x14ac:dyDescent="0.4">
      <c r="A18" s="3" t="s">
        <v>37</v>
      </c>
      <c r="B18" s="3" t="s">
        <v>372</v>
      </c>
      <c r="C18" s="3">
        <v>562</v>
      </c>
      <c r="D18" s="44">
        <v>13</v>
      </c>
      <c r="E18" s="3">
        <v>2024</v>
      </c>
      <c r="F18" s="127">
        <v>1402.2239999999999</v>
      </c>
      <c r="G18" s="86">
        <v>18788.773000000001</v>
      </c>
      <c r="H18" s="3" t="s">
        <v>3700</v>
      </c>
      <c r="I18" s="30">
        <f t="shared" si="0"/>
        <v>1402.2239999999999</v>
      </c>
      <c r="J18" s="3"/>
    </row>
    <row r="19" spans="1:10" x14ac:dyDescent="0.4">
      <c r="A19" s="3" t="s">
        <v>37</v>
      </c>
      <c r="B19" s="3" t="s">
        <v>372</v>
      </c>
      <c r="C19" s="3">
        <v>562</v>
      </c>
      <c r="D19" s="44">
        <v>14</v>
      </c>
      <c r="E19" s="3">
        <v>2024</v>
      </c>
      <c r="F19" s="127">
        <v>946.58199999999999</v>
      </c>
      <c r="G19" s="86">
        <v>12507.960999999999</v>
      </c>
      <c r="H19" s="3" t="s">
        <v>3700</v>
      </c>
      <c r="I19" s="30">
        <f t="shared" si="0"/>
        <v>946.58199999999999</v>
      </c>
      <c r="J19" s="3"/>
    </row>
    <row r="20" spans="1:10" x14ac:dyDescent="0.4">
      <c r="A20" s="3" t="s">
        <v>37</v>
      </c>
      <c r="B20" s="3" t="s">
        <v>372</v>
      </c>
      <c r="C20" s="3">
        <v>562</v>
      </c>
      <c r="D20" s="44">
        <v>15</v>
      </c>
      <c r="E20" s="3">
        <v>2024</v>
      </c>
      <c r="F20" s="127">
        <v>871.59900000000005</v>
      </c>
      <c r="G20" s="86">
        <v>11573.406999999999</v>
      </c>
      <c r="H20" s="3" t="s">
        <v>3700</v>
      </c>
      <c r="I20" s="30">
        <f t="shared" si="0"/>
        <v>871.59900000000005</v>
      </c>
      <c r="J20" s="3"/>
    </row>
    <row r="21" spans="1:10" x14ac:dyDescent="0.4">
      <c r="A21" s="3" t="s">
        <v>37</v>
      </c>
      <c r="B21" s="3" t="s">
        <v>372</v>
      </c>
      <c r="C21" s="3">
        <v>562</v>
      </c>
      <c r="D21" s="44">
        <v>2</v>
      </c>
      <c r="E21" s="3">
        <v>2024</v>
      </c>
      <c r="F21" s="127">
        <v>19929.536</v>
      </c>
      <c r="G21" s="86">
        <v>305404.43199999997</v>
      </c>
      <c r="H21" s="3" t="s">
        <v>3703</v>
      </c>
      <c r="I21" s="30">
        <f t="shared" si="0"/>
        <v>19929.536</v>
      </c>
      <c r="J21" s="3"/>
    </row>
    <row r="22" spans="1:10" x14ac:dyDescent="0.4">
      <c r="A22" s="3" t="s">
        <v>37</v>
      </c>
      <c r="B22" s="3" t="s">
        <v>372</v>
      </c>
      <c r="C22" s="3">
        <v>562</v>
      </c>
      <c r="D22" s="44">
        <v>3</v>
      </c>
      <c r="E22" s="3">
        <v>2024</v>
      </c>
      <c r="F22" s="127"/>
      <c r="G22" s="86"/>
      <c r="H22" s="3" t="s">
        <v>3704</v>
      </c>
      <c r="I22" s="30">
        <f t="shared" si="0"/>
        <v>0</v>
      </c>
      <c r="J22" s="3"/>
    </row>
    <row r="23" spans="1:10" x14ac:dyDescent="0.4">
      <c r="A23" s="3" t="s">
        <v>37</v>
      </c>
      <c r="B23" s="3" t="s">
        <v>372</v>
      </c>
      <c r="C23" s="3">
        <v>562</v>
      </c>
      <c r="D23" s="44">
        <v>4</v>
      </c>
      <c r="E23" s="3">
        <v>2024</v>
      </c>
      <c r="F23" s="127">
        <v>20870.435000000001</v>
      </c>
      <c r="G23" s="86">
        <v>257205.77600000001</v>
      </c>
      <c r="H23" s="3" t="s">
        <v>3702</v>
      </c>
      <c r="I23" s="30">
        <f t="shared" si="0"/>
        <v>20870.435000000001</v>
      </c>
      <c r="J23" s="3"/>
    </row>
    <row r="24" spans="1:10" x14ac:dyDescent="0.4">
      <c r="A24" s="3" t="s">
        <v>37</v>
      </c>
      <c r="B24" s="3" t="s">
        <v>3705</v>
      </c>
      <c r="C24" s="3">
        <v>568</v>
      </c>
      <c r="D24" s="44" t="s">
        <v>3706</v>
      </c>
      <c r="E24" s="3">
        <v>2024</v>
      </c>
      <c r="F24" s="127">
        <v>1360016.2830000001</v>
      </c>
      <c r="G24" s="86">
        <v>22880834.412</v>
      </c>
      <c r="H24" s="3" t="s">
        <v>3707</v>
      </c>
      <c r="I24" s="30">
        <f t="shared" si="0"/>
        <v>1360016.2830000001</v>
      </c>
      <c r="J24" s="3" t="s">
        <v>3708</v>
      </c>
    </row>
    <row r="25" spans="1:10" x14ac:dyDescent="0.4">
      <c r="A25" s="3" t="s">
        <v>37</v>
      </c>
      <c r="B25" s="3" t="s">
        <v>665</v>
      </c>
      <c r="C25" s="3">
        <v>6156</v>
      </c>
      <c r="D25" s="44" t="s">
        <v>3709</v>
      </c>
      <c r="E25" s="3">
        <v>2024</v>
      </c>
      <c r="F25" s="127">
        <v>24025.882000000001</v>
      </c>
      <c r="G25" s="86">
        <v>390172.23300000001</v>
      </c>
      <c r="H25" s="3" t="s">
        <v>3702</v>
      </c>
      <c r="I25" s="30">
        <f>F25</f>
        <v>24025.882000000001</v>
      </c>
      <c r="J25" s="3"/>
    </row>
    <row r="26" spans="1:10" x14ac:dyDescent="0.4">
      <c r="A26" s="3" t="s">
        <v>37</v>
      </c>
      <c r="B26" s="3" t="s">
        <v>665</v>
      </c>
      <c r="C26" s="3">
        <v>6156</v>
      </c>
      <c r="D26" s="44" t="s">
        <v>3710</v>
      </c>
      <c r="E26" s="3">
        <v>2024</v>
      </c>
      <c r="F26" s="127">
        <v>1419.3</v>
      </c>
      <c r="G26" s="86">
        <v>18112.503000000001</v>
      </c>
      <c r="H26" s="3" t="s">
        <v>3700</v>
      </c>
      <c r="I26" s="30">
        <f>F26</f>
        <v>1419.3</v>
      </c>
      <c r="J26" s="3"/>
    </row>
    <row r="27" spans="1:10" x14ac:dyDescent="0.4">
      <c r="A27" s="3" t="s">
        <v>37</v>
      </c>
      <c r="B27" s="3" t="s">
        <v>665</v>
      </c>
      <c r="C27" s="3">
        <v>6156</v>
      </c>
      <c r="D27" s="44" t="s">
        <v>3711</v>
      </c>
      <c r="E27" s="3">
        <v>2024</v>
      </c>
      <c r="F27" s="127">
        <v>1847.777</v>
      </c>
      <c r="G27" s="86">
        <v>23407.236000000001</v>
      </c>
      <c r="H27" s="3" t="s">
        <v>3700</v>
      </c>
      <c r="I27" s="30">
        <f>F27</f>
        <v>1847.777</v>
      </c>
      <c r="J27" s="3"/>
    </row>
    <row r="28" spans="1:10" x14ac:dyDescent="0.4">
      <c r="A28" s="3" t="s">
        <v>37</v>
      </c>
      <c r="B28" s="3" t="s">
        <v>665</v>
      </c>
      <c r="C28" s="3">
        <v>6156</v>
      </c>
      <c r="D28" s="44" t="s">
        <v>3712</v>
      </c>
      <c r="E28" s="3">
        <v>2024</v>
      </c>
      <c r="F28" s="127">
        <v>995.81700000000001</v>
      </c>
      <c r="G28" s="86">
        <v>12873.73</v>
      </c>
      <c r="H28" s="3" t="s">
        <v>3700</v>
      </c>
      <c r="I28" s="30">
        <f>F28</f>
        <v>995.81700000000001</v>
      </c>
      <c r="J28" s="3"/>
    </row>
    <row r="29" spans="1:10" x14ac:dyDescent="0.4">
      <c r="A29" s="3" t="s">
        <v>37</v>
      </c>
      <c r="B29" s="3" t="s">
        <v>3713</v>
      </c>
      <c r="C29" s="3">
        <v>6635</v>
      </c>
      <c r="D29" s="44" t="s">
        <v>3714</v>
      </c>
      <c r="E29" s="3">
        <v>2024</v>
      </c>
      <c r="F29" s="127">
        <v>6365.2349999999997</v>
      </c>
      <c r="G29" s="86">
        <v>106501.177</v>
      </c>
      <c r="H29" s="3" t="s">
        <v>3700</v>
      </c>
      <c r="I29" s="30">
        <f>F29</f>
        <v>6365.2349999999997</v>
      </c>
      <c r="J29" s="3"/>
    </row>
    <row r="30" spans="1:10" x14ac:dyDescent="0.4">
      <c r="A30" s="3" t="s">
        <v>37</v>
      </c>
      <c r="B30" s="3" t="s">
        <v>3715</v>
      </c>
      <c r="C30" s="3">
        <v>10567</v>
      </c>
      <c r="D30" s="44" t="s">
        <v>3716</v>
      </c>
      <c r="E30" s="3">
        <v>2024</v>
      </c>
      <c r="F30" s="86">
        <v>8512.8639999999996</v>
      </c>
      <c r="G30" s="86">
        <v>143055.96400000001</v>
      </c>
      <c r="H30" s="3" t="s">
        <v>3707</v>
      </c>
      <c r="I30" s="30" t="s">
        <v>170</v>
      </c>
      <c r="J30" s="3" t="s">
        <v>3717</v>
      </c>
    </row>
    <row r="31" spans="1:10" x14ac:dyDescent="0.4">
      <c r="A31" s="3" t="s">
        <v>37</v>
      </c>
      <c r="B31" s="3" t="s">
        <v>3718</v>
      </c>
      <c r="C31" s="3">
        <v>54605</v>
      </c>
      <c r="D31" s="135" t="s">
        <v>3719</v>
      </c>
      <c r="E31" s="3">
        <v>2024</v>
      </c>
      <c r="F31" s="86">
        <v>88955.142999999996</v>
      </c>
      <c r="G31" s="86">
        <v>1496847.777</v>
      </c>
      <c r="H31" s="3" t="s">
        <v>3700</v>
      </c>
      <c r="I31" s="30" t="s">
        <v>170</v>
      </c>
      <c r="J31" s="3" t="s">
        <v>3720</v>
      </c>
    </row>
    <row r="32" spans="1:10" x14ac:dyDescent="0.4">
      <c r="A32" s="3" t="s">
        <v>37</v>
      </c>
      <c r="B32" s="3" t="s">
        <v>3721</v>
      </c>
      <c r="C32" s="3">
        <v>55042</v>
      </c>
      <c r="D32" s="44" t="s">
        <v>3722</v>
      </c>
      <c r="E32" s="3">
        <v>2024</v>
      </c>
      <c r="F32" s="127">
        <v>520861.67700000003</v>
      </c>
      <c r="G32" s="86">
        <v>8764552.0480000004</v>
      </c>
      <c r="H32" s="3" t="s">
        <v>3707</v>
      </c>
      <c r="I32" s="30">
        <f t="shared" ref="I32:I60" si="1">F32</f>
        <v>520861.67700000003</v>
      </c>
      <c r="J32" s="3"/>
    </row>
    <row r="33" spans="1:9" x14ac:dyDescent="0.4">
      <c r="A33" s="3" t="s">
        <v>37</v>
      </c>
      <c r="B33" s="3" t="s">
        <v>3721</v>
      </c>
      <c r="C33" s="3">
        <v>55042</v>
      </c>
      <c r="D33" s="44" t="s">
        <v>3723</v>
      </c>
      <c r="E33" s="3">
        <v>2024</v>
      </c>
      <c r="F33" s="127">
        <v>608472.005</v>
      </c>
      <c r="G33" s="86">
        <v>10238724.176000001</v>
      </c>
      <c r="H33" s="3" t="s">
        <v>3707</v>
      </c>
      <c r="I33" s="30">
        <f t="shared" si="1"/>
        <v>608472.005</v>
      </c>
    </row>
    <row r="34" spans="1:9" x14ac:dyDescent="0.4">
      <c r="A34" s="3" t="s">
        <v>37</v>
      </c>
      <c r="B34" s="3" t="s">
        <v>3724</v>
      </c>
      <c r="C34" s="3">
        <v>55126</v>
      </c>
      <c r="D34" s="44" t="s">
        <v>3725</v>
      </c>
      <c r="E34" s="3">
        <v>2024</v>
      </c>
      <c r="F34" s="127">
        <v>846264.77599999995</v>
      </c>
      <c r="G34" s="86">
        <v>14240015.616</v>
      </c>
      <c r="H34" s="3" t="s">
        <v>3707</v>
      </c>
      <c r="I34" s="30">
        <f t="shared" si="1"/>
        <v>846264.77599999995</v>
      </c>
    </row>
    <row r="35" spans="1:9" x14ac:dyDescent="0.4">
      <c r="A35" s="3" t="s">
        <v>37</v>
      </c>
      <c r="B35" s="3" t="s">
        <v>3724</v>
      </c>
      <c r="C35" s="3">
        <v>55126</v>
      </c>
      <c r="D35" s="44" t="s">
        <v>3726</v>
      </c>
      <c r="E35" s="3">
        <v>2024</v>
      </c>
      <c r="F35" s="127">
        <v>832282.34499999997</v>
      </c>
      <c r="G35" s="86">
        <v>14004782.552999999</v>
      </c>
      <c r="H35" s="3" t="s">
        <v>3707</v>
      </c>
      <c r="I35" s="30">
        <f t="shared" si="1"/>
        <v>832282.34499999997</v>
      </c>
    </row>
    <row r="36" spans="1:9" x14ac:dyDescent="0.4">
      <c r="A36" s="3" t="s">
        <v>37</v>
      </c>
      <c r="B36" s="3" t="s">
        <v>3727</v>
      </c>
      <c r="C36" s="3">
        <v>55149</v>
      </c>
      <c r="D36" s="44" t="s">
        <v>3728</v>
      </c>
      <c r="E36" s="3">
        <v>2024</v>
      </c>
      <c r="F36" s="127">
        <v>780960.06700000004</v>
      </c>
      <c r="G36" s="86">
        <v>13141100.309</v>
      </c>
      <c r="H36" s="3" t="s">
        <v>3707</v>
      </c>
      <c r="I36" s="30">
        <f t="shared" si="1"/>
        <v>780960.06700000004</v>
      </c>
    </row>
    <row r="37" spans="1:9" x14ac:dyDescent="0.4">
      <c r="A37" s="3" t="s">
        <v>37</v>
      </c>
      <c r="B37" s="3" t="s">
        <v>3727</v>
      </c>
      <c r="C37" s="3">
        <v>55149</v>
      </c>
      <c r="D37" s="44" t="s">
        <v>3729</v>
      </c>
      <c r="E37" s="3">
        <v>2024</v>
      </c>
      <c r="F37" s="127">
        <v>850445.02599999995</v>
      </c>
      <c r="G37" s="86">
        <v>14310233.446</v>
      </c>
      <c r="H37" s="3" t="s">
        <v>3707</v>
      </c>
      <c r="I37" s="30">
        <f t="shared" si="1"/>
        <v>850445.02599999995</v>
      </c>
    </row>
    <row r="38" spans="1:9" x14ac:dyDescent="0.4">
      <c r="A38" s="3" t="s">
        <v>37</v>
      </c>
      <c r="B38" s="3" t="s">
        <v>3727</v>
      </c>
      <c r="C38" s="3">
        <v>55149</v>
      </c>
      <c r="D38" s="44" t="s">
        <v>3730</v>
      </c>
      <c r="E38" s="3">
        <v>2024</v>
      </c>
      <c r="F38" s="127">
        <v>797103.88100000005</v>
      </c>
      <c r="G38" s="86">
        <v>13412783.515000001</v>
      </c>
      <c r="H38" s="3" t="s">
        <v>3707</v>
      </c>
      <c r="I38" s="30">
        <f t="shared" si="1"/>
        <v>797103.88100000005</v>
      </c>
    </row>
    <row r="39" spans="1:9" x14ac:dyDescent="0.4">
      <c r="A39" s="3" t="s">
        <v>37</v>
      </c>
      <c r="B39" s="3" t="s">
        <v>3731</v>
      </c>
      <c r="C39" s="3">
        <v>55517</v>
      </c>
      <c r="D39" s="44" t="s">
        <v>3725</v>
      </c>
      <c r="E39" s="3">
        <v>2024</v>
      </c>
      <c r="F39" s="127">
        <v>7642.6379999999999</v>
      </c>
      <c r="G39" s="86">
        <v>128590.467</v>
      </c>
      <c r="H39" s="3" t="s">
        <v>3700</v>
      </c>
      <c r="I39" s="30">
        <f t="shared" si="1"/>
        <v>7642.6379999999999</v>
      </c>
    </row>
    <row r="40" spans="1:9" x14ac:dyDescent="0.4">
      <c r="A40" s="3" t="s">
        <v>37</v>
      </c>
      <c r="B40" s="3" t="s">
        <v>3731</v>
      </c>
      <c r="C40" s="3">
        <v>55517</v>
      </c>
      <c r="D40" s="44" t="s">
        <v>3726</v>
      </c>
      <c r="E40" s="3">
        <v>2024</v>
      </c>
      <c r="F40" s="127">
        <v>5732.357</v>
      </c>
      <c r="G40" s="86">
        <v>96451.259000000005</v>
      </c>
      <c r="H40" s="3" t="s">
        <v>3700</v>
      </c>
      <c r="I40" s="30">
        <f t="shared" si="1"/>
        <v>5732.357</v>
      </c>
    </row>
    <row r="41" spans="1:9" x14ac:dyDescent="0.4">
      <c r="A41" s="3" t="s">
        <v>37</v>
      </c>
      <c r="B41" s="3" t="s">
        <v>3731</v>
      </c>
      <c r="C41" s="3">
        <v>55517</v>
      </c>
      <c r="D41" s="44" t="s">
        <v>3732</v>
      </c>
      <c r="E41" s="3">
        <v>2024</v>
      </c>
      <c r="F41" s="127">
        <v>8144.0820000000003</v>
      </c>
      <c r="G41" s="86">
        <v>137042.75</v>
      </c>
      <c r="H41" s="3" t="s">
        <v>3700</v>
      </c>
      <c r="I41" s="30">
        <f t="shared" si="1"/>
        <v>8144.0820000000003</v>
      </c>
    </row>
    <row r="42" spans="1:9" x14ac:dyDescent="0.4">
      <c r="A42" s="3" t="s">
        <v>37</v>
      </c>
      <c r="B42" s="3" t="s">
        <v>3731</v>
      </c>
      <c r="C42" s="3">
        <v>55517</v>
      </c>
      <c r="D42" s="44" t="s">
        <v>3733</v>
      </c>
      <c r="E42" s="3">
        <v>2024</v>
      </c>
      <c r="F42" s="127">
        <v>7711.6170000000002</v>
      </c>
      <c r="G42" s="86">
        <v>129751.762</v>
      </c>
      <c r="H42" s="3" t="s">
        <v>3700</v>
      </c>
      <c r="I42" s="30">
        <f t="shared" si="1"/>
        <v>7711.6170000000002</v>
      </c>
    </row>
    <row r="43" spans="1:9" x14ac:dyDescent="0.4">
      <c r="A43" s="3" t="s">
        <v>37</v>
      </c>
      <c r="B43" s="3" t="s">
        <v>3731</v>
      </c>
      <c r="C43" s="3">
        <v>55517</v>
      </c>
      <c r="D43" s="44" t="s">
        <v>3734</v>
      </c>
      <c r="E43" s="3">
        <v>2024</v>
      </c>
      <c r="F43" s="127">
        <v>8154.6149999999998</v>
      </c>
      <c r="G43" s="86">
        <v>137219.851</v>
      </c>
      <c r="H43" s="3" t="s">
        <v>3700</v>
      </c>
      <c r="I43" s="30">
        <f t="shared" si="1"/>
        <v>8154.6149999999998</v>
      </c>
    </row>
    <row r="44" spans="1:9" x14ac:dyDescent="0.4">
      <c r="A44" s="3" t="s">
        <v>37</v>
      </c>
      <c r="B44" s="3" t="s">
        <v>3731</v>
      </c>
      <c r="C44" s="3">
        <v>55517</v>
      </c>
      <c r="D44" s="44" t="s">
        <v>3735</v>
      </c>
      <c r="E44" s="3">
        <v>2024</v>
      </c>
      <c r="F44" s="127">
        <v>8541.3559999999998</v>
      </c>
      <c r="G44" s="86">
        <v>143701.75899999999</v>
      </c>
      <c r="H44" s="3" t="s">
        <v>3700</v>
      </c>
      <c r="I44" s="30">
        <f t="shared" si="1"/>
        <v>8541.3559999999998</v>
      </c>
    </row>
    <row r="45" spans="1:9" x14ac:dyDescent="0.4">
      <c r="A45" s="3" t="s">
        <v>37</v>
      </c>
      <c r="B45" s="3" t="s">
        <v>3731</v>
      </c>
      <c r="C45" s="3">
        <v>55517</v>
      </c>
      <c r="D45" s="44" t="s">
        <v>3736</v>
      </c>
      <c r="E45" s="3">
        <v>2024</v>
      </c>
      <c r="F45" s="127">
        <v>7628.0060000000003</v>
      </c>
      <c r="G45" s="86">
        <v>128359.895</v>
      </c>
      <c r="H45" s="3" t="s">
        <v>3700</v>
      </c>
      <c r="I45" s="30">
        <f t="shared" si="1"/>
        <v>7628.0060000000003</v>
      </c>
    </row>
    <row r="46" spans="1:9" x14ac:dyDescent="0.4">
      <c r="A46" s="3" t="s">
        <v>37</v>
      </c>
      <c r="B46" s="3" t="s">
        <v>1148</v>
      </c>
      <c r="C46" s="3">
        <v>56047</v>
      </c>
      <c r="D46" s="44">
        <v>1</v>
      </c>
      <c r="E46" s="3">
        <v>2024</v>
      </c>
      <c r="F46" s="127">
        <v>1084072.341</v>
      </c>
      <c r="G46" s="86">
        <v>18782360.756000001</v>
      </c>
      <c r="H46" s="3" t="s">
        <v>3707</v>
      </c>
      <c r="I46" s="30">
        <f t="shared" si="1"/>
        <v>1084072.341</v>
      </c>
    </row>
    <row r="47" spans="1:9" x14ac:dyDescent="0.4">
      <c r="A47" s="3" t="s">
        <v>37</v>
      </c>
      <c r="B47" s="3" t="s">
        <v>1148</v>
      </c>
      <c r="C47" s="3">
        <v>56047</v>
      </c>
      <c r="D47" s="44">
        <v>2</v>
      </c>
      <c r="E47" s="3">
        <v>2024</v>
      </c>
      <c r="F47" s="127">
        <v>1064326.1740000001</v>
      </c>
      <c r="G47" s="86">
        <v>18439980.945999999</v>
      </c>
      <c r="H47" s="3" t="s">
        <v>3707</v>
      </c>
      <c r="I47" s="30">
        <f t="shared" si="1"/>
        <v>1064326.1740000001</v>
      </c>
    </row>
    <row r="48" spans="1:9" x14ac:dyDescent="0.4">
      <c r="A48" s="3" t="s">
        <v>37</v>
      </c>
      <c r="B48" s="3" t="s">
        <v>1179</v>
      </c>
      <c r="C48" s="3">
        <v>56629</v>
      </c>
      <c r="D48" s="44">
        <v>10</v>
      </c>
      <c r="E48" s="3">
        <v>2024</v>
      </c>
      <c r="F48" s="127">
        <v>25898.712</v>
      </c>
      <c r="G48" s="86">
        <v>432669.05</v>
      </c>
      <c r="H48" s="3" t="s">
        <v>3700</v>
      </c>
      <c r="I48" s="30">
        <f t="shared" si="1"/>
        <v>25898.712</v>
      </c>
    </row>
    <row r="49" spans="1:10" x14ac:dyDescent="0.4">
      <c r="A49" s="3" t="s">
        <v>37</v>
      </c>
      <c r="B49" s="3" t="s">
        <v>1187</v>
      </c>
      <c r="C49" s="3">
        <v>56798</v>
      </c>
      <c r="D49" s="44" t="s">
        <v>3737</v>
      </c>
      <c r="E49" s="3">
        <v>2024</v>
      </c>
      <c r="F49" s="127">
        <v>587792.65500000003</v>
      </c>
      <c r="G49" s="86">
        <v>10150542.333000001</v>
      </c>
      <c r="H49" s="3" t="s">
        <v>3707</v>
      </c>
      <c r="I49" s="30">
        <f t="shared" si="1"/>
        <v>587792.65500000003</v>
      </c>
      <c r="J49" s="3"/>
    </row>
    <row r="50" spans="1:10" x14ac:dyDescent="0.4">
      <c r="A50" s="3" t="s">
        <v>37</v>
      </c>
      <c r="B50" s="3" t="s">
        <v>1187</v>
      </c>
      <c r="C50" s="3">
        <v>56798</v>
      </c>
      <c r="D50" s="44" t="s">
        <v>3738</v>
      </c>
      <c r="E50" s="3">
        <v>2024</v>
      </c>
      <c r="F50" s="127">
        <v>602971.5</v>
      </c>
      <c r="G50" s="86">
        <v>10372245.023</v>
      </c>
      <c r="H50" s="3" t="s">
        <v>3707</v>
      </c>
      <c r="I50" s="30">
        <f t="shared" si="1"/>
        <v>602971.5</v>
      </c>
      <c r="J50" s="3"/>
    </row>
    <row r="51" spans="1:10" x14ac:dyDescent="0.4">
      <c r="A51" s="3" t="s">
        <v>33</v>
      </c>
      <c r="B51" s="3" t="s">
        <v>3739</v>
      </c>
      <c r="C51" s="3">
        <v>1588</v>
      </c>
      <c r="D51" s="44">
        <v>81</v>
      </c>
      <c r="E51" s="3">
        <v>2024</v>
      </c>
      <c r="F51" s="127">
        <v>134000.087</v>
      </c>
      <c r="G51" s="86">
        <v>2254808.523</v>
      </c>
      <c r="H51" s="3" t="s">
        <v>3707</v>
      </c>
      <c r="I51" s="30">
        <f t="shared" si="1"/>
        <v>134000.087</v>
      </c>
      <c r="J51" s="3"/>
    </row>
    <row r="52" spans="1:10" x14ac:dyDescent="0.4">
      <c r="A52" s="3" t="s">
        <v>33</v>
      </c>
      <c r="B52" s="3" t="s">
        <v>3739</v>
      </c>
      <c r="C52" s="3">
        <v>1588</v>
      </c>
      <c r="D52" s="44">
        <v>82</v>
      </c>
      <c r="E52" s="3">
        <v>2024</v>
      </c>
      <c r="F52" s="127">
        <v>134598.264</v>
      </c>
      <c r="G52" s="86">
        <v>2264890.4840000002</v>
      </c>
      <c r="H52" s="3" t="s">
        <v>3707</v>
      </c>
      <c r="I52" s="30">
        <f t="shared" si="1"/>
        <v>134598.264</v>
      </c>
      <c r="J52" s="3"/>
    </row>
    <row r="53" spans="1:10" x14ac:dyDescent="0.4">
      <c r="A53" s="3" t="s">
        <v>33</v>
      </c>
      <c r="B53" s="3" t="s">
        <v>3739</v>
      </c>
      <c r="C53" s="3">
        <v>1588</v>
      </c>
      <c r="D53" s="44">
        <v>93</v>
      </c>
      <c r="E53" s="3">
        <v>2024</v>
      </c>
      <c r="F53" s="127">
        <v>141826.92600000001</v>
      </c>
      <c r="G53" s="86">
        <v>2386512.3960000002</v>
      </c>
      <c r="H53" s="3" t="s">
        <v>3707</v>
      </c>
      <c r="I53" s="30">
        <f t="shared" si="1"/>
        <v>141826.92600000001</v>
      </c>
      <c r="J53" s="3"/>
    </row>
    <row r="54" spans="1:10" x14ac:dyDescent="0.4">
      <c r="A54" s="3" t="s">
        <v>33</v>
      </c>
      <c r="B54" s="3" t="s">
        <v>3739</v>
      </c>
      <c r="C54" s="3">
        <v>1588</v>
      </c>
      <c r="D54" s="44">
        <v>94</v>
      </c>
      <c r="E54" s="3">
        <v>2024</v>
      </c>
      <c r="F54" s="127">
        <v>143281.397</v>
      </c>
      <c r="G54" s="86">
        <v>2410954.4330000002</v>
      </c>
      <c r="H54" s="3" t="s">
        <v>3707</v>
      </c>
      <c r="I54" s="30">
        <f t="shared" si="1"/>
        <v>143281.397</v>
      </c>
      <c r="J54" s="3"/>
    </row>
    <row r="55" spans="1:10" x14ac:dyDescent="0.4">
      <c r="A55" s="3" t="s">
        <v>33</v>
      </c>
      <c r="B55" s="3" t="s">
        <v>3740</v>
      </c>
      <c r="C55" s="3">
        <v>1592</v>
      </c>
      <c r="D55" s="44" t="s">
        <v>3741</v>
      </c>
      <c r="E55" s="3">
        <v>2024</v>
      </c>
      <c r="F55" s="127">
        <v>1054.0999999999999</v>
      </c>
      <c r="G55" s="86">
        <v>13008.7</v>
      </c>
      <c r="H55" s="3" t="s">
        <v>3700</v>
      </c>
      <c r="I55" s="30">
        <f t="shared" si="1"/>
        <v>1054.0999999999999</v>
      </c>
      <c r="J55" s="3"/>
    </row>
    <row r="56" spans="1:10" x14ac:dyDescent="0.4">
      <c r="A56" s="3" t="s">
        <v>33</v>
      </c>
      <c r="B56" s="3" t="s">
        <v>3740</v>
      </c>
      <c r="C56" s="3">
        <v>1592</v>
      </c>
      <c r="D56" s="44" t="s">
        <v>3742</v>
      </c>
      <c r="E56" s="3">
        <v>2024</v>
      </c>
      <c r="F56" s="127">
        <v>1035</v>
      </c>
      <c r="G56" s="86">
        <v>12773.2</v>
      </c>
      <c r="H56" s="3" t="s">
        <v>3700</v>
      </c>
      <c r="I56" s="30">
        <f t="shared" si="1"/>
        <v>1035</v>
      </c>
      <c r="J56" s="3"/>
    </row>
    <row r="57" spans="1:10" x14ac:dyDescent="0.4">
      <c r="A57" s="3" t="s">
        <v>33</v>
      </c>
      <c r="B57" s="3" t="s">
        <v>3740</v>
      </c>
      <c r="C57" s="3">
        <v>1592</v>
      </c>
      <c r="D57" s="44" t="s">
        <v>3743</v>
      </c>
      <c r="E57" s="3">
        <v>2024</v>
      </c>
      <c r="F57" s="127">
        <v>1097.2</v>
      </c>
      <c r="G57" s="86">
        <v>13542.3</v>
      </c>
      <c r="H57" s="3" t="s">
        <v>3700</v>
      </c>
      <c r="I57" s="30">
        <f t="shared" si="1"/>
        <v>1097.2</v>
      </c>
      <c r="J57" s="3"/>
    </row>
    <row r="58" spans="1:10" x14ac:dyDescent="0.4">
      <c r="A58" s="3" t="s">
        <v>33</v>
      </c>
      <c r="B58" s="3" t="s">
        <v>3740</v>
      </c>
      <c r="C58" s="3">
        <v>1592</v>
      </c>
      <c r="D58" s="44" t="s">
        <v>3744</v>
      </c>
      <c r="E58" s="3">
        <v>2024</v>
      </c>
      <c r="F58" s="127">
        <v>934.4</v>
      </c>
      <c r="G58" s="86">
        <v>11533.7</v>
      </c>
      <c r="H58" s="3" t="s">
        <v>3700</v>
      </c>
      <c r="I58" s="30">
        <f t="shared" si="1"/>
        <v>934.4</v>
      </c>
      <c r="J58" s="3"/>
    </row>
    <row r="59" spans="1:10" x14ac:dyDescent="0.4">
      <c r="A59" s="3" t="s">
        <v>33</v>
      </c>
      <c r="B59" s="3" t="s">
        <v>3740</v>
      </c>
      <c r="C59" s="3">
        <v>1592</v>
      </c>
      <c r="D59" s="44" t="s">
        <v>3745</v>
      </c>
      <c r="E59" s="3">
        <v>2024</v>
      </c>
      <c r="F59" s="127">
        <v>685.7</v>
      </c>
      <c r="G59" s="86">
        <v>8462</v>
      </c>
      <c r="H59" s="3" t="s">
        <v>3700</v>
      </c>
      <c r="I59" s="30">
        <f t="shared" si="1"/>
        <v>685.7</v>
      </c>
      <c r="J59" s="3"/>
    </row>
    <row r="60" spans="1:10" x14ac:dyDescent="0.4">
      <c r="A60" s="3" t="s">
        <v>33</v>
      </c>
      <c r="B60" s="3" t="s">
        <v>3740</v>
      </c>
      <c r="C60" s="3">
        <v>1592</v>
      </c>
      <c r="D60" s="44" t="s">
        <v>3746</v>
      </c>
      <c r="E60" s="3">
        <v>2024</v>
      </c>
      <c r="F60" s="127">
        <v>378.1</v>
      </c>
      <c r="G60" s="86">
        <v>4668.2</v>
      </c>
      <c r="H60" s="3" t="s">
        <v>3700</v>
      </c>
      <c r="I60" s="30">
        <f t="shared" si="1"/>
        <v>378.1</v>
      </c>
      <c r="J60" s="3"/>
    </row>
    <row r="61" spans="1:10" x14ac:dyDescent="0.4">
      <c r="A61" s="3" t="s">
        <v>33</v>
      </c>
      <c r="B61" s="3" t="s">
        <v>3747</v>
      </c>
      <c r="C61" s="3">
        <v>1595</v>
      </c>
      <c r="D61" s="44">
        <v>2</v>
      </c>
      <c r="E61" s="3">
        <v>2024</v>
      </c>
      <c r="F61" s="86">
        <v>2667.3090000000002</v>
      </c>
      <c r="G61" s="86">
        <v>44921.915999999997</v>
      </c>
      <c r="H61" s="3" t="s">
        <v>3703</v>
      </c>
      <c r="I61" s="30" t="s">
        <v>170</v>
      </c>
      <c r="J61" s="3" t="s">
        <v>3717</v>
      </c>
    </row>
    <row r="62" spans="1:10" x14ac:dyDescent="0.4">
      <c r="A62" s="3" t="s">
        <v>33</v>
      </c>
      <c r="B62" s="3" t="s">
        <v>3747</v>
      </c>
      <c r="C62" s="3">
        <v>1595</v>
      </c>
      <c r="D62" s="44">
        <v>3</v>
      </c>
      <c r="E62" s="3">
        <v>2024</v>
      </c>
      <c r="F62" s="86">
        <v>5813.0050000000001</v>
      </c>
      <c r="G62" s="86">
        <v>97858.801000000007</v>
      </c>
      <c r="H62" s="3" t="s">
        <v>3703</v>
      </c>
      <c r="I62" s="30" t="s">
        <v>170</v>
      </c>
      <c r="J62" s="3" t="s">
        <v>3717</v>
      </c>
    </row>
    <row r="63" spans="1:10" x14ac:dyDescent="0.4">
      <c r="A63" s="3" t="s">
        <v>33</v>
      </c>
      <c r="B63" s="3" t="s">
        <v>3747</v>
      </c>
      <c r="C63" s="3">
        <v>1595</v>
      </c>
      <c r="D63" s="44">
        <v>4</v>
      </c>
      <c r="E63" s="3">
        <v>2024</v>
      </c>
      <c r="F63" s="86">
        <v>876808.62699999998</v>
      </c>
      <c r="G63" s="86">
        <v>14743375.421</v>
      </c>
      <c r="H63" s="3" t="s">
        <v>3707</v>
      </c>
      <c r="I63" s="30" t="s">
        <v>170</v>
      </c>
      <c r="J63" s="3" t="s">
        <v>3717</v>
      </c>
    </row>
    <row r="64" spans="1:10" x14ac:dyDescent="0.4">
      <c r="A64" s="3" t="s">
        <v>33</v>
      </c>
      <c r="B64" s="3" t="s">
        <v>3748</v>
      </c>
      <c r="C64" s="3">
        <v>1599</v>
      </c>
      <c r="D64" s="44">
        <v>1</v>
      </c>
      <c r="E64" s="3">
        <v>2024</v>
      </c>
      <c r="F64" s="127">
        <v>54375.538</v>
      </c>
      <c r="G64" s="86">
        <v>670127.29399999999</v>
      </c>
      <c r="H64" s="3" t="s">
        <v>3703</v>
      </c>
      <c r="I64" s="30">
        <f t="shared" ref="I64:I71" si="2">F64</f>
        <v>54375.538</v>
      </c>
      <c r="J64" s="3"/>
    </row>
    <row r="65" spans="1:14" x14ac:dyDescent="0.4">
      <c r="A65" s="3" t="s">
        <v>33</v>
      </c>
      <c r="B65" s="3" t="s">
        <v>3748</v>
      </c>
      <c r="C65" s="3">
        <v>1599</v>
      </c>
      <c r="D65" s="44">
        <v>2</v>
      </c>
      <c r="E65" s="3">
        <v>2024</v>
      </c>
      <c r="F65" s="127">
        <v>23576.76</v>
      </c>
      <c r="G65" s="86">
        <v>345470.342</v>
      </c>
      <c r="H65" s="3" t="s">
        <v>3703</v>
      </c>
      <c r="I65" s="30">
        <f t="shared" si="2"/>
        <v>23576.76</v>
      </c>
      <c r="J65" s="3"/>
      <c r="L65" s="128"/>
      <c r="N65" s="35"/>
    </row>
    <row r="66" spans="1:14" x14ac:dyDescent="0.4">
      <c r="A66" s="3" t="s">
        <v>33</v>
      </c>
      <c r="B66" s="3" t="s">
        <v>3748</v>
      </c>
      <c r="C66" s="3">
        <v>1599</v>
      </c>
      <c r="D66" s="44">
        <v>3</v>
      </c>
      <c r="E66" s="3">
        <v>2024</v>
      </c>
      <c r="F66" s="127">
        <v>141192.92000000001</v>
      </c>
      <c r="G66" s="86">
        <v>2364861.7390000001</v>
      </c>
      <c r="H66" s="3" t="s">
        <v>3700</v>
      </c>
      <c r="I66" s="30">
        <f t="shared" si="2"/>
        <v>141192.92000000001</v>
      </c>
      <c r="J66" s="3"/>
    </row>
    <row r="67" spans="1:14" x14ac:dyDescent="0.4">
      <c r="A67" s="3" t="s">
        <v>33</v>
      </c>
      <c r="B67" s="3" t="s">
        <v>3749</v>
      </c>
      <c r="C67" s="3">
        <v>1660</v>
      </c>
      <c r="D67" s="44">
        <v>4</v>
      </c>
      <c r="E67" s="3">
        <v>2024</v>
      </c>
      <c r="F67" s="127">
        <v>6684.9390000000003</v>
      </c>
      <c r="G67" s="86">
        <v>106625.829</v>
      </c>
      <c r="H67" s="3" t="s">
        <v>3700</v>
      </c>
      <c r="I67" s="30">
        <f t="shared" si="2"/>
        <v>6684.9390000000003</v>
      </c>
      <c r="J67" s="3" t="s">
        <v>3750</v>
      </c>
    </row>
    <row r="68" spans="1:14" x14ac:dyDescent="0.4">
      <c r="A68" s="3" t="s">
        <v>33</v>
      </c>
      <c r="B68" s="3" t="s">
        <v>3749</v>
      </c>
      <c r="C68" s="3">
        <v>1660</v>
      </c>
      <c r="D68" s="44">
        <v>5</v>
      </c>
      <c r="E68" s="3">
        <v>2024</v>
      </c>
      <c r="F68" s="127">
        <v>7906.009</v>
      </c>
      <c r="G68" s="86">
        <v>127713.205</v>
      </c>
      <c r="H68" s="3" t="s">
        <v>3700</v>
      </c>
      <c r="I68" s="30">
        <f t="shared" si="2"/>
        <v>7906.009</v>
      </c>
      <c r="J68" s="3" t="s">
        <v>3750</v>
      </c>
    </row>
    <row r="69" spans="1:14" x14ac:dyDescent="0.4">
      <c r="A69" s="3" t="s">
        <v>33</v>
      </c>
      <c r="B69" s="3" t="s">
        <v>460</v>
      </c>
      <c r="C69" s="3">
        <v>1678</v>
      </c>
      <c r="D69" s="44">
        <v>2</v>
      </c>
      <c r="E69" s="3">
        <v>2024</v>
      </c>
      <c r="F69" s="127">
        <v>2712.2</v>
      </c>
      <c r="G69" s="86">
        <v>42073.5</v>
      </c>
      <c r="H69" s="3" t="s">
        <v>3700</v>
      </c>
      <c r="I69" s="30">
        <f t="shared" si="2"/>
        <v>2712.2</v>
      </c>
      <c r="J69" s="3" t="s">
        <v>3751</v>
      </c>
    </row>
    <row r="70" spans="1:14" x14ac:dyDescent="0.4">
      <c r="A70" s="3" t="s">
        <v>33</v>
      </c>
      <c r="B70" s="3" t="s">
        <v>3752</v>
      </c>
      <c r="C70" s="3">
        <v>1682</v>
      </c>
      <c r="D70" s="44">
        <v>9</v>
      </c>
      <c r="E70" s="3">
        <v>2024</v>
      </c>
      <c r="F70" s="127">
        <v>86049.695999999996</v>
      </c>
      <c r="G70" s="86">
        <v>1446909.949</v>
      </c>
      <c r="H70" s="3" t="s">
        <v>3753</v>
      </c>
      <c r="I70" s="30">
        <f t="shared" si="2"/>
        <v>86049.695999999996</v>
      </c>
      <c r="J70" s="3" t="s">
        <v>3754</v>
      </c>
      <c r="K70" s="20"/>
    </row>
    <row r="71" spans="1:14" x14ac:dyDescent="0.4">
      <c r="A71" s="3" t="s">
        <v>33</v>
      </c>
      <c r="B71" s="3" t="s">
        <v>3755</v>
      </c>
      <c r="C71" s="3">
        <v>6081</v>
      </c>
      <c r="D71" s="135" t="s">
        <v>3719</v>
      </c>
      <c r="E71" s="3">
        <v>2024</v>
      </c>
      <c r="F71" s="127">
        <v>14617.475</v>
      </c>
      <c r="G71" s="86">
        <v>203655.32500000001</v>
      </c>
      <c r="H71" s="3" t="s">
        <v>3707</v>
      </c>
      <c r="I71" s="30">
        <f t="shared" si="2"/>
        <v>14617.475</v>
      </c>
      <c r="J71" s="3"/>
    </row>
    <row r="72" spans="1:14" x14ac:dyDescent="0.4">
      <c r="A72" s="3" t="s">
        <v>33</v>
      </c>
      <c r="B72" s="3" t="s">
        <v>3755</v>
      </c>
      <c r="C72" s="3">
        <v>6081</v>
      </c>
      <c r="D72" s="135" t="s">
        <v>3756</v>
      </c>
      <c r="E72" s="3">
        <v>2024</v>
      </c>
      <c r="F72" s="127">
        <v>2780.45</v>
      </c>
      <c r="G72" s="86">
        <v>35058.474999999999</v>
      </c>
      <c r="H72" s="3" t="s">
        <v>3707</v>
      </c>
      <c r="I72" s="30">
        <f t="shared" ref="I72:I79" si="3">F72</f>
        <v>2780.45</v>
      </c>
      <c r="J72" s="3"/>
    </row>
    <row r="73" spans="1:14" x14ac:dyDescent="0.4">
      <c r="A73" s="3" t="s">
        <v>33</v>
      </c>
      <c r="B73" s="3" t="s">
        <v>3755</v>
      </c>
      <c r="C73" s="3">
        <v>6081</v>
      </c>
      <c r="D73" s="135" t="s">
        <v>3757</v>
      </c>
      <c r="E73" s="3">
        <v>2024</v>
      </c>
      <c r="F73" s="127">
        <v>10426.625</v>
      </c>
      <c r="G73" s="86">
        <v>144648.47500000001</v>
      </c>
      <c r="H73" s="3" t="s">
        <v>3707</v>
      </c>
      <c r="I73" s="30">
        <f t="shared" si="3"/>
        <v>10426.625</v>
      </c>
      <c r="J73" s="3"/>
      <c r="K73" s="20"/>
    </row>
    <row r="74" spans="1:14" x14ac:dyDescent="0.4">
      <c r="A74" s="3" t="s">
        <v>33</v>
      </c>
      <c r="B74" s="3" t="s">
        <v>3755</v>
      </c>
      <c r="C74" s="3">
        <v>6081</v>
      </c>
      <c r="D74" s="135" t="s">
        <v>3758</v>
      </c>
      <c r="E74" s="3">
        <v>2024</v>
      </c>
      <c r="F74" s="127">
        <v>4018.2</v>
      </c>
      <c r="G74" s="86">
        <v>49599.9</v>
      </c>
      <c r="H74" s="3" t="s">
        <v>3700</v>
      </c>
      <c r="I74" s="30">
        <f t="shared" si="3"/>
        <v>4018.2</v>
      </c>
      <c r="J74" s="3"/>
      <c r="K74" s="20"/>
    </row>
    <row r="75" spans="1:14" x14ac:dyDescent="0.4">
      <c r="A75" s="3" t="s">
        <v>33</v>
      </c>
      <c r="B75" s="3" t="s">
        <v>3755</v>
      </c>
      <c r="C75" s="3">
        <v>6081</v>
      </c>
      <c r="D75" s="135" t="s">
        <v>3759</v>
      </c>
      <c r="E75" s="3">
        <v>2024</v>
      </c>
      <c r="F75" s="127">
        <v>3971.6</v>
      </c>
      <c r="G75" s="86">
        <v>49042</v>
      </c>
      <c r="H75" s="3" t="s">
        <v>3700</v>
      </c>
      <c r="I75" s="30">
        <f t="shared" si="3"/>
        <v>3971.6</v>
      </c>
      <c r="J75" s="3"/>
    </row>
    <row r="76" spans="1:14" x14ac:dyDescent="0.4">
      <c r="A76" s="3" t="s">
        <v>33</v>
      </c>
      <c r="B76" s="3" t="s">
        <v>3760</v>
      </c>
      <c r="C76" s="3">
        <v>10176</v>
      </c>
      <c r="D76" s="44" t="s">
        <v>3761</v>
      </c>
      <c r="E76" s="3">
        <v>2024</v>
      </c>
      <c r="F76" s="127">
        <v>708.1</v>
      </c>
      <c r="G76" s="86">
        <v>8739.7999999999993</v>
      </c>
      <c r="H76" s="3" t="s">
        <v>3700</v>
      </c>
      <c r="I76" s="30">
        <f t="shared" si="3"/>
        <v>708.1</v>
      </c>
      <c r="J76" s="3"/>
    </row>
    <row r="77" spans="1:14" x14ac:dyDescent="0.4">
      <c r="A77" s="3" t="s">
        <v>33</v>
      </c>
      <c r="B77" s="3" t="s">
        <v>3760</v>
      </c>
      <c r="C77" s="3">
        <v>10176</v>
      </c>
      <c r="D77" s="44" t="s">
        <v>3762</v>
      </c>
      <c r="E77" s="3">
        <v>2024</v>
      </c>
      <c r="F77" s="127">
        <v>397.7</v>
      </c>
      <c r="G77" s="86">
        <v>4910.3999999999996</v>
      </c>
      <c r="H77" s="3" t="s">
        <v>3700</v>
      </c>
      <c r="I77" s="30">
        <f t="shared" si="3"/>
        <v>397.7</v>
      </c>
      <c r="J77" s="3"/>
      <c r="K77" s="20"/>
    </row>
    <row r="78" spans="1:14" x14ac:dyDescent="0.4">
      <c r="A78" s="3" t="s">
        <v>33</v>
      </c>
      <c r="B78" s="3" t="s">
        <v>3763</v>
      </c>
      <c r="C78" s="3">
        <v>10307</v>
      </c>
      <c r="D78" s="44">
        <v>1</v>
      </c>
      <c r="E78" s="3">
        <v>2024</v>
      </c>
      <c r="F78" s="127">
        <v>89612.33</v>
      </c>
      <c r="G78" s="86">
        <v>1507123.595</v>
      </c>
      <c r="H78" s="3" t="s">
        <v>3707</v>
      </c>
      <c r="I78" s="30">
        <f t="shared" si="3"/>
        <v>89612.33</v>
      </c>
      <c r="J78" s="3"/>
      <c r="K78" s="20"/>
    </row>
    <row r="79" spans="1:14" x14ac:dyDescent="0.4">
      <c r="A79" s="3" t="s">
        <v>33</v>
      </c>
      <c r="B79" s="3" t="s">
        <v>3763</v>
      </c>
      <c r="C79" s="3">
        <v>10307</v>
      </c>
      <c r="D79" s="44">
        <v>2</v>
      </c>
      <c r="E79" s="3">
        <v>2024</v>
      </c>
      <c r="F79" s="127">
        <v>96802.490999999995</v>
      </c>
      <c r="G79" s="86">
        <v>1628090.061</v>
      </c>
      <c r="H79" s="3" t="s">
        <v>3707</v>
      </c>
      <c r="I79" s="30">
        <f t="shared" si="3"/>
        <v>96802.490999999995</v>
      </c>
      <c r="J79" s="3"/>
    </row>
    <row r="80" spans="1:14" x14ac:dyDescent="0.4">
      <c r="A80" s="3" t="s">
        <v>33</v>
      </c>
      <c r="B80" s="3" t="s">
        <v>3764</v>
      </c>
      <c r="C80" s="3">
        <v>10726</v>
      </c>
      <c r="D80" s="44">
        <v>1</v>
      </c>
      <c r="E80" s="3">
        <v>2024</v>
      </c>
      <c r="F80" s="127">
        <v>116271.4</v>
      </c>
      <c r="G80" s="86">
        <v>1956485.45</v>
      </c>
      <c r="H80" s="3" t="s">
        <v>3707</v>
      </c>
      <c r="I80" s="30">
        <f>F80</f>
        <v>116271.4</v>
      </c>
      <c r="J80" s="3"/>
    </row>
    <row r="81" spans="1:13" x14ac:dyDescent="0.4">
      <c r="A81" s="3" t="s">
        <v>33</v>
      </c>
      <c r="B81" s="3" t="s">
        <v>3764</v>
      </c>
      <c r="C81" s="3">
        <v>10726</v>
      </c>
      <c r="D81" s="44">
        <v>2</v>
      </c>
      <c r="E81" s="3">
        <v>2024</v>
      </c>
      <c r="F81" s="127">
        <v>124280.2</v>
      </c>
      <c r="G81" s="86">
        <v>2091219.075</v>
      </c>
      <c r="H81" s="3" t="s">
        <v>3707</v>
      </c>
      <c r="I81" s="30">
        <f>F81</f>
        <v>124280.2</v>
      </c>
      <c r="J81" s="3"/>
    </row>
    <row r="82" spans="1:13" x14ac:dyDescent="0.4">
      <c r="A82" s="3" t="s">
        <v>33</v>
      </c>
      <c r="B82" s="3" t="s">
        <v>3765</v>
      </c>
      <c r="C82" s="3">
        <v>10823</v>
      </c>
      <c r="D82" s="44" t="s">
        <v>3766</v>
      </c>
      <c r="E82" s="3">
        <v>2024</v>
      </c>
      <c r="F82" s="86">
        <v>1761.627</v>
      </c>
      <c r="G82" s="86">
        <v>21719.225999999999</v>
      </c>
      <c r="H82" s="3" t="s">
        <v>3700</v>
      </c>
      <c r="I82" s="30" t="s">
        <v>170</v>
      </c>
      <c r="J82" s="3" t="s">
        <v>3767</v>
      </c>
      <c r="K82" s="44"/>
      <c r="M82" s="44"/>
    </row>
    <row r="83" spans="1:13" x14ac:dyDescent="0.4">
      <c r="A83" s="3" t="s">
        <v>33</v>
      </c>
      <c r="B83" s="3" t="s">
        <v>3765</v>
      </c>
      <c r="C83" s="3">
        <v>10823</v>
      </c>
      <c r="D83" s="44" t="s">
        <v>3768</v>
      </c>
      <c r="E83" s="3">
        <v>2024</v>
      </c>
      <c r="F83" s="86">
        <v>1142.028</v>
      </c>
      <c r="G83" s="86">
        <v>14072.662</v>
      </c>
      <c r="H83" s="3" t="s">
        <v>3700</v>
      </c>
      <c r="I83" s="30" t="s">
        <v>170</v>
      </c>
      <c r="J83" s="3" t="s">
        <v>3767</v>
      </c>
    </row>
    <row r="84" spans="1:13" x14ac:dyDescent="0.4">
      <c r="A84" s="3" t="s">
        <v>33</v>
      </c>
      <c r="B84" s="3" t="s">
        <v>3769</v>
      </c>
      <c r="C84" s="3">
        <v>50002</v>
      </c>
      <c r="D84" s="44">
        <v>1</v>
      </c>
      <c r="E84" s="3">
        <v>2024</v>
      </c>
      <c r="F84" s="86">
        <v>4840.634</v>
      </c>
      <c r="G84" s="86">
        <v>81155.679999999993</v>
      </c>
      <c r="H84" s="3" t="s">
        <v>3707</v>
      </c>
      <c r="I84" s="30" t="s">
        <v>170</v>
      </c>
      <c r="J84" s="3" t="s">
        <v>3770</v>
      </c>
    </row>
    <row r="85" spans="1:13" x14ac:dyDescent="0.4">
      <c r="A85" s="3" t="s">
        <v>33</v>
      </c>
      <c r="B85" s="3" t="s">
        <v>3769</v>
      </c>
      <c r="C85" s="3">
        <v>50002</v>
      </c>
      <c r="D85" s="44">
        <v>2</v>
      </c>
      <c r="E85" s="3">
        <v>2024</v>
      </c>
      <c r="F85" s="86">
        <v>5678.4840000000004</v>
      </c>
      <c r="G85" s="86">
        <v>95247.902000000002</v>
      </c>
      <c r="H85" s="3" t="s">
        <v>3707</v>
      </c>
      <c r="I85" s="30" t="s">
        <v>170</v>
      </c>
      <c r="J85" s="3" t="s">
        <v>3770</v>
      </c>
    </row>
    <row r="86" spans="1:13" x14ac:dyDescent="0.4">
      <c r="A86" s="3" t="s">
        <v>33</v>
      </c>
      <c r="B86" s="3" t="s">
        <v>3769</v>
      </c>
      <c r="C86" s="3">
        <v>50002</v>
      </c>
      <c r="D86" s="44">
        <v>3</v>
      </c>
      <c r="E86" s="3">
        <v>2024</v>
      </c>
      <c r="F86" s="86">
        <v>5428.6580000000004</v>
      </c>
      <c r="G86" s="86">
        <v>91128.55</v>
      </c>
      <c r="H86" s="3" t="s">
        <v>3707</v>
      </c>
      <c r="I86" s="30" t="s">
        <v>170</v>
      </c>
      <c r="J86" s="3" t="s">
        <v>3770</v>
      </c>
    </row>
    <row r="87" spans="1:13" x14ac:dyDescent="0.4">
      <c r="A87" s="3" t="s">
        <v>33</v>
      </c>
      <c r="B87" s="3" t="s">
        <v>3771</v>
      </c>
      <c r="C87" s="3">
        <v>52026</v>
      </c>
      <c r="D87" s="44">
        <v>1</v>
      </c>
      <c r="E87" s="3">
        <v>2024</v>
      </c>
      <c r="F87" s="127">
        <v>24034.919000000002</v>
      </c>
      <c r="G87" s="86">
        <v>404002.55</v>
      </c>
      <c r="H87" s="3" t="s">
        <v>3707</v>
      </c>
      <c r="I87" s="30">
        <f>F87</f>
        <v>24034.919000000002</v>
      </c>
      <c r="J87" s="3" t="s">
        <v>3751</v>
      </c>
    </row>
    <row r="88" spans="1:13" x14ac:dyDescent="0.4">
      <c r="A88" s="3" t="s">
        <v>33</v>
      </c>
      <c r="B88" s="3" t="s">
        <v>3772</v>
      </c>
      <c r="C88" s="3">
        <v>54586</v>
      </c>
      <c r="D88" s="44">
        <v>2</v>
      </c>
      <c r="E88" s="3">
        <v>2024</v>
      </c>
      <c r="F88" s="127"/>
      <c r="G88" s="86"/>
      <c r="H88" s="3" t="s">
        <v>3707</v>
      </c>
      <c r="I88" s="30">
        <f>F88</f>
        <v>0</v>
      </c>
      <c r="J88" s="3"/>
    </row>
    <row r="89" spans="1:13" x14ac:dyDescent="0.4">
      <c r="A89" s="3" t="s">
        <v>33</v>
      </c>
      <c r="B89" s="3" t="s">
        <v>3773</v>
      </c>
      <c r="C89" s="3">
        <v>54805</v>
      </c>
      <c r="D89" s="44">
        <v>1</v>
      </c>
      <c r="E89" s="3">
        <v>2024</v>
      </c>
      <c r="F89" s="127">
        <v>129444.63099999999</v>
      </c>
      <c r="G89" s="86">
        <v>2178151.111</v>
      </c>
      <c r="H89" s="3" t="s">
        <v>3707</v>
      </c>
      <c r="I89" s="30">
        <f t="shared" ref="I89:I103" si="4">F89</f>
        <v>129444.63099999999</v>
      </c>
      <c r="J89" s="3"/>
    </row>
    <row r="90" spans="1:13" x14ac:dyDescent="0.4">
      <c r="A90" s="3" t="s">
        <v>33</v>
      </c>
      <c r="B90" s="3" t="s">
        <v>3774</v>
      </c>
      <c r="C90" s="3">
        <v>55026</v>
      </c>
      <c r="D90" s="44">
        <v>1</v>
      </c>
      <c r="E90" s="3">
        <v>2024</v>
      </c>
      <c r="F90" s="127">
        <v>243805.81599999999</v>
      </c>
      <c r="G90" s="86">
        <v>4102484.4440000001</v>
      </c>
      <c r="H90" s="3" t="s">
        <v>3707</v>
      </c>
      <c r="I90" s="30">
        <f t="shared" si="4"/>
        <v>243805.81599999999</v>
      </c>
      <c r="J90" s="3"/>
    </row>
    <row r="91" spans="1:13" x14ac:dyDescent="0.4">
      <c r="A91" s="3" t="s">
        <v>33</v>
      </c>
      <c r="B91" s="3" t="s">
        <v>1091</v>
      </c>
      <c r="C91" s="3">
        <v>55041</v>
      </c>
      <c r="D91" s="44">
        <v>1</v>
      </c>
      <c r="E91" s="3">
        <v>2024</v>
      </c>
      <c r="F91" s="127">
        <v>241358.18</v>
      </c>
      <c r="G91" s="86">
        <v>4167535</v>
      </c>
      <c r="H91" s="3" t="s">
        <v>3707</v>
      </c>
      <c r="I91" s="30">
        <f t="shared" si="4"/>
        <v>241358.18</v>
      </c>
      <c r="J91" s="3"/>
    </row>
    <row r="92" spans="1:13" x14ac:dyDescent="0.4">
      <c r="A92" s="3" t="s">
        <v>33</v>
      </c>
      <c r="B92" s="3" t="s">
        <v>1099</v>
      </c>
      <c r="C92" s="3">
        <v>55079</v>
      </c>
      <c r="D92" s="44">
        <v>1</v>
      </c>
      <c r="E92" s="3">
        <v>2024</v>
      </c>
      <c r="F92" s="127">
        <v>229123.296</v>
      </c>
      <c r="G92" s="86">
        <v>3855402.9619999998</v>
      </c>
      <c r="H92" s="3" t="s">
        <v>3707</v>
      </c>
      <c r="I92" s="30">
        <f t="shared" si="4"/>
        <v>229123.296</v>
      </c>
      <c r="J92" s="3"/>
    </row>
    <row r="93" spans="1:13" x14ac:dyDescent="0.4">
      <c r="A93" s="3" t="s">
        <v>33</v>
      </c>
      <c r="B93" s="3" t="s">
        <v>1116</v>
      </c>
      <c r="C93" s="3">
        <v>55211</v>
      </c>
      <c r="D93" s="44">
        <v>1</v>
      </c>
      <c r="E93" s="3">
        <v>2024</v>
      </c>
      <c r="F93" s="127">
        <v>566306.821</v>
      </c>
      <c r="G93" s="86">
        <v>9529200.7589999996</v>
      </c>
      <c r="H93" s="3" t="s">
        <v>3707</v>
      </c>
      <c r="I93" s="30">
        <f t="shared" si="4"/>
        <v>566306.821</v>
      </c>
      <c r="J93" s="3"/>
    </row>
    <row r="94" spans="1:13" x14ac:dyDescent="0.4">
      <c r="A94" s="3" t="s">
        <v>33</v>
      </c>
      <c r="B94" s="3" t="s">
        <v>1116</v>
      </c>
      <c r="C94" s="3">
        <v>55211</v>
      </c>
      <c r="D94" s="44">
        <v>2</v>
      </c>
      <c r="E94" s="3">
        <v>2024</v>
      </c>
      <c r="F94" s="127">
        <v>559401.44099999999</v>
      </c>
      <c r="G94" s="86">
        <v>9412971.9859999996</v>
      </c>
      <c r="H94" s="3" t="s">
        <v>3707</v>
      </c>
      <c r="I94" s="30">
        <f t="shared" si="4"/>
        <v>559401.44099999999</v>
      </c>
      <c r="J94" s="3"/>
    </row>
    <row r="95" spans="1:13" x14ac:dyDescent="0.4">
      <c r="A95" s="3" t="s">
        <v>33</v>
      </c>
      <c r="B95" s="3" t="s">
        <v>3775</v>
      </c>
      <c r="C95" s="3">
        <v>55212</v>
      </c>
      <c r="D95" s="44">
        <v>1</v>
      </c>
      <c r="E95" s="3">
        <v>2024</v>
      </c>
      <c r="F95" s="127">
        <v>337510.73700000002</v>
      </c>
      <c r="G95" s="86">
        <v>5679266.267</v>
      </c>
      <c r="H95" s="3" t="s">
        <v>3707</v>
      </c>
      <c r="I95" s="30">
        <f t="shared" si="4"/>
        <v>337510.73700000002</v>
      </c>
      <c r="J95" s="3"/>
    </row>
    <row r="96" spans="1:13" x14ac:dyDescent="0.4">
      <c r="A96" s="3" t="s">
        <v>33</v>
      </c>
      <c r="B96" s="3" t="s">
        <v>3775</v>
      </c>
      <c r="C96" s="3">
        <v>55212</v>
      </c>
      <c r="D96" s="44">
        <v>2</v>
      </c>
      <c r="E96" s="3">
        <v>2024</v>
      </c>
      <c r="F96" s="127">
        <v>544862.46799999999</v>
      </c>
      <c r="G96" s="86">
        <v>9168274.0150000006</v>
      </c>
      <c r="H96" s="3" t="s">
        <v>3707</v>
      </c>
      <c r="I96" s="30">
        <f t="shared" si="4"/>
        <v>544862.46799999999</v>
      </c>
      <c r="J96" s="3"/>
    </row>
    <row r="97" spans="1:10" x14ac:dyDescent="0.4">
      <c r="A97" s="3" t="s">
        <v>33</v>
      </c>
      <c r="B97" s="3" t="s">
        <v>3776</v>
      </c>
      <c r="C97" s="3">
        <v>55317</v>
      </c>
      <c r="D97" s="44">
        <v>11</v>
      </c>
      <c r="E97" s="3">
        <v>2024</v>
      </c>
      <c r="F97" s="127">
        <v>799929.78300000005</v>
      </c>
      <c r="G97" s="86">
        <v>13419420.314999999</v>
      </c>
      <c r="H97" s="3" t="s">
        <v>3707</v>
      </c>
      <c r="I97" s="30">
        <f t="shared" si="4"/>
        <v>799929.78300000005</v>
      </c>
      <c r="J97" s="3"/>
    </row>
    <row r="98" spans="1:10" x14ac:dyDescent="0.4">
      <c r="A98" s="3" t="s">
        <v>33</v>
      </c>
      <c r="B98" s="3" t="s">
        <v>3776</v>
      </c>
      <c r="C98" s="3">
        <v>55317</v>
      </c>
      <c r="D98" s="44">
        <v>12</v>
      </c>
      <c r="E98" s="3">
        <v>2024</v>
      </c>
      <c r="F98" s="127">
        <v>637982.40300000005</v>
      </c>
      <c r="G98" s="86">
        <v>10650580.254000001</v>
      </c>
      <c r="H98" s="3" t="s">
        <v>3707</v>
      </c>
      <c r="I98" s="30">
        <f t="shared" si="4"/>
        <v>637982.40300000005</v>
      </c>
      <c r="J98" s="3"/>
    </row>
    <row r="99" spans="1:10" x14ac:dyDescent="0.4">
      <c r="A99" s="3" t="s">
        <v>33</v>
      </c>
      <c r="B99" s="3" t="s">
        <v>3777</v>
      </c>
      <c r="C99" s="3">
        <v>59882</v>
      </c>
      <c r="D99" s="44" t="s">
        <v>3778</v>
      </c>
      <c r="E99" s="3">
        <v>2024</v>
      </c>
      <c r="F99" s="127">
        <v>81206.740999999995</v>
      </c>
      <c r="G99" s="86">
        <v>1361145.0290000001</v>
      </c>
      <c r="H99" s="3" t="s">
        <v>3700</v>
      </c>
      <c r="I99" s="30">
        <f t="shared" si="4"/>
        <v>81206.740999999995</v>
      </c>
      <c r="J99" s="3"/>
    </row>
    <row r="100" spans="1:10" x14ac:dyDescent="0.4">
      <c r="A100" s="3" t="s">
        <v>33</v>
      </c>
      <c r="B100" s="3" t="s">
        <v>3777</v>
      </c>
      <c r="C100" s="3">
        <v>59882</v>
      </c>
      <c r="D100" s="44" t="s">
        <v>3779</v>
      </c>
      <c r="E100" s="3">
        <v>2024</v>
      </c>
      <c r="F100" s="127">
        <v>32122.278999999999</v>
      </c>
      <c r="G100" s="86">
        <v>540528.57700000005</v>
      </c>
      <c r="H100" s="3" t="s">
        <v>3700</v>
      </c>
      <c r="I100" s="30">
        <f t="shared" si="4"/>
        <v>32122.278999999999</v>
      </c>
      <c r="J100" s="3"/>
    </row>
    <row r="101" spans="1:10" x14ac:dyDescent="0.4">
      <c r="A101" s="3" t="s">
        <v>33</v>
      </c>
      <c r="B101" s="3" t="s">
        <v>3780</v>
      </c>
      <c r="C101" s="3">
        <v>60903</v>
      </c>
      <c r="D101" s="44">
        <v>1</v>
      </c>
      <c r="E101" s="3">
        <v>2024</v>
      </c>
      <c r="F101" s="127">
        <v>253172.59700000001</v>
      </c>
      <c r="G101" s="86">
        <v>4260121.4340000004</v>
      </c>
      <c r="H101" s="3" t="s">
        <v>3707</v>
      </c>
      <c r="I101" s="30">
        <f t="shared" si="4"/>
        <v>253172.59700000001</v>
      </c>
      <c r="J101" s="3"/>
    </row>
    <row r="102" spans="1:10" x14ac:dyDescent="0.4">
      <c r="A102" s="3" t="s">
        <v>33</v>
      </c>
      <c r="B102" s="3" t="s">
        <v>3780</v>
      </c>
      <c r="C102" s="3">
        <v>60903</v>
      </c>
      <c r="D102" s="44">
        <v>2</v>
      </c>
      <c r="E102" s="3">
        <v>2024</v>
      </c>
      <c r="F102" s="127">
        <v>242702.20699999999</v>
      </c>
      <c r="G102" s="86">
        <v>4083938.47</v>
      </c>
      <c r="H102" s="3" t="s">
        <v>3707</v>
      </c>
      <c r="I102" s="30">
        <f t="shared" si="4"/>
        <v>242702.20699999999</v>
      </c>
      <c r="J102" s="3"/>
    </row>
    <row r="103" spans="1:10" x14ac:dyDescent="0.4">
      <c r="A103" s="3" t="s">
        <v>33</v>
      </c>
      <c r="B103" s="3" t="s">
        <v>2397</v>
      </c>
      <c r="C103" s="3">
        <v>63559</v>
      </c>
      <c r="D103" s="44">
        <v>1</v>
      </c>
      <c r="E103" s="3">
        <v>2024</v>
      </c>
      <c r="F103" s="127">
        <v>12010.6</v>
      </c>
      <c r="G103" s="86">
        <v>175345.3</v>
      </c>
      <c r="H103" s="3" t="s">
        <v>3781</v>
      </c>
      <c r="I103" s="30">
        <f t="shared" si="4"/>
        <v>12010.6</v>
      </c>
      <c r="J103" s="3" t="s">
        <v>3782</v>
      </c>
    </row>
    <row r="104" spans="1:10" x14ac:dyDescent="0.4">
      <c r="A104" s="3" t="s">
        <v>34</v>
      </c>
      <c r="B104" s="3" t="s">
        <v>3783</v>
      </c>
      <c r="C104" s="3">
        <v>1507</v>
      </c>
      <c r="D104" s="44">
        <v>3</v>
      </c>
      <c r="E104" s="3">
        <v>2024</v>
      </c>
      <c r="F104" s="127">
        <v>2533.9430000000002</v>
      </c>
      <c r="G104" s="86">
        <v>30418.205999999998</v>
      </c>
      <c r="H104" s="3" t="s">
        <v>3702</v>
      </c>
      <c r="I104" s="30">
        <f>F104</f>
        <v>2533.9430000000002</v>
      </c>
      <c r="J104" s="3" t="s">
        <v>3784</v>
      </c>
    </row>
    <row r="105" spans="1:10" x14ac:dyDescent="0.4">
      <c r="A105" s="3" t="s">
        <v>34</v>
      </c>
      <c r="B105" s="3" t="s">
        <v>3783</v>
      </c>
      <c r="C105" s="3">
        <v>1507</v>
      </c>
      <c r="D105" s="44">
        <v>4</v>
      </c>
      <c r="E105" s="3">
        <v>2024</v>
      </c>
      <c r="F105" s="127">
        <v>32657.39</v>
      </c>
      <c r="G105" s="86">
        <v>397026.74099999998</v>
      </c>
      <c r="H105" s="3" t="s">
        <v>3703</v>
      </c>
      <c r="I105" s="30">
        <f>F105</f>
        <v>32657.39</v>
      </c>
      <c r="J105" s="3" t="s">
        <v>3784</v>
      </c>
    </row>
    <row r="106" spans="1:10" x14ac:dyDescent="0.4">
      <c r="A106" s="3" t="s">
        <v>34</v>
      </c>
      <c r="B106" s="3" t="s">
        <v>891</v>
      </c>
      <c r="C106" s="3">
        <v>50243</v>
      </c>
      <c r="D106" s="44" t="s">
        <v>3785</v>
      </c>
      <c r="E106" s="3">
        <v>2024</v>
      </c>
      <c r="F106" s="127">
        <v>9965.5840000000007</v>
      </c>
      <c r="G106" s="86">
        <v>169809.872</v>
      </c>
      <c r="H106" s="3" t="s">
        <v>3707</v>
      </c>
      <c r="I106" s="30">
        <f>F106</f>
        <v>9965.5840000000007</v>
      </c>
      <c r="J106" s="3" t="s">
        <v>3786</v>
      </c>
    </row>
    <row r="107" spans="1:10" x14ac:dyDescent="0.4">
      <c r="A107" s="3" t="s">
        <v>34</v>
      </c>
      <c r="B107" s="3" t="s">
        <v>1097</v>
      </c>
      <c r="C107" s="3">
        <v>55068</v>
      </c>
      <c r="D107" s="44">
        <v>1</v>
      </c>
      <c r="E107" s="3">
        <v>2024</v>
      </c>
      <c r="F107" s="127">
        <v>535394.72100000002</v>
      </c>
      <c r="G107" s="86">
        <v>9009043.7510000002</v>
      </c>
      <c r="H107" s="3" t="s">
        <v>3707</v>
      </c>
      <c r="I107" s="30">
        <f t="shared" ref="I107:I113" si="5">F107</f>
        <v>535394.72100000002</v>
      </c>
      <c r="J107" s="3"/>
    </row>
    <row r="108" spans="1:10" x14ac:dyDescent="0.4">
      <c r="A108" s="3" t="s">
        <v>34</v>
      </c>
      <c r="B108" s="3" t="s">
        <v>1097</v>
      </c>
      <c r="C108" s="3">
        <v>55068</v>
      </c>
      <c r="D108" s="44">
        <v>2</v>
      </c>
      <c r="E108" s="3">
        <v>2024</v>
      </c>
      <c r="F108" s="127">
        <v>553509.88699999999</v>
      </c>
      <c r="G108" s="86">
        <v>9313712.9989999998</v>
      </c>
      <c r="H108" s="3" t="s">
        <v>3707</v>
      </c>
      <c r="I108" s="30">
        <f t="shared" si="5"/>
        <v>553509.88699999999</v>
      </c>
      <c r="J108" s="3"/>
    </row>
    <row r="109" spans="1:10" x14ac:dyDescent="0.4">
      <c r="A109" s="3" t="s">
        <v>34</v>
      </c>
      <c r="B109" s="3" t="s">
        <v>1104</v>
      </c>
      <c r="C109" s="3">
        <v>55100</v>
      </c>
      <c r="D109" s="44">
        <v>1</v>
      </c>
      <c r="E109" s="3">
        <v>2024</v>
      </c>
      <c r="F109" s="127">
        <v>273965.75</v>
      </c>
      <c r="G109" s="86">
        <v>4610004.193</v>
      </c>
      <c r="H109" s="3" t="s">
        <v>3707</v>
      </c>
      <c r="I109" s="30">
        <f t="shared" si="5"/>
        <v>273965.75</v>
      </c>
      <c r="J109" s="3"/>
    </row>
    <row r="110" spans="1:10" x14ac:dyDescent="0.4">
      <c r="A110" s="3" t="s">
        <v>34</v>
      </c>
      <c r="B110" s="3" t="s">
        <v>1123</v>
      </c>
      <c r="C110" s="3">
        <v>55294</v>
      </c>
      <c r="D110" s="44">
        <v>1</v>
      </c>
      <c r="E110" s="3">
        <v>2024</v>
      </c>
      <c r="F110" s="127">
        <v>650587.63699999999</v>
      </c>
      <c r="G110" s="86">
        <v>10947441.646</v>
      </c>
      <c r="H110" s="3" t="s">
        <v>3707</v>
      </c>
      <c r="I110" s="30">
        <f t="shared" si="5"/>
        <v>650587.63699999999</v>
      </c>
      <c r="J110" s="3"/>
    </row>
    <row r="111" spans="1:10" x14ac:dyDescent="0.4">
      <c r="A111" s="3" t="s">
        <v>34</v>
      </c>
      <c r="B111" s="3" t="s">
        <v>1123</v>
      </c>
      <c r="C111" s="3">
        <v>55294</v>
      </c>
      <c r="D111" s="44">
        <v>2</v>
      </c>
      <c r="E111" s="3">
        <v>2024</v>
      </c>
      <c r="F111" s="127">
        <v>557718.821</v>
      </c>
      <c r="G111" s="86">
        <v>9384684.8809999991</v>
      </c>
      <c r="H111" s="3" t="s">
        <v>3707</v>
      </c>
      <c r="I111" s="30">
        <f t="shared" si="5"/>
        <v>557718.821</v>
      </c>
      <c r="J111" s="3"/>
    </row>
    <row r="112" spans="1:10" x14ac:dyDescent="0.4">
      <c r="A112" s="3" t="s">
        <v>35</v>
      </c>
      <c r="B112" s="3" t="s">
        <v>478</v>
      </c>
      <c r="C112" s="3">
        <v>2364</v>
      </c>
      <c r="D112" s="44">
        <v>1</v>
      </c>
      <c r="E112" s="3">
        <v>2024</v>
      </c>
      <c r="F112" s="127">
        <v>3007.8069999999998</v>
      </c>
      <c r="G112" s="86">
        <v>29316.428</v>
      </c>
      <c r="H112" s="3" t="s">
        <v>3704</v>
      </c>
      <c r="I112" s="30">
        <f t="shared" si="5"/>
        <v>3007.8069999999998</v>
      </c>
      <c r="J112" s="3"/>
    </row>
    <row r="113" spans="1:10" x14ac:dyDescent="0.4">
      <c r="A113" s="3" t="s">
        <v>35</v>
      </c>
      <c r="B113" s="3" t="s">
        <v>478</v>
      </c>
      <c r="C113" s="3">
        <v>2364</v>
      </c>
      <c r="D113" s="44">
        <v>2</v>
      </c>
      <c r="E113" s="3">
        <v>2024</v>
      </c>
      <c r="F113" s="127">
        <v>349282.70699999999</v>
      </c>
      <c r="G113" s="86">
        <v>3404277.324</v>
      </c>
      <c r="H113" s="3" t="s">
        <v>3704</v>
      </c>
      <c r="I113" s="30">
        <f t="shared" si="5"/>
        <v>349282.70699999999</v>
      </c>
      <c r="J113" s="3"/>
    </row>
    <row r="114" spans="1:10" x14ac:dyDescent="0.4">
      <c r="A114" s="3" t="s">
        <v>35</v>
      </c>
      <c r="B114" s="3" t="s">
        <v>480</v>
      </c>
      <c r="C114" s="3">
        <v>2367</v>
      </c>
      <c r="D114" s="44">
        <v>4</v>
      </c>
      <c r="E114" s="3">
        <v>2024</v>
      </c>
      <c r="F114" s="86"/>
      <c r="G114" s="86"/>
      <c r="H114" s="3" t="s">
        <v>3703</v>
      </c>
      <c r="I114" s="30" t="s">
        <v>170</v>
      </c>
      <c r="J114" s="3" t="s">
        <v>3787</v>
      </c>
    </row>
    <row r="115" spans="1:10" x14ac:dyDescent="0.4">
      <c r="A115" s="3" t="s">
        <v>35</v>
      </c>
      <c r="B115" s="3" t="s">
        <v>480</v>
      </c>
      <c r="C115" s="3">
        <v>2367</v>
      </c>
      <c r="D115" s="44">
        <v>5</v>
      </c>
      <c r="E115" s="3">
        <v>2024</v>
      </c>
      <c r="F115" s="86"/>
      <c r="G115" s="86"/>
      <c r="H115" s="3" t="s">
        <v>3788</v>
      </c>
      <c r="I115" s="30" t="s">
        <v>170</v>
      </c>
      <c r="J115" s="3" t="s">
        <v>3787</v>
      </c>
    </row>
    <row r="116" spans="1:10" x14ac:dyDescent="0.4">
      <c r="A116" s="3" t="s">
        <v>35</v>
      </c>
      <c r="B116" s="3" t="s">
        <v>480</v>
      </c>
      <c r="C116" s="3">
        <v>2367</v>
      </c>
      <c r="D116" s="44">
        <v>6</v>
      </c>
      <c r="E116" s="3">
        <v>2024</v>
      </c>
      <c r="F116" s="86"/>
      <c r="G116" s="86"/>
      <c r="H116" s="3" t="s">
        <v>3703</v>
      </c>
      <c r="I116" s="30" t="s">
        <v>170</v>
      </c>
      <c r="J116" s="3" t="s">
        <v>3787</v>
      </c>
    </row>
    <row r="117" spans="1:10" x14ac:dyDescent="0.4">
      <c r="A117" s="3" t="s">
        <v>35</v>
      </c>
      <c r="B117" s="3" t="s">
        <v>711</v>
      </c>
      <c r="C117" s="3">
        <v>8002</v>
      </c>
      <c r="D117" s="44">
        <v>1</v>
      </c>
      <c r="E117" s="3">
        <v>2024</v>
      </c>
      <c r="F117" s="127">
        <v>53111.54</v>
      </c>
      <c r="G117" s="86">
        <v>865832.93799999997</v>
      </c>
      <c r="H117" s="3" t="s">
        <v>3702</v>
      </c>
      <c r="I117" s="30">
        <f t="shared" ref="I117:I128" si="6">F117</f>
        <v>53111.54</v>
      </c>
      <c r="J117" s="3"/>
    </row>
    <row r="118" spans="1:10" x14ac:dyDescent="0.4">
      <c r="A118" s="3" t="s">
        <v>35</v>
      </c>
      <c r="B118" s="3" t="s">
        <v>3789</v>
      </c>
      <c r="C118" s="3">
        <v>55170</v>
      </c>
      <c r="D118" s="135" t="s">
        <v>3790</v>
      </c>
      <c r="E118" s="3">
        <v>2024</v>
      </c>
      <c r="F118" s="127">
        <v>567985.29</v>
      </c>
      <c r="G118" s="86">
        <v>9557412.1410000008</v>
      </c>
      <c r="H118" s="3" t="s">
        <v>3707</v>
      </c>
      <c r="I118" s="30">
        <f t="shared" si="6"/>
        <v>567985.29</v>
      </c>
      <c r="J118" s="3"/>
    </row>
    <row r="119" spans="1:10" x14ac:dyDescent="0.4">
      <c r="A119" s="3" t="s">
        <v>35</v>
      </c>
      <c r="B119" s="3" t="s">
        <v>3789</v>
      </c>
      <c r="C119" s="3">
        <v>55170</v>
      </c>
      <c r="D119" s="135" t="s">
        <v>3791</v>
      </c>
      <c r="E119" s="3">
        <v>2024</v>
      </c>
      <c r="F119" s="127">
        <v>757215.75899999996</v>
      </c>
      <c r="G119" s="86">
        <v>12741601.693</v>
      </c>
      <c r="H119" s="3" t="s">
        <v>3707</v>
      </c>
      <c r="I119" s="30">
        <f t="shared" si="6"/>
        <v>757215.75899999996</v>
      </c>
      <c r="J119" s="3"/>
    </row>
    <row r="120" spans="1:10" x14ac:dyDescent="0.4">
      <c r="A120" s="3" t="s">
        <v>35</v>
      </c>
      <c r="B120" s="3" t="s">
        <v>3792</v>
      </c>
      <c r="C120" s="3">
        <v>55661</v>
      </c>
      <c r="D120" s="44">
        <v>1</v>
      </c>
      <c r="E120" s="3">
        <v>2024</v>
      </c>
      <c r="F120" s="127">
        <v>269731.56099999999</v>
      </c>
      <c r="G120" s="86">
        <v>4556852.1739999996</v>
      </c>
      <c r="H120" s="3" t="s">
        <v>3707</v>
      </c>
      <c r="I120" s="30">
        <f t="shared" si="6"/>
        <v>269731.56099999999</v>
      </c>
      <c r="J120" s="3"/>
    </row>
    <row r="121" spans="1:10" x14ac:dyDescent="0.4">
      <c r="A121" s="3" t="s">
        <v>35</v>
      </c>
      <c r="B121" s="3" t="s">
        <v>3792</v>
      </c>
      <c r="C121" s="3">
        <v>55661</v>
      </c>
      <c r="D121" s="44">
        <v>2</v>
      </c>
      <c r="E121" s="3">
        <v>2024</v>
      </c>
      <c r="F121" s="127">
        <v>272094.61200000002</v>
      </c>
      <c r="G121" s="86">
        <v>4602554.5580000002</v>
      </c>
      <c r="H121" s="3" t="s">
        <v>3707</v>
      </c>
      <c r="I121" s="30">
        <f t="shared" si="6"/>
        <v>272094.61200000002</v>
      </c>
      <c r="J121" s="3"/>
    </row>
    <row r="122" spans="1:10" x14ac:dyDescent="0.4">
      <c r="A122" s="3" t="s">
        <v>52</v>
      </c>
      <c r="B122" s="3" t="s">
        <v>484</v>
      </c>
      <c r="C122" s="3">
        <v>2480</v>
      </c>
      <c r="D122" s="44">
        <v>1</v>
      </c>
      <c r="E122" s="3">
        <v>2024</v>
      </c>
      <c r="F122" s="127">
        <v>1732.6769999999999</v>
      </c>
      <c r="G122" s="86">
        <v>29222.244999999999</v>
      </c>
      <c r="H122" s="3" t="s">
        <v>3702</v>
      </c>
      <c r="I122" s="30">
        <f t="shared" si="6"/>
        <v>1732.6769999999999</v>
      </c>
      <c r="J122" s="3"/>
    </row>
    <row r="123" spans="1:10" x14ac:dyDescent="0.4">
      <c r="A123" s="3" t="s">
        <v>52</v>
      </c>
      <c r="B123" s="3" t="s">
        <v>484</v>
      </c>
      <c r="C123" s="3">
        <v>2480</v>
      </c>
      <c r="D123" s="44">
        <v>2</v>
      </c>
      <c r="E123" s="3">
        <v>2024</v>
      </c>
      <c r="F123" s="127">
        <v>1815.96</v>
      </c>
      <c r="G123" s="86">
        <v>30636.859</v>
      </c>
      <c r="H123" s="3" t="s">
        <v>3702</v>
      </c>
      <c r="I123" s="30">
        <f t="shared" si="6"/>
        <v>1815.96</v>
      </c>
      <c r="J123" s="3"/>
    </row>
    <row r="124" spans="1:10" x14ac:dyDescent="0.4">
      <c r="A124" s="3" t="s">
        <v>52</v>
      </c>
      <c r="B124" s="3" t="s">
        <v>484</v>
      </c>
      <c r="C124" s="3">
        <v>2480</v>
      </c>
      <c r="D124" s="44">
        <v>3</v>
      </c>
      <c r="E124" s="3">
        <v>2024</v>
      </c>
      <c r="F124" s="127">
        <v>2720.154</v>
      </c>
      <c r="G124" s="86">
        <v>45890.555</v>
      </c>
      <c r="H124" s="3" t="s">
        <v>3702</v>
      </c>
      <c r="I124" s="30">
        <f t="shared" si="6"/>
        <v>2720.154</v>
      </c>
      <c r="J124" s="3"/>
    </row>
    <row r="125" spans="1:10" x14ac:dyDescent="0.4">
      <c r="A125" s="3" t="s">
        <v>52</v>
      </c>
      <c r="B125" s="3" t="s">
        <v>484</v>
      </c>
      <c r="C125" s="3">
        <v>2480</v>
      </c>
      <c r="D125" s="44">
        <v>4</v>
      </c>
      <c r="E125" s="3">
        <v>2024</v>
      </c>
      <c r="F125" s="127">
        <v>6850.18</v>
      </c>
      <c r="G125" s="86">
        <v>115561.489</v>
      </c>
      <c r="H125" s="3" t="s">
        <v>3702</v>
      </c>
      <c r="I125" s="30">
        <f t="shared" si="6"/>
        <v>6850.18</v>
      </c>
      <c r="J125" s="3"/>
    </row>
    <row r="126" spans="1:10" x14ac:dyDescent="0.4">
      <c r="A126" s="3" t="s">
        <v>52</v>
      </c>
      <c r="B126" s="3" t="s">
        <v>3793</v>
      </c>
      <c r="C126" s="3">
        <v>2490</v>
      </c>
      <c r="D126" s="44">
        <v>20</v>
      </c>
      <c r="E126" s="3">
        <v>2024</v>
      </c>
      <c r="F126" s="127">
        <v>538826.77</v>
      </c>
      <c r="G126" s="86">
        <v>9066884.7080000006</v>
      </c>
      <c r="H126" s="3" t="s">
        <v>3703</v>
      </c>
      <c r="I126" s="30">
        <f t="shared" si="6"/>
        <v>538826.77</v>
      </c>
      <c r="J126" s="3"/>
    </row>
    <row r="127" spans="1:10" x14ac:dyDescent="0.4">
      <c r="A127" s="3" t="s">
        <v>52</v>
      </c>
      <c r="B127" s="3" t="s">
        <v>3793</v>
      </c>
      <c r="C127" s="3">
        <v>2490</v>
      </c>
      <c r="D127" s="44">
        <v>30</v>
      </c>
      <c r="E127" s="3">
        <v>2024</v>
      </c>
      <c r="F127" s="127">
        <v>303067.913</v>
      </c>
      <c r="G127" s="86">
        <v>5099594.1629999997</v>
      </c>
      <c r="H127" s="3" t="s">
        <v>3702</v>
      </c>
      <c r="I127" s="30">
        <f t="shared" si="6"/>
        <v>303067.913</v>
      </c>
      <c r="J127" s="3"/>
    </row>
    <row r="128" spans="1:10" x14ac:dyDescent="0.4">
      <c r="A128" s="3" t="s">
        <v>52</v>
      </c>
      <c r="B128" s="3" t="s">
        <v>3793</v>
      </c>
      <c r="C128" s="3">
        <v>2490</v>
      </c>
      <c r="D128" s="44" t="s">
        <v>3794</v>
      </c>
      <c r="E128" s="3">
        <v>2024</v>
      </c>
      <c r="F128" s="127">
        <v>599.6</v>
      </c>
      <c r="G128" s="86">
        <v>10138.5</v>
      </c>
      <c r="H128" s="3" t="s">
        <v>3700</v>
      </c>
      <c r="I128" s="30">
        <f t="shared" si="6"/>
        <v>599.6</v>
      </c>
      <c r="J128" s="3"/>
    </row>
    <row r="129" spans="1:10" x14ac:dyDescent="0.4">
      <c r="A129" s="3" t="s">
        <v>52</v>
      </c>
      <c r="B129" s="3" t="s">
        <v>493</v>
      </c>
      <c r="C129" s="3">
        <v>2493</v>
      </c>
      <c r="D129" s="44">
        <v>1</v>
      </c>
      <c r="E129" s="3">
        <v>2024</v>
      </c>
      <c r="F129" s="86">
        <v>720575.25</v>
      </c>
      <c r="G129" s="86">
        <v>12124977.175000001</v>
      </c>
      <c r="H129" s="3" t="s">
        <v>3707</v>
      </c>
      <c r="I129" s="30" t="s">
        <v>170</v>
      </c>
      <c r="J129" s="3" t="s">
        <v>3795</v>
      </c>
    </row>
    <row r="130" spans="1:10" x14ac:dyDescent="0.4">
      <c r="A130" s="3" t="s">
        <v>52</v>
      </c>
      <c r="B130" s="3" t="s">
        <v>493</v>
      </c>
      <c r="C130" s="3">
        <v>2493</v>
      </c>
      <c r="D130" s="44">
        <v>2</v>
      </c>
      <c r="E130" s="3">
        <v>2024</v>
      </c>
      <c r="F130" s="86">
        <v>715452.2</v>
      </c>
      <c r="G130" s="86">
        <v>12038754.35</v>
      </c>
      <c r="H130" s="3" t="s">
        <v>3707</v>
      </c>
      <c r="I130" s="30" t="s">
        <v>170</v>
      </c>
      <c r="J130" s="3" t="s">
        <v>3795</v>
      </c>
    </row>
    <row r="131" spans="1:10" x14ac:dyDescent="0.4">
      <c r="A131" s="3" t="s">
        <v>52</v>
      </c>
      <c r="B131" s="3" t="s">
        <v>493</v>
      </c>
      <c r="C131" s="3">
        <v>2493</v>
      </c>
      <c r="D131" s="44">
        <v>60</v>
      </c>
      <c r="E131" s="3">
        <v>2024</v>
      </c>
      <c r="F131" s="86">
        <v>403750.77500000002</v>
      </c>
      <c r="G131" s="86">
        <v>6789992.1500000004</v>
      </c>
      <c r="H131" s="3" t="s">
        <v>3703</v>
      </c>
      <c r="I131" s="30" t="s">
        <v>170</v>
      </c>
      <c r="J131" s="3" t="s">
        <v>3795</v>
      </c>
    </row>
    <row r="132" spans="1:10" x14ac:dyDescent="0.4">
      <c r="A132" s="3" t="s">
        <v>52</v>
      </c>
      <c r="B132" s="3" t="s">
        <v>493</v>
      </c>
      <c r="C132" s="3">
        <v>2493</v>
      </c>
      <c r="D132" s="44">
        <v>70</v>
      </c>
      <c r="E132" s="3">
        <v>2024</v>
      </c>
      <c r="F132" s="86">
        <v>236178.27499999999</v>
      </c>
      <c r="G132" s="86">
        <v>3959851.25</v>
      </c>
      <c r="H132" s="3" t="s">
        <v>3703</v>
      </c>
      <c r="I132" s="30" t="s">
        <v>170</v>
      </c>
      <c r="J132" s="3" t="s">
        <v>3795</v>
      </c>
    </row>
    <row r="133" spans="1:10" x14ac:dyDescent="0.4">
      <c r="A133" s="3" t="s">
        <v>52</v>
      </c>
      <c r="B133" s="3" t="s">
        <v>3796</v>
      </c>
      <c r="C133" s="3">
        <v>2494</v>
      </c>
      <c r="D133" s="44" t="s">
        <v>3797</v>
      </c>
      <c r="E133" s="3">
        <v>2024</v>
      </c>
      <c r="F133" s="127"/>
      <c r="G133" s="86"/>
      <c r="H133" s="3" t="s">
        <v>3700</v>
      </c>
      <c r="I133" s="30">
        <f>F133</f>
        <v>0</v>
      </c>
      <c r="J133" s="3"/>
    </row>
    <row r="134" spans="1:10" x14ac:dyDescent="0.4">
      <c r="A134" s="3" t="s">
        <v>52</v>
      </c>
      <c r="B134" s="3" t="s">
        <v>3796</v>
      </c>
      <c r="C134" s="3">
        <v>2494</v>
      </c>
      <c r="D134" s="44" t="s">
        <v>3798</v>
      </c>
      <c r="E134" s="3">
        <v>2024</v>
      </c>
      <c r="F134" s="127"/>
      <c r="G134" s="86"/>
      <c r="H134" s="3" t="s">
        <v>3700</v>
      </c>
      <c r="I134" s="30">
        <f t="shared" ref="I134:I180" si="7">F134</f>
        <v>0</v>
      </c>
      <c r="J134" s="3"/>
    </row>
    <row r="135" spans="1:10" x14ac:dyDescent="0.4">
      <c r="A135" s="3" t="s">
        <v>52</v>
      </c>
      <c r="B135" s="3" t="s">
        <v>3796</v>
      </c>
      <c r="C135" s="3">
        <v>2494</v>
      </c>
      <c r="D135" s="44" t="s">
        <v>3799</v>
      </c>
      <c r="E135" s="3">
        <v>2024</v>
      </c>
      <c r="F135" s="127"/>
      <c r="G135" s="86"/>
      <c r="H135" s="3" t="s">
        <v>3700</v>
      </c>
      <c r="I135" s="30">
        <f t="shared" si="7"/>
        <v>0</v>
      </c>
      <c r="J135" s="3"/>
    </row>
    <row r="136" spans="1:10" x14ac:dyDescent="0.4">
      <c r="A136" s="3" t="s">
        <v>52</v>
      </c>
      <c r="B136" s="3" t="s">
        <v>3796</v>
      </c>
      <c r="C136" s="3">
        <v>2494</v>
      </c>
      <c r="D136" s="44" t="s">
        <v>3800</v>
      </c>
      <c r="E136" s="3">
        <v>2024</v>
      </c>
      <c r="F136" s="127"/>
      <c r="G136" s="86"/>
      <c r="H136" s="3" t="s">
        <v>3700</v>
      </c>
      <c r="I136" s="30">
        <f t="shared" si="7"/>
        <v>0</v>
      </c>
      <c r="J136" s="3"/>
    </row>
    <row r="137" spans="1:10" x14ac:dyDescent="0.4">
      <c r="A137" s="3" t="s">
        <v>52</v>
      </c>
      <c r="B137" s="3" t="s">
        <v>3796</v>
      </c>
      <c r="C137" s="3">
        <v>2494</v>
      </c>
      <c r="D137" s="44" t="s">
        <v>3801</v>
      </c>
      <c r="E137" s="3">
        <v>2024</v>
      </c>
      <c r="F137" s="127"/>
      <c r="G137" s="86"/>
      <c r="H137" s="3" t="s">
        <v>3700</v>
      </c>
      <c r="I137" s="30">
        <f t="shared" si="7"/>
        <v>0</v>
      </c>
      <c r="J137" s="3"/>
    </row>
    <row r="138" spans="1:10" x14ac:dyDescent="0.4">
      <c r="A138" s="3" t="s">
        <v>52</v>
      </c>
      <c r="B138" s="3" t="s">
        <v>3796</v>
      </c>
      <c r="C138" s="3">
        <v>2494</v>
      </c>
      <c r="D138" s="44" t="s">
        <v>3802</v>
      </c>
      <c r="E138" s="3">
        <v>2024</v>
      </c>
      <c r="F138" s="127"/>
      <c r="G138" s="86"/>
      <c r="H138" s="3" t="s">
        <v>3700</v>
      </c>
      <c r="I138" s="30">
        <f t="shared" si="7"/>
        <v>0</v>
      </c>
      <c r="J138" s="3"/>
    </row>
    <row r="139" spans="1:10" x14ac:dyDescent="0.4">
      <c r="A139" s="3" t="s">
        <v>52</v>
      </c>
      <c r="B139" s="3" t="s">
        <v>3796</v>
      </c>
      <c r="C139" s="3">
        <v>2494</v>
      </c>
      <c r="D139" s="44" t="s">
        <v>3803</v>
      </c>
      <c r="E139" s="3">
        <v>2024</v>
      </c>
      <c r="F139" s="127"/>
      <c r="G139" s="86"/>
      <c r="H139" s="3" t="s">
        <v>3700</v>
      </c>
      <c r="I139" s="30">
        <f t="shared" si="7"/>
        <v>0</v>
      </c>
      <c r="J139" s="3"/>
    </row>
    <row r="140" spans="1:10" x14ac:dyDescent="0.4">
      <c r="A140" s="3" t="s">
        <v>52</v>
      </c>
      <c r="B140" s="3" t="s">
        <v>3796</v>
      </c>
      <c r="C140" s="3">
        <v>2494</v>
      </c>
      <c r="D140" s="44" t="s">
        <v>3804</v>
      </c>
      <c r="E140" s="3">
        <v>2024</v>
      </c>
      <c r="F140" s="127"/>
      <c r="G140" s="86"/>
      <c r="H140" s="3" t="s">
        <v>3700</v>
      </c>
      <c r="I140" s="30">
        <f t="shared" si="7"/>
        <v>0</v>
      </c>
      <c r="J140" s="3"/>
    </row>
    <row r="141" spans="1:10" x14ac:dyDescent="0.4">
      <c r="A141" s="3" t="s">
        <v>52</v>
      </c>
      <c r="B141" s="3" t="s">
        <v>3796</v>
      </c>
      <c r="C141" s="3">
        <v>2494</v>
      </c>
      <c r="D141" s="44" t="s">
        <v>3805</v>
      </c>
      <c r="E141" s="3">
        <v>2024</v>
      </c>
      <c r="F141" s="127">
        <v>826.8</v>
      </c>
      <c r="G141" s="86">
        <v>14019</v>
      </c>
      <c r="H141" s="3" t="s">
        <v>3700</v>
      </c>
      <c r="I141" s="30">
        <f t="shared" si="7"/>
        <v>826.8</v>
      </c>
      <c r="J141" s="3"/>
    </row>
    <row r="142" spans="1:10" x14ac:dyDescent="0.4">
      <c r="A142" s="3" t="s">
        <v>52</v>
      </c>
      <c r="B142" s="3" t="s">
        <v>3796</v>
      </c>
      <c r="C142" s="3">
        <v>2494</v>
      </c>
      <c r="D142" s="44" t="s">
        <v>3806</v>
      </c>
      <c r="E142" s="3">
        <v>2024</v>
      </c>
      <c r="F142" s="127">
        <v>561.9</v>
      </c>
      <c r="G142" s="86">
        <v>9524.1</v>
      </c>
      <c r="H142" s="3" t="s">
        <v>3700</v>
      </c>
      <c r="I142" s="30">
        <f t="shared" si="7"/>
        <v>561.9</v>
      </c>
      <c r="J142" s="3"/>
    </row>
    <row r="143" spans="1:10" x14ac:dyDescent="0.4">
      <c r="A143" s="3" t="s">
        <v>52</v>
      </c>
      <c r="B143" s="3" t="s">
        <v>3796</v>
      </c>
      <c r="C143" s="3">
        <v>2494</v>
      </c>
      <c r="D143" s="44" t="s">
        <v>3807</v>
      </c>
      <c r="E143" s="3">
        <v>2024</v>
      </c>
      <c r="F143" s="127">
        <v>1284.2</v>
      </c>
      <c r="G143" s="86">
        <v>21773.4</v>
      </c>
      <c r="H143" s="3" t="s">
        <v>3700</v>
      </c>
      <c r="I143" s="30">
        <f t="shared" si="7"/>
        <v>1284.2</v>
      </c>
      <c r="J143" s="3"/>
    </row>
    <row r="144" spans="1:10" x14ac:dyDescent="0.4">
      <c r="A144" s="3" t="s">
        <v>52</v>
      </c>
      <c r="B144" s="3" t="s">
        <v>3796</v>
      </c>
      <c r="C144" s="3">
        <v>2494</v>
      </c>
      <c r="D144" s="44" t="s">
        <v>3808</v>
      </c>
      <c r="E144" s="3">
        <v>2024</v>
      </c>
      <c r="F144" s="127">
        <v>654.20000000000005</v>
      </c>
      <c r="G144" s="86">
        <v>11091.6</v>
      </c>
      <c r="H144" s="3" t="s">
        <v>3700</v>
      </c>
      <c r="I144" s="30">
        <f t="shared" si="7"/>
        <v>654.20000000000005</v>
      </c>
      <c r="J144" s="3"/>
    </row>
    <row r="145" spans="1:10" x14ac:dyDescent="0.4">
      <c r="A145" s="3" t="s">
        <v>52</v>
      </c>
      <c r="B145" s="3" t="s">
        <v>3796</v>
      </c>
      <c r="C145" s="3">
        <v>2494</v>
      </c>
      <c r="D145" s="44" t="s">
        <v>3809</v>
      </c>
      <c r="E145" s="3">
        <v>2024</v>
      </c>
      <c r="F145" s="127">
        <v>681.2</v>
      </c>
      <c r="G145" s="86">
        <v>11551.1</v>
      </c>
      <c r="H145" s="3" t="s">
        <v>3700</v>
      </c>
      <c r="I145" s="30">
        <f t="shared" si="7"/>
        <v>681.2</v>
      </c>
      <c r="J145" s="3"/>
    </row>
    <row r="146" spans="1:10" x14ac:dyDescent="0.4">
      <c r="A146" s="3" t="s">
        <v>52</v>
      </c>
      <c r="B146" s="3" t="s">
        <v>3796</v>
      </c>
      <c r="C146" s="3">
        <v>2494</v>
      </c>
      <c r="D146" s="44" t="s">
        <v>3810</v>
      </c>
      <c r="E146" s="3">
        <v>2024</v>
      </c>
      <c r="F146" s="127">
        <v>591.79999999999995</v>
      </c>
      <c r="G146" s="86">
        <v>10033.4</v>
      </c>
      <c r="H146" s="3" t="s">
        <v>3700</v>
      </c>
      <c r="I146" s="30">
        <f t="shared" si="7"/>
        <v>591.79999999999995</v>
      </c>
      <c r="J146" s="3"/>
    </row>
    <row r="147" spans="1:10" x14ac:dyDescent="0.4">
      <c r="A147" s="3" t="s">
        <v>52</v>
      </c>
      <c r="B147" s="3" t="s">
        <v>3796</v>
      </c>
      <c r="C147" s="3">
        <v>2494</v>
      </c>
      <c r="D147" s="44" t="s">
        <v>3811</v>
      </c>
      <c r="E147" s="3">
        <v>2024</v>
      </c>
      <c r="F147" s="127">
        <v>1053.0999999999999</v>
      </c>
      <c r="G147" s="86">
        <v>17844.8</v>
      </c>
      <c r="H147" s="3" t="s">
        <v>3700</v>
      </c>
      <c r="I147" s="30">
        <f t="shared" si="7"/>
        <v>1053.0999999999999</v>
      </c>
      <c r="J147" s="3"/>
    </row>
    <row r="148" spans="1:10" x14ac:dyDescent="0.4">
      <c r="A148" s="3" t="s">
        <v>52</v>
      </c>
      <c r="B148" s="3" t="s">
        <v>3796</v>
      </c>
      <c r="C148" s="3">
        <v>2494</v>
      </c>
      <c r="D148" s="44" t="s">
        <v>3812</v>
      </c>
      <c r="E148" s="3">
        <v>2024</v>
      </c>
      <c r="F148" s="127">
        <v>862.2</v>
      </c>
      <c r="G148" s="86">
        <v>14606.2</v>
      </c>
      <c r="H148" s="3" t="s">
        <v>3700</v>
      </c>
      <c r="I148" s="30">
        <f t="shared" si="7"/>
        <v>862.2</v>
      </c>
      <c r="J148" s="3"/>
    </row>
    <row r="149" spans="1:10" x14ac:dyDescent="0.4">
      <c r="A149" s="3" t="s">
        <v>52</v>
      </c>
      <c r="B149" s="3" t="s">
        <v>3796</v>
      </c>
      <c r="C149" s="3">
        <v>2494</v>
      </c>
      <c r="D149" s="44" t="s">
        <v>3813</v>
      </c>
      <c r="E149" s="3">
        <v>2024</v>
      </c>
      <c r="F149" s="127">
        <v>382.4</v>
      </c>
      <c r="G149" s="86">
        <v>6478.6</v>
      </c>
      <c r="H149" s="3" t="s">
        <v>3700</v>
      </c>
      <c r="I149" s="30">
        <f t="shared" si="7"/>
        <v>382.4</v>
      </c>
      <c r="J149" s="3"/>
    </row>
    <row r="150" spans="1:10" x14ac:dyDescent="0.4">
      <c r="A150" s="3" t="s">
        <v>52</v>
      </c>
      <c r="B150" s="3" t="s">
        <v>3796</v>
      </c>
      <c r="C150" s="3">
        <v>2494</v>
      </c>
      <c r="D150" s="44" t="s">
        <v>3814</v>
      </c>
      <c r="E150" s="3">
        <v>2024</v>
      </c>
      <c r="F150" s="127">
        <v>629.79999999999995</v>
      </c>
      <c r="G150" s="86">
        <v>10675.7</v>
      </c>
      <c r="H150" s="3" t="s">
        <v>3700</v>
      </c>
      <c r="I150" s="30">
        <f t="shared" si="7"/>
        <v>629.79999999999995</v>
      </c>
      <c r="J150" s="3"/>
    </row>
    <row r="151" spans="1:10" x14ac:dyDescent="0.4">
      <c r="A151" s="3" t="s">
        <v>52</v>
      </c>
      <c r="B151" s="3" t="s">
        <v>3796</v>
      </c>
      <c r="C151" s="3">
        <v>2494</v>
      </c>
      <c r="D151" s="44" t="s">
        <v>3815</v>
      </c>
      <c r="E151" s="3">
        <v>2024</v>
      </c>
      <c r="F151" s="127">
        <v>657</v>
      </c>
      <c r="G151" s="86">
        <v>11132.7</v>
      </c>
      <c r="H151" s="3" t="s">
        <v>3700</v>
      </c>
      <c r="I151" s="30">
        <f t="shared" si="7"/>
        <v>657</v>
      </c>
      <c r="J151" s="3"/>
    </row>
    <row r="152" spans="1:10" x14ac:dyDescent="0.4">
      <c r="A152" s="3" t="s">
        <v>52</v>
      </c>
      <c r="B152" s="3" t="s">
        <v>3796</v>
      </c>
      <c r="C152" s="3">
        <v>2494</v>
      </c>
      <c r="D152" s="44" t="s">
        <v>3816</v>
      </c>
      <c r="E152" s="3">
        <v>2024</v>
      </c>
      <c r="F152" s="127">
        <v>202.1</v>
      </c>
      <c r="G152" s="86">
        <v>3426.6</v>
      </c>
      <c r="H152" s="3" t="s">
        <v>3700</v>
      </c>
      <c r="I152" s="30">
        <f t="shared" si="7"/>
        <v>202.1</v>
      </c>
      <c r="J152" s="3"/>
    </row>
    <row r="153" spans="1:10" x14ac:dyDescent="0.4">
      <c r="A153" s="3" t="s">
        <v>52</v>
      </c>
      <c r="B153" s="3" t="s">
        <v>3796</v>
      </c>
      <c r="C153" s="3">
        <v>2494</v>
      </c>
      <c r="D153" s="44" t="s">
        <v>3817</v>
      </c>
      <c r="E153" s="3">
        <v>2024</v>
      </c>
      <c r="F153" s="127">
        <v>795.4</v>
      </c>
      <c r="G153" s="86">
        <v>13484.7</v>
      </c>
      <c r="H153" s="3" t="s">
        <v>3700</v>
      </c>
      <c r="I153" s="30">
        <f t="shared" si="7"/>
        <v>795.4</v>
      </c>
      <c r="J153" s="3"/>
    </row>
    <row r="154" spans="1:10" x14ac:dyDescent="0.4">
      <c r="A154" s="3" t="s">
        <v>52</v>
      </c>
      <c r="B154" s="3" t="s">
        <v>3796</v>
      </c>
      <c r="C154" s="3">
        <v>2494</v>
      </c>
      <c r="D154" s="44" t="s">
        <v>3818</v>
      </c>
      <c r="E154" s="3">
        <v>2024</v>
      </c>
      <c r="F154" s="127">
        <v>322.3</v>
      </c>
      <c r="G154" s="86">
        <v>5459.3</v>
      </c>
      <c r="H154" s="3" t="s">
        <v>3700</v>
      </c>
      <c r="I154" s="30">
        <f t="shared" si="7"/>
        <v>322.3</v>
      </c>
      <c r="J154" s="3"/>
    </row>
    <row r="155" spans="1:10" x14ac:dyDescent="0.4">
      <c r="A155" s="3" t="s">
        <v>52</v>
      </c>
      <c r="B155" s="3" t="s">
        <v>3796</v>
      </c>
      <c r="C155" s="3">
        <v>2494</v>
      </c>
      <c r="D155" s="44" t="s">
        <v>3819</v>
      </c>
      <c r="E155" s="3">
        <v>2024</v>
      </c>
      <c r="F155" s="127">
        <v>879.8</v>
      </c>
      <c r="G155" s="86">
        <v>14924.4</v>
      </c>
      <c r="H155" s="3" t="s">
        <v>3700</v>
      </c>
      <c r="I155" s="30">
        <f t="shared" si="7"/>
        <v>879.8</v>
      </c>
      <c r="J155" s="3"/>
    </row>
    <row r="156" spans="1:10" x14ac:dyDescent="0.4">
      <c r="A156" s="3" t="s">
        <v>52</v>
      </c>
      <c r="B156" s="3" t="s">
        <v>3796</v>
      </c>
      <c r="C156" s="3">
        <v>2494</v>
      </c>
      <c r="D156" s="44" t="s">
        <v>3820</v>
      </c>
      <c r="E156" s="3">
        <v>2024</v>
      </c>
      <c r="F156" s="127">
        <v>911.7</v>
      </c>
      <c r="G156" s="86">
        <v>15454.1</v>
      </c>
      <c r="H156" s="3" t="s">
        <v>3700</v>
      </c>
      <c r="I156" s="30">
        <f t="shared" si="7"/>
        <v>911.7</v>
      </c>
      <c r="J156" s="3"/>
    </row>
    <row r="157" spans="1:10" x14ac:dyDescent="0.4">
      <c r="A157" s="3" t="s">
        <v>52</v>
      </c>
      <c r="B157" s="3" t="s">
        <v>3796</v>
      </c>
      <c r="C157" s="3">
        <v>2494</v>
      </c>
      <c r="D157" s="44" t="s">
        <v>3821</v>
      </c>
      <c r="E157" s="3">
        <v>2024</v>
      </c>
      <c r="F157" s="127"/>
      <c r="G157" s="86"/>
      <c r="H157" s="3" t="s">
        <v>3700</v>
      </c>
      <c r="I157" s="30">
        <f t="shared" si="7"/>
        <v>0</v>
      </c>
      <c r="J157" s="3"/>
    </row>
    <row r="158" spans="1:10" x14ac:dyDescent="0.4">
      <c r="A158" s="3" t="s">
        <v>52</v>
      </c>
      <c r="B158" s="3" t="s">
        <v>3796</v>
      </c>
      <c r="C158" s="3">
        <v>2494</v>
      </c>
      <c r="D158" s="44" t="s">
        <v>3822</v>
      </c>
      <c r="E158" s="3">
        <v>2024</v>
      </c>
      <c r="F158" s="127"/>
      <c r="G158" s="86"/>
      <c r="H158" s="3" t="s">
        <v>3700</v>
      </c>
      <c r="I158" s="30">
        <f t="shared" si="7"/>
        <v>0</v>
      </c>
      <c r="J158" s="3"/>
    </row>
    <row r="159" spans="1:10" x14ac:dyDescent="0.4">
      <c r="A159" s="3" t="s">
        <v>52</v>
      </c>
      <c r="B159" s="3" t="s">
        <v>3796</v>
      </c>
      <c r="C159" s="3">
        <v>2494</v>
      </c>
      <c r="D159" s="44" t="s">
        <v>3823</v>
      </c>
      <c r="E159" s="3">
        <v>2024</v>
      </c>
      <c r="F159" s="127"/>
      <c r="G159" s="86"/>
      <c r="H159" s="3" t="s">
        <v>3700</v>
      </c>
      <c r="I159" s="30">
        <f t="shared" si="7"/>
        <v>0</v>
      </c>
      <c r="J159" s="3"/>
    </row>
    <row r="160" spans="1:10" x14ac:dyDescent="0.4">
      <c r="A160" s="3" t="s">
        <v>52</v>
      </c>
      <c r="B160" s="3" t="s">
        <v>3796</v>
      </c>
      <c r="C160" s="3">
        <v>2494</v>
      </c>
      <c r="D160" s="44" t="s">
        <v>3824</v>
      </c>
      <c r="E160" s="3">
        <v>2024</v>
      </c>
      <c r="F160" s="127"/>
      <c r="G160" s="86"/>
      <c r="H160" s="3" t="s">
        <v>3700</v>
      </c>
      <c r="I160" s="30">
        <f t="shared" si="7"/>
        <v>0</v>
      </c>
      <c r="J160" s="3"/>
    </row>
    <row r="161" spans="1:10" x14ac:dyDescent="0.4">
      <c r="A161" s="3" t="s">
        <v>52</v>
      </c>
      <c r="B161" s="3" t="s">
        <v>3796</v>
      </c>
      <c r="C161" s="3">
        <v>2494</v>
      </c>
      <c r="D161" s="44" t="s">
        <v>3825</v>
      </c>
      <c r="E161" s="3">
        <v>2024</v>
      </c>
      <c r="F161" s="127"/>
      <c r="G161" s="86"/>
      <c r="H161" s="3" t="s">
        <v>3700</v>
      </c>
      <c r="I161" s="30">
        <f t="shared" si="7"/>
        <v>0</v>
      </c>
      <c r="J161" s="3"/>
    </row>
    <row r="162" spans="1:10" x14ac:dyDescent="0.4">
      <c r="A162" s="3" t="s">
        <v>52</v>
      </c>
      <c r="B162" s="3" t="s">
        <v>3796</v>
      </c>
      <c r="C162" s="3">
        <v>2494</v>
      </c>
      <c r="D162" s="44" t="s">
        <v>3826</v>
      </c>
      <c r="E162" s="3">
        <v>2024</v>
      </c>
      <c r="F162" s="127"/>
      <c r="G162" s="86"/>
      <c r="H162" s="3" t="s">
        <v>3700</v>
      </c>
      <c r="I162" s="30">
        <f t="shared" si="7"/>
        <v>0</v>
      </c>
      <c r="J162" s="3"/>
    </row>
    <row r="163" spans="1:10" x14ac:dyDescent="0.4">
      <c r="A163" s="3" t="s">
        <v>52</v>
      </c>
      <c r="B163" s="3" t="s">
        <v>3796</v>
      </c>
      <c r="C163" s="3">
        <v>2494</v>
      </c>
      <c r="D163" s="44" t="s">
        <v>3827</v>
      </c>
      <c r="E163" s="3">
        <v>2024</v>
      </c>
      <c r="F163" s="127"/>
      <c r="G163" s="86"/>
      <c r="H163" s="3" t="s">
        <v>3700</v>
      </c>
      <c r="I163" s="30">
        <f t="shared" si="7"/>
        <v>0</v>
      </c>
      <c r="J163" s="3"/>
    </row>
    <row r="164" spans="1:10" x14ac:dyDescent="0.4">
      <c r="A164" s="3" t="s">
        <v>52</v>
      </c>
      <c r="B164" s="3" t="s">
        <v>3796</v>
      </c>
      <c r="C164" s="3">
        <v>2494</v>
      </c>
      <c r="D164" s="44" t="s">
        <v>3828</v>
      </c>
      <c r="E164" s="3">
        <v>2024</v>
      </c>
      <c r="F164" s="127"/>
      <c r="G164" s="86"/>
      <c r="H164" s="3" t="s">
        <v>3700</v>
      </c>
      <c r="I164" s="30">
        <f t="shared" si="7"/>
        <v>0</v>
      </c>
      <c r="J164" s="3"/>
    </row>
    <row r="165" spans="1:10" x14ac:dyDescent="0.4">
      <c r="A165" s="3" t="s">
        <v>52</v>
      </c>
      <c r="B165" s="3" t="s">
        <v>3829</v>
      </c>
      <c r="C165" s="3">
        <v>2499</v>
      </c>
      <c r="D165" s="44" t="s">
        <v>3797</v>
      </c>
      <c r="E165" s="3">
        <v>2024</v>
      </c>
      <c r="F165" s="127">
        <v>2867</v>
      </c>
      <c r="G165" s="86">
        <v>46341.2</v>
      </c>
      <c r="H165" s="3" t="s">
        <v>3700</v>
      </c>
      <c r="I165" s="30">
        <f t="shared" si="7"/>
        <v>2867</v>
      </c>
      <c r="J165" s="3"/>
    </row>
    <row r="166" spans="1:10" x14ac:dyDescent="0.4">
      <c r="A166" s="3" t="s">
        <v>52</v>
      </c>
      <c r="B166" s="3" t="s">
        <v>3829</v>
      </c>
      <c r="C166" s="3">
        <v>2499</v>
      </c>
      <c r="D166" s="44" t="s">
        <v>3798</v>
      </c>
      <c r="E166" s="3">
        <v>2024</v>
      </c>
      <c r="F166" s="127">
        <v>1693.6</v>
      </c>
      <c r="G166" s="86">
        <v>28700</v>
      </c>
      <c r="H166" s="3" t="s">
        <v>3700</v>
      </c>
      <c r="I166" s="30">
        <f t="shared" si="7"/>
        <v>1693.6</v>
      </c>
      <c r="J166" s="3"/>
    </row>
    <row r="167" spans="1:10" x14ac:dyDescent="0.4">
      <c r="A167" s="3" t="s">
        <v>52</v>
      </c>
      <c r="B167" s="3" t="s">
        <v>3829</v>
      </c>
      <c r="C167" s="3">
        <v>2499</v>
      </c>
      <c r="D167" s="44" t="s">
        <v>3799</v>
      </c>
      <c r="E167" s="3">
        <v>2024</v>
      </c>
      <c r="F167" s="127">
        <v>1989</v>
      </c>
      <c r="G167" s="86">
        <v>33689.5</v>
      </c>
      <c r="H167" s="3" t="s">
        <v>3700</v>
      </c>
      <c r="I167" s="30">
        <f t="shared" si="7"/>
        <v>1989</v>
      </c>
      <c r="J167" s="3"/>
    </row>
    <row r="168" spans="1:10" x14ac:dyDescent="0.4">
      <c r="A168" s="3" t="s">
        <v>52</v>
      </c>
      <c r="B168" s="3" t="s">
        <v>3829</v>
      </c>
      <c r="C168" s="3">
        <v>2499</v>
      </c>
      <c r="D168" s="44" t="s">
        <v>3800</v>
      </c>
      <c r="E168" s="3">
        <v>2024</v>
      </c>
      <c r="F168" s="127">
        <v>2479.3000000000002</v>
      </c>
      <c r="G168" s="86">
        <v>41410.5</v>
      </c>
      <c r="H168" s="3" t="s">
        <v>3700</v>
      </c>
      <c r="I168" s="30">
        <f t="shared" si="7"/>
        <v>2479.3000000000002</v>
      </c>
      <c r="J168" s="3"/>
    </row>
    <row r="169" spans="1:10" x14ac:dyDescent="0.4">
      <c r="A169" s="3" t="s">
        <v>52</v>
      </c>
      <c r="B169" s="3" t="s">
        <v>3829</v>
      </c>
      <c r="C169" s="3">
        <v>2499</v>
      </c>
      <c r="D169" s="44" t="s">
        <v>3801</v>
      </c>
      <c r="E169" s="3">
        <v>2024</v>
      </c>
      <c r="F169" s="127">
        <v>3798.9</v>
      </c>
      <c r="G169" s="86">
        <v>64358.400000000001</v>
      </c>
      <c r="H169" s="3" t="s">
        <v>3700</v>
      </c>
      <c r="I169" s="30">
        <f t="shared" si="7"/>
        <v>3798.9</v>
      </c>
      <c r="J169" s="3"/>
    </row>
    <row r="170" spans="1:10" x14ac:dyDescent="0.4">
      <c r="A170" s="3" t="s">
        <v>52</v>
      </c>
      <c r="B170" s="3" t="s">
        <v>3829</v>
      </c>
      <c r="C170" s="3">
        <v>2499</v>
      </c>
      <c r="D170" s="44" t="s">
        <v>3802</v>
      </c>
      <c r="E170" s="3">
        <v>2024</v>
      </c>
      <c r="F170" s="127">
        <v>1862.6</v>
      </c>
      <c r="G170" s="86">
        <v>31551.5</v>
      </c>
      <c r="H170" s="3" t="s">
        <v>3700</v>
      </c>
      <c r="I170" s="30">
        <f t="shared" si="7"/>
        <v>1862.6</v>
      </c>
      <c r="J170" s="3"/>
    </row>
    <row r="171" spans="1:10" x14ac:dyDescent="0.4">
      <c r="A171" s="3" t="s">
        <v>52</v>
      </c>
      <c r="B171" s="3" t="s">
        <v>3829</v>
      </c>
      <c r="C171" s="3">
        <v>2499</v>
      </c>
      <c r="D171" s="44" t="s">
        <v>3803</v>
      </c>
      <c r="E171" s="3">
        <v>2024</v>
      </c>
      <c r="F171" s="127">
        <v>3104</v>
      </c>
      <c r="G171" s="86">
        <v>50692.3</v>
      </c>
      <c r="H171" s="3" t="s">
        <v>3700</v>
      </c>
      <c r="I171" s="30">
        <f t="shared" si="7"/>
        <v>3104</v>
      </c>
      <c r="J171" s="3"/>
    </row>
    <row r="172" spans="1:10" x14ac:dyDescent="0.4">
      <c r="A172" s="3" t="s">
        <v>52</v>
      </c>
      <c r="B172" s="3" t="s">
        <v>3829</v>
      </c>
      <c r="C172" s="3">
        <v>2499</v>
      </c>
      <c r="D172" s="44" t="s">
        <v>3804</v>
      </c>
      <c r="E172" s="3">
        <v>2024</v>
      </c>
      <c r="F172" s="127">
        <v>1874.1</v>
      </c>
      <c r="G172" s="86">
        <v>31747.9</v>
      </c>
      <c r="H172" s="3" t="s">
        <v>3700</v>
      </c>
      <c r="I172" s="30">
        <f t="shared" si="7"/>
        <v>1874.1</v>
      </c>
      <c r="J172" s="3"/>
    </row>
    <row r="173" spans="1:10" x14ac:dyDescent="0.4">
      <c r="A173" s="3" t="s">
        <v>52</v>
      </c>
      <c r="B173" s="3" t="s">
        <v>3829</v>
      </c>
      <c r="C173" s="3">
        <v>2499</v>
      </c>
      <c r="D173" s="44" t="s">
        <v>3805</v>
      </c>
      <c r="E173" s="3">
        <v>2024</v>
      </c>
      <c r="F173" s="127">
        <v>3724.7</v>
      </c>
      <c r="G173" s="86">
        <v>62098.5</v>
      </c>
      <c r="H173" s="3" t="s">
        <v>3700</v>
      </c>
      <c r="I173" s="30">
        <f t="shared" si="7"/>
        <v>3724.7</v>
      </c>
      <c r="J173" s="3"/>
    </row>
    <row r="174" spans="1:10" x14ac:dyDescent="0.4">
      <c r="A174" s="3" t="s">
        <v>52</v>
      </c>
      <c r="B174" s="3" t="s">
        <v>3829</v>
      </c>
      <c r="C174" s="3">
        <v>2499</v>
      </c>
      <c r="D174" s="44" t="s">
        <v>3806</v>
      </c>
      <c r="E174" s="3">
        <v>2024</v>
      </c>
      <c r="F174" s="127">
        <v>1961.7</v>
      </c>
      <c r="G174" s="86">
        <v>32331</v>
      </c>
      <c r="H174" s="3" t="s">
        <v>3700</v>
      </c>
      <c r="I174" s="30">
        <f t="shared" si="7"/>
        <v>1961.7</v>
      </c>
      <c r="J174" s="3"/>
    </row>
    <row r="175" spans="1:10" x14ac:dyDescent="0.4">
      <c r="A175" s="3" t="s">
        <v>52</v>
      </c>
      <c r="B175" s="3" t="s">
        <v>3829</v>
      </c>
      <c r="C175" s="3">
        <v>2499</v>
      </c>
      <c r="D175" s="44" t="s">
        <v>3807</v>
      </c>
      <c r="E175" s="3">
        <v>2024</v>
      </c>
      <c r="F175" s="127">
        <v>2237</v>
      </c>
      <c r="G175" s="86">
        <v>37147.199999999997</v>
      </c>
      <c r="H175" s="3" t="s">
        <v>3700</v>
      </c>
      <c r="I175" s="30">
        <f t="shared" si="7"/>
        <v>2237</v>
      </c>
      <c r="J175" s="3"/>
    </row>
    <row r="176" spans="1:10" x14ac:dyDescent="0.4">
      <c r="A176" s="3" t="s">
        <v>52</v>
      </c>
      <c r="B176" s="3" t="s">
        <v>3829</v>
      </c>
      <c r="C176" s="3">
        <v>2499</v>
      </c>
      <c r="D176" s="44" t="s">
        <v>3808</v>
      </c>
      <c r="E176" s="3">
        <v>2024</v>
      </c>
      <c r="F176" s="127">
        <v>2806.5</v>
      </c>
      <c r="G176" s="86">
        <v>46682.1</v>
      </c>
      <c r="H176" s="3" t="s">
        <v>3700</v>
      </c>
      <c r="I176" s="30">
        <f t="shared" si="7"/>
        <v>2806.5</v>
      </c>
      <c r="J176" s="3"/>
    </row>
    <row r="177" spans="1:10" x14ac:dyDescent="0.4">
      <c r="A177" s="3" t="s">
        <v>52</v>
      </c>
      <c r="B177" s="3" t="s">
        <v>3829</v>
      </c>
      <c r="C177" s="3">
        <v>2499</v>
      </c>
      <c r="D177" s="44" t="s">
        <v>3809</v>
      </c>
      <c r="E177" s="3">
        <v>2024</v>
      </c>
      <c r="F177" s="127">
        <v>3434.1</v>
      </c>
      <c r="G177" s="86">
        <v>55512.1</v>
      </c>
      <c r="H177" s="3" t="s">
        <v>3700</v>
      </c>
      <c r="I177" s="30">
        <f t="shared" si="7"/>
        <v>3434.1</v>
      </c>
      <c r="J177" s="3"/>
    </row>
    <row r="178" spans="1:10" x14ac:dyDescent="0.4">
      <c r="A178" s="3" t="s">
        <v>52</v>
      </c>
      <c r="B178" s="3" t="s">
        <v>3829</v>
      </c>
      <c r="C178" s="3">
        <v>2499</v>
      </c>
      <c r="D178" s="44" t="s">
        <v>3810</v>
      </c>
      <c r="E178" s="3">
        <v>2024</v>
      </c>
      <c r="F178" s="127">
        <v>2420.8000000000002</v>
      </c>
      <c r="G178" s="86">
        <v>40972.300000000003</v>
      </c>
      <c r="H178" s="3" t="s">
        <v>3700</v>
      </c>
      <c r="I178" s="30">
        <f t="shared" si="7"/>
        <v>2420.8000000000002</v>
      </c>
      <c r="J178" s="3"/>
    </row>
    <row r="179" spans="1:10" x14ac:dyDescent="0.4">
      <c r="A179" s="3" t="s">
        <v>52</v>
      </c>
      <c r="B179" s="3" t="s">
        <v>3829</v>
      </c>
      <c r="C179" s="3">
        <v>2499</v>
      </c>
      <c r="D179" s="44" t="s">
        <v>3811</v>
      </c>
      <c r="E179" s="3">
        <v>2024</v>
      </c>
      <c r="F179" s="127">
        <v>2242.5</v>
      </c>
      <c r="G179" s="86">
        <v>37442.300000000003</v>
      </c>
      <c r="H179" s="3" t="s">
        <v>3700</v>
      </c>
      <c r="I179" s="30">
        <f t="shared" si="7"/>
        <v>2242.5</v>
      </c>
      <c r="J179" s="3"/>
    </row>
    <row r="180" spans="1:10" x14ac:dyDescent="0.4">
      <c r="A180" s="3" t="s">
        <v>52</v>
      </c>
      <c r="B180" s="3" t="s">
        <v>3829</v>
      </c>
      <c r="C180" s="3">
        <v>2499</v>
      </c>
      <c r="D180" s="44" t="s">
        <v>3812</v>
      </c>
      <c r="E180" s="3">
        <v>2024</v>
      </c>
      <c r="F180" s="127">
        <v>1480</v>
      </c>
      <c r="G180" s="86">
        <v>24937.9</v>
      </c>
      <c r="H180" s="3" t="s">
        <v>3700</v>
      </c>
      <c r="I180" s="30">
        <f t="shared" si="7"/>
        <v>1480</v>
      </c>
      <c r="J180" s="3"/>
    </row>
    <row r="181" spans="1:10" x14ac:dyDescent="0.4">
      <c r="A181" s="3" t="s">
        <v>52</v>
      </c>
      <c r="B181" s="3" t="s">
        <v>3830</v>
      </c>
      <c r="C181" s="3">
        <v>2500</v>
      </c>
      <c r="D181" s="44">
        <v>10</v>
      </c>
      <c r="E181" s="3">
        <v>2024</v>
      </c>
      <c r="F181" s="127">
        <v>95368.817999999999</v>
      </c>
      <c r="G181" s="86">
        <v>1602610.0419999999</v>
      </c>
      <c r="H181" s="3" t="s">
        <v>3702</v>
      </c>
      <c r="I181" s="30">
        <f t="shared" ref="I181:I245" si="8">F181</f>
        <v>95368.817999999999</v>
      </c>
      <c r="J181" s="3"/>
    </row>
    <row r="182" spans="1:10" x14ac:dyDescent="0.4">
      <c r="A182" s="3" t="s">
        <v>52</v>
      </c>
      <c r="B182" s="3" t="s">
        <v>3830</v>
      </c>
      <c r="C182" s="3">
        <v>2500</v>
      </c>
      <c r="D182" s="44">
        <v>20</v>
      </c>
      <c r="E182" s="3">
        <v>2024</v>
      </c>
      <c r="F182" s="127">
        <v>144073.75399999999</v>
      </c>
      <c r="G182" s="86">
        <v>2416355.6090000002</v>
      </c>
      <c r="H182" s="3" t="s">
        <v>3702</v>
      </c>
      <c r="I182" s="30">
        <f t="shared" si="8"/>
        <v>144073.75399999999</v>
      </c>
      <c r="J182" s="3"/>
    </row>
    <row r="183" spans="1:10" x14ac:dyDescent="0.4">
      <c r="A183" s="3" t="s">
        <v>52</v>
      </c>
      <c r="B183" s="3" t="s">
        <v>3830</v>
      </c>
      <c r="C183" s="3">
        <v>2500</v>
      </c>
      <c r="D183" s="44">
        <v>30</v>
      </c>
      <c r="E183" s="3">
        <v>2024</v>
      </c>
      <c r="F183" s="127">
        <v>211928.16099999999</v>
      </c>
      <c r="G183" s="86">
        <v>3564564.1409999998</v>
      </c>
      <c r="H183" s="3" t="s">
        <v>3702</v>
      </c>
      <c r="I183" s="30">
        <f t="shared" si="8"/>
        <v>211928.16099999999</v>
      </c>
      <c r="J183" s="3"/>
    </row>
    <row r="184" spans="1:10" x14ac:dyDescent="0.4">
      <c r="A184" s="3" t="s">
        <v>52</v>
      </c>
      <c r="B184" s="3" t="s">
        <v>3830</v>
      </c>
      <c r="C184" s="3">
        <v>2500</v>
      </c>
      <c r="D184" s="44" t="s">
        <v>3831</v>
      </c>
      <c r="E184" s="3">
        <v>2024</v>
      </c>
      <c r="F184" s="127">
        <v>818834.14899999998</v>
      </c>
      <c r="G184" s="86">
        <v>13759725.073999999</v>
      </c>
      <c r="H184" s="3" t="s">
        <v>3707</v>
      </c>
      <c r="I184" s="30">
        <f t="shared" si="8"/>
        <v>818834.14899999998</v>
      </c>
      <c r="J184" s="3"/>
    </row>
    <row r="185" spans="1:10" x14ac:dyDescent="0.4">
      <c r="A185" s="3" t="s">
        <v>52</v>
      </c>
      <c r="B185" s="3" t="s">
        <v>501</v>
      </c>
      <c r="C185" s="3">
        <v>2504</v>
      </c>
      <c r="D185" s="44" t="s">
        <v>3794</v>
      </c>
      <c r="E185" s="3">
        <v>2024</v>
      </c>
      <c r="F185" s="93">
        <v>36.200000000000003</v>
      </c>
      <c r="G185" s="3">
        <v>446</v>
      </c>
      <c r="H185" s="3" t="s">
        <v>3700</v>
      </c>
      <c r="I185" s="30">
        <f t="shared" si="8"/>
        <v>36.200000000000003</v>
      </c>
      <c r="J185" s="3"/>
    </row>
    <row r="186" spans="1:10" x14ac:dyDescent="0.4">
      <c r="A186" s="3" t="s">
        <v>52</v>
      </c>
      <c r="B186" s="3" t="s">
        <v>501</v>
      </c>
      <c r="C186" s="3">
        <v>2504</v>
      </c>
      <c r="D186" s="44" t="s">
        <v>3832</v>
      </c>
      <c r="E186" s="3">
        <v>2024</v>
      </c>
      <c r="F186" s="93"/>
      <c r="G186" s="3"/>
      <c r="H186" s="3" t="s">
        <v>3700</v>
      </c>
      <c r="I186" s="30">
        <f t="shared" si="8"/>
        <v>0</v>
      </c>
      <c r="J186" s="3"/>
    </row>
    <row r="187" spans="1:10" x14ac:dyDescent="0.4">
      <c r="A187" s="3" t="s">
        <v>52</v>
      </c>
      <c r="B187" s="3" t="s">
        <v>502</v>
      </c>
      <c r="C187" s="3">
        <v>2511</v>
      </c>
      <c r="D187" s="44">
        <v>10</v>
      </c>
      <c r="E187" s="3">
        <v>2024</v>
      </c>
      <c r="F187" s="127">
        <v>140757.73300000001</v>
      </c>
      <c r="G187" s="86">
        <v>2368519.2069999999</v>
      </c>
      <c r="H187" s="3" t="s">
        <v>3702</v>
      </c>
      <c r="I187" s="30">
        <f t="shared" si="8"/>
        <v>140757.73300000001</v>
      </c>
      <c r="J187" s="3"/>
    </row>
    <row r="188" spans="1:10" x14ac:dyDescent="0.4">
      <c r="A188" s="3" t="s">
        <v>52</v>
      </c>
      <c r="B188" s="3" t="s">
        <v>502</v>
      </c>
      <c r="C188" s="3">
        <v>2511</v>
      </c>
      <c r="D188" s="44">
        <v>20</v>
      </c>
      <c r="E188" s="3">
        <v>2024</v>
      </c>
      <c r="F188" s="127">
        <v>531314.71600000001</v>
      </c>
      <c r="G188" s="86">
        <v>8939866.4619999994</v>
      </c>
      <c r="H188" s="3" t="s">
        <v>3702</v>
      </c>
      <c r="I188" s="30">
        <f t="shared" si="8"/>
        <v>531314.71600000001</v>
      </c>
      <c r="J188" s="3"/>
    </row>
    <row r="189" spans="1:10" x14ac:dyDescent="0.4">
      <c r="A189" s="3" t="s">
        <v>52</v>
      </c>
      <c r="B189" s="3" t="s">
        <v>502</v>
      </c>
      <c r="C189" s="3">
        <v>2511</v>
      </c>
      <c r="D189" s="44" t="s">
        <v>3833</v>
      </c>
      <c r="E189" s="3">
        <v>2024</v>
      </c>
      <c r="F189" s="127">
        <v>4638.5</v>
      </c>
      <c r="G189" s="86">
        <v>78531.5</v>
      </c>
      <c r="H189" s="3" t="s">
        <v>3700</v>
      </c>
      <c r="I189" s="30">
        <f t="shared" si="8"/>
        <v>4638.5</v>
      </c>
      <c r="J189" s="3"/>
    </row>
    <row r="190" spans="1:10" x14ac:dyDescent="0.4">
      <c r="A190" s="3" t="s">
        <v>52</v>
      </c>
      <c r="B190" s="3" t="s">
        <v>502</v>
      </c>
      <c r="C190" s="3">
        <v>2511</v>
      </c>
      <c r="D190" s="44" t="s">
        <v>3834</v>
      </c>
      <c r="E190" s="3">
        <v>2024</v>
      </c>
      <c r="F190" s="127">
        <v>5337.5</v>
      </c>
      <c r="G190" s="86">
        <v>89857.600000000006</v>
      </c>
      <c r="H190" s="3" t="s">
        <v>3700</v>
      </c>
      <c r="I190" s="30">
        <f t="shared" si="8"/>
        <v>5337.5</v>
      </c>
      <c r="J190" s="3"/>
    </row>
    <row r="191" spans="1:10" x14ac:dyDescent="0.4">
      <c r="A191" s="3" t="s">
        <v>52</v>
      </c>
      <c r="B191" s="3" t="s">
        <v>502</v>
      </c>
      <c r="C191" s="3">
        <v>2511</v>
      </c>
      <c r="D191" s="44" t="s">
        <v>3835</v>
      </c>
      <c r="E191" s="3">
        <v>2024</v>
      </c>
      <c r="F191" s="127">
        <v>1160.4000000000001</v>
      </c>
      <c r="G191" s="86">
        <v>19083.900000000001</v>
      </c>
      <c r="H191" s="3" t="s">
        <v>3700</v>
      </c>
      <c r="I191" s="30">
        <f t="shared" si="8"/>
        <v>1160.4000000000001</v>
      </c>
      <c r="J191" s="3"/>
    </row>
    <row r="192" spans="1:10" x14ac:dyDescent="0.4">
      <c r="A192" s="3" t="s">
        <v>52</v>
      </c>
      <c r="B192" s="3" t="s">
        <v>502</v>
      </c>
      <c r="C192" s="3">
        <v>2511</v>
      </c>
      <c r="D192" s="44" t="s">
        <v>3836</v>
      </c>
      <c r="E192" s="3">
        <v>2024</v>
      </c>
      <c r="F192" s="127">
        <v>3261.9</v>
      </c>
      <c r="G192" s="86">
        <v>55223.199999999997</v>
      </c>
      <c r="H192" s="3" t="s">
        <v>3700</v>
      </c>
      <c r="I192" s="30">
        <f t="shared" si="8"/>
        <v>3261.9</v>
      </c>
      <c r="J192" s="3"/>
    </row>
    <row r="193" spans="1:10" x14ac:dyDescent="0.4">
      <c r="A193" s="3" t="s">
        <v>52</v>
      </c>
      <c r="B193" s="3" t="s">
        <v>502</v>
      </c>
      <c r="C193" s="3">
        <v>2511</v>
      </c>
      <c r="D193" s="44" t="s">
        <v>3837</v>
      </c>
      <c r="E193" s="3">
        <v>2024</v>
      </c>
      <c r="F193" s="127">
        <v>2407.1999999999998</v>
      </c>
      <c r="G193" s="86">
        <v>40755.9</v>
      </c>
      <c r="H193" s="3" t="s">
        <v>3700</v>
      </c>
      <c r="I193" s="30">
        <f t="shared" si="8"/>
        <v>2407.1999999999998</v>
      </c>
      <c r="J193" s="3"/>
    </row>
    <row r="194" spans="1:10" x14ac:dyDescent="0.4">
      <c r="A194" s="3" t="s">
        <v>52</v>
      </c>
      <c r="B194" s="3" t="s">
        <v>502</v>
      </c>
      <c r="C194" s="3">
        <v>2511</v>
      </c>
      <c r="D194" s="44" t="s">
        <v>3838</v>
      </c>
      <c r="E194" s="3">
        <v>2024</v>
      </c>
      <c r="F194" s="127">
        <v>2940.2</v>
      </c>
      <c r="G194" s="86">
        <v>49313</v>
      </c>
      <c r="H194" s="3" t="s">
        <v>3700</v>
      </c>
      <c r="I194" s="30">
        <f t="shared" si="8"/>
        <v>2940.2</v>
      </c>
      <c r="J194" s="3"/>
    </row>
    <row r="195" spans="1:10" x14ac:dyDescent="0.4">
      <c r="A195" s="3" t="s">
        <v>52</v>
      </c>
      <c r="B195" s="3" t="s">
        <v>502</v>
      </c>
      <c r="C195" s="3">
        <v>2511</v>
      </c>
      <c r="D195" s="44" t="s">
        <v>3839</v>
      </c>
      <c r="E195" s="3">
        <v>2024</v>
      </c>
      <c r="F195" s="127">
        <v>3321.3</v>
      </c>
      <c r="G195" s="86">
        <v>56126.2</v>
      </c>
      <c r="H195" s="3" t="s">
        <v>3700</v>
      </c>
      <c r="I195" s="30">
        <f t="shared" si="8"/>
        <v>3321.3</v>
      </c>
      <c r="J195" s="3"/>
    </row>
    <row r="196" spans="1:10" x14ac:dyDescent="0.4">
      <c r="A196" s="3" t="s">
        <v>52</v>
      </c>
      <c r="B196" s="3" t="s">
        <v>502</v>
      </c>
      <c r="C196" s="3">
        <v>2511</v>
      </c>
      <c r="D196" s="44" t="s">
        <v>3840</v>
      </c>
      <c r="E196" s="3">
        <v>2024</v>
      </c>
      <c r="F196" s="127">
        <v>9362.7999999999993</v>
      </c>
      <c r="G196" s="86">
        <v>157951.9</v>
      </c>
      <c r="H196" s="3" t="s">
        <v>3700</v>
      </c>
      <c r="I196" s="30">
        <f t="shared" si="8"/>
        <v>9362.7999999999993</v>
      </c>
      <c r="J196" s="3"/>
    </row>
    <row r="197" spans="1:10" x14ac:dyDescent="0.4">
      <c r="A197" s="3" t="s">
        <v>52</v>
      </c>
      <c r="B197" s="3" t="s">
        <v>502</v>
      </c>
      <c r="C197" s="3">
        <v>2511</v>
      </c>
      <c r="D197" s="44" t="s">
        <v>3841</v>
      </c>
      <c r="E197" s="3">
        <v>2024</v>
      </c>
      <c r="F197" s="127">
        <v>9362.4</v>
      </c>
      <c r="G197" s="86">
        <v>157948.1</v>
      </c>
      <c r="H197" s="3" t="s">
        <v>3700</v>
      </c>
      <c r="I197" s="30">
        <f t="shared" si="8"/>
        <v>9362.4</v>
      </c>
      <c r="J197" s="3"/>
    </row>
    <row r="198" spans="1:10" x14ac:dyDescent="0.4">
      <c r="A198" s="3" t="s">
        <v>52</v>
      </c>
      <c r="B198" s="3" t="s">
        <v>502</v>
      </c>
      <c r="C198" s="3">
        <v>2511</v>
      </c>
      <c r="D198" s="44" t="s">
        <v>3842</v>
      </c>
      <c r="E198" s="3">
        <v>2024</v>
      </c>
      <c r="F198" s="127">
        <v>13474.4</v>
      </c>
      <c r="G198" s="86">
        <v>227661.4</v>
      </c>
      <c r="H198" s="3" t="s">
        <v>3700</v>
      </c>
      <c r="I198" s="30">
        <f t="shared" si="8"/>
        <v>13474.4</v>
      </c>
      <c r="J198" s="3"/>
    </row>
    <row r="199" spans="1:10" x14ac:dyDescent="0.4">
      <c r="A199" s="3" t="s">
        <v>52</v>
      </c>
      <c r="B199" s="3" t="s">
        <v>502</v>
      </c>
      <c r="C199" s="3">
        <v>2511</v>
      </c>
      <c r="D199" s="44" t="s">
        <v>3843</v>
      </c>
      <c r="E199" s="3">
        <v>2024</v>
      </c>
      <c r="F199" s="127">
        <v>13470.2</v>
      </c>
      <c r="G199" s="86">
        <v>227595.6</v>
      </c>
      <c r="H199" s="3" t="s">
        <v>3700</v>
      </c>
      <c r="I199" s="30">
        <f t="shared" si="8"/>
        <v>13470.2</v>
      </c>
      <c r="J199" s="3"/>
    </row>
    <row r="200" spans="1:10" x14ac:dyDescent="0.4">
      <c r="A200" s="3" t="s">
        <v>52</v>
      </c>
      <c r="B200" s="3" t="s">
        <v>502</v>
      </c>
      <c r="C200" s="3">
        <v>2511</v>
      </c>
      <c r="D200" s="44" t="s">
        <v>3844</v>
      </c>
      <c r="E200" s="3">
        <v>2024</v>
      </c>
      <c r="F200" s="127">
        <v>11098.4</v>
      </c>
      <c r="G200" s="86">
        <v>187889.5</v>
      </c>
      <c r="H200" s="3" t="s">
        <v>3700</v>
      </c>
      <c r="I200" s="30">
        <f t="shared" si="8"/>
        <v>11098.4</v>
      </c>
      <c r="J200" s="3"/>
    </row>
    <row r="201" spans="1:10" x14ac:dyDescent="0.4">
      <c r="A201" s="3" t="s">
        <v>52</v>
      </c>
      <c r="B201" s="3" t="s">
        <v>502</v>
      </c>
      <c r="C201" s="3">
        <v>2511</v>
      </c>
      <c r="D201" s="44" t="s">
        <v>3845</v>
      </c>
      <c r="E201" s="3">
        <v>2024</v>
      </c>
      <c r="F201" s="127">
        <v>10605.5</v>
      </c>
      <c r="G201" s="86">
        <v>179521.7</v>
      </c>
      <c r="H201" s="3" t="s">
        <v>3700</v>
      </c>
      <c r="I201" s="30">
        <f t="shared" si="8"/>
        <v>10605.5</v>
      </c>
      <c r="J201" s="3"/>
    </row>
    <row r="202" spans="1:10" x14ac:dyDescent="0.4">
      <c r="A202" s="3" t="s">
        <v>52</v>
      </c>
      <c r="B202" s="3" t="s">
        <v>502</v>
      </c>
      <c r="C202" s="3">
        <v>2511</v>
      </c>
      <c r="D202" s="44" t="s">
        <v>3846</v>
      </c>
      <c r="E202" s="3">
        <v>2024</v>
      </c>
      <c r="F202" s="127">
        <v>11824.1</v>
      </c>
      <c r="G202" s="86">
        <v>199815.1</v>
      </c>
      <c r="H202" s="3" t="s">
        <v>3700</v>
      </c>
      <c r="I202" s="30">
        <f t="shared" si="8"/>
        <v>11824.1</v>
      </c>
      <c r="J202" s="3"/>
    </row>
    <row r="203" spans="1:10" x14ac:dyDescent="0.4">
      <c r="A203" s="3" t="s">
        <v>52</v>
      </c>
      <c r="B203" s="3" t="s">
        <v>502</v>
      </c>
      <c r="C203" s="3">
        <v>2511</v>
      </c>
      <c r="D203" s="44" t="s">
        <v>3847</v>
      </c>
      <c r="E203" s="3">
        <v>2024</v>
      </c>
      <c r="F203" s="127">
        <v>11824.1</v>
      </c>
      <c r="G203" s="86">
        <v>199815.1</v>
      </c>
      <c r="H203" s="3" t="s">
        <v>3700</v>
      </c>
      <c r="I203" s="30">
        <f t="shared" si="8"/>
        <v>11824.1</v>
      </c>
      <c r="J203" s="3"/>
    </row>
    <row r="204" spans="1:10" x14ac:dyDescent="0.4">
      <c r="A204" s="3" t="s">
        <v>52</v>
      </c>
      <c r="B204" s="3" t="s">
        <v>505</v>
      </c>
      <c r="C204" s="3">
        <v>2514</v>
      </c>
      <c r="D204" s="44" t="s">
        <v>3848</v>
      </c>
      <c r="E204" s="3">
        <v>2024</v>
      </c>
      <c r="F204" s="127">
        <v>1485.2</v>
      </c>
      <c r="G204" s="86">
        <v>18332.7</v>
      </c>
      <c r="H204" s="3" t="s">
        <v>3700</v>
      </c>
      <c r="I204" s="30">
        <f t="shared" si="8"/>
        <v>1485.2</v>
      </c>
      <c r="J204" s="3"/>
    </row>
    <row r="205" spans="1:10" x14ac:dyDescent="0.4">
      <c r="A205" s="3" t="s">
        <v>52</v>
      </c>
      <c r="B205" s="3" t="s">
        <v>505</v>
      </c>
      <c r="C205" s="3">
        <v>2514</v>
      </c>
      <c r="D205" s="44" t="s">
        <v>3849</v>
      </c>
      <c r="E205" s="3">
        <v>2024</v>
      </c>
      <c r="F205" s="127">
        <v>2257</v>
      </c>
      <c r="G205" s="86">
        <v>27863.5</v>
      </c>
      <c r="H205" s="3" t="s">
        <v>3700</v>
      </c>
      <c r="I205" s="30">
        <f t="shared" si="8"/>
        <v>2257</v>
      </c>
      <c r="J205" s="3"/>
    </row>
    <row r="206" spans="1:10" x14ac:dyDescent="0.4">
      <c r="A206" s="3" t="s">
        <v>52</v>
      </c>
      <c r="B206" s="3" t="s">
        <v>506</v>
      </c>
      <c r="C206" s="3">
        <v>2516</v>
      </c>
      <c r="D206" s="44">
        <v>1</v>
      </c>
      <c r="E206" s="3">
        <v>2024</v>
      </c>
      <c r="F206" s="127">
        <v>568098.43299999996</v>
      </c>
      <c r="G206" s="86">
        <v>9550254.8300000001</v>
      </c>
      <c r="H206" s="3" t="s">
        <v>3702</v>
      </c>
      <c r="I206" s="30">
        <f t="shared" si="8"/>
        <v>568098.43299999996</v>
      </c>
      <c r="J206" s="3"/>
    </row>
    <row r="207" spans="1:10" x14ac:dyDescent="0.4">
      <c r="A207" s="3" t="s">
        <v>52</v>
      </c>
      <c r="B207" s="3" t="s">
        <v>506</v>
      </c>
      <c r="C207" s="3">
        <v>2516</v>
      </c>
      <c r="D207" s="44">
        <v>2</v>
      </c>
      <c r="E207" s="3">
        <v>2024</v>
      </c>
      <c r="F207" s="127">
        <v>634456.53399999999</v>
      </c>
      <c r="G207" s="86">
        <v>10610741.782</v>
      </c>
      <c r="H207" s="3" t="s">
        <v>3702</v>
      </c>
      <c r="I207" s="30">
        <f t="shared" si="8"/>
        <v>634456.53399999999</v>
      </c>
      <c r="J207" s="3"/>
    </row>
    <row r="208" spans="1:10" x14ac:dyDescent="0.4">
      <c r="A208" s="3" t="s">
        <v>52</v>
      </c>
      <c r="B208" s="3" t="s">
        <v>506</v>
      </c>
      <c r="C208" s="3">
        <v>2516</v>
      </c>
      <c r="D208" s="44">
        <v>3</v>
      </c>
      <c r="E208" s="3">
        <v>2024</v>
      </c>
      <c r="F208" s="127">
        <v>368518.99699999997</v>
      </c>
      <c r="G208" s="86">
        <v>6051757.4280000003</v>
      </c>
      <c r="H208" s="3" t="s">
        <v>3702</v>
      </c>
      <c r="I208" s="30">
        <f t="shared" si="8"/>
        <v>368518.99699999997</v>
      </c>
      <c r="J208" s="3"/>
    </row>
    <row r="209" spans="1:10" x14ac:dyDescent="0.4">
      <c r="A209" s="3" t="s">
        <v>52</v>
      </c>
      <c r="B209" s="3" t="s">
        <v>506</v>
      </c>
      <c r="C209" s="3">
        <v>2516</v>
      </c>
      <c r="D209" s="44">
        <v>4</v>
      </c>
      <c r="E209" s="3">
        <v>2024</v>
      </c>
      <c r="F209" s="127">
        <v>814024.37600000005</v>
      </c>
      <c r="G209" s="86">
        <v>13584534.341</v>
      </c>
      <c r="H209" s="3" t="s">
        <v>3702</v>
      </c>
      <c r="I209" s="30">
        <f t="shared" si="8"/>
        <v>814024.37600000005</v>
      </c>
      <c r="J209" s="3"/>
    </row>
    <row r="210" spans="1:10" x14ac:dyDescent="0.4">
      <c r="A210" s="3" t="s">
        <v>52</v>
      </c>
      <c r="B210" s="3" t="s">
        <v>506</v>
      </c>
      <c r="C210" s="3">
        <v>2516</v>
      </c>
      <c r="D210" s="44" t="s">
        <v>3850</v>
      </c>
      <c r="E210" s="3">
        <v>2024</v>
      </c>
      <c r="F210" s="127"/>
      <c r="G210" s="86"/>
      <c r="H210" s="3" t="s">
        <v>3700</v>
      </c>
      <c r="I210" s="30">
        <f t="shared" si="8"/>
        <v>0</v>
      </c>
      <c r="J210" s="3"/>
    </row>
    <row r="211" spans="1:10" x14ac:dyDescent="0.4">
      <c r="A211" s="3" t="s">
        <v>52</v>
      </c>
      <c r="B211" s="3" t="s">
        <v>3851</v>
      </c>
      <c r="C211" s="3">
        <v>2517</v>
      </c>
      <c r="D211" s="44">
        <v>3</v>
      </c>
      <c r="E211" s="3">
        <v>2024</v>
      </c>
      <c r="F211" s="127">
        <v>68083.078999999998</v>
      </c>
      <c r="G211" s="86">
        <v>1126523.0870000001</v>
      </c>
      <c r="H211" s="3" t="s">
        <v>3702</v>
      </c>
      <c r="I211" s="30">
        <f t="shared" si="8"/>
        <v>68083.078999999998</v>
      </c>
      <c r="J211" s="3"/>
    </row>
    <row r="212" spans="1:10" x14ac:dyDescent="0.4">
      <c r="A212" s="3" t="s">
        <v>52</v>
      </c>
      <c r="B212" s="3" t="s">
        <v>3851</v>
      </c>
      <c r="C212" s="3">
        <v>2517</v>
      </c>
      <c r="D212" s="44">
        <v>4</v>
      </c>
      <c r="E212" s="3">
        <v>2024</v>
      </c>
      <c r="F212" s="127">
        <v>121251.655</v>
      </c>
      <c r="G212" s="86">
        <v>2003352.9450000001</v>
      </c>
      <c r="H212" s="3" t="s">
        <v>3702</v>
      </c>
      <c r="I212" s="30">
        <f t="shared" si="8"/>
        <v>121251.655</v>
      </c>
      <c r="J212" s="3"/>
    </row>
    <row r="213" spans="1:10" x14ac:dyDescent="0.4">
      <c r="A213" s="3" t="s">
        <v>52</v>
      </c>
      <c r="B213" s="3" t="s">
        <v>3851</v>
      </c>
      <c r="C213" s="3">
        <v>2517</v>
      </c>
      <c r="D213" s="44" t="s">
        <v>3850</v>
      </c>
      <c r="E213" s="3">
        <v>2024</v>
      </c>
      <c r="F213" s="127"/>
      <c r="G213" s="86"/>
      <c r="H213" s="3" t="s">
        <v>3700</v>
      </c>
      <c r="I213" s="30">
        <f t="shared" si="8"/>
        <v>0</v>
      </c>
      <c r="J213" s="3"/>
    </row>
    <row r="214" spans="1:10" x14ac:dyDescent="0.4">
      <c r="A214" s="3" t="s">
        <v>52</v>
      </c>
      <c r="B214" s="3" t="s">
        <v>3851</v>
      </c>
      <c r="C214" s="3">
        <v>2517</v>
      </c>
      <c r="D214" s="44" t="s">
        <v>3852</v>
      </c>
      <c r="E214" s="3">
        <v>2024</v>
      </c>
      <c r="F214" s="127">
        <v>21975.111000000001</v>
      </c>
      <c r="G214" s="86">
        <v>369040.011</v>
      </c>
      <c r="H214" s="3" t="s">
        <v>3700</v>
      </c>
      <c r="I214" s="30">
        <f t="shared" si="8"/>
        <v>21975.111000000001</v>
      </c>
      <c r="J214" s="3"/>
    </row>
    <row r="215" spans="1:10" x14ac:dyDescent="0.4">
      <c r="A215" s="3" t="s">
        <v>52</v>
      </c>
      <c r="B215" s="3" t="s">
        <v>3851</v>
      </c>
      <c r="C215" s="3">
        <v>2517</v>
      </c>
      <c r="D215" s="44" t="s">
        <v>3853</v>
      </c>
      <c r="E215" s="3">
        <v>2024</v>
      </c>
      <c r="F215" s="127">
        <v>19253.237000000001</v>
      </c>
      <c r="G215" s="86">
        <v>323055.67</v>
      </c>
      <c r="H215" s="3" t="s">
        <v>3700</v>
      </c>
      <c r="I215" s="30">
        <f t="shared" si="8"/>
        <v>19253.237000000001</v>
      </c>
      <c r="J215" s="3"/>
    </row>
    <row r="216" spans="1:10" x14ac:dyDescent="0.4">
      <c r="A216" s="3" t="s">
        <v>52</v>
      </c>
      <c r="B216" s="3" t="s">
        <v>3854</v>
      </c>
      <c r="C216" s="3">
        <v>2521</v>
      </c>
      <c r="D216" s="44" t="s">
        <v>3850</v>
      </c>
      <c r="E216" s="3">
        <v>2024</v>
      </c>
      <c r="F216" s="127">
        <v>34.5</v>
      </c>
      <c r="G216" s="86">
        <v>427</v>
      </c>
      <c r="H216" s="3" t="s">
        <v>3700</v>
      </c>
      <c r="I216" s="30">
        <f t="shared" si="8"/>
        <v>34.5</v>
      </c>
      <c r="J216" s="3" t="s">
        <v>3855</v>
      </c>
    </row>
    <row r="217" spans="1:10" x14ac:dyDescent="0.4">
      <c r="A217" s="3" t="s">
        <v>52</v>
      </c>
      <c r="B217" s="3" t="s">
        <v>512</v>
      </c>
      <c r="C217" s="3">
        <v>2527</v>
      </c>
      <c r="D217" s="44">
        <v>6</v>
      </c>
      <c r="E217" s="3">
        <v>2024</v>
      </c>
      <c r="F217" s="129">
        <v>417542.86599999998</v>
      </c>
      <c r="G217" s="86">
        <v>7033934.2719999999</v>
      </c>
      <c r="H217" s="3" t="s">
        <v>3702</v>
      </c>
      <c r="I217" s="30">
        <f t="shared" si="8"/>
        <v>417542.86599999998</v>
      </c>
      <c r="J217" s="3" t="s">
        <v>3856</v>
      </c>
    </row>
    <row r="218" spans="1:10" x14ac:dyDescent="0.4">
      <c r="A218" s="3" t="s">
        <v>52</v>
      </c>
      <c r="B218" s="3" t="s">
        <v>3857</v>
      </c>
      <c r="C218" s="3">
        <v>2539</v>
      </c>
      <c r="D218" s="44">
        <v>10001</v>
      </c>
      <c r="E218" s="3">
        <v>2024</v>
      </c>
      <c r="F218" s="127">
        <v>720933.79200000002</v>
      </c>
      <c r="G218" s="86">
        <v>12131352.333000001</v>
      </c>
      <c r="H218" s="3" t="s">
        <v>3707</v>
      </c>
      <c r="I218" s="30">
        <f t="shared" si="8"/>
        <v>720933.79200000002</v>
      </c>
      <c r="J218" s="3"/>
    </row>
    <row r="219" spans="1:10" x14ac:dyDescent="0.4">
      <c r="A219" s="3" t="s">
        <v>52</v>
      </c>
      <c r="B219" s="3" t="s">
        <v>3857</v>
      </c>
      <c r="C219" s="3">
        <v>2539</v>
      </c>
      <c r="D219" s="44">
        <v>10002</v>
      </c>
      <c r="E219" s="3">
        <v>2024</v>
      </c>
      <c r="F219" s="127">
        <v>782809.83799999999</v>
      </c>
      <c r="G219" s="86">
        <v>13172120.809</v>
      </c>
      <c r="H219" s="3" t="s">
        <v>3707</v>
      </c>
      <c r="I219" s="30">
        <f t="shared" si="8"/>
        <v>782809.83799999999</v>
      </c>
      <c r="J219" s="3"/>
    </row>
    <row r="220" spans="1:10" x14ac:dyDescent="0.4">
      <c r="A220" s="3" t="s">
        <v>52</v>
      </c>
      <c r="B220" s="3" t="s">
        <v>3857</v>
      </c>
      <c r="C220" s="3">
        <v>2539</v>
      </c>
      <c r="D220" s="44">
        <v>10003</v>
      </c>
      <c r="E220" s="3">
        <v>2024</v>
      </c>
      <c r="F220" s="127">
        <v>754754.01300000004</v>
      </c>
      <c r="G220" s="86">
        <v>12698709.764</v>
      </c>
      <c r="H220" s="3" t="s">
        <v>3707</v>
      </c>
      <c r="I220" s="30">
        <f t="shared" si="8"/>
        <v>754754.01300000004</v>
      </c>
      <c r="J220" s="3"/>
    </row>
    <row r="221" spans="1:10" x14ac:dyDescent="0.4">
      <c r="A221" s="3" t="s">
        <v>52</v>
      </c>
      <c r="B221" s="3" t="s">
        <v>561</v>
      </c>
      <c r="C221" s="3">
        <v>2594</v>
      </c>
      <c r="D221" s="44">
        <v>5</v>
      </c>
      <c r="E221" s="3">
        <v>2024</v>
      </c>
      <c r="F221" s="127">
        <v>33113.599000000002</v>
      </c>
      <c r="G221" s="86">
        <v>411298.92800000001</v>
      </c>
      <c r="H221" s="3" t="s">
        <v>3703</v>
      </c>
      <c r="I221" s="30">
        <f t="shared" si="8"/>
        <v>33113.599000000002</v>
      </c>
      <c r="J221" s="3"/>
    </row>
    <row r="222" spans="1:10" x14ac:dyDescent="0.4">
      <c r="A222" s="3" t="s">
        <v>52</v>
      </c>
      <c r="B222" s="3" t="s">
        <v>561</v>
      </c>
      <c r="C222" s="3">
        <v>2594</v>
      </c>
      <c r="D222" s="44">
        <v>6</v>
      </c>
      <c r="E222" s="3">
        <v>2024</v>
      </c>
      <c r="F222" s="127">
        <v>20001.02</v>
      </c>
      <c r="G222" s="86">
        <v>248935.492</v>
      </c>
      <c r="H222" s="3" t="s">
        <v>3703</v>
      </c>
      <c r="I222" s="30">
        <f t="shared" si="8"/>
        <v>20001.02</v>
      </c>
      <c r="J222" s="3"/>
    </row>
    <row r="223" spans="1:10" x14ac:dyDescent="0.4">
      <c r="A223" s="3" t="s">
        <v>52</v>
      </c>
      <c r="B223" s="3" t="s">
        <v>3858</v>
      </c>
      <c r="C223" s="3">
        <v>2625</v>
      </c>
      <c r="D223" s="44">
        <v>1</v>
      </c>
      <c r="E223" s="3">
        <v>2024</v>
      </c>
      <c r="F223" s="127">
        <v>402871.35499999998</v>
      </c>
      <c r="G223" s="86">
        <v>6796081.0149999997</v>
      </c>
      <c r="H223" s="3" t="s">
        <v>3702</v>
      </c>
      <c r="I223" s="30">
        <f t="shared" si="8"/>
        <v>402871.35499999998</v>
      </c>
      <c r="J223" s="3"/>
    </row>
    <row r="224" spans="1:10" x14ac:dyDescent="0.4">
      <c r="A224" s="3" t="s">
        <v>52</v>
      </c>
      <c r="B224" s="3" t="s">
        <v>3858</v>
      </c>
      <c r="C224" s="3">
        <v>2625</v>
      </c>
      <c r="D224" s="44">
        <v>2</v>
      </c>
      <c r="E224" s="3">
        <v>2024</v>
      </c>
      <c r="F224" s="127">
        <v>407104.20199999999</v>
      </c>
      <c r="G224" s="86">
        <v>6866728.96</v>
      </c>
      <c r="H224" s="3" t="s">
        <v>3703</v>
      </c>
      <c r="I224" s="30">
        <f t="shared" si="8"/>
        <v>407104.20199999999</v>
      </c>
      <c r="J224" s="3"/>
    </row>
    <row r="225" spans="1:10" x14ac:dyDescent="0.4">
      <c r="A225" s="3" t="s">
        <v>52</v>
      </c>
      <c r="B225" s="3" t="s">
        <v>589</v>
      </c>
      <c r="C225" s="3">
        <v>2628</v>
      </c>
      <c r="D225" s="135" t="s">
        <v>3719</v>
      </c>
      <c r="E225" s="3">
        <v>2024</v>
      </c>
      <c r="F225" s="127">
        <v>590.59799999999996</v>
      </c>
      <c r="G225" s="86">
        <v>9935.9959999999992</v>
      </c>
      <c r="H225" s="3" t="s">
        <v>3700</v>
      </c>
      <c r="I225" s="30">
        <f t="shared" si="8"/>
        <v>590.59799999999996</v>
      </c>
      <c r="J225" s="3"/>
    </row>
    <row r="226" spans="1:10" x14ac:dyDescent="0.4">
      <c r="A226" s="3" t="s">
        <v>52</v>
      </c>
      <c r="B226" s="3" t="s">
        <v>594</v>
      </c>
      <c r="C226" s="3">
        <v>2632</v>
      </c>
      <c r="D226" s="44">
        <v>1</v>
      </c>
      <c r="E226" s="3">
        <v>2024</v>
      </c>
      <c r="F226" s="127">
        <v>302.02</v>
      </c>
      <c r="G226" s="86">
        <v>5082.32</v>
      </c>
      <c r="H226" s="3" t="s">
        <v>3700</v>
      </c>
      <c r="I226" s="30">
        <f t="shared" si="8"/>
        <v>302.02</v>
      </c>
      <c r="J226" s="3"/>
    </row>
    <row r="227" spans="1:10" x14ac:dyDescent="0.4">
      <c r="A227" s="3" t="s">
        <v>52</v>
      </c>
      <c r="B227" s="3" t="s">
        <v>3859</v>
      </c>
      <c r="C227" s="3">
        <v>2679</v>
      </c>
      <c r="D227" s="44">
        <v>5</v>
      </c>
      <c r="E227" s="3">
        <v>2024</v>
      </c>
      <c r="F227" s="127">
        <v>18267.469000000001</v>
      </c>
      <c r="G227" s="86">
        <v>307389.38299999997</v>
      </c>
      <c r="H227" s="3" t="s">
        <v>3700</v>
      </c>
      <c r="I227" s="30">
        <f t="shared" si="8"/>
        <v>18267.469000000001</v>
      </c>
      <c r="J227" s="3"/>
    </row>
    <row r="228" spans="1:10" x14ac:dyDescent="0.4">
      <c r="A228" s="3" t="s">
        <v>52</v>
      </c>
      <c r="B228" s="3" t="s">
        <v>3859</v>
      </c>
      <c r="C228" s="3">
        <v>2679</v>
      </c>
      <c r="D228" s="44" t="s">
        <v>3860</v>
      </c>
      <c r="E228" s="3">
        <v>2024</v>
      </c>
      <c r="F228" s="127">
        <v>149.69999999999999</v>
      </c>
      <c r="G228" s="86">
        <v>1848</v>
      </c>
      <c r="H228" s="3" t="s">
        <v>3700</v>
      </c>
      <c r="I228" s="30">
        <f t="shared" si="8"/>
        <v>149.69999999999999</v>
      </c>
      <c r="J228" s="3"/>
    </row>
    <row r="229" spans="1:10" x14ac:dyDescent="0.4">
      <c r="A229" s="3" t="s">
        <v>52</v>
      </c>
      <c r="B229" s="3" t="s">
        <v>604</v>
      </c>
      <c r="C229" s="3">
        <v>2682</v>
      </c>
      <c r="D229" s="44">
        <v>10</v>
      </c>
      <c r="E229" s="3">
        <v>2024</v>
      </c>
      <c r="F229" s="127">
        <v>777.9</v>
      </c>
      <c r="G229" s="86">
        <v>13189</v>
      </c>
      <c r="H229" s="3" t="s">
        <v>3703</v>
      </c>
      <c r="I229" s="30">
        <f t="shared" si="8"/>
        <v>777.9</v>
      </c>
      <c r="J229" s="3"/>
    </row>
    <row r="230" spans="1:10" x14ac:dyDescent="0.4">
      <c r="A230" s="3" t="s">
        <v>52</v>
      </c>
      <c r="B230" s="3" t="s">
        <v>604</v>
      </c>
      <c r="C230" s="3">
        <v>2682</v>
      </c>
      <c r="D230" s="44">
        <v>20</v>
      </c>
      <c r="E230" s="3">
        <v>2024</v>
      </c>
      <c r="F230" s="127">
        <v>18062.375</v>
      </c>
      <c r="G230" s="86">
        <v>303908.875</v>
      </c>
      <c r="H230" s="3" t="s">
        <v>3707</v>
      </c>
      <c r="I230" s="30">
        <f t="shared" si="8"/>
        <v>18062.375</v>
      </c>
      <c r="J230" s="3"/>
    </row>
    <row r="231" spans="1:10" x14ac:dyDescent="0.4">
      <c r="A231" s="3" t="s">
        <v>52</v>
      </c>
      <c r="B231" s="3" t="s">
        <v>604</v>
      </c>
      <c r="C231" s="3">
        <v>2682</v>
      </c>
      <c r="D231" s="44">
        <v>9</v>
      </c>
      <c r="E231" s="3">
        <v>2024</v>
      </c>
      <c r="F231" s="127">
        <v>570.1</v>
      </c>
      <c r="G231" s="86">
        <v>9669</v>
      </c>
      <c r="H231" s="3" t="s">
        <v>3703</v>
      </c>
      <c r="I231" s="30">
        <f t="shared" si="8"/>
        <v>570.1</v>
      </c>
      <c r="J231" s="3"/>
    </row>
    <row r="232" spans="1:10" x14ac:dyDescent="0.4">
      <c r="A232" s="3" t="s">
        <v>52</v>
      </c>
      <c r="B232" s="3" t="s">
        <v>3861</v>
      </c>
      <c r="C232" s="3">
        <v>7146</v>
      </c>
      <c r="D232" s="44" t="s">
        <v>3862</v>
      </c>
      <c r="E232" s="3">
        <v>2024</v>
      </c>
      <c r="F232" s="127">
        <v>1977.403</v>
      </c>
      <c r="G232" s="86">
        <v>24366.921999999999</v>
      </c>
      <c r="H232" s="3" t="s">
        <v>3700</v>
      </c>
      <c r="I232" s="30">
        <f t="shared" si="8"/>
        <v>1977.403</v>
      </c>
      <c r="J232" s="3"/>
    </row>
    <row r="233" spans="1:10" x14ac:dyDescent="0.4">
      <c r="A233" s="3" t="s">
        <v>52</v>
      </c>
      <c r="B233" s="3" t="s">
        <v>3861</v>
      </c>
      <c r="C233" s="3">
        <v>7146</v>
      </c>
      <c r="D233" s="44" t="s">
        <v>3863</v>
      </c>
      <c r="E233" s="3">
        <v>2024</v>
      </c>
      <c r="F233" s="127">
        <v>2709.6750000000002</v>
      </c>
      <c r="G233" s="86">
        <v>33396.099000000002</v>
      </c>
      <c r="H233" s="3" t="s">
        <v>3700</v>
      </c>
      <c r="I233" s="30">
        <f t="shared" si="8"/>
        <v>2709.6750000000002</v>
      </c>
      <c r="J233" s="3"/>
    </row>
    <row r="234" spans="1:10" x14ac:dyDescent="0.4">
      <c r="A234" s="3" t="s">
        <v>52</v>
      </c>
      <c r="B234" s="3" t="s">
        <v>3861</v>
      </c>
      <c r="C234" s="3">
        <v>7146</v>
      </c>
      <c r="D234" s="44" t="s">
        <v>3864</v>
      </c>
      <c r="E234" s="3">
        <v>2024</v>
      </c>
      <c r="F234" s="127">
        <v>3459.3090000000002</v>
      </c>
      <c r="G234" s="86">
        <v>42628.480000000003</v>
      </c>
      <c r="H234" s="3" t="s">
        <v>3700</v>
      </c>
      <c r="I234" s="30">
        <f t="shared" si="8"/>
        <v>3459.3090000000002</v>
      </c>
      <c r="J234" s="3"/>
    </row>
    <row r="235" spans="1:10" x14ac:dyDescent="0.4">
      <c r="A235" s="3" t="s">
        <v>52</v>
      </c>
      <c r="B235" s="3" t="s">
        <v>3861</v>
      </c>
      <c r="C235" s="3">
        <v>7146</v>
      </c>
      <c r="D235" s="44" t="s">
        <v>3865</v>
      </c>
      <c r="E235" s="3">
        <v>2024</v>
      </c>
      <c r="F235" s="127">
        <v>921.2</v>
      </c>
      <c r="G235" s="86">
        <v>11372.1</v>
      </c>
      <c r="H235" s="3" t="s">
        <v>3700</v>
      </c>
      <c r="I235" s="30">
        <f t="shared" si="8"/>
        <v>921.2</v>
      </c>
      <c r="J235" s="3"/>
    </row>
    <row r="236" spans="1:10" x14ac:dyDescent="0.4">
      <c r="A236" s="3" t="s">
        <v>52</v>
      </c>
      <c r="B236" s="3" t="s">
        <v>3861</v>
      </c>
      <c r="C236" s="3">
        <v>7146</v>
      </c>
      <c r="D236" s="44" t="s">
        <v>3866</v>
      </c>
      <c r="E236" s="3">
        <v>2024</v>
      </c>
      <c r="F236" s="127">
        <v>150.69999999999999</v>
      </c>
      <c r="G236" s="86">
        <v>1862.9</v>
      </c>
      <c r="H236" s="3" t="s">
        <v>3700</v>
      </c>
      <c r="I236" s="30">
        <f t="shared" si="8"/>
        <v>150.69999999999999</v>
      </c>
      <c r="J236" s="3"/>
    </row>
    <row r="237" spans="1:10" x14ac:dyDescent="0.4">
      <c r="A237" s="3" t="s">
        <v>52</v>
      </c>
      <c r="B237" s="3" t="s">
        <v>3867</v>
      </c>
      <c r="C237" s="3">
        <v>7314</v>
      </c>
      <c r="D237" s="135" t="s">
        <v>3719</v>
      </c>
      <c r="E237" s="3">
        <v>2024</v>
      </c>
      <c r="F237" s="127">
        <v>233756.552</v>
      </c>
      <c r="G237" s="86">
        <v>3932477.8840000001</v>
      </c>
      <c r="H237" s="3" t="s">
        <v>3707</v>
      </c>
      <c r="I237" s="30">
        <f t="shared" si="8"/>
        <v>233756.552</v>
      </c>
      <c r="J237" s="3"/>
    </row>
    <row r="238" spans="1:10" x14ac:dyDescent="0.4">
      <c r="A238" s="3" t="s">
        <v>52</v>
      </c>
      <c r="B238" s="3" t="s">
        <v>3868</v>
      </c>
      <c r="C238" s="3">
        <v>7869</v>
      </c>
      <c r="D238" s="44" t="s">
        <v>3869</v>
      </c>
      <c r="E238" s="3">
        <v>2024</v>
      </c>
      <c r="F238" s="127">
        <v>37.6</v>
      </c>
      <c r="G238" s="86">
        <v>465</v>
      </c>
      <c r="H238" s="3" t="s">
        <v>3700</v>
      </c>
      <c r="I238" s="30">
        <f t="shared" si="8"/>
        <v>37.6</v>
      </c>
      <c r="J238" s="3"/>
    </row>
    <row r="239" spans="1:10" x14ac:dyDescent="0.4">
      <c r="A239" s="3" t="s">
        <v>52</v>
      </c>
      <c r="B239" s="3" t="s">
        <v>3868</v>
      </c>
      <c r="C239" s="3">
        <v>7869</v>
      </c>
      <c r="D239" s="44" t="s">
        <v>3870</v>
      </c>
      <c r="E239" s="3">
        <v>2024</v>
      </c>
      <c r="F239" s="127">
        <v>42572.997000000003</v>
      </c>
      <c r="G239" s="86">
        <v>714485.60800000001</v>
      </c>
      <c r="H239" s="3" t="s">
        <v>3700</v>
      </c>
      <c r="I239" s="30">
        <f t="shared" si="8"/>
        <v>42572.997000000003</v>
      </c>
      <c r="J239" s="3"/>
    </row>
    <row r="240" spans="1:10" x14ac:dyDescent="0.4">
      <c r="A240" s="3" t="s">
        <v>52</v>
      </c>
      <c r="B240" s="3" t="s">
        <v>3868</v>
      </c>
      <c r="C240" s="3">
        <v>7869</v>
      </c>
      <c r="D240" s="44" t="s">
        <v>3865</v>
      </c>
      <c r="E240" s="3">
        <v>2024</v>
      </c>
      <c r="F240" s="127">
        <v>41143.281999999999</v>
      </c>
      <c r="G240" s="86">
        <v>691514.39899999998</v>
      </c>
      <c r="H240" s="3" t="s">
        <v>3700</v>
      </c>
      <c r="I240" s="30">
        <f t="shared" si="8"/>
        <v>41143.281999999999</v>
      </c>
      <c r="J240" s="3"/>
    </row>
    <row r="241" spans="1:10" x14ac:dyDescent="0.4">
      <c r="A241" s="3" t="s">
        <v>52</v>
      </c>
      <c r="B241" s="3" t="s">
        <v>705</v>
      </c>
      <c r="C241" s="3">
        <v>7909</v>
      </c>
      <c r="D241" s="44" t="s">
        <v>3871</v>
      </c>
      <c r="E241" s="3">
        <v>2024</v>
      </c>
      <c r="F241" s="127">
        <v>34205.317000000003</v>
      </c>
      <c r="G241" s="86">
        <v>575584.97</v>
      </c>
      <c r="H241" s="3" t="s">
        <v>3700</v>
      </c>
      <c r="I241" s="30">
        <f t="shared" si="8"/>
        <v>34205.317000000003</v>
      </c>
      <c r="J241" s="3"/>
    </row>
    <row r="242" spans="1:10" x14ac:dyDescent="0.4">
      <c r="A242" s="3" t="s">
        <v>52</v>
      </c>
      <c r="B242" s="3" t="s">
        <v>705</v>
      </c>
      <c r="C242" s="3">
        <v>7909</v>
      </c>
      <c r="D242" s="44" t="s">
        <v>3872</v>
      </c>
      <c r="E242" s="3">
        <v>2024</v>
      </c>
      <c r="F242" s="127">
        <v>40867.097000000002</v>
      </c>
      <c r="G242" s="86">
        <v>687647.91299999994</v>
      </c>
      <c r="H242" s="3" t="s">
        <v>3700</v>
      </c>
      <c r="I242" s="30">
        <f t="shared" si="8"/>
        <v>40867.097000000002</v>
      </c>
      <c r="J242" s="3"/>
    </row>
    <row r="243" spans="1:10" x14ac:dyDescent="0.4">
      <c r="A243" s="3" t="s">
        <v>52</v>
      </c>
      <c r="B243" s="3" t="s">
        <v>3873</v>
      </c>
      <c r="C243" s="3">
        <v>7910</v>
      </c>
      <c r="D243" s="44">
        <v>2301</v>
      </c>
      <c r="E243" s="3">
        <v>2024</v>
      </c>
      <c r="F243" s="127">
        <v>34731.436999999998</v>
      </c>
      <c r="G243" s="86">
        <v>584434.43400000001</v>
      </c>
      <c r="H243" s="3" t="s">
        <v>3700</v>
      </c>
      <c r="I243" s="30">
        <f t="shared" si="8"/>
        <v>34731.436999999998</v>
      </c>
      <c r="J243" s="3" t="s">
        <v>3874</v>
      </c>
    </row>
    <row r="244" spans="1:10" x14ac:dyDescent="0.4">
      <c r="A244" s="3" t="s">
        <v>52</v>
      </c>
      <c r="B244" s="3" t="s">
        <v>3873</v>
      </c>
      <c r="C244" s="3">
        <v>7910</v>
      </c>
      <c r="D244" s="44">
        <v>2302</v>
      </c>
      <c r="E244" s="3">
        <v>2024</v>
      </c>
      <c r="F244" s="127">
        <v>31030.543000000001</v>
      </c>
      <c r="G244" s="86">
        <v>522162.44500000001</v>
      </c>
      <c r="H244" s="3" t="s">
        <v>3700</v>
      </c>
      <c r="I244" s="30">
        <f t="shared" si="8"/>
        <v>31030.543000000001</v>
      </c>
      <c r="J244" s="3" t="s">
        <v>3874</v>
      </c>
    </row>
    <row r="245" spans="1:10" x14ac:dyDescent="0.4">
      <c r="A245" s="3" t="s">
        <v>52</v>
      </c>
      <c r="B245" s="3" t="s">
        <v>707</v>
      </c>
      <c r="C245" s="3">
        <v>7912</v>
      </c>
      <c r="D245" s="44" t="s">
        <v>3875</v>
      </c>
      <c r="E245" s="3">
        <v>2024</v>
      </c>
      <c r="F245" s="127">
        <v>24370.492999999999</v>
      </c>
      <c r="G245" s="86">
        <v>410083.01799999998</v>
      </c>
      <c r="H245" s="3" t="s">
        <v>3700</v>
      </c>
      <c r="I245" s="30">
        <f t="shared" si="8"/>
        <v>24370.492999999999</v>
      </c>
      <c r="J245" s="3"/>
    </row>
    <row r="246" spans="1:10" x14ac:dyDescent="0.4">
      <c r="A246" s="3" t="s">
        <v>52</v>
      </c>
      <c r="B246" s="3" t="s">
        <v>708</v>
      </c>
      <c r="C246" s="3">
        <v>7913</v>
      </c>
      <c r="D246" s="44" t="s">
        <v>3876</v>
      </c>
      <c r="E246" s="3">
        <v>2024</v>
      </c>
      <c r="F246" s="127">
        <v>36452.332000000002</v>
      </c>
      <c r="G246" s="86">
        <v>613409.30000000005</v>
      </c>
      <c r="H246" s="3" t="s">
        <v>3700</v>
      </c>
      <c r="I246" s="30">
        <f t="shared" ref="I246:I280" si="9">F246</f>
        <v>36452.332000000002</v>
      </c>
      <c r="J246" s="3"/>
    </row>
    <row r="247" spans="1:10" x14ac:dyDescent="0.4">
      <c r="A247" s="3" t="s">
        <v>52</v>
      </c>
      <c r="B247" s="3" t="s">
        <v>708</v>
      </c>
      <c r="C247" s="3">
        <v>7913</v>
      </c>
      <c r="D247" s="44" t="s">
        <v>3877</v>
      </c>
      <c r="E247" s="3">
        <v>2024</v>
      </c>
      <c r="F247" s="127">
        <v>31110.785</v>
      </c>
      <c r="G247" s="86">
        <v>523489.02600000001</v>
      </c>
      <c r="H247" s="3" t="s">
        <v>3700</v>
      </c>
      <c r="I247" s="30">
        <f t="shared" si="9"/>
        <v>31110.785</v>
      </c>
      <c r="J247" s="3"/>
    </row>
    <row r="248" spans="1:10" x14ac:dyDescent="0.4">
      <c r="A248" s="3" t="s">
        <v>52</v>
      </c>
      <c r="B248" s="3" t="s">
        <v>709</v>
      </c>
      <c r="C248" s="3">
        <v>7914</v>
      </c>
      <c r="D248" s="44" t="s">
        <v>3878</v>
      </c>
      <c r="E248" s="3">
        <v>2024</v>
      </c>
      <c r="F248" s="127">
        <v>37261.016000000003</v>
      </c>
      <c r="G248" s="86">
        <v>627029.97699999996</v>
      </c>
      <c r="H248" s="3" t="s">
        <v>3700</v>
      </c>
      <c r="I248" s="30">
        <f t="shared" si="9"/>
        <v>37261.016000000003</v>
      </c>
      <c r="J248" s="3"/>
    </row>
    <row r="249" spans="1:10" x14ac:dyDescent="0.4">
      <c r="A249" s="3" t="s">
        <v>52</v>
      </c>
      <c r="B249" s="3" t="s">
        <v>709</v>
      </c>
      <c r="C249" s="3">
        <v>7914</v>
      </c>
      <c r="D249" s="44" t="s">
        <v>3879</v>
      </c>
      <c r="E249" s="3">
        <v>2024</v>
      </c>
      <c r="F249" s="127">
        <v>32856.39</v>
      </c>
      <c r="G249" s="86">
        <v>552868.647</v>
      </c>
      <c r="H249" s="3" t="s">
        <v>3700</v>
      </c>
      <c r="I249" s="30">
        <f t="shared" si="9"/>
        <v>32856.39</v>
      </c>
      <c r="J249" s="3"/>
    </row>
    <row r="250" spans="1:10" x14ac:dyDescent="0.4">
      <c r="A250" s="3" t="s">
        <v>52</v>
      </c>
      <c r="B250" s="3" t="s">
        <v>710</v>
      </c>
      <c r="C250" s="3">
        <v>7915</v>
      </c>
      <c r="D250" s="44" t="s">
        <v>3880</v>
      </c>
      <c r="E250" s="3">
        <v>2024</v>
      </c>
      <c r="F250" s="127">
        <v>42498.963000000003</v>
      </c>
      <c r="G250" s="86">
        <v>715112.12399999995</v>
      </c>
      <c r="H250" s="3" t="s">
        <v>3700</v>
      </c>
      <c r="I250" s="30">
        <f t="shared" si="9"/>
        <v>42498.963000000003</v>
      </c>
      <c r="J250" s="3"/>
    </row>
    <row r="251" spans="1:10" x14ac:dyDescent="0.4">
      <c r="A251" s="3" t="s">
        <v>52</v>
      </c>
      <c r="B251" s="3" t="s">
        <v>3881</v>
      </c>
      <c r="C251" s="3">
        <v>8006</v>
      </c>
      <c r="D251" s="44">
        <v>1</v>
      </c>
      <c r="E251" s="3">
        <v>2024</v>
      </c>
      <c r="F251" s="127">
        <v>83007.187999999995</v>
      </c>
      <c r="G251" s="86">
        <v>1359783.8570000001</v>
      </c>
      <c r="H251" s="3" t="s">
        <v>3702</v>
      </c>
      <c r="I251" s="30">
        <f t="shared" si="9"/>
        <v>83007.187999999995</v>
      </c>
      <c r="J251" s="3"/>
    </row>
    <row r="252" spans="1:10" x14ac:dyDescent="0.4">
      <c r="A252" s="3" t="s">
        <v>52</v>
      </c>
      <c r="B252" s="3" t="s">
        <v>3881</v>
      </c>
      <c r="C252" s="3">
        <v>8006</v>
      </c>
      <c r="D252" s="44">
        <v>2</v>
      </c>
      <c r="E252" s="3">
        <v>2024</v>
      </c>
      <c r="F252" s="127">
        <v>78599.650999999998</v>
      </c>
      <c r="G252" s="86">
        <v>1285009.3419999999</v>
      </c>
      <c r="H252" s="3" t="s">
        <v>3702</v>
      </c>
      <c r="I252" s="30">
        <f t="shared" si="9"/>
        <v>78599.650999999998</v>
      </c>
      <c r="J252" s="3"/>
    </row>
    <row r="253" spans="1:10" x14ac:dyDescent="0.4">
      <c r="A253" s="3" t="s">
        <v>52</v>
      </c>
      <c r="B253" s="3" t="s">
        <v>3882</v>
      </c>
      <c r="C253" s="3">
        <v>8007</v>
      </c>
      <c r="D253" s="44" t="s">
        <v>3883</v>
      </c>
      <c r="E253" s="3">
        <v>2024</v>
      </c>
      <c r="F253" s="127">
        <v>3056.5</v>
      </c>
      <c r="G253" s="86">
        <v>37759.599999999999</v>
      </c>
      <c r="H253" s="3" t="s">
        <v>3700</v>
      </c>
      <c r="I253" s="30">
        <f t="shared" si="9"/>
        <v>3056.5</v>
      </c>
      <c r="J253" s="3"/>
    </row>
    <row r="254" spans="1:10" x14ac:dyDescent="0.4">
      <c r="A254" s="3" t="s">
        <v>52</v>
      </c>
      <c r="B254" s="3" t="s">
        <v>3882</v>
      </c>
      <c r="C254" s="3">
        <v>8007</v>
      </c>
      <c r="D254" s="44" t="s">
        <v>3884</v>
      </c>
      <c r="E254" s="3">
        <v>2024</v>
      </c>
      <c r="F254" s="127">
        <v>3059.9</v>
      </c>
      <c r="G254" s="86">
        <v>37802.800000000003</v>
      </c>
      <c r="H254" s="3" t="s">
        <v>3700</v>
      </c>
      <c r="I254" s="30">
        <f t="shared" si="9"/>
        <v>3059.9</v>
      </c>
      <c r="J254" s="3"/>
    </row>
    <row r="255" spans="1:10" x14ac:dyDescent="0.4">
      <c r="A255" s="3" t="s">
        <v>52</v>
      </c>
      <c r="B255" s="3" t="s">
        <v>3882</v>
      </c>
      <c r="C255" s="3">
        <v>8007</v>
      </c>
      <c r="D255" s="44" t="s">
        <v>3885</v>
      </c>
      <c r="E255" s="3">
        <v>2024</v>
      </c>
      <c r="F255" s="127">
        <v>1052.4000000000001</v>
      </c>
      <c r="G255" s="86">
        <v>12999.5</v>
      </c>
      <c r="H255" s="3" t="s">
        <v>3700</v>
      </c>
      <c r="I255" s="30">
        <f t="shared" si="9"/>
        <v>1052.4000000000001</v>
      </c>
      <c r="J255" s="3"/>
    </row>
    <row r="256" spans="1:10" x14ac:dyDescent="0.4">
      <c r="A256" s="3" t="s">
        <v>52</v>
      </c>
      <c r="B256" s="3" t="s">
        <v>3882</v>
      </c>
      <c r="C256" s="3">
        <v>8007</v>
      </c>
      <c r="D256" s="44" t="s">
        <v>3833</v>
      </c>
      <c r="E256" s="3">
        <v>2024</v>
      </c>
      <c r="F256" s="127">
        <v>1055.9000000000001</v>
      </c>
      <c r="G256" s="86">
        <v>13042.4</v>
      </c>
      <c r="H256" s="3" t="s">
        <v>3700</v>
      </c>
      <c r="I256" s="30">
        <f t="shared" si="9"/>
        <v>1055.9000000000001</v>
      </c>
      <c r="J256" s="3"/>
    </row>
    <row r="257" spans="1:10" x14ac:dyDescent="0.4">
      <c r="A257" s="3" t="s">
        <v>52</v>
      </c>
      <c r="B257" s="3" t="s">
        <v>3882</v>
      </c>
      <c r="C257" s="3">
        <v>8007</v>
      </c>
      <c r="D257" s="44" t="s">
        <v>3834</v>
      </c>
      <c r="E257" s="3">
        <v>2024</v>
      </c>
      <c r="F257" s="127">
        <v>1676.4</v>
      </c>
      <c r="G257" s="86">
        <v>20709.3</v>
      </c>
      <c r="H257" s="3" t="s">
        <v>3700</v>
      </c>
      <c r="I257" s="30">
        <f t="shared" si="9"/>
        <v>1676.4</v>
      </c>
      <c r="J257" s="3"/>
    </row>
    <row r="258" spans="1:10" x14ac:dyDescent="0.4">
      <c r="A258" s="3" t="s">
        <v>52</v>
      </c>
      <c r="B258" s="3" t="s">
        <v>3882</v>
      </c>
      <c r="C258" s="3">
        <v>8007</v>
      </c>
      <c r="D258" s="44" t="s">
        <v>3835</v>
      </c>
      <c r="E258" s="3">
        <v>2024</v>
      </c>
      <c r="F258" s="127">
        <v>1676.4</v>
      </c>
      <c r="G258" s="86">
        <v>20709.3</v>
      </c>
      <c r="H258" s="3" t="s">
        <v>3700</v>
      </c>
      <c r="I258" s="30">
        <f t="shared" si="9"/>
        <v>1676.4</v>
      </c>
      <c r="J258" s="3"/>
    </row>
    <row r="259" spans="1:10" x14ac:dyDescent="0.4">
      <c r="A259" s="3" t="s">
        <v>52</v>
      </c>
      <c r="B259" s="3" t="s">
        <v>3882</v>
      </c>
      <c r="C259" s="3">
        <v>8007</v>
      </c>
      <c r="D259" s="44" t="s">
        <v>3836</v>
      </c>
      <c r="E259" s="3">
        <v>2024</v>
      </c>
      <c r="F259" s="127">
        <v>1101.7</v>
      </c>
      <c r="G259" s="86">
        <v>13608.5</v>
      </c>
      <c r="H259" s="3" t="s">
        <v>3700</v>
      </c>
      <c r="I259" s="30">
        <f t="shared" si="9"/>
        <v>1101.7</v>
      </c>
      <c r="J259" s="3"/>
    </row>
    <row r="260" spans="1:10" x14ac:dyDescent="0.4">
      <c r="A260" s="3" t="s">
        <v>52</v>
      </c>
      <c r="B260" s="3" t="s">
        <v>3882</v>
      </c>
      <c r="C260" s="3">
        <v>8007</v>
      </c>
      <c r="D260" s="44" t="s">
        <v>3837</v>
      </c>
      <c r="E260" s="3">
        <v>2024</v>
      </c>
      <c r="F260" s="127">
        <v>1134.7</v>
      </c>
      <c r="G260" s="86">
        <v>14015.9</v>
      </c>
      <c r="H260" s="3" t="s">
        <v>3700</v>
      </c>
      <c r="I260" s="30">
        <f t="shared" si="9"/>
        <v>1134.7</v>
      </c>
      <c r="J260" s="3"/>
    </row>
    <row r="261" spans="1:10" x14ac:dyDescent="0.4">
      <c r="A261" s="3" t="s">
        <v>52</v>
      </c>
      <c r="B261" s="3" t="s">
        <v>3882</v>
      </c>
      <c r="C261" s="3">
        <v>8007</v>
      </c>
      <c r="D261" s="44" t="s">
        <v>3838</v>
      </c>
      <c r="E261" s="3">
        <v>2024</v>
      </c>
      <c r="F261" s="127">
        <v>723.8</v>
      </c>
      <c r="G261" s="86">
        <v>8937.5</v>
      </c>
      <c r="H261" s="3" t="s">
        <v>3700</v>
      </c>
      <c r="I261" s="30">
        <f t="shared" si="9"/>
        <v>723.8</v>
      </c>
      <c r="J261" s="3"/>
    </row>
    <row r="262" spans="1:10" x14ac:dyDescent="0.4">
      <c r="A262" s="3" t="s">
        <v>52</v>
      </c>
      <c r="B262" s="3" t="s">
        <v>3882</v>
      </c>
      <c r="C262" s="3">
        <v>8007</v>
      </c>
      <c r="D262" s="44" t="s">
        <v>3886</v>
      </c>
      <c r="E262" s="3">
        <v>2024</v>
      </c>
      <c r="F262" s="127">
        <v>720.1</v>
      </c>
      <c r="G262" s="86">
        <v>8891.2999999999993</v>
      </c>
      <c r="H262" s="3" t="s">
        <v>3700</v>
      </c>
      <c r="I262" s="30">
        <f t="shared" si="9"/>
        <v>720.1</v>
      </c>
      <c r="J262" s="3"/>
    </row>
    <row r="263" spans="1:10" x14ac:dyDescent="0.4">
      <c r="A263" s="3" t="s">
        <v>52</v>
      </c>
      <c r="B263" s="3" t="s">
        <v>3882</v>
      </c>
      <c r="C263" s="3">
        <v>8007</v>
      </c>
      <c r="D263" s="44" t="s">
        <v>3839</v>
      </c>
      <c r="E263" s="3">
        <v>2024</v>
      </c>
      <c r="F263" s="127">
        <v>2114.4</v>
      </c>
      <c r="G263" s="86">
        <v>26125.200000000001</v>
      </c>
      <c r="H263" s="3" t="s">
        <v>3700</v>
      </c>
      <c r="I263" s="30">
        <f t="shared" si="9"/>
        <v>2114.4</v>
      </c>
      <c r="J263" s="3"/>
    </row>
    <row r="264" spans="1:10" x14ac:dyDescent="0.4">
      <c r="A264" s="3" t="s">
        <v>52</v>
      </c>
      <c r="B264" s="3" t="s">
        <v>3882</v>
      </c>
      <c r="C264" s="3">
        <v>8007</v>
      </c>
      <c r="D264" s="44" t="s">
        <v>3840</v>
      </c>
      <c r="E264" s="3">
        <v>2024</v>
      </c>
      <c r="F264" s="127">
        <v>2120.1999999999998</v>
      </c>
      <c r="G264" s="86">
        <v>26197.599999999999</v>
      </c>
      <c r="H264" s="3" t="s">
        <v>3700</v>
      </c>
      <c r="I264" s="30">
        <f t="shared" si="9"/>
        <v>2120.1999999999998</v>
      </c>
      <c r="J264" s="3"/>
    </row>
    <row r="265" spans="1:10" x14ac:dyDescent="0.4">
      <c r="A265" s="3" t="s">
        <v>52</v>
      </c>
      <c r="B265" s="3" t="s">
        <v>3882</v>
      </c>
      <c r="C265" s="3">
        <v>8007</v>
      </c>
      <c r="D265" s="44" t="s">
        <v>3841</v>
      </c>
      <c r="E265" s="3">
        <v>2024</v>
      </c>
      <c r="F265" s="127">
        <v>1357.3</v>
      </c>
      <c r="G265" s="86">
        <v>16761.900000000001</v>
      </c>
      <c r="H265" s="3" t="s">
        <v>3700</v>
      </c>
      <c r="I265" s="30">
        <f t="shared" si="9"/>
        <v>1357.3</v>
      </c>
      <c r="J265" s="3"/>
    </row>
    <row r="266" spans="1:10" x14ac:dyDescent="0.4">
      <c r="A266" s="3" t="s">
        <v>52</v>
      </c>
      <c r="B266" s="3" t="s">
        <v>3882</v>
      </c>
      <c r="C266" s="3">
        <v>8007</v>
      </c>
      <c r="D266" s="44" t="s">
        <v>3842</v>
      </c>
      <c r="E266" s="3">
        <v>2024</v>
      </c>
      <c r="F266" s="127">
        <v>1357.3</v>
      </c>
      <c r="G266" s="86">
        <v>16761.900000000001</v>
      </c>
      <c r="H266" s="3" t="s">
        <v>3700</v>
      </c>
      <c r="I266" s="30">
        <f t="shared" si="9"/>
        <v>1357.3</v>
      </c>
      <c r="J266" s="3"/>
    </row>
    <row r="267" spans="1:10" x14ac:dyDescent="0.4">
      <c r="A267" s="3" t="s">
        <v>52</v>
      </c>
      <c r="B267" s="3" t="s">
        <v>3882</v>
      </c>
      <c r="C267" s="3">
        <v>8007</v>
      </c>
      <c r="D267" s="44" t="s">
        <v>3843</v>
      </c>
      <c r="E267" s="3">
        <v>2024</v>
      </c>
      <c r="F267" s="127">
        <v>774</v>
      </c>
      <c r="G267" s="86">
        <v>9560.2000000000007</v>
      </c>
      <c r="H267" s="3" t="s">
        <v>3700</v>
      </c>
      <c r="I267" s="30">
        <f t="shared" si="9"/>
        <v>774</v>
      </c>
      <c r="J267" s="3"/>
    </row>
    <row r="268" spans="1:10" x14ac:dyDescent="0.4">
      <c r="A268" s="3" t="s">
        <v>52</v>
      </c>
      <c r="B268" s="3" t="s">
        <v>3882</v>
      </c>
      <c r="C268" s="3">
        <v>8007</v>
      </c>
      <c r="D268" s="44" t="s">
        <v>3844</v>
      </c>
      <c r="E268" s="3">
        <v>2024</v>
      </c>
      <c r="F268" s="127">
        <v>774</v>
      </c>
      <c r="G268" s="86">
        <v>9560.2000000000007</v>
      </c>
      <c r="H268" s="3" t="s">
        <v>3700</v>
      </c>
      <c r="I268" s="30">
        <f t="shared" si="9"/>
        <v>774</v>
      </c>
      <c r="J268" s="3"/>
    </row>
    <row r="269" spans="1:10" x14ac:dyDescent="0.4">
      <c r="A269" s="3" t="s">
        <v>52</v>
      </c>
      <c r="B269" s="3" t="s">
        <v>3882</v>
      </c>
      <c r="C269" s="3">
        <v>8007</v>
      </c>
      <c r="D269" s="44" t="s">
        <v>3845</v>
      </c>
      <c r="E269" s="3">
        <v>2024</v>
      </c>
      <c r="F269" s="127">
        <v>1103.0999999999999</v>
      </c>
      <c r="G269" s="86">
        <v>13620.5</v>
      </c>
      <c r="H269" s="3" t="s">
        <v>3700</v>
      </c>
      <c r="I269" s="30">
        <f t="shared" si="9"/>
        <v>1103.0999999999999</v>
      </c>
      <c r="J269" s="3"/>
    </row>
    <row r="270" spans="1:10" x14ac:dyDescent="0.4">
      <c r="A270" s="3" t="s">
        <v>52</v>
      </c>
      <c r="B270" s="3" t="s">
        <v>3882</v>
      </c>
      <c r="C270" s="3">
        <v>8007</v>
      </c>
      <c r="D270" s="44" t="s">
        <v>3846</v>
      </c>
      <c r="E270" s="3">
        <v>2024</v>
      </c>
      <c r="F270" s="127">
        <v>1103.0999999999999</v>
      </c>
      <c r="G270" s="86">
        <v>13620.5</v>
      </c>
      <c r="H270" s="3" t="s">
        <v>3700</v>
      </c>
      <c r="I270" s="30">
        <f t="shared" si="9"/>
        <v>1103.0999999999999</v>
      </c>
      <c r="J270" s="3"/>
    </row>
    <row r="271" spans="1:10" x14ac:dyDescent="0.4">
      <c r="A271" s="3" t="s">
        <v>52</v>
      </c>
      <c r="B271" s="3" t="s">
        <v>3882</v>
      </c>
      <c r="C271" s="3">
        <v>8007</v>
      </c>
      <c r="D271" s="44" t="s">
        <v>3847</v>
      </c>
      <c r="E271" s="3">
        <v>2024</v>
      </c>
      <c r="F271" s="127">
        <v>935.4</v>
      </c>
      <c r="G271" s="86">
        <v>11553.9</v>
      </c>
      <c r="H271" s="3" t="s">
        <v>3700</v>
      </c>
      <c r="I271" s="30">
        <f t="shared" si="9"/>
        <v>935.4</v>
      </c>
      <c r="J271" s="3"/>
    </row>
    <row r="272" spans="1:10" x14ac:dyDescent="0.4">
      <c r="A272" s="3" t="s">
        <v>52</v>
      </c>
      <c r="B272" s="3" t="s">
        <v>3882</v>
      </c>
      <c r="C272" s="3">
        <v>8007</v>
      </c>
      <c r="D272" s="44" t="s">
        <v>3848</v>
      </c>
      <c r="E272" s="3">
        <v>2024</v>
      </c>
      <c r="F272" s="127">
        <v>935.4</v>
      </c>
      <c r="G272" s="86">
        <v>11553.9</v>
      </c>
      <c r="H272" s="3" t="s">
        <v>3700</v>
      </c>
      <c r="I272" s="30">
        <f t="shared" si="9"/>
        <v>935.4</v>
      </c>
      <c r="J272" s="3"/>
    </row>
    <row r="273" spans="1:10" x14ac:dyDescent="0.4">
      <c r="A273" s="3" t="s">
        <v>52</v>
      </c>
      <c r="B273" s="3" t="s">
        <v>3887</v>
      </c>
      <c r="C273" s="3">
        <v>8053</v>
      </c>
      <c r="D273" s="44" t="s">
        <v>3888</v>
      </c>
      <c r="E273" s="3">
        <v>2024</v>
      </c>
      <c r="F273" s="127">
        <v>47603.938999999998</v>
      </c>
      <c r="G273" s="86">
        <v>801031</v>
      </c>
      <c r="H273" s="3" t="s">
        <v>3700</v>
      </c>
      <c r="I273" s="30">
        <f t="shared" si="9"/>
        <v>47603.938999999998</v>
      </c>
      <c r="J273" s="3"/>
    </row>
    <row r="274" spans="1:10" x14ac:dyDescent="0.4">
      <c r="A274" s="3" t="s">
        <v>52</v>
      </c>
      <c r="B274" s="3" t="s">
        <v>722</v>
      </c>
      <c r="C274" s="3">
        <v>8906</v>
      </c>
      <c r="D274" s="44">
        <v>20</v>
      </c>
      <c r="E274" s="3">
        <v>2024</v>
      </c>
      <c r="F274" s="127">
        <v>7345.6130000000003</v>
      </c>
      <c r="G274" s="86">
        <v>123606.49099999999</v>
      </c>
      <c r="H274" s="3" t="s">
        <v>3703</v>
      </c>
      <c r="I274" s="30">
        <f t="shared" si="9"/>
        <v>7345.6130000000003</v>
      </c>
      <c r="J274" s="3"/>
    </row>
    <row r="275" spans="1:10" x14ac:dyDescent="0.4">
      <c r="A275" s="3" t="s">
        <v>52</v>
      </c>
      <c r="B275" s="3" t="s">
        <v>722</v>
      </c>
      <c r="C275" s="3">
        <v>8906</v>
      </c>
      <c r="D275" s="44" t="s">
        <v>3889</v>
      </c>
      <c r="E275" s="3">
        <v>2024</v>
      </c>
      <c r="F275" s="127">
        <v>164806.35800000001</v>
      </c>
      <c r="G275" s="86">
        <v>2772583.446</v>
      </c>
      <c r="H275" s="3" t="s">
        <v>3703</v>
      </c>
      <c r="I275" s="30">
        <f t="shared" si="9"/>
        <v>164806.35800000001</v>
      </c>
      <c r="J275" s="3"/>
    </row>
    <row r="276" spans="1:10" x14ac:dyDescent="0.4">
      <c r="A276" s="3" t="s">
        <v>52</v>
      </c>
      <c r="B276" s="3" t="s">
        <v>722</v>
      </c>
      <c r="C276" s="3">
        <v>8906</v>
      </c>
      <c r="D276" s="44" t="s">
        <v>3890</v>
      </c>
      <c r="E276" s="3">
        <v>2024</v>
      </c>
      <c r="F276" s="127">
        <v>157183.72099999999</v>
      </c>
      <c r="G276" s="86">
        <v>2644352.5350000001</v>
      </c>
      <c r="H276" s="3" t="s">
        <v>3703</v>
      </c>
      <c r="I276" s="30">
        <f t="shared" si="9"/>
        <v>157183.72099999999</v>
      </c>
      <c r="J276" s="3"/>
    </row>
    <row r="277" spans="1:10" x14ac:dyDescent="0.4">
      <c r="A277" s="3" t="s">
        <v>52</v>
      </c>
      <c r="B277" s="3" t="s">
        <v>722</v>
      </c>
      <c r="C277" s="3">
        <v>8906</v>
      </c>
      <c r="D277" s="44" t="s">
        <v>3891</v>
      </c>
      <c r="E277" s="3">
        <v>2024</v>
      </c>
      <c r="F277" s="127">
        <v>137563.26699999999</v>
      </c>
      <c r="G277" s="86">
        <v>2314409.71</v>
      </c>
      <c r="H277" s="3" t="s">
        <v>3702</v>
      </c>
      <c r="I277" s="30">
        <f t="shared" si="9"/>
        <v>137563.26699999999</v>
      </c>
      <c r="J277" s="3"/>
    </row>
    <row r="278" spans="1:10" x14ac:dyDescent="0.4">
      <c r="A278" s="3" t="s">
        <v>52</v>
      </c>
      <c r="B278" s="3" t="s">
        <v>722</v>
      </c>
      <c r="C278" s="3">
        <v>8906</v>
      </c>
      <c r="D278" s="44" t="s">
        <v>3892</v>
      </c>
      <c r="E278" s="3">
        <v>2024</v>
      </c>
      <c r="F278" s="127">
        <v>140766.1</v>
      </c>
      <c r="G278" s="86">
        <v>2368306.1060000001</v>
      </c>
      <c r="H278" s="3" t="s">
        <v>3702</v>
      </c>
      <c r="I278" s="30">
        <f t="shared" si="9"/>
        <v>140766.1</v>
      </c>
      <c r="J278" s="3"/>
    </row>
    <row r="279" spans="1:10" x14ac:dyDescent="0.4">
      <c r="A279" s="3" t="s">
        <v>52</v>
      </c>
      <c r="B279" s="3" t="s">
        <v>722</v>
      </c>
      <c r="C279" s="3">
        <v>8906</v>
      </c>
      <c r="D279" s="44" t="s">
        <v>3794</v>
      </c>
      <c r="E279" s="3">
        <v>2024</v>
      </c>
      <c r="F279" s="127">
        <v>576.1</v>
      </c>
      <c r="G279" s="86">
        <v>9777.7999999999993</v>
      </c>
      <c r="H279" s="3" t="s">
        <v>3700</v>
      </c>
      <c r="I279" s="30">
        <f t="shared" si="9"/>
        <v>576.1</v>
      </c>
      <c r="J279" s="3"/>
    </row>
    <row r="280" spans="1:10" x14ac:dyDescent="0.4">
      <c r="A280" s="3" t="s">
        <v>52</v>
      </c>
      <c r="B280" s="3" t="s">
        <v>3893</v>
      </c>
      <c r="C280" s="3">
        <v>10190</v>
      </c>
      <c r="D280" s="44">
        <v>1</v>
      </c>
      <c r="E280" s="3">
        <v>2024</v>
      </c>
      <c r="F280" s="127">
        <v>47866.667999999998</v>
      </c>
      <c r="G280" s="86">
        <v>805453.19400000002</v>
      </c>
      <c r="H280" s="3" t="s">
        <v>3707</v>
      </c>
      <c r="I280" s="30">
        <f t="shared" si="9"/>
        <v>47866.667999999998</v>
      </c>
      <c r="J280" s="3"/>
    </row>
    <row r="281" spans="1:10" x14ac:dyDescent="0.4">
      <c r="A281" s="3" t="s">
        <v>52</v>
      </c>
      <c r="B281" s="3" t="s">
        <v>3894</v>
      </c>
      <c r="C281" s="3">
        <v>10617</v>
      </c>
      <c r="D281" s="44">
        <v>1</v>
      </c>
      <c r="E281" s="3">
        <v>2024</v>
      </c>
      <c r="F281" s="86">
        <v>4503.8940000000002</v>
      </c>
      <c r="G281" s="86">
        <v>75782.414999999994</v>
      </c>
      <c r="H281" s="3" t="s">
        <v>3707</v>
      </c>
      <c r="I281" s="30" t="s">
        <v>170</v>
      </c>
      <c r="J281" s="3" t="s">
        <v>3795</v>
      </c>
    </row>
    <row r="282" spans="1:10" x14ac:dyDescent="0.4">
      <c r="A282" s="3" t="s">
        <v>52</v>
      </c>
      <c r="B282" s="3" t="s">
        <v>3895</v>
      </c>
      <c r="C282" s="3">
        <v>10619</v>
      </c>
      <c r="D282" s="135" t="s">
        <v>3896</v>
      </c>
      <c r="E282" s="3">
        <v>2024</v>
      </c>
      <c r="F282" s="127">
        <v>7799.1329999999998</v>
      </c>
      <c r="G282" s="86">
        <v>131235.12400000001</v>
      </c>
      <c r="H282" s="3" t="s">
        <v>3707</v>
      </c>
      <c r="I282" s="30">
        <f>F282</f>
        <v>7799.1329999999998</v>
      </c>
      <c r="J282" s="3" t="s">
        <v>3897</v>
      </c>
    </row>
    <row r="283" spans="1:10" x14ac:dyDescent="0.4">
      <c r="A283" s="3" t="s">
        <v>52</v>
      </c>
      <c r="B283" s="3" t="s">
        <v>3898</v>
      </c>
      <c r="C283" s="3">
        <v>10620</v>
      </c>
      <c r="D283" s="44">
        <v>1</v>
      </c>
      <c r="E283" s="3">
        <v>2024</v>
      </c>
      <c r="F283" s="127">
        <v>1821.404</v>
      </c>
      <c r="G283" s="86">
        <v>30646.286</v>
      </c>
      <c r="H283" s="3" t="s">
        <v>3707</v>
      </c>
      <c r="I283" s="30">
        <f>F283</f>
        <v>1821.404</v>
      </c>
      <c r="J283" s="3"/>
    </row>
    <row r="284" spans="1:10" x14ac:dyDescent="0.4">
      <c r="A284" s="3" t="s">
        <v>52</v>
      </c>
      <c r="B284" s="3" t="s">
        <v>3899</v>
      </c>
      <c r="C284" s="3">
        <v>10621</v>
      </c>
      <c r="D284" s="44">
        <v>1</v>
      </c>
      <c r="E284" s="3">
        <v>2024</v>
      </c>
      <c r="F284" s="127">
        <v>8543.4069999999992</v>
      </c>
      <c r="G284" s="86">
        <v>143750.989</v>
      </c>
      <c r="H284" s="3" t="s">
        <v>3707</v>
      </c>
      <c r="I284" s="30">
        <f>F284</f>
        <v>8543.4069999999992</v>
      </c>
      <c r="J284" s="3"/>
    </row>
    <row r="285" spans="1:10" x14ac:dyDescent="0.4">
      <c r="A285" s="3" t="s">
        <v>52</v>
      </c>
      <c r="B285" s="3" t="s">
        <v>3900</v>
      </c>
      <c r="C285" s="3">
        <v>10725</v>
      </c>
      <c r="D285" s="44" t="s">
        <v>3901</v>
      </c>
      <c r="E285" s="3">
        <v>2024</v>
      </c>
      <c r="F285" s="86">
        <v>7433.8549999999996</v>
      </c>
      <c r="G285" s="86">
        <v>125092.731</v>
      </c>
      <c r="H285" s="3" t="s">
        <v>3707</v>
      </c>
      <c r="I285" s="30" t="s">
        <v>170</v>
      </c>
      <c r="J285" s="3" t="s">
        <v>3795</v>
      </c>
    </row>
    <row r="286" spans="1:10" x14ac:dyDescent="0.4">
      <c r="A286" s="3" t="s">
        <v>52</v>
      </c>
      <c r="B286" s="3" t="s">
        <v>3900</v>
      </c>
      <c r="C286" s="3">
        <v>10725</v>
      </c>
      <c r="D286" s="44" t="s">
        <v>3902</v>
      </c>
      <c r="E286" s="3">
        <v>2024</v>
      </c>
      <c r="F286" s="86">
        <v>25047.148000000001</v>
      </c>
      <c r="G286" s="86">
        <v>421475.51799999998</v>
      </c>
      <c r="H286" s="3" t="s">
        <v>3707</v>
      </c>
      <c r="I286" s="30" t="s">
        <v>170</v>
      </c>
      <c r="J286" s="3" t="s">
        <v>3795</v>
      </c>
    </row>
    <row r="287" spans="1:10" x14ac:dyDescent="0.4">
      <c r="A287" s="3" t="s">
        <v>52</v>
      </c>
      <c r="B287" s="3" t="s">
        <v>3900</v>
      </c>
      <c r="C287" s="3">
        <v>10725</v>
      </c>
      <c r="D287" s="44" t="s">
        <v>3903</v>
      </c>
      <c r="E287" s="3">
        <v>2024</v>
      </c>
      <c r="F287" s="86">
        <v>20064.198</v>
      </c>
      <c r="G287" s="86">
        <v>337603.30699999997</v>
      </c>
      <c r="H287" s="3" t="s">
        <v>3707</v>
      </c>
      <c r="I287" s="30" t="s">
        <v>170</v>
      </c>
      <c r="J287" s="3" t="s">
        <v>3795</v>
      </c>
    </row>
    <row r="288" spans="1:10" x14ac:dyDescent="0.4">
      <c r="A288" s="3" t="s">
        <v>52</v>
      </c>
      <c r="B288" s="3" t="s">
        <v>3904</v>
      </c>
      <c r="C288" s="3">
        <v>10803</v>
      </c>
      <c r="D288" s="44">
        <v>1</v>
      </c>
      <c r="E288" s="3">
        <v>2024</v>
      </c>
      <c r="F288" s="127"/>
      <c r="G288" s="86"/>
      <c r="H288" s="3" t="s">
        <v>3707</v>
      </c>
      <c r="I288" s="30">
        <f t="shared" ref="I288:I293" si="10">F288</f>
        <v>0</v>
      </c>
      <c r="J288" s="3" t="s">
        <v>3897</v>
      </c>
    </row>
    <row r="289" spans="1:10" x14ac:dyDescent="0.4">
      <c r="A289" s="3" t="s">
        <v>52</v>
      </c>
      <c r="B289" s="3" t="s">
        <v>3904</v>
      </c>
      <c r="C289" s="3">
        <v>10803</v>
      </c>
      <c r="D289" s="44">
        <v>2</v>
      </c>
      <c r="E289" s="3">
        <v>2024</v>
      </c>
      <c r="F289" s="127"/>
      <c r="G289" s="86"/>
      <c r="H289" s="3" t="s">
        <v>3707</v>
      </c>
      <c r="I289" s="30">
        <f t="shared" si="10"/>
        <v>0</v>
      </c>
      <c r="J289" s="3" t="s">
        <v>3897</v>
      </c>
    </row>
    <row r="290" spans="1:10" x14ac:dyDescent="0.4">
      <c r="A290" s="3" t="s">
        <v>52</v>
      </c>
      <c r="B290" s="3" t="s">
        <v>3905</v>
      </c>
      <c r="C290" s="3">
        <v>50292</v>
      </c>
      <c r="D290" s="44" t="s">
        <v>3716</v>
      </c>
      <c r="E290" s="3">
        <v>2024</v>
      </c>
      <c r="F290" s="127">
        <v>65920.702999999994</v>
      </c>
      <c r="G290" s="86">
        <v>1109138.2169999999</v>
      </c>
      <c r="H290" s="3" t="s">
        <v>3707</v>
      </c>
      <c r="I290" s="30">
        <f t="shared" si="10"/>
        <v>65920.702999999994</v>
      </c>
      <c r="J290" s="3"/>
    </row>
    <row r="291" spans="1:10" x14ac:dyDescent="0.4">
      <c r="A291" s="3" t="s">
        <v>52</v>
      </c>
      <c r="B291" s="3" t="s">
        <v>3905</v>
      </c>
      <c r="C291" s="3">
        <v>50292</v>
      </c>
      <c r="D291" s="44" t="s">
        <v>3906</v>
      </c>
      <c r="E291" s="3">
        <v>2024</v>
      </c>
      <c r="F291" s="127">
        <v>52574.245000000003</v>
      </c>
      <c r="G291" s="86">
        <v>884788.56700000004</v>
      </c>
      <c r="H291" s="3" t="s">
        <v>3707</v>
      </c>
      <c r="I291" s="30">
        <f t="shared" si="10"/>
        <v>52574.245000000003</v>
      </c>
      <c r="J291" s="3"/>
    </row>
    <row r="292" spans="1:10" x14ac:dyDescent="0.4">
      <c r="A292" s="3" t="s">
        <v>52</v>
      </c>
      <c r="B292" s="3" t="s">
        <v>3905</v>
      </c>
      <c r="C292" s="3">
        <v>50292</v>
      </c>
      <c r="D292" s="44" t="s">
        <v>3907</v>
      </c>
      <c r="E292" s="3">
        <v>2024</v>
      </c>
      <c r="F292" s="127">
        <v>66421.827999999994</v>
      </c>
      <c r="G292" s="86">
        <v>1117665.6259999999</v>
      </c>
      <c r="H292" s="3" t="s">
        <v>3700</v>
      </c>
      <c r="I292" s="30">
        <f t="shared" si="10"/>
        <v>66421.827999999994</v>
      </c>
      <c r="J292" s="3"/>
    </row>
    <row r="293" spans="1:10" x14ac:dyDescent="0.4">
      <c r="A293" s="3" t="s">
        <v>52</v>
      </c>
      <c r="B293" s="3" t="s">
        <v>3905</v>
      </c>
      <c r="C293" s="3">
        <v>50292</v>
      </c>
      <c r="D293" s="44" t="s">
        <v>3908</v>
      </c>
      <c r="E293" s="3">
        <v>2024</v>
      </c>
      <c r="F293" s="127">
        <v>143389.78099999999</v>
      </c>
      <c r="G293" s="86">
        <v>2412760.7960000001</v>
      </c>
      <c r="H293" s="3" t="s">
        <v>3707</v>
      </c>
      <c r="I293" s="30">
        <f t="shared" si="10"/>
        <v>143389.78099999999</v>
      </c>
      <c r="J293" s="3"/>
    </row>
    <row r="294" spans="1:10" x14ac:dyDescent="0.4">
      <c r="A294" s="3" t="s">
        <v>52</v>
      </c>
      <c r="B294" s="3" t="s">
        <v>3909</v>
      </c>
      <c r="C294" s="3">
        <v>50449</v>
      </c>
      <c r="D294" s="44">
        <v>1</v>
      </c>
      <c r="E294" s="3">
        <v>2024</v>
      </c>
      <c r="F294" s="86">
        <v>35687.025000000001</v>
      </c>
      <c r="G294" s="86">
        <v>600488.25</v>
      </c>
      <c r="H294" s="3" t="s">
        <v>3707</v>
      </c>
      <c r="I294" s="30" t="s">
        <v>170</v>
      </c>
      <c r="J294" s="3" t="s">
        <v>3795</v>
      </c>
    </row>
    <row r="295" spans="1:10" x14ac:dyDescent="0.4">
      <c r="A295" s="3" t="s">
        <v>52</v>
      </c>
      <c r="B295" s="3" t="s">
        <v>3910</v>
      </c>
      <c r="C295" s="3">
        <v>50450</v>
      </c>
      <c r="D295" s="44">
        <v>1</v>
      </c>
      <c r="E295" s="3">
        <v>2024</v>
      </c>
      <c r="F295" s="86">
        <v>26875.95</v>
      </c>
      <c r="G295" s="86">
        <v>452202.32500000001</v>
      </c>
      <c r="H295" s="3" t="s">
        <v>3707</v>
      </c>
      <c r="I295" s="30" t="s">
        <v>170</v>
      </c>
      <c r="J295" s="3" t="s">
        <v>3795</v>
      </c>
    </row>
    <row r="296" spans="1:10" x14ac:dyDescent="0.4">
      <c r="A296" s="3" t="s">
        <v>52</v>
      </c>
      <c r="B296" s="3" t="s">
        <v>3911</v>
      </c>
      <c r="C296" s="3">
        <v>50451</v>
      </c>
      <c r="D296" s="44">
        <v>1</v>
      </c>
      <c r="E296" s="3">
        <v>2024</v>
      </c>
      <c r="F296" s="86">
        <v>13083.45</v>
      </c>
      <c r="G296" s="86">
        <v>220097.07500000001</v>
      </c>
      <c r="H296" s="3" t="s">
        <v>3707</v>
      </c>
      <c r="I296" s="30" t="s">
        <v>170</v>
      </c>
      <c r="J296" s="3" t="s">
        <v>3795</v>
      </c>
    </row>
    <row r="297" spans="1:10" x14ac:dyDescent="0.4">
      <c r="A297" s="3" t="s">
        <v>52</v>
      </c>
      <c r="B297" s="3" t="s">
        <v>3912</v>
      </c>
      <c r="C297" s="3">
        <v>50458</v>
      </c>
      <c r="D297" s="44">
        <v>1</v>
      </c>
      <c r="E297" s="3">
        <v>2024</v>
      </c>
      <c r="F297" s="86">
        <v>205889.02499999999</v>
      </c>
      <c r="G297" s="86">
        <v>3464523.85</v>
      </c>
      <c r="H297" s="3" t="s">
        <v>3707</v>
      </c>
      <c r="I297" s="30" t="s">
        <v>170</v>
      </c>
      <c r="J297" s="3" t="s">
        <v>3795</v>
      </c>
    </row>
    <row r="298" spans="1:10" x14ac:dyDescent="0.4">
      <c r="A298" s="3" t="s">
        <v>52</v>
      </c>
      <c r="B298" s="3" t="s">
        <v>3913</v>
      </c>
      <c r="C298" s="3">
        <v>50472</v>
      </c>
      <c r="D298" s="44" t="s">
        <v>3914</v>
      </c>
      <c r="E298" s="3">
        <v>2024</v>
      </c>
      <c r="F298" s="86">
        <v>9065.4249999999993</v>
      </c>
      <c r="G298" s="86">
        <v>152552.875</v>
      </c>
      <c r="H298" s="3" t="s">
        <v>3703</v>
      </c>
      <c r="I298" s="30" t="s">
        <v>170</v>
      </c>
      <c r="J298" s="3" t="s">
        <v>3795</v>
      </c>
    </row>
    <row r="299" spans="1:10" x14ac:dyDescent="0.4">
      <c r="A299" s="3" t="s">
        <v>52</v>
      </c>
      <c r="B299" s="3" t="s">
        <v>3913</v>
      </c>
      <c r="C299" s="3">
        <v>50472</v>
      </c>
      <c r="D299" s="44" t="s">
        <v>3915</v>
      </c>
      <c r="E299" s="3">
        <v>2024</v>
      </c>
      <c r="F299" s="86"/>
      <c r="G299" s="86"/>
      <c r="H299" s="3" t="s">
        <v>3703</v>
      </c>
      <c r="I299" s="30" t="s">
        <v>170</v>
      </c>
      <c r="J299" s="3" t="s">
        <v>3795</v>
      </c>
    </row>
    <row r="300" spans="1:10" x14ac:dyDescent="0.4">
      <c r="A300" s="3" t="s">
        <v>52</v>
      </c>
      <c r="B300" s="3" t="s">
        <v>961</v>
      </c>
      <c r="C300" s="3">
        <v>50744</v>
      </c>
      <c r="D300" s="135" t="s">
        <v>3896</v>
      </c>
      <c r="E300" s="3">
        <v>2024</v>
      </c>
      <c r="F300" s="127">
        <v>1903.404</v>
      </c>
      <c r="G300" s="86">
        <v>32038.285</v>
      </c>
      <c r="H300" s="3" t="s">
        <v>3707</v>
      </c>
      <c r="I300" s="30">
        <f>F300</f>
        <v>1903.404</v>
      </c>
      <c r="J300" s="3"/>
    </row>
    <row r="301" spans="1:10" x14ac:dyDescent="0.4">
      <c r="A301" s="3" t="s">
        <v>52</v>
      </c>
      <c r="B301" s="3" t="s">
        <v>975</v>
      </c>
      <c r="C301" s="3">
        <v>50978</v>
      </c>
      <c r="D301" s="44" t="s">
        <v>3761</v>
      </c>
      <c r="E301" s="3">
        <v>2024</v>
      </c>
      <c r="F301" s="127">
        <v>64783.389000000003</v>
      </c>
      <c r="G301" s="86">
        <v>1090137.1410000001</v>
      </c>
      <c r="H301" s="3" t="s">
        <v>3707</v>
      </c>
      <c r="I301" s="30">
        <f>F301</f>
        <v>64783.389000000003</v>
      </c>
      <c r="J301" s="3"/>
    </row>
    <row r="302" spans="1:10" x14ac:dyDescent="0.4">
      <c r="A302" s="3" t="s">
        <v>52</v>
      </c>
      <c r="B302" s="3" t="s">
        <v>975</v>
      </c>
      <c r="C302" s="3">
        <v>50978</v>
      </c>
      <c r="D302" s="44" t="s">
        <v>3762</v>
      </c>
      <c r="E302" s="3">
        <v>2024</v>
      </c>
      <c r="F302" s="127">
        <v>28953.645</v>
      </c>
      <c r="G302" s="86">
        <v>487224.40600000002</v>
      </c>
      <c r="H302" s="3" t="s">
        <v>3707</v>
      </c>
      <c r="I302" s="30">
        <f>F302</f>
        <v>28953.645</v>
      </c>
      <c r="J302" s="3"/>
    </row>
    <row r="303" spans="1:10" x14ac:dyDescent="0.4">
      <c r="A303" s="3" t="s">
        <v>52</v>
      </c>
      <c r="B303" s="3" t="s">
        <v>996</v>
      </c>
      <c r="C303" s="3">
        <v>54034</v>
      </c>
      <c r="D303" s="44" t="s">
        <v>3916</v>
      </c>
      <c r="E303" s="3">
        <v>2024</v>
      </c>
      <c r="F303" s="127">
        <v>9844.1869999999999</v>
      </c>
      <c r="G303" s="86">
        <v>165649.76999999999</v>
      </c>
      <c r="H303" s="3" t="s">
        <v>3707</v>
      </c>
      <c r="I303" s="30">
        <f>F303</f>
        <v>9844.1869999999999</v>
      </c>
      <c r="J303" s="3" t="s">
        <v>3917</v>
      </c>
    </row>
    <row r="304" spans="1:10" x14ac:dyDescent="0.4">
      <c r="A304" s="3" t="s">
        <v>52</v>
      </c>
      <c r="B304" s="3" t="s">
        <v>3918</v>
      </c>
      <c r="C304" s="3">
        <v>54041</v>
      </c>
      <c r="D304" s="135" t="s">
        <v>3919</v>
      </c>
      <c r="E304" s="3">
        <v>2024</v>
      </c>
      <c r="F304" s="86">
        <v>36598.671000000002</v>
      </c>
      <c r="G304" s="86">
        <v>615831.94299999997</v>
      </c>
      <c r="H304" s="3" t="s">
        <v>3707</v>
      </c>
      <c r="I304" s="30" t="s">
        <v>170</v>
      </c>
      <c r="J304" s="3" t="s">
        <v>3795</v>
      </c>
    </row>
    <row r="305" spans="1:10" x14ac:dyDescent="0.4">
      <c r="A305" s="3" t="s">
        <v>52</v>
      </c>
      <c r="B305" s="3" t="s">
        <v>3918</v>
      </c>
      <c r="C305" s="3">
        <v>54041</v>
      </c>
      <c r="D305" s="135" t="s">
        <v>3920</v>
      </c>
      <c r="E305" s="3">
        <v>2024</v>
      </c>
      <c r="F305" s="86">
        <v>41791.381999999998</v>
      </c>
      <c r="G305" s="86">
        <v>703250.64500000002</v>
      </c>
      <c r="H305" s="3" t="s">
        <v>3707</v>
      </c>
      <c r="I305" s="30" t="s">
        <v>170</v>
      </c>
      <c r="J305" s="3" t="s">
        <v>3795</v>
      </c>
    </row>
    <row r="306" spans="1:10" x14ac:dyDescent="0.4">
      <c r="A306" s="3" t="s">
        <v>52</v>
      </c>
      <c r="B306" s="3" t="s">
        <v>3918</v>
      </c>
      <c r="C306" s="3">
        <v>54041</v>
      </c>
      <c r="D306" s="135" t="s">
        <v>3921</v>
      </c>
      <c r="E306" s="3">
        <v>2024</v>
      </c>
      <c r="F306" s="86">
        <v>26313.603999999999</v>
      </c>
      <c r="G306" s="86">
        <v>442791.592</v>
      </c>
      <c r="H306" s="3" t="s">
        <v>3707</v>
      </c>
      <c r="I306" s="30" t="s">
        <v>170</v>
      </c>
      <c r="J306" s="3" t="s">
        <v>3795</v>
      </c>
    </row>
    <row r="307" spans="1:10" x14ac:dyDescent="0.4">
      <c r="A307" s="3" t="s">
        <v>52</v>
      </c>
      <c r="B307" s="3" t="s">
        <v>3922</v>
      </c>
      <c r="C307" s="3">
        <v>54076</v>
      </c>
      <c r="D307" s="44">
        <v>1</v>
      </c>
      <c r="E307" s="3">
        <v>2024</v>
      </c>
      <c r="F307" s="86">
        <v>18075.625</v>
      </c>
      <c r="G307" s="86">
        <v>304181.72499999998</v>
      </c>
      <c r="H307" s="3" t="s">
        <v>3707</v>
      </c>
      <c r="I307" s="30" t="s">
        <v>170</v>
      </c>
      <c r="J307" s="3" t="s">
        <v>3795</v>
      </c>
    </row>
    <row r="308" spans="1:10" x14ac:dyDescent="0.4">
      <c r="A308" s="3" t="s">
        <v>52</v>
      </c>
      <c r="B308" s="3" t="s">
        <v>3923</v>
      </c>
      <c r="C308" s="3">
        <v>54114</v>
      </c>
      <c r="D308" s="44" t="s">
        <v>3716</v>
      </c>
      <c r="E308" s="3">
        <v>2024</v>
      </c>
      <c r="F308" s="86">
        <v>113182.553</v>
      </c>
      <c r="G308" s="86">
        <v>1904350.7439999999</v>
      </c>
      <c r="H308" s="3" t="s">
        <v>3707</v>
      </c>
      <c r="I308" s="30" t="s">
        <v>170</v>
      </c>
      <c r="J308" s="3" t="s">
        <v>3795</v>
      </c>
    </row>
    <row r="309" spans="1:10" x14ac:dyDescent="0.4">
      <c r="A309" s="3" t="s">
        <v>52</v>
      </c>
      <c r="B309" s="3" t="s">
        <v>3923</v>
      </c>
      <c r="C309" s="3">
        <v>54114</v>
      </c>
      <c r="D309" s="44" t="s">
        <v>3906</v>
      </c>
      <c r="E309" s="3">
        <v>2024</v>
      </c>
      <c r="F309" s="86">
        <v>112500.27800000001</v>
      </c>
      <c r="G309" s="86">
        <v>1892893.3840000001</v>
      </c>
      <c r="H309" s="3" t="s">
        <v>3707</v>
      </c>
      <c r="I309" s="30" t="s">
        <v>170</v>
      </c>
      <c r="J309" s="3" t="s">
        <v>3795</v>
      </c>
    </row>
    <row r="310" spans="1:10" x14ac:dyDescent="0.4">
      <c r="A310" s="3" t="s">
        <v>52</v>
      </c>
      <c r="B310" s="3" t="s">
        <v>3924</v>
      </c>
      <c r="C310" s="3">
        <v>54131</v>
      </c>
      <c r="D310" s="44" t="s">
        <v>3925</v>
      </c>
      <c r="E310" s="3">
        <v>2024</v>
      </c>
      <c r="F310" s="86">
        <v>140684.49100000001</v>
      </c>
      <c r="G310" s="86">
        <v>2367319.3020000001</v>
      </c>
      <c r="H310" s="3" t="s">
        <v>3707</v>
      </c>
      <c r="I310" s="30" t="s">
        <v>170</v>
      </c>
      <c r="J310" s="3" t="s">
        <v>3795</v>
      </c>
    </row>
    <row r="311" spans="1:10" x14ac:dyDescent="0.4">
      <c r="A311" s="3" t="s">
        <v>52</v>
      </c>
      <c r="B311" s="3" t="s">
        <v>3926</v>
      </c>
      <c r="C311" s="3">
        <v>54149</v>
      </c>
      <c r="D311" s="44">
        <v>1</v>
      </c>
      <c r="E311" s="3">
        <v>2024</v>
      </c>
      <c r="F311" s="86">
        <v>198367.35200000001</v>
      </c>
      <c r="G311" s="86">
        <v>3337853.9619999998</v>
      </c>
      <c r="H311" s="3" t="s">
        <v>3700</v>
      </c>
      <c r="I311" s="30" t="s">
        <v>170</v>
      </c>
      <c r="J311" s="3" t="s">
        <v>3795</v>
      </c>
    </row>
    <row r="312" spans="1:10" x14ac:dyDescent="0.4">
      <c r="A312" s="3" t="s">
        <v>52</v>
      </c>
      <c r="B312" s="3" t="s">
        <v>3927</v>
      </c>
      <c r="C312" s="3">
        <v>54547</v>
      </c>
      <c r="D312" s="44">
        <v>1</v>
      </c>
      <c r="E312" s="3">
        <v>2024</v>
      </c>
      <c r="F312" s="86">
        <v>681732.73400000005</v>
      </c>
      <c r="G312" s="86">
        <v>11471445.608999999</v>
      </c>
      <c r="H312" s="3" t="s">
        <v>3707</v>
      </c>
      <c r="I312" s="30" t="s">
        <v>170</v>
      </c>
      <c r="J312" s="3" t="s">
        <v>3795</v>
      </c>
    </row>
    <row r="313" spans="1:10" x14ac:dyDescent="0.4">
      <c r="A313" s="3" t="s">
        <v>52</v>
      </c>
      <c r="B313" s="3" t="s">
        <v>3927</v>
      </c>
      <c r="C313" s="3">
        <v>54547</v>
      </c>
      <c r="D313" s="44">
        <v>2</v>
      </c>
      <c r="E313" s="3">
        <v>2024</v>
      </c>
      <c r="F313" s="86">
        <v>632272.39800000004</v>
      </c>
      <c r="G313" s="86">
        <v>10639144.591</v>
      </c>
      <c r="H313" s="3" t="s">
        <v>3707</v>
      </c>
      <c r="I313" s="30" t="s">
        <v>170</v>
      </c>
      <c r="J313" s="3" t="s">
        <v>3795</v>
      </c>
    </row>
    <row r="314" spans="1:10" x14ac:dyDescent="0.4">
      <c r="A314" s="3" t="s">
        <v>52</v>
      </c>
      <c r="B314" s="3" t="s">
        <v>3927</v>
      </c>
      <c r="C314" s="3">
        <v>54547</v>
      </c>
      <c r="D314" s="44">
        <v>3</v>
      </c>
      <c r="E314" s="3">
        <v>2024</v>
      </c>
      <c r="F314" s="86">
        <v>657069.66099999996</v>
      </c>
      <c r="G314" s="86">
        <v>11056435.854</v>
      </c>
      <c r="H314" s="3" t="s">
        <v>3707</v>
      </c>
      <c r="I314" s="30" t="s">
        <v>170</v>
      </c>
      <c r="J314" s="3" t="s">
        <v>3795</v>
      </c>
    </row>
    <row r="315" spans="1:10" x14ac:dyDescent="0.4">
      <c r="A315" s="3" t="s">
        <v>52</v>
      </c>
      <c r="B315" s="3" t="s">
        <v>3927</v>
      </c>
      <c r="C315" s="3">
        <v>54547</v>
      </c>
      <c r="D315" s="44">
        <v>4</v>
      </c>
      <c r="E315" s="3">
        <v>2024</v>
      </c>
      <c r="F315" s="86">
        <v>652066.14899999998</v>
      </c>
      <c r="G315" s="86">
        <v>10972214.67</v>
      </c>
      <c r="H315" s="3" t="s">
        <v>3707</v>
      </c>
      <c r="I315" s="30" t="s">
        <v>170</v>
      </c>
      <c r="J315" s="3" t="s">
        <v>3795</v>
      </c>
    </row>
    <row r="316" spans="1:10" x14ac:dyDescent="0.4">
      <c r="A316" s="3" t="s">
        <v>52</v>
      </c>
      <c r="B316" s="3" t="s">
        <v>3928</v>
      </c>
      <c r="C316" s="3">
        <v>54574</v>
      </c>
      <c r="D316" s="135" t="s">
        <v>3896</v>
      </c>
      <c r="E316" s="3">
        <v>2024</v>
      </c>
      <c r="F316" s="127">
        <v>155086.95000000001</v>
      </c>
      <c r="G316" s="86">
        <v>2609495.7689999999</v>
      </c>
      <c r="H316" s="3" t="s">
        <v>3707</v>
      </c>
      <c r="I316" s="30">
        <f>F316</f>
        <v>155086.95000000001</v>
      </c>
      <c r="J316" s="3"/>
    </row>
    <row r="317" spans="1:10" x14ac:dyDescent="0.4">
      <c r="A317" s="3" t="s">
        <v>52</v>
      </c>
      <c r="B317" s="3" t="s">
        <v>3928</v>
      </c>
      <c r="C317" s="3">
        <v>54574</v>
      </c>
      <c r="D317" s="135" t="s">
        <v>3929</v>
      </c>
      <c r="E317" s="3">
        <v>2024</v>
      </c>
      <c r="F317" s="127">
        <v>46950.163999999997</v>
      </c>
      <c r="G317" s="86">
        <v>789903.40899999999</v>
      </c>
      <c r="H317" s="3" t="s">
        <v>3707</v>
      </c>
      <c r="I317" s="30">
        <f>F317</f>
        <v>46950.163999999997</v>
      </c>
      <c r="J317" s="3"/>
    </row>
    <row r="318" spans="1:10" x14ac:dyDescent="0.4">
      <c r="A318" s="3" t="s">
        <v>52</v>
      </c>
      <c r="B318" s="3" t="s">
        <v>1048</v>
      </c>
      <c r="C318" s="3">
        <v>54592</v>
      </c>
      <c r="D318" s="135" t="s">
        <v>3719</v>
      </c>
      <c r="E318" s="3">
        <v>2024</v>
      </c>
      <c r="F318" s="86">
        <v>6358.2430000000004</v>
      </c>
      <c r="G318" s="86">
        <v>106986.667</v>
      </c>
      <c r="H318" s="3" t="s">
        <v>3707</v>
      </c>
      <c r="I318" s="30" t="s">
        <v>170</v>
      </c>
      <c r="J318" s="3" t="s">
        <v>3930</v>
      </c>
    </row>
    <row r="319" spans="1:10" x14ac:dyDescent="0.4">
      <c r="A319" s="3" t="s">
        <v>52</v>
      </c>
      <c r="B319" s="3" t="s">
        <v>3931</v>
      </c>
      <c r="C319" s="3">
        <v>54593</v>
      </c>
      <c r="D319" s="44">
        <v>1</v>
      </c>
      <c r="E319" s="3">
        <v>2024</v>
      </c>
      <c r="F319" s="127">
        <v>2068.9160000000002</v>
      </c>
      <c r="G319" s="86">
        <v>34808.133999999998</v>
      </c>
      <c r="H319" s="3" t="s">
        <v>3707</v>
      </c>
      <c r="I319" s="30">
        <f>F319</f>
        <v>2068.9160000000002</v>
      </c>
      <c r="J319" s="3"/>
    </row>
    <row r="320" spans="1:10" x14ac:dyDescent="0.4">
      <c r="A320" s="3" t="s">
        <v>52</v>
      </c>
      <c r="B320" s="3" t="s">
        <v>1079</v>
      </c>
      <c r="C320" s="3">
        <v>54914</v>
      </c>
      <c r="D320" s="44">
        <v>1</v>
      </c>
      <c r="E320" s="3">
        <v>2024</v>
      </c>
      <c r="F320" s="86">
        <v>605410.39899999998</v>
      </c>
      <c r="G320" s="86">
        <v>10187019.975</v>
      </c>
      <c r="H320" s="3" t="s">
        <v>3707</v>
      </c>
      <c r="I320" s="30" t="s">
        <v>170</v>
      </c>
      <c r="J320" s="3" t="s">
        <v>3795</v>
      </c>
    </row>
    <row r="321" spans="1:10" x14ac:dyDescent="0.4">
      <c r="A321" s="3" t="s">
        <v>52</v>
      </c>
      <c r="B321" s="3" t="s">
        <v>1079</v>
      </c>
      <c r="C321" s="3">
        <v>54914</v>
      </c>
      <c r="D321" s="44">
        <v>2</v>
      </c>
      <c r="E321" s="3">
        <v>2024</v>
      </c>
      <c r="F321" s="86">
        <v>617673.88800000004</v>
      </c>
      <c r="G321" s="86">
        <v>10393057.615</v>
      </c>
      <c r="H321" s="3" t="s">
        <v>3707</v>
      </c>
      <c r="I321" s="30" t="s">
        <v>170</v>
      </c>
      <c r="J321" s="3" t="s">
        <v>3795</v>
      </c>
    </row>
    <row r="322" spans="1:10" x14ac:dyDescent="0.4">
      <c r="A322" s="3" t="s">
        <v>52</v>
      </c>
      <c r="B322" s="3" t="s">
        <v>1126</v>
      </c>
      <c r="C322" s="3">
        <v>55375</v>
      </c>
      <c r="D322" s="44" t="s">
        <v>3932</v>
      </c>
      <c r="E322" s="3">
        <v>2024</v>
      </c>
      <c r="F322" s="127">
        <v>861805.13399999996</v>
      </c>
      <c r="G322" s="86">
        <v>14491095.213</v>
      </c>
      <c r="H322" s="3" t="s">
        <v>3707</v>
      </c>
      <c r="I322" s="30">
        <f t="shared" ref="I322:I347" si="11">F322</f>
        <v>861805.13399999996</v>
      </c>
      <c r="J322" s="3"/>
    </row>
    <row r="323" spans="1:10" x14ac:dyDescent="0.4">
      <c r="A323" s="3" t="s">
        <v>52</v>
      </c>
      <c r="B323" s="3" t="s">
        <v>1126</v>
      </c>
      <c r="C323" s="3">
        <v>55375</v>
      </c>
      <c r="D323" s="44" t="s">
        <v>3933</v>
      </c>
      <c r="E323" s="3">
        <v>2024</v>
      </c>
      <c r="F323" s="127">
        <v>860757.76899999997</v>
      </c>
      <c r="G323" s="86">
        <v>14473585.927999999</v>
      </c>
      <c r="H323" s="3" t="s">
        <v>3707</v>
      </c>
      <c r="I323" s="30">
        <f t="shared" si="11"/>
        <v>860757.76899999997</v>
      </c>
      <c r="J323" s="3"/>
    </row>
    <row r="324" spans="1:10" x14ac:dyDescent="0.4">
      <c r="A324" s="3" t="s">
        <v>52</v>
      </c>
      <c r="B324" s="3" t="s">
        <v>1126</v>
      </c>
      <c r="C324" s="3">
        <v>55375</v>
      </c>
      <c r="D324" s="44" t="s">
        <v>3860</v>
      </c>
      <c r="E324" s="3">
        <v>2024</v>
      </c>
      <c r="F324" s="127">
        <v>958742.03099999996</v>
      </c>
      <c r="G324" s="86">
        <v>16093731.611</v>
      </c>
      <c r="H324" s="3" t="s">
        <v>3707</v>
      </c>
      <c r="I324" s="30">
        <f t="shared" si="11"/>
        <v>958742.03099999996</v>
      </c>
      <c r="J324" s="3"/>
    </row>
    <row r="325" spans="1:10" x14ac:dyDescent="0.4">
      <c r="A325" s="3" t="s">
        <v>52</v>
      </c>
      <c r="B325" s="3" t="s">
        <v>1126</v>
      </c>
      <c r="C325" s="3">
        <v>55375</v>
      </c>
      <c r="D325" s="44" t="s">
        <v>3934</v>
      </c>
      <c r="E325" s="3">
        <v>2024</v>
      </c>
      <c r="F325" s="127">
        <v>863083.73300000001</v>
      </c>
      <c r="G325" s="86">
        <v>14520321.024</v>
      </c>
      <c r="H325" s="3" t="s">
        <v>3707</v>
      </c>
      <c r="I325" s="30">
        <f t="shared" si="11"/>
        <v>863083.73300000001</v>
      </c>
      <c r="J325" s="3"/>
    </row>
    <row r="326" spans="1:10" x14ac:dyDescent="0.4">
      <c r="A326" s="3" t="s">
        <v>52</v>
      </c>
      <c r="B326" s="3" t="s">
        <v>3935</v>
      </c>
      <c r="C326" s="3">
        <v>55405</v>
      </c>
      <c r="D326" s="44">
        <v>1</v>
      </c>
      <c r="E326" s="3">
        <v>2024</v>
      </c>
      <c r="F326" s="127">
        <v>406700.50900000002</v>
      </c>
      <c r="G326" s="86">
        <v>6843452.4570000004</v>
      </c>
      <c r="H326" s="3" t="s">
        <v>3707</v>
      </c>
      <c r="I326" s="30">
        <f t="shared" si="11"/>
        <v>406700.50900000002</v>
      </c>
      <c r="J326" s="3"/>
    </row>
    <row r="327" spans="1:10" x14ac:dyDescent="0.4">
      <c r="A327" s="3" t="s">
        <v>52</v>
      </c>
      <c r="B327" s="3" t="s">
        <v>3935</v>
      </c>
      <c r="C327" s="3">
        <v>55405</v>
      </c>
      <c r="D327" s="44">
        <v>2</v>
      </c>
      <c r="E327" s="3">
        <v>2024</v>
      </c>
      <c r="F327" s="127">
        <v>635072.81900000002</v>
      </c>
      <c r="G327" s="86">
        <v>10686290.289999999</v>
      </c>
      <c r="H327" s="3" t="s">
        <v>3707</v>
      </c>
      <c r="I327" s="30">
        <f t="shared" si="11"/>
        <v>635072.81900000002</v>
      </c>
      <c r="J327" s="3"/>
    </row>
    <row r="328" spans="1:10" x14ac:dyDescent="0.4">
      <c r="A328" s="3" t="s">
        <v>52</v>
      </c>
      <c r="B328" s="3" t="s">
        <v>3935</v>
      </c>
      <c r="C328" s="3">
        <v>55405</v>
      </c>
      <c r="D328" s="44">
        <v>3</v>
      </c>
      <c r="E328" s="3">
        <v>2024</v>
      </c>
      <c r="F328" s="127">
        <v>623910.38699999999</v>
      </c>
      <c r="G328" s="86">
        <v>10498511.829</v>
      </c>
      <c r="H328" s="3" t="s">
        <v>3707</v>
      </c>
      <c r="I328" s="30">
        <f t="shared" si="11"/>
        <v>623910.38699999999</v>
      </c>
      <c r="J328" s="3"/>
    </row>
    <row r="329" spans="1:10" x14ac:dyDescent="0.4">
      <c r="A329" s="3" t="s">
        <v>52</v>
      </c>
      <c r="B329" s="3" t="s">
        <v>3936</v>
      </c>
      <c r="C329" s="3">
        <v>55699</v>
      </c>
      <c r="D329" s="44">
        <v>1</v>
      </c>
      <c r="E329" s="3">
        <v>2024</v>
      </c>
      <c r="F329" s="127">
        <v>30783.829000000002</v>
      </c>
      <c r="G329" s="86">
        <v>517960.74800000002</v>
      </c>
      <c r="H329" s="3" t="s">
        <v>3700</v>
      </c>
      <c r="I329" s="30">
        <f t="shared" si="11"/>
        <v>30783.829000000002</v>
      </c>
      <c r="J329" s="3"/>
    </row>
    <row r="330" spans="1:10" x14ac:dyDescent="0.4">
      <c r="A330" s="3" t="s">
        <v>52</v>
      </c>
      <c r="B330" s="3" t="s">
        <v>3936</v>
      </c>
      <c r="C330" s="3">
        <v>55699</v>
      </c>
      <c r="D330" s="44">
        <v>2</v>
      </c>
      <c r="E330" s="3">
        <v>2024</v>
      </c>
      <c r="F330" s="127">
        <v>17454.587</v>
      </c>
      <c r="G330" s="86">
        <v>286704.29100000003</v>
      </c>
      <c r="H330" s="3" t="s">
        <v>3700</v>
      </c>
      <c r="I330" s="30">
        <f t="shared" si="11"/>
        <v>17454.587</v>
      </c>
      <c r="J330" s="3"/>
    </row>
    <row r="331" spans="1:10" x14ac:dyDescent="0.4">
      <c r="A331" s="3" t="s">
        <v>52</v>
      </c>
      <c r="B331" s="3" t="s">
        <v>3937</v>
      </c>
      <c r="C331" s="3">
        <v>55786</v>
      </c>
      <c r="D331" s="44" t="s">
        <v>3725</v>
      </c>
      <c r="E331" s="3">
        <v>2024</v>
      </c>
      <c r="F331" s="127">
        <v>11873.026</v>
      </c>
      <c r="G331" s="86">
        <v>199798.72</v>
      </c>
      <c r="H331" s="3" t="s">
        <v>3700</v>
      </c>
      <c r="I331" s="30">
        <f t="shared" si="11"/>
        <v>11873.026</v>
      </c>
      <c r="J331" s="3"/>
    </row>
    <row r="332" spans="1:10" x14ac:dyDescent="0.4">
      <c r="A332" s="3" t="s">
        <v>52</v>
      </c>
      <c r="B332" s="3" t="s">
        <v>3937</v>
      </c>
      <c r="C332" s="3">
        <v>55786</v>
      </c>
      <c r="D332" s="44" t="s">
        <v>3726</v>
      </c>
      <c r="E332" s="3">
        <v>2024</v>
      </c>
      <c r="F332" s="127">
        <v>12629.174999999999</v>
      </c>
      <c r="G332" s="86">
        <v>212512.33900000001</v>
      </c>
      <c r="H332" s="3" t="s">
        <v>3700</v>
      </c>
      <c r="I332" s="30">
        <f t="shared" si="11"/>
        <v>12629.174999999999</v>
      </c>
      <c r="J332" s="3"/>
    </row>
    <row r="333" spans="1:10" x14ac:dyDescent="0.4">
      <c r="A333" s="3" t="s">
        <v>52</v>
      </c>
      <c r="B333" s="3" t="s">
        <v>3938</v>
      </c>
      <c r="C333" s="3">
        <v>55787</v>
      </c>
      <c r="D333" s="44" t="s">
        <v>3725</v>
      </c>
      <c r="E333" s="3">
        <v>2024</v>
      </c>
      <c r="F333" s="127">
        <v>794.68200000000002</v>
      </c>
      <c r="G333" s="86">
        <v>9793.5930000000008</v>
      </c>
      <c r="H333" s="3" t="s">
        <v>3700</v>
      </c>
      <c r="I333" s="30">
        <f t="shared" si="11"/>
        <v>794.68200000000002</v>
      </c>
      <c r="J333" s="3"/>
    </row>
    <row r="334" spans="1:10" x14ac:dyDescent="0.4">
      <c r="A334" s="3" t="s">
        <v>52</v>
      </c>
      <c r="B334" s="3" t="s">
        <v>3938</v>
      </c>
      <c r="C334" s="3">
        <v>55787</v>
      </c>
      <c r="D334" s="44" t="s">
        <v>3726</v>
      </c>
      <c r="E334" s="3">
        <v>2024</v>
      </c>
      <c r="F334" s="127">
        <v>415.62900000000002</v>
      </c>
      <c r="G334" s="86">
        <v>5122.9059999999999</v>
      </c>
      <c r="H334" s="3" t="s">
        <v>3700</v>
      </c>
      <c r="I334" s="30">
        <f t="shared" si="11"/>
        <v>415.62900000000002</v>
      </c>
      <c r="J334" s="3"/>
    </row>
    <row r="335" spans="1:10" x14ac:dyDescent="0.4">
      <c r="A335" s="3" t="s">
        <v>52</v>
      </c>
      <c r="B335" s="3" t="s">
        <v>3939</v>
      </c>
      <c r="C335" s="3">
        <v>55969</v>
      </c>
      <c r="D335" s="44" t="s">
        <v>3940</v>
      </c>
      <c r="E335" s="3">
        <v>2024</v>
      </c>
      <c r="F335" s="127">
        <v>22077.565999999999</v>
      </c>
      <c r="G335" s="86">
        <v>272080.60600000003</v>
      </c>
      <c r="H335" s="3" t="s">
        <v>3700</v>
      </c>
      <c r="I335" s="30">
        <f t="shared" si="11"/>
        <v>22077.565999999999</v>
      </c>
      <c r="J335" s="3"/>
    </row>
    <row r="336" spans="1:10" x14ac:dyDescent="0.4">
      <c r="A336" s="3" t="s">
        <v>52</v>
      </c>
      <c r="B336" s="3" t="s">
        <v>3941</v>
      </c>
      <c r="C336" s="3">
        <v>56032</v>
      </c>
      <c r="D336" s="135" t="s">
        <v>3790</v>
      </c>
      <c r="E336" s="3">
        <v>2024</v>
      </c>
      <c r="F336" s="127">
        <v>28545.435000000001</v>
      </c>
      <c r="G336" s="86">
        <v>478635.50199999998</v>
      </c>
      <c r="H336" s="3" t="s">
        <v>3700</v>
      </c>
      <c r="I336" s="30">
        <f t="shared" si="11"/>
        <v>28545.435000000001</v>
      </c>
      <c r="J336" s="3"/>
    </row>
    <row r="337" spans="1:10" x14ac:dyDescent="0.4">
      <c r="A337" s="3" t="s">
        <v>52</v>
      </c>
      <c r="B337" s="3" t="s">
        <v>3942</v>
      </c>
      <c r="C337" s="3">
        <v>56188</v>
      </c>
      <c r="D337" s="135" t="s">
        <v>3896</v>
      </c>
      <c r="E337" s="3">
        <v>2024</v>
      </c>
      <c r="F337" s="127">
        <v>36188.186999999998</v>
      </c>
      <c r="G337" s="86">
        <v>608917.53200000001</v>
      </c>
      <c r="H337" s="3" t="s">
        <v>3707</v>
      </c>
      <c r="I337" s="30">
        <f t="shared" si="11"/>
        <v>36188.186999999998</v>
      </c>
      <c r="J337" s="3"/>
    </row>
    <row r="338" spans="1:10" x14ac:dyDescent="0.4">
      <c r="A338" s="3" t="s">
        <v>52</v>
      </c>
      <c r="B338" s="3" t="s">
        <v>3943</v>
      </c>
      <c r="C338" s="3">
        <v>56196</v>
      </c>
      <c r="D338" s="44" t="s">
        <v>3944</v>
      </c>
      <c r="E338" s="3">
        <v>2024</v>
      </c>
      <c r="F338" s="127">
        <v>747860.45299999998</v>
      </c>
      <c r="G338" s="86">
        <v>12577886.149</v>
      </c>
      <c r="H338" s="3" t="s">
        <v>3707</v>
      </c>
      <c r="I338" s="30">
        <f t="shared" si="11"/>
        <v>747860.45299999998</v>
      </c>
      <c r="J338" s="3" t="s">
        <v>3945</v>
      </c>
    </row>
    <row r="339" spans="1:10" x14ac:dyDescent="0.4">
      <c r="A339" s="3" t="s">
        <v>52</v>
      </c>
      <c r="B339" s="3" t="s">
        <v>3943</v>
      </c>
      <c r="C339" s="3">
        <v>56196</v>
      </c>
      <c r="D339" s="44" t="s">
        <v>3946</v>
      </c>
      <c r="E339" s="3">
        <v>2024</v>
      </c>
      <c r="F339" s="127">
        <v>771999.02</v>
      </c>
      <c r="G339" s="86">
        <v>12990213.902000001</v>
      </c>
      <c r="H339" s="3" t="s">
        <v>3707</v>
      </c>
      <c r="I339" s="30">
        <f t="shared" si="11"/>
        <v>771999.02</v>
      </c>
      <c r="J339" s="3" t="s">
        <v>3945</v>
      </c>
    </row>
    <row r="340" spans="1:10" x14ac:dyDescent="0.4">
      <c r="A340" s="3" t="s">
        <v>52</v>
      </c>
      <c r="B340" s="3" t="s">
        <v>1155</v>
      </c>
      <c r="C340" s="3">
        <v>56234</v>
      </c>
      <c r="D340" s="135" t="s">
        <v>3790</v>
      </c>
      <c r="E340" s="3">
        <v>2024</v>
      </c>
      <c r="F340" s="127">
        <v>744992.79399999999</v>
      </c>
      <c r="G340" s="86">
        <v>12535318.026000001</v>
      </c>
      <c r="H340" s="3" t="s">
        <v>3707</v>
      </c>
      <c r="I340" s="30">
        <f t="shared" si="11"/>
        <v>744992.79399999999</v>
      </c>
      <c r="J340" s="3"/>
    </row>
    <row r="341" spans="1:10" x14ac:dyDescent="0.4">
      <c r="A341" s="3" t="s">
        <v>52</v>
      </c>
      <c r="B341" s="3" t="s">
        <v>3947</v>
      </c>
      <c r="C341" s="3">
        <v>56259</v>
      </c>
      <c r="D341" s="44" t="s">
        <v>3948</v>
      </c>
      <c r="E341" s="3">
        <v>2024</v>
      </c>
      <c r="F341" s="86">
        <v>644013.65700000001</v>
      </c>
      <c r="G341" s="86">
        <v>10835010.254000001</v>
      </c>
      <c r="H341" s="3" t="s">
        <v>3707</v>
      </c>
      <c r="I341" s="30" t="s">
        <v>170</v>
      </c>
      <c r="J341" s="3" t="s">
        <v>3795</v>
      </c>
    </row>
    <row r="342" spans="1:10" x14ac:dyDescent="0.4">
      <c r="A342" s="3" t="s">
        <v>52</v>
      </c>
      <c r="B342" s="3" t="s">
        <v>3947</v>
      </c>
      <c r="C342" s="3">
        <v>56259</v>
      </c>
      <c r="D342" s="44" t="s">
        <v>3949</v>
      </c>
      <c r="E342" s="3">
        <v>2024</v>
      </c>
      <c r="F342" s="86">
        <v>633798.17700000003</v>
      </c>
      <c r="G342" s="86">
        <v>10662468.459000001</v>
      </c>
      <c r="H342" s="3" t="s">
        <v>3707</v>
      </c>
      <c r="I342" s="30" t="s">
        <v>170</v>
      </c>
      <c r="J342" s="3" t="s">
        <v>3795</v>
      </c>
    </row>
    <row r="343" spans="1:10" x14ac:dyDescent="0.4">
      <c r="A343" s="3" t="s">
        <v>52</v>
      </c>
      <c r="B343" s="3" t="s">
        <v>3950</v>
      </c>
      <c r="C343" s="3">
        <v>56940</v>
      </c>
      <c r="D343" s="44">
        <v>1</v>
      </c>
      <c r="E343" s="3">
        <v>2024</v>
      </c>
      <c r="F343" s="127">
        <v>1037401.353</v>
      </c>
      <c r="G343" s="86">
        <v>17956989.530999999</v>
      </c>
      <c r="H343" s="3" t="s">
        <v>3707</v>
      </c>
      <c r="I343" s="30">
        <f t="shared" si="11"/>
        <v>1037401.353</v>
      </c>
      <c r="J343" s="3"/>
    </row>
    <row r="344" spans="1:10" x14ac:dyDescent="0.4">
      <c r="A344" s="3" t="s">
        <v>52</v>
      </c>
      <c r="B344" s="3" t="s">
        <v>3950</v>
      </c>
      <c r="C344" s="3">
        <v>56940</v>
      </c>
      <c r="D344" s="44">
        <v>2</v>
      </c>
      <c r="E344" s="3">
        <v>2024</v>
      </c>
      <c r="F344" s="127">
        <v>962847.46200000006</v>
      </c>
      <c r="G344" s="86">
        <v>16666578.219000001</v>
      </c>
      <c r="H344" s="3" t="s">
        <v>3707</v>
      </c>
      <c r="I344" s="30">
        <f t="shared" si="11"/>
        <v>962847.46200000006</v>
      </c>
      <c r="J344" s="3"/>
    </row>
    <row r="345" spans="1:10" x14ac:dyDescent="0.4">
      <c r="A345" s="3" t="s">
        <v>52</v>
      </c>
      <c r="B345" s="3" t="s">
        <v>3951</v>
      </c>
      <c r="C345" s="3">
        <v>57185</v>
      </c>
      <c r="D345" s="44" t="s">
        <v>3952</v>
      </c>
      <c r="E345" s="3">
        <v>2024</v>
      </c>
      <c r="F345" s="127">
        <v>710707.36100000003</v>
      </c>
      <c r="G345" s="86">
        <v>11960147.460000001</v>
      </c>
      <c r="H345" s="3" t="s">
        <v>3707</v>
      </c>
      <c r="I345" s="30">
        <f t="shared" si="11"/>
        <v>710707.36100000003</v>
      </c>
      <c r="J345" s="3"/>
    </row>
    <row r="346" spans="1:10" x14ac:dyDescent="0.4">
      <c r="A346" s="3" t="s">
        <v>52</v>
      </c>
      <c r="B346" s="3" t="s">
        <v>3951</v>
      </c>
      <c r="C346" s="3">
        <v>57185</v>
      </c>
      <c r="D346" s="44" t="s">
        <v>3953</v>
      </c>
      <c r="E346" s="3">
        <v>2024</v>
      </c>
      <c r="F346" s="127">
        <v>652411.07799999998</v>
      </c>
      <c r="G346" s="86">
        <v>10979277.705</v>
      </c>
      <c r="H346" s="3" t="s">
        <v>3707</v>
      </c>
      <c r="I346" s="30">
        <f t="shared" si="11"/>
        <v>652411.07799999998</v>
      </c>
      <c r="J346" s="3"/>
    </row>
    <row r="347" spans="1:10" x14ac:dyDescent="0.4">
      <c r="A347" s="3" t="s">
        <v>52</v>
      </c>
      <c r="B347" s="3" t="s">
        <v>3951</v>
      </c>
      <c r="C347" s="3">
        <v>57185</v>
      </c>
      <c r="D347" s="44" t="s">
        <v>3954</v>
      </c>
      <c r="E347" s="3">
        <v>2024</v>
      </c>
      <c r="F347" s="127">
        <v>352560.52</v>
      </c>
      <c r="G347" s="86">
        <v>5933102.8200000003</v>
      </c>
      <c r="H347" s="3" t="s">
        <v>3707</v>
      </c>
      <c r="I347" s="30">
        <f t="shared" si="11"/>
        <v>352560.52</v>
      </c>
      <c r="J347" s="3"/>
    </row>
    <row r="348" spans="1:10" x14ac:dyDescent="0.4">
      <c r="A348" s="3" t="s">
        <v>38</v>
      </c>
      <c r="B348" s="3" t="s">
        <v>3955</v>
      </c>
      <c r="C348" s="3">
        <v>3236</v>
      </c>
      <c r="D348" s="44">
        <v>10</v>
      </c>
      <c r="E348" s="3">
        <v>2024</v>
      </c>
      <c r="F348" s="127">
        <v>226799.65</v>
      </c>
      <c r="G348" s="86">
        <v>3818341</v>
      </c>
      <c r="H348" s="3" t="s">
        <v>3707</v>
      </c>
      <c r="I348" s="30">
        <f t="shared" ref="I348:I361" si="12">F348</f>
        <v>226799.65</v>
      </c>
      <c r="J348" s="3"/>
    </row>
    <row r="349" spans="1:10" x14ac:dyDescent="0.4">
      <c r="A349" s="3" t="s">
        <v>38</v>
      </c>
      <c r="B349" s="3" t="s">
        <v>3955</v>
      </c>
      <c r="C349" s="3">
        <v>3236</v>
      </c>
      <c r="D349" s="44">
        <v>11</v>
      </c>
      <c r="E349" s="3">
        <v>2024</v>
      </c>
      <c r="F349" s="127">
        <v>257884.67499999999</v>
      </c>
      <c r="G349" s="86">
        <v>4343641.9249999998</v>
      </c>
      <c r="H349" s="3" t="s">
        <v>3707</v>
      </c>
      <c r="I349" s="30">
        <f t="shared" si="12"/>
        <v>257884.67499999999</v>
      </c>
      <c r="J349" s="3"/>
    </row>
    <row r="350" spans="1:10" x14ac:dyDescent="0.4">
      <c r="A350" s="3" t="s">
        <v>38</v>
      </c>
      <c r="B350" s="3" t="s">
        <v>3955</v>
      </c>
      <c r="C350" s="3">
        <v>3236</v>
      </c>
      <c r="D350" s="44">
        <v>9</v>
      </c>
      <c r="E350" s="3">
        <v>2024</v>
      </c>
      <c r="F350" s="127">
        <v>219265.32500000001</v>
      </c>
      <c r="G350" s="86">
        <v>3692924.4249999998</v>
      </c>
      <c r="H350" s="3" t="s">
        <v>3707</v>
      </c>
      <c r="I350" s="30">
        <f t="shared" si="12"/>
        <v>219265.32500000001</v>
      </c>
      <c r="J350" s="3"/>
    </row>
    <row r="351" spans="1:10" x14ac:dyDescent="0.4">
      <c r="A351" s="3" t="s">
        <v>38</v>
      </c>
      <c r="B351" s="3" t="s">
        <v>979</v>
      </c>
      <c r="C351" s="3">
        <v>51030</v>
      </c>
      <c r="D351" s="44">
        <v>1</v>
      </c>
      <c r="E351" s="3">
        <v>2024</v>
      </c>
      <c r="F351" s="127">
        <v>288729.821</v>
      </c>
      <c r="G351" s="86">
        <v>4857068.4179999996</v>
      </c>
      <c r="H351" s="3" t="s">
        <v>3707</v>
      </c>
      <c r="I351" s="30">
        <f t="shared" si="12"/>
        <v>288729.821</v>
      </c>
      <c r="J351" s="3"/>
    </row>
    <row r="352" spans="1:10" x14ac:dyDescent="0.4">
      <c r="A352" s="3" t="s">
        <v>38</v>
      </c>
      <c r="B352" s="3" t="s">
        <v>979</v>
      </c>
      <c r="C352" s="3">
        <v>51030</v>
      </c>
      <c r="D352" s="44">
        <v>2</v>
      </c>
      <c r="E352" s="3">
        <v>2024</v>
      </c>
      <c r="F352" s="127">
        <v>294459.89799999999</v>
      </c>
      <c r="G352" s="86">
        <v>4953617.5669999998</v>
      </c>
      <c r="H352" s="3" t="s">
        <v>3707</v>
      </c>
      <c r="I352" s="30">
        <f t="shared" si="12"/>
        <v>294459.89799999999</v>
      </c>
      <c r="J352" s="3"/>
    </row>
    <row r="353" spans="1:10" x14ac:dyDescent="0.4">
      <c r="A353" s="3" t="s">
        <v>38</v>
      </c>
      <c r="B353" s="3" t="s">
        <v>1026</v>
      </c>
      <c r="C353" s="3">
        <v>54324</v>
      </c>
      <c r="D353" s="44">
        <v>3</v>
      </c>
      <c r="E353" s="3">
        <v>2024</v>
      </c>
      <c r="F353" s="127">
        <v>244387.16899999999</v>
      </c>
      <c r="G353" s="86">
        <v>4111434.5669999998</v>
      </c>
      <c r="H353" s="3" t="s">
        <v>3707</v>
      </c>
      <c r="I353" s="30">
        <f t="shared" si="12"/>
        <v>244387.16899999999</v>
      </c>
      <c r="J353" s="3"/>
    </row>
    <row r="354" spans="1:10" x14ac:dyDescent="0.4">
      <c r="A354" s="3" t="s">
        <v>38</v>
      </c>
      <c r="B354" s="3" t="s">
        <v>1026</v>
      </c>
      <c r="C354" s="3">
        <v>54324</v>
      </c>
      <c r="D354" s="44">
        <v>4</v>
      </c>
      <c r="E354" s="3">
        <v>2024</v>
      </c>
      <c r="F354" s="127">
        <v>203851.39</v>
      </c>
      <c r="G354" s="86">
        <v>3429165.4619999998</v>
      </c>
      <c r="H354" s="3" t="s">
        <v>3707</v>
      </c>
      <c r="I354" s="30">
        <f t="shared" si="12"/>
        <v>203851.39</v>
      </c>
      <c r="J354" s="3"/>
    </row>
    <row r="355" spans="1:10" x14ac:dyDescent="0.4">
      <c r="A355" s="3" t="s">
        <v>38</v>
      </c>
      <c r="B355" s="3" t="s">
        <v>3956</v>
      </c>
      <c r="C355" s="3">
        <v>55048</v>
      </c>
      <c r="D355" s="44">
        <v>1</v>
      </c>
      <c r="E355" s="3">
        <v>2024</v>
      </c>
      <c r="F355" s="127">
        <v>704140.48</v>
      </c>
      <c r="G355" s="86">
        <v>11848484.182</v>
      </c>
      <c r="H355" s="3" t="s">
        <v>3707</v>
      </c>
      <c r="I355" s="30">
        <f t="shared" si="12"/>
        <v>704140.48</v>
      </c>
      <c r="J355" s="3"/>
    </row>
    <row r="356" spans="1:10" x14ac:dyDescent="0.4">
      <c r="A356" s="3" t="s">
        <v>38</v>
      </c>
      <c r="B356" s="3" t="s">
        <v>1105</v>
      </c>
      <c r="C356" s="3">
        <v>55107</v>
      </c>
      <c r="D356" s="44" t="s">
        <v>3957</v>
      </c>
      <c r="E356" s="3">
        <v>2024</v>
      </c>
      <c r="F356" s="127">
        <v>746503.27800000005</v>
      </c>
      <c r="G356" s="86">
        <v>12561355.585000001</v>
      </c>
      <c r="H356" s="3" t="s">
        <v>3707</v>
      </c>
      <c r="I356" s="30">
        <f t="shared" si="12"/>
        <v>746503.27800000005</v>
      </c>
      <c r="J356" s="3"/>
    </row>
    <row r="357" spans="1:10" x14ac:dyDescent="0.4">
      <c r="A357" s="3" t="s">
        <v>38</v>
      </c>
      <c r="B357" s="3" t="s">
        <v>1105</v>
      </c>
      <c r="C357" s="3">
        <v>55107</v>
      </c>
      <c r="D357" s="44" t="s">
        <v>3958</v>
      </c>
      <c r="E357" s="3">
        <v>2024</v>
      </c>
      <c r="F357" s="127">
        <v>733702.55900000001</v>
      </c>
      <c r="G357" s="86">
        <v>12345979.577</v>
      </c>
      <c r="H357" s="3" t="s">
        <v>3707</v>
      </c>
      <c r="I357" s="30">
        <f t="shared" si="12"/>
        <v>733702.55900000001</v>
      </c>
      <c r="J357" s="3"/>
    </row>
    <row r="358" spans="1:10" x14ac:dyDescent="0.4">
      <c r="A358" s="3" t="s">
        <v>36</v>
      </c>
      <c r="B358" s="3" t="s">
        <v>634</v>
      </c>
      <c r="C358" s="3">
        <v>3734</v>
      </c>
      <c r="D358" s="44" t="s">
        <v>3761</v>
      </c>
      <c r="E358" s="3">
        <v>2024</v>
      </c>
      <c r="F358" s="127">
        <v>855.1</v>
      </c>
      <c r="G358" s="86">
        <v>10571.9</v>
      </c>
      <c r="H358" s="3" t="s">
        <v>3700</v>
      </c>
      <c r="I358" s="30">
        <f t="shared" si="12"/>
        <v>855.1</v>
      </c>
      <c r="J358" s="3"/>
    </row>
    <row r="359" spans="1:10" x14ac:dyDescent="0.4">
      <c r="A359" s="3" t="s">
        <v>36</v>
      </c>
      <c r="B359" s="3" t="s">
        <v>634</v>
      </c>
      <c r="C359" s="3">
        <v>3734</v>
      </c>
      <c r="D359" s="44" t="s">
        <v>3762</v>
      </c>
      <c r="E359" s="3">
        <v>2024</v>
      </c>
      <c r="F359" s="127">
        <v>545.29999999999995</v>
      </c>
      <c r="G359" s="86">
        <v>6719.9</v>
      </c>
      <c r="H359" s="3" t="s">
        <v>3700</v>
      </c>
      <c r="I359" s="30">
        <f t="shared" si="12"/>
        <v>545.29999999999995</v>
      </c>
      <c r="J359" s="3"/>
    </row>
    <row r="360" spans="1:10" x14ac:dyDescent="0.4">
      <c r="A360" s="3" t="s">
        <v>36</v>
      </c>
      <c r="B360" s="3" t="s">
        <v>3959</v>
      </c>
      <c r="C360" s="3">
        <v>3754</v>
      </c>
      <c r="D360" s="44" t="s">
        <v>3932</v>
      </c>
      <c r="E360" s="3">
        <v>2024</v>
      </c>
      <c r="F360" s="127">
        <v>308.89999999999998</v>
      </c>
      <c r="G360" s="86">
        <v>3816.8</v>
      </c>
      <c r="H360" s="3" t="s">
        <v>3700</v>
      </c>
      <c r="I360" s="30">
        <f t="shared" si="12"/>
        <v>308.89999999999998</v>
      </c>
      <c r="J360" s="3"/>
    </row>
    <row r="361" spans="1:10" x14ac:dyDescent="0.4">
      <c r="A361" s="3" t="s">
        <v>36</v>
      </c>
      <c r="B361" s="3" t="s">
        <v>3959</v>
      </c>
      <c r="C361" s="3">
        <v>3754</v>
      </c>
      <c r="D361" s="44" t="s">
        <v>3933</v>
      </c>
      <c r="E361" s="3">
        <v>2024</v>
      </c>
      <c r="F361" s="127">
        <v>308.89999999999998</v>
      </c>
      <c r="G361" s="86">
        <v>3816.7</v>
      </c>
      <c r="H361" s="3" t="s">
        <v>3700</v>
      </c>
      <c r="I361" s="30">
        <f t="shared" si="12"/>
        <v>308.89999999999998</v>
      </c>
      <c r="J361" s="3"/>
    </row>
    <row r="362" spans="1:10" x14ac:dyDescent="0.4">
      <c r="A362" s="3" t="s">
        <v>3960</v>
      </c>
      <c r="B362" s="3" t="s">
        <v>3961</v>
      </c>
      <c r="C362" s="3" t="s">
        <v>3960</v>
      </c>
      <c r="D362" s="44" t="s">
        <v>3960</v>
      </c>
      <c r="E362" s="3">
        <v>2024</v>
      </c>
      <c r="F362" s="86">
        <f>SUBTOTAL(9,F7:F361)</f>
        <v>57190448.085999973</v>
      </c>
      <c r="G362" s="86">
        <f>SUBTOTAL(9,G7:G361)</f>
        <v>960327387.90600026</v>
      </c>
      <c r="H362" s="3" t="s">
        <v>3960</v>
      </c>
      <c r="I362" s="86">
        <f>SUBTOTAL(9,I7:I361)</f>
        <v>47947323.975000001</v>
      </c>
      <c r="J362" s="3"/>
    </row>
    <row r="363" spans="1:10" x14ac:dyDescent="0.4">
      <c r="A363" s="93" t="s">
        <v>11</v>
      </c>
      <c r="B363" s="93"/>
      <c r="C363" s="93"/>
      <c r="D363" s="600"/>
      <c r="E363" s="93"/>
      <c r="F363" s="127"/>
      <c r="G363" s="127"/>
      <c r="H363" s="93"/>
      <c r="I363" s="601"/>
      <c r="J363" s="93"/>
    </row>
    <row r="364" spans="1:10" x14ac:dyDescent="0.4">
      <c r="I364" s="30"/>
    </row>
    <row r="365" spans="1:10" x14ac:dyDescent="0.4">
      <c r="A365" s="137" t="s">
        <v>4544</v>
      </c>
      <c r="F365" s="86"/>
      <c r="I365" s="30"/>
      <c r="J365" s="130"/>
    </row>
    <row r="366" spans="1:10" x14ac:dyDescent="0.4">
      <c r="A366" s="136" t="s">
        <v>32</v>
      </c>
      <c r="B366" s="139" t="s">
        <v>3694</v>
      </c>
      <c r="F366" s="3"/>
      <c r="J366" s="132"/>
    </row>
    <row r="367" spans="1:10" x14ac:dyDescent="0.4">
      <c r="A367" s="4" t="s">
        <v>37</v>
      </c>
      <c r="B367" s="138">
        <f>SUMIF(A$7:A$361,"=CT",I$7:I$361)</f>
        <v>10123052.049999999</v>
      </c>
      <c r="F367" s="131"/>
      <c r="J367" s="132"/>
    </row>
    <row r="368" spans="1:10" x14ac:dyDescent="0.4">
      <c r="A368" s="4" t="s">
        <v>33</v>
      </c>
      <c r="B368" s="138">
        <f>SUMIF(A$7:A$361,"=MA",I$7:I$361)</f>
        <v>6280250.7259999998</v>
      </c>
      <c r="F368" s="131"/>
      <c r="J368" s="132"/>
    </row>
    <row r="369" spans="1:11" x14ac:dyDescent="0.4">
      <c r="A369" s="4" t="s">
        <v>34</v>
      </c>
      <c r="B369" s="138">
        <f>SUMIF(A$7:A$361,"=ME",I$7:I$361)</f>
        <v>2616333.733</v>
      </c>
      <c r="C369" s="20"/>
      <c r="J369" s="132"/>
    </row>
    <row r="370" spans="1:11" x14ac:dyDescent="0.4">
      <c r="A370" s="4" t="s">
        <v>35</v>
      </c>
      <c r="B370" s="138">
        <f>SUMIF(A$7:A$361,"=NH",I$7:I$361)</f>
        <v>2272429.2760000001</v>
      </c>
      <c r="J370" s="132"/>
      <c r="K370" s="133"/>
    </row>
    <row r="371" spans="1:11" x14ac:dyDescent="0.4">
      <c r="A371" s="4" t="s">
        <v>52</v>
      </c>
      <c r="B371" s="138">
        <f>SUMIF(A$7:A$361,"=NY",I$7:I$361)</f>
        <v>22733515.744999997</v>
      </c>
      <c r="J371" s="132"/>
    </row>
    <row r="372" spans="1:11" x14ac:dyDescent="0.4">
      <c r="A372" s="4" t="s">
        <v>38</v>
      </c>
      <c r="B372" s="138">
        <f>SUMIF(A$7:A$361,"=RI",I$7:I$361)</f>
        <v>3919724.2449999996</v>
      </c>
      <c r="J372" s="132"/>
    </row>
    <row r="373" spans="1:11" x14ac:dyDescent="0.4">
      <c r="A373" s="4" t="s">
        <v>36</v>
      </c>
      <c r="B373" s="138">
        <f>SUMIF(A$7:A$361,"=VT",I$7:I$361)</f>
        <v>2018.2000000000003</v>
      </c>
      <c r="J373" s="132"/>
    </row>
    <row r="374" spans="1:11" x14ac:dyDescent="0.4">
      <c r="A374" s="4" t="s">
        <v>19</v>
      </c>
      <c r="B374" s="138">
        <f>SUM(B367:B373)</f>
        <v>47947323.975000001</v>
      </c>
      <c r="H374" s="4"/>
      <c r="I374" s="30"/>
      <c r="J374" s="132"/>
    </row>
    <row r="375" spans="1:11" x14ac:dyDescent="0.4">
      <c r="A375" s="3" t="s">
        <v>11</v>
      </c>
      <c r="B375" s="30"/>
      <c r="H375" s="4"/>
      <c r="I375" s="30"/>
      <c r="J375" s="132"/>
    </row>
    <row r="376" spans="1:11" x14ac:dyDescent="0.4">
      <c r="A376" s="4"/>
      <c r="B376" s="30"/>
      <c r="H376" s="4"/>
      <c r="I376" s="30"/>
      <c r="J376" s="132"/>
    </row>
    <row r="377" spans="1:11" x14ac:dyDescent="0.4">
      <c r="A377" s="4" t="s">
        <v>3962</v>
      </c>
    </row>
    <row r="378" spans="1:11" x14ac:dyDescent="0.4">
      <c r="A378" s="3" t="s">
        <v>3963</v>
      </c>
    </row>
    <row r="379" spans="1:11" x14ac:dyDescent="0.4">
      <c r="A379" s="3" t="s">
        <v>3964</v>
      </c>
    </row>
    <row r="380" spans="1:11" x14ac:dyDescent="0.4">
      <c r="A380" s="3" t="s">
        <v>3965</v>
      </c>
    </row>
    <row r="381" spans="1:11" x14ac:dyDescent="0.4">
      <c r="A381" s="108" t="s">
        <v>3687</v>
      </c>
      <c r="B381" s="161"/>
    </row>
    <row r="382" spans="1:11" x14ac:dyDescent="0.4">
      <c r="A382" s="60" t="s">
        <v>3688</v>
      </c>
    </row>
    <row r="384" spans="1:11" x14ac:dyDescent="0.4">
      <c r="A384" s="155" t="s">
        <v>150</v>
      </c>
    </row>
  </sheetData>
  <phoneticPr fontId="11" type="noConversion"/>
  <hyperlinks>
    <hyperlink ref="A382" r:id="rId1" display="https://campd.epa.gov/" xr:uid="{9E3EE41D-1A68-41BA-9AE4-7E3534632AC3}"/>
    <hyperlink ref="A3" r:id="rId2" display="https://campd.epa.gov/" xr:uid="{717DE012-5DBD-4401-973A-F2D9E2C0FA1C}"/>
  </hyperlinks>
  <pageMargins left="0" right="0" top="1" bottom="1" header="0.5" footer="0.5"/>
  <pageSetup scale="41" fitToHeight="0" orientation="portrait" r:id="rId3"/>
  <headerFooter alignWithMargins="0">
    <oddFooter>&amp;R&amp;A page &amp;P of &amp;N</oddFooter>
  </headerFooter>
  <tableParts count="2">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6" tint="0.39997558519241921"/>
    <pageSetUpPr fitToPage="1"/>
  </sheetPr>
  <dimension ref="A1:O455"/>
  <sheetViews>
    <sheetView zoomScaleNormal="100" workbookViewId="0"/>
  </sheetViews>
  <sheetFormatPr defaultColWidth="8.81640625" defaultRowHeight="16" x14ac:dyDescent="0.4"/>
  <cols>
    <col min="1" max="1" width="45.81640625" style="3" customWidth="1"/>
    <col min="2" max="2" width="38.54296875" style="3" customWidth="1"/>
    <col min="3" max="3" width="56.453125" style="3" customWidth="1"/>
    <col min="4" max="4" width="44.453125" style="3" customWidth="1"/>
    <col min="5" max="5" width="38.81640625" style="3" customWidth="1"/>
    <col min="6" max="6" width="36.453125" style="3" customWidth="1"/>
    <col min="7" max="7" width="37.26953125" style="3" customWidth="1"/>
    <col min="8" max="10" width="23" style="3" customWidth="1"/>
    <col min="11" max="11" width="16.453125" style="3" customWidth="1"/>
    <col min="12" max="12" width="3.453125" style="3" customWidth="1"/>
    <col min="13" max="13" width="12" style="3" customWidth="1"/>
    <col min="14" max="14" width="13.453125" style="3" customWidth="1"/>
    <col min="15" max="15" width="8.81640625" style="3" customWidth="1"/>
    <col min="16" max="16" width="26.453125" style="3" customWidth="1"/>
    <col min="17" max="17" width="26.81640625" style="3" customWidth="1"/>
    <col min="18" max="16384" width="8.81640625" style="3"/>
  </cols>
  <sheetData>
    <row r="1" spans="1:1" ht="21" x14ac:dyDescent="0.5">
      <c r="A1" s="49" t="s">
        <v>4563</v>
      </c>
    </row>
    <row r="2" spans="1:1" x14ac:dyDescent="0.4">
      <c r="A2" s="3" t="s">
        <v>3966</v>
      </c>
    </row>
    <row r="3" spans="1:1" x14ac:dyDescent="0.4">
      <c r="A3" s="3" t="s">
        <v>4486</v>
      </c>
    </row>
    <row r="4" spans="1:1" x14ac:dyDescent="0.4">
      <c r="A4" s="3" t="s">
        <v>4564</v>
      </c>
    </row>
    <row r="5" spans="1:1" x14ac:dyDescent="0.4">
      <c r="A5" s="3" t="s">
        <v>4508</v>
      </c>
    </row>
    <row r="6" spans="1:1" x14ac:dyDescent="0.4">
      <c r="A6" s="3" t="s">
        <v>3967</v>
      </c>
    </row>
    <row r="7" spans="1:1" x14ac:dyDescent="0.4">
      <c r="A7" s="3" t="s">
        <v>3968</v>
      </c>
    </row>
    <row r="8" spans="1:1" x14ac:dyDescent="0.4">
      <c r="A8" s="3" t="s">
        <v>4565</v>
      </c>
    </row>
    <row r="9" spans="1:1" x14ac:dyDescent="0.4">
      <c r="A9" s="3" t="s">
        <v>4566</v>
      </c>
    </row>
    <row r="11" spans="1:1" x14ac:dyDescent="0.4">
      <c r="A11" s="60" t="s">
        <v>4509</v>
      </c>
    </row>
    <row r="12" spans="1:1" x14ac:dyDescent="0.4">
      <c r="A12" s="3" t="s">
        <v>4498</v>
      </c>
    </row>
    <row r="13" spans="1:1" x14ac:dyDescent="0.4">
      <c r="A13" s="60" t="s">
        <v>4487</v>
      </c>
    </row>
    <row r="14" spans="1:1" x14ac:dyDescent="0.4">
      <c r="A14" s="3" t="s">
        <v>4499</v>
      </c>
    </row>
    <row r="15" spans="1:1" x14ac:dyDescent="0.4">
      <c r="A15" s="60" t="s">
        <v>4488</v>
      </c>
    </row>
    <row r="16" spans="1:1" x14ac:dyDescent="0.4">
      <c r="A16" s="3" t="s">
        <v>4500</v>
      </c>
    </row>
    <row r="18" spans="1:10" x14ac:dyDescent="0.4">
      <c r="A18" s="3" t="s">
        <v>4480</v>
      </c>
    </row>
    <row r="19" spans="1:10" x14ac:dyDescent="0.4">
      <c r="A19" s="3" t="s">
        <v>4496</v>
      </c>
    </row>
    <row r="20" spans="1:10" x14ac:dyDescent="0.4">
      <c r="A20" s="3" t="s">
        <v>4497</v>
      </c>
    </row>
    <row r="21" spans="1:10" x14ac:dyDescent="0.4">
      <c r="A21" s="3" t="s">
        <v>4495</v>
      </c>
    </row>
    <row r="22" spans="1:10" x14ac:dyDescent="0.4">
      <c r="A22" s="3" t="s">
        <v>4504</v>
      </c>
    </row>
    <row r="23" spans="1:10" x14ac:dyDescent="0.4">
      <c r="A23" s="115" t="s">
        <v>3969</v>
      </c>
      <c r="B23" s="116"/>
      <c r="C23" s="116"/>
      <c r="D23" s="116"/>
      <c r="E23" s="116"/>
      <c r="F23" s="116"/>
      <c r="G23" s="116"/>
      <c r="H23" s="116"/>
      <c r="I23" s="116"/>
      <c r="J23" s="116"/>
    </row>
    <row r="24" spans="1:10" x14ac:dyDescent="0.4">
      <c r="A24" s="104" t="s">
        <v>202</v>
      </c>
      <c r="B24" s="216" t="s">
        <v>33</v>
      </c>
      <c r="C24" s="413" t="s">
        <v>37</v>
      </c>
      <c r="D24" s="413" t="s">
        <v>34</v>
      </c>
      <c r="E24" s="413" t="s">
        <v>35</v>
      </c>
      <c r="F24" s="413" t="s">
        <v>52</v>
      </c>
      <c r="G24" s="413" t="s">
        <v>38</v>
      </c>
      <c r="H24" s="413" t="s">
        <v>36</v>
      </c>
      <c r="I24" s="413" t="s">
        <v>54</v>
      </c>
      <c r="J24" s="413" t="s">
        <v>53</v>
      </c>
    </row>
    <row r="25" spans="1:10" x14ac:dyDescent="0.4">
      <c r="A25" s="200" t="s">
        <v>203</v>
      </c>
      <c r="B25" s="227">
        <f t="shared" ref="B25:J25" si="0">SUM(B26:B30)</f>
        <v>-264528060.05943277</v>
      </c>
      <c r="C25" s="227">
        <f t="shared" si="0"/>
        <v>63005433.662473753</v>
      </c>
      <c r="D25" s="227">
        <f t="shared" si="0"/>
        <v>725289358.69670308</v>
      </c>
      <c r="E25" s="227">
        <f t="shared" si="0"/>
        <v>-222740003.31799197</v>
      </c>
      <c r="F25" s="227">
        <f t="shared" si="0"/>
        <v>-3368423.8109755293</v>
      </c>
      <c r="G25" s="227">
        <f t="shared" si="0"/>
        <v>9864586.526229756</v>
      </c>
      <c r="H25" s="227">
        <f t="shared" si="0"/>
        <v>-6212070.2018833291</v>
      </c>
      <c r="I25" s="227">
        <f t="shared" si="0"/>
        <v>-10755895.700408772</v>
      </c>
      <c r="J25" s="227">
        <f t="shared" si="0"/>
        <v>0</v>
      </c>
    </row>
    <row r="26" spans="1:10" x14ac:dyDescent="0.4">
      <c r="A26" s="459" t="s">
        <v>3970</v>
      </c>
      <c r="B26" s="514">
        <f>D41</f>
        <v>-262224539.92947686</v>
      </c>
      <c r="C26" s="514">
        <f>D59</f>
        <v>25460490.727086246</v>
      </c>
      <c r="D26" s="514">
        <f>D78</f>
        <v>723118481.23170519</v>
      </c>
      <c r="E26" s="514">
        <f>D96</f>
        <v>-204560240.77996519</v>
      </c>
      <c r="F26" s="514">
        <f>D114</f>
        <v>0</v>
      </c>
      <c r="G26" s="514">
        <f>D132</f>
        <v>2243069.1079073241</v>
      </c>
      <c r="H26" s="514">
        <f>D151</f>
        <v>6238418.1499058083</v>
      </c>
      <c r="I26" s="515">
        <f>D168</f>
        <v>-6238418.1499058083</v>
      </c>
      <c r="J26" s="515">
        <f>D182</f>
        <v>0</v>
      </c>
    </row>
    <row r="27" spans="1:10" x14ac:dyDescent="0.4">
      <c r="A27" s="459" t="s">
        <v>206</v>
      </c>
      <c r="B27" s="514">
        <f>F41</f>
        <v>-121169.52163405308</v>
      </c>
      <c r="C27" s="514">
        <f>F59</f>
        <v>126909.38149579929</v>
      </c>
      <c r="D27" s="514">
        <f>F78</f>
        <v>3962158.9593604342</v>
      </c>
      <c r="E27" s="514">
        <f>F96</f>
        <v>-1804279.9627780835</v>
      </c>
      <c r="F27" s="514">
        <f>F114</f>
        <v>0</v>
      </c>
      <c r="G27" s="514">
        <f>F132</f>
        <v>19784.51252839977</v>
      </c>
      <c r="H27" s="514">
        <f>F151</f>
        <v>0</v>
      </c>
      <c r="I27" s="516" t="s">
        <v>170</v>
      </c>
      <c r="J27" s="516" t="s">
        <v>170</v>
      </c>
    </row>
    <row r="28" spans="1:10" x14ac:dyDescent="0.4">
      <c r="A28" s="459" t="s">
        <v>207</v>
      </c>
      <c r="B28" s="514">
        <f>H41</f>
        <v>-143358.85882172346</v>
      </c>
      <c r="C28" s="514">
        <f>H59</f>
        <v>198549.72735017794</v>
      </c>
      <c r="D28" s="514">
        <f>H78</f>
        <v>6152586.8341446454</v>
      </c>
      <c r="E28" s="514">
        <f>H96</f>
        <v>-2822796.001766311</v>
      </c>
      <c r="F28" s="514">
        <f>H114</f>
        <v>0</v>
      </c>
      <c r="G28" s="514">
        <f>H132</f>
        <v>30952.869850681436</v>
      </c>
      <c r="H28" s="514">
        <f>H151</f>
        <v>0</v>
      </c>
      <c r="I28" s="516" t="s">
        <v>170</v>
      </c>
      <c r="J28" s="516" t="s">
        <v>170</v>
      </c>
    </row>
    <row r="29" spans="1:10" x14ac:dyDescent="0.4">
      <c r="A29" s="459" t="s">
        <v>208</v>
      </c>
      <c r="B29" s="514">
        <f>F50</f>
        <v>-105437.02669541324</v>
      </c>
      <c r="C29" s="514">
        <f>F68</f>
        <v>5963400.2004028717</v>
      </c>
      <c r="D29" s="514">
        <f>F88</f>
        <v>-312459.9254842106</v>
      </c>
      <c r="E29" s="514">
        <f>F105</f>
        <v>-2937405.3180913795</v>
      </c>
      <c r="F29" s="514">
        <f>F124</f>
        <v>-1006476.0770824022</v>
      </c>
      <c r="G29" s="514">
        <f>F141</f>
        <v>1154422.8296228971</v>
      </c>
      <c r="H29" s="514">
        <f>F162</f>
        <v>-1812448.3341879058</v>
      </c>
      <c r="I29" s="514">
        <f>F176</f>
        <v>-705214.07646215963</v>
      </c>
      <c r="J29" s="516" t="s">
        <v>170</v>
      </c>
    </row>
    <row r="30" spans="1:10" x14ac:dyDescent="0.4">
      <c r="A30" s="459" t="s">
        <v>209</v>
      </c>
      <c r="B30" s="514">
        <f>H50</f>
        <v>-1933554.7228047561</v>
      </c>
      <c r="C30" s="514">
        <f>H68</f>
        <v>31256083.626138661</v>
      </c>
      <c r="D30" s="514">
        <f>H88</f>
        <v>-7631408.4030230492</v>
      </c>
      <c r="E30" s="514">
        <f>H105</f>
        <v>-10615281.255390979</v>
      </c>
      <c r="F30" s="514">
        <f>H124</f>
        <v>-2361947.7338931272</v>
      </c>
      <c r="G30" s="514">
        <f>H141</f>
        <v>6416357.2063204534</v>
      </c>
      <c r="H30" s="514">
        <f>H162</f>
        <v>-10638040.017601231</v>
      </c>
      <c r="I30" s="514">
        <f>H176</f>
        <v>-3812263.474040804</v>
      </c>
      <c r="J30" s="516" t="s">
        <v>170</v>
      </c>
    </row>
    <row r="31" spans="1:10" x14ac:dyDescent="0.4">
      <c r="A31" s="104" t="s">
        <v>50</v>
      </c>
      <c r="B31" s="227">
        <f>D50</f>
        <v>-1429657.6754406095</v>
      </c>
      <c r="C31" s="227">
        <f>D68</f>
        <v>3117932929.5996356</v>
      </c>
      <c r="D31" s="227">
        <f>D88</f>
        <v>-722048810.61246634</v>
      </c>
      <c r="E31" s="227">
        <f>D105</f>
        <v>-888931727.46611452</v>
      </c>
      <c r="F31" s="227">
        <f>D124</f>
        <v>-655090116.67100847</v>
      </c>
      <c r="G31" s="227">
        <f>D141</f>
        <v>591019585.76463437</v>
      </c>
      <c r="H31" s="227">
        <f>D162</f>
        <v>-898777789.69232011</v>
      </c>
      <c r="I31" s="227">
        <f>D176</f>
        <v>-392420141.82263339</v>
      </c>
      <c r="J31" s="250">
        <f>D188</f>
        <v>0</v>
      </c>
    </row>
    <row r="32" spans="1:10" x14ac:dyDescent="0.4">
      <c r="A32" s="459" t="s">
        <v>11</v>
      </c>
      <c r="B32" s="226"/>
      <c r="C32" s="226"/>
      <c r="D32" s="226"/>
      <c r="E32" s="226"/>
      <c r="F32" s="226"/>
      <c r="G32" s="226"/>
      <c r="H32" s="226"/>
      <c r="I32" s="226"/>
      <c r="J32" s="226"/>
    </row>
    <row r="33" spans="1:14" x14ac:dyDescent="0.4">
      <c r="A33" s="20"/>
    </row>
    <row r="34" spans="1:14" x14ac:dyDescent="0.4">
      <c r="A34" s="4" t="s">
        <v>3971</v>
      </c>
      <c r="B34" s="4"/>
      <c r="C34" s="4"/>
      <c r="D34" s="412"/>
      <c r="E34" s="412"/>
      <c r="F34" s="4"/>
      <c r="G34" s="4"/>
      <c r="H34" s="4"/>
      <c r="I34" s="4"/>
    </row>
    <row r="35" spans="1:14" x14ac:dyDescent="0.4">
      <c r="A35" s="16" t="s">
        <v>3972</v>
      </c>
      <c r="B35" s="4"/>
      <c r="C35" s="4"/>
      <c r="D35" s="4"/>
      <c r="E35" s="4"/>
      <c r="F35" s="4"/>
      <c r="G35" s="4"/>
      <c r="H35" s="4"/>
      <c r="I35" s="4"/>
      <c r="J35" s="4"/>
    </row>
    <row r="36" spans="1:14" s="24" customFormat="1" x14ac:dyDescent="0.4">
      <c r="A36" s="248" t="s">
        <v>212</v>
      </c>
      <c r="B36" s="249" t="s">
        <v>213</v>
      </c>
      <c r="C36" s="517" t="s">
        <v>3973</v>
      </c>
      <c r="D36" s="249" t="s">
        <v>216</v>
      </c>
      <c r="E36" s="249" t="s">
        <v>217</v>
      </c>
      <c r="F36" s="249" t="s">
        <v>218</v>
      </c>
      <c r="G36" s="249" t="s">
        <v>219</v>
      </c>
      <c r="H36" s="249" t="s">
        <v>220</v>
      </c>
    </row>
    <row r="37" spans="1:14" x14ac:dyDescent="0.4">
      <c r="A37" s="3" t="s">
        <v>225</v>
      </c>
      <c r="B37" s="229" t="s">
        <v>226</v>
      </c>
      <c r="C37" s="230">
        <f>'GIS Heat Input'!G270</f>
        <v>0</v>
      </c>
      <c r="D37" s="235">
        <f>C37*'GWPs and Fuel EFs'!$B$25</f>
        <v>0</v>
      </c>
      <c r="E37" s="231">
        <f>C37*'GWPs and Fuel EFs'!$B$68</f>
        <v>0</v>
      </c>
      <c r="F37" s="232">
        <f>E37*'GWPs and Fuel EFs'!$B$7</f>
        <v>0</v>
      </c>
      <c r="G37" s="231">
        <f>C37*'GWPs and Fuel EFs'!$B$93</f>
        <v>0</v>
      </c>
      <c r="H37" s="232">
        <f>G37*'GWPs and Fuel EFs'!$C$7</f>
        <v>0</v>
      </c>
    </row>
    <row r="38" spans="1:14" x14ac:dyDescent="0.4">
      <c r="A38" s="3" t="s">
        <v>270</v>
      </c>
      <c r="B38" s="518" t="s">
        <v>228</v>
      </c>
      <c r="C38" s="230">
        <f>'GIS Heat Input'!G271</f>
        <v>-2250834.0956091867</v>
      </c>
      <c r="D38" s="236">
        <f>C38*'GWPs and Fuel EFs'!$B$26</f>
        <v>-262551793.73693439</v>
      </c>
      <c r="E38" s="519">
        <f>C38*'GWPs and Fuel EFs'!$B$69</f>
        <v>-4962.2397610472553</v>
      </c>
      <c r="F38" s="232">
        <f>E38*'GWPs and Fuel EFs'!$B$7</f>
        <v>-124055.99402618139</v>
      </c>
      <c r="G38" s="519">
        <f>C38*'GWPs and Fuel EFs'!$B$94</f>
        <v>-496.22397610472558</v>
      </c>
      <c r="H38" s="232">
        <f>G38*'GWPs and Fuel EFs'!$C$7</f>
        <v>-147874.74487920821</v>
      </c>
    </row>
    <row r="39" spans="1:14" x14ac:dyDescent="0.4">
      <c r="A39" s="3" t="s">
        <v>229</v>
      </c>
      <c r="B39" s="518" t="s">
        <v>230</v>
      </c>
      <c r="C39" s="230">
        <f>'GIS Heat Input'!G272</f>
        <v>1636.6023179787517</v>
      </c>
      <c r="D39" s="236">
        <f>C39*'GWPs and Fuel EFs'!$B$27</f>
        <v>327253.80745754723</v>
      </c>
      <c r="E39" s="519">
        <f>C39*'GWPs and Fuel EFs'!$B$70</f>
        <v>115.45889568513243</v>
      </c>
      <c r="F39" s="232">
        <f>E39*'GWPs and Fuel EFs'!$B$7</f>
        <v>2886.4723921283107</v>
      </c>
      <c r="G39" s="519">
        <f>C39*'GWPs and Fuel EFs'!$B$95</f>
        <v>15.15398005867363</v>
      </c>
      <c r="H39" s="232">
        <f>G39*'GWPs and Fuel EFs'!$C$7</f>
        <v>4515.8860574847422</v>
      </c>
    </row>
    <row r="40" spans="1:14" x14ac:dyDescent="0.4">
      <c r="A40" s="3" t="s">
        <v>247</v>
      </c>
      <c r="B40" s="638" t="s">
        <v>248</v>
      </c>
      <c r="C40" s="232" t="s">
        <v>4492</v>
      </c>
      <c r="D40" s="236">
        <f>(-GIS!B72)*'GWPs and Fuel EFs'!$B$56</f>
        <v>0</v>
      </c>
      <c r="E40" s="519"/>
      <c r="F40" s="44"/>
      <c r="G40" s="470"/>
      <c r="H40" s="44"/>
    </row>
    <row r="41" spans="1:14" x14ac:dyDescent="0.4">
      <c r="A41" s="463" t="s">
        <v>249</v>
      </c>
      <c r="B41" s="520"/>
      <c r="C41" s="521"/>
      <c r="D41" s="522">
        <f>SUM(D37:D40)</f>
        <v>-262224539.92947686</v>
      </c>
      <c r="E41" s="520"/>
      <c r="F41" s="523">
        <f>SUM(F37:F40)</f>
        <v>-121169.52163405308</v>
      </c>
      <c r="G41" s="524"/>
      <c r="H41" s="523">
        <f>SUM(H37:H40)</f>
        <v>-143358.85882172346</v>
      </c>
    </row>
    <row r="42" spans="1:14" x14ac:dyDescent="0.4">
      <c r="A42" s="462" t="s">
        <v>11</v>
      </c>
    </row>
    <row r="43" spans="1:14" x14ac:dyDescent="0.4">
      <c r="A43" s="20"/>
    </row>
    <row r="44" spans="1:14" x14ac:dyDescent="0.4">
      <c r="A44" s="16" t="s">
        <v>3974</v>
      </c>
    </row>
    <row r="45" spans="1:14" s="215" customFormat="1" x14ac:dyDescent="0.4">
      <c r="A45" s="525" t="s">
        <v>212</v>
      </c>
      <c r="B45" s="249" t="s">
        <v>213</v>
      </c>
      <c r="C45" s="526" t="s">
        <v>3973</v>
      </c>
      <c r="D45" s="249" t="s">
        <v>216</v>
      </c>
      <c r="E45" s="249" t="s">
        <v>217</v>
      </c>
      <c r="F45" s="526" t="s">
        <v>218</v>
      </c>
      <c r="G45" s="249" t="s">
        <v>219</v>
      </c>
      <c r="H45" s="249" t="s">
        <v>220</v>
      </c>
      <c r="I45" s="459"/>
      <c r="J45" s="459"/>
      <c r="K45" s="459"/>
      <c r="L45" s="459"/>
      <c r="M45" s="459"/>
      <c r="N45" s="459"/>
    </row>
    <row r="46" spans="1:14" s="215" customFormat="1" x14ac:dyDescent="0.4">
      <c r="A46" s="8" t="s">
        <v>251</v>
      </c>
      <c r="B46" s="518" t="s">
        <v>252</v>
      </c>
      <c r="C46" s="230">
        <f>'GIS Heat Input'!G273</f>
        <v>1857935.0702225389</v>
      </c>
      <c r="D46" s="519">
        <f>C46*'GWPs and Fuel EFs'!$B$44</f>
        <v>213281098.67756394</v>
      </c>
      <c r="E46" s="232">
        <f>C46*'GWPs and Fuel EFs'!$B$79</f>
        <v>13107.346183372472</v>
      </c>
      <c r="F46" s="232">
        <f>E46*'GWPs and Fuel EFs'!$B$7</f>
        <v>327683.65458431182</v>
      </c>
      <c r="G46" s="519">
        <f>C46*'GWPs and Fuel EFs'!$B$104</f>
        <v>2580.5087798514555</v>
      </c>
      <c r="H46" s="232">
        <f>G46*'GWPs and Fuel EFs'!$C$7</f>
        <v>768991.61639573378</v>
      </c>
      <c r="I46" s="459"/>
      <c r="J46" s="652"/>
      <c r="K46" s="652"/>
      <c r="L46" s="459"/>
      <c r="M46" s="652"/>
      <c r="N46" s="652"/>
    </row>
    <row r="47" spans="1:14" s="215" customFormat="1" x14ac:dyDescent="0.4">
      <c r="A47" s="8" t="s">
        <v>253</v>
      </c>
      <c r="B47" s="518" t="s">
        <v>254</v>
      </c>
      <c r="C47" s="230">
        <f>'GIS Heat Input'!G274</f>
        <v>1339.0139005189121</v>
      </c>
      <c r="D47" s="519">
        <f>C47*'GWPs and Fuel EFs'!$B$45</f>
        <v>217977.18143143077</v>
      </c>
      <c r="E47" s="232">
        <f>C47*'GWPs and Fuel EFs'!$B$80</f>
        <v>94.464650674509542</v>
      </c>
      <c r="F47" s="232">
        <f>E47*'GWPs and Fuel EFs'!$B$7</f>
        <v>2361.6162668627385</v>
      </c>
      <c r="G47" s="519">
        <f>C47*'GWPs and Fuel EFs'!$B$105</f>
        <v>12.398485401029376</v>
      </c>
      <c r="H47" s="232">
        <f>G47*'GWPs and Fuel EFs'!$C$7</f>
        <v>3694.7486495067542</v>
      </c>
      <c r="I47" s="459"/>
      <c r="J47" s="652"/>
      <c r="K47" s="652"/>
      <c r="L47" s="459"/>
      <c r="M47" s="652"/>
      <c r="N47" s="652"/>
    </row>
    <row r="48" spans="1:14" s="228" customFormat="1" x14ac:dyDescent="0.4">
      <c r="A48" s="8" t="s">
        <v>257</v>
      </c>
      <c r="B48" s="518" t="s">
        <v>258</v>
      </c>
      <c r="C48" s="230">
        <f>'GIS Heat Input'!G275</f>
        <v>-1174647.9165366136</v>
      </c>
      <c r="D48" s="519">
        <f>C48*'GWPs and Fuel EFs'!$B$47</f>
        <v>-234881741.81705689</v>
      </c>
      <c r="E48" s="232">
        <f>C48*'GWPs and Fuel EFs'!$B$82</f>
        <v>-18645.51864479393</v>
      </c>
      <c r="F48" s="232">
        <f>E48*'GWPs and Fuel EFs'!$B$7</f>
        <v>-466137.96611984825</v>
      </c>
      <c r="G48" s="519">
        <f>C48*'GWPs and Fuel EFs'!$B$107</f>
        <v>-9322.7593223969652</v>
      </c>
      <c r="H48" s="232">
        <f>G48*'GWPs and Fuel EFs'!$C$7</f>
        <v>-2778182.2780742957</v>
      </c>
      <c r="I48" s="527"/>
      <c r="J48" s="200"/>
      <c r="K48" s="200"/>
      <c r="L48" s="527"/>
      <c r="M48" s="200"/>
      <c r="N48" s="200"/>
    </row>
    <row r="49" spans="1:14" s="228" customFormat="1" x14ac:dyDescent="0.4">
      <c r="A49" s="8" t="s">
        <v>3975</v>
      </c>
      <c r="B49" s="233" t="s">
        <v>266</v>
      </c>
      <c r="C49" s="230">
        <f>'GIS Heat Input'!G276</f>
        <v>173814.71717175609</v>
      </c>
      <c r="D49" s="519">
        <f>C49*'GWPs and Fuel EFs'!$B$51</f>
        <v>19953008.282620907</v>
      </c>
      <c r="E49" s="232">
        <f>C49*'GWPs and Fuel EFs'!$B$86</f>
        <v>1226.2267429304188</v>
      </c>
      <c r="F49" s="232">
        <f>E49*'GWPs and Fuel EFs'!$B$7</f>
        <v>30655.668573260471</v>
      </c>
      <c r="G49" s="519">
        <f>C49*'GWPs and Fuel EFs'!$B$111</f>
        <v>241.4133900144262</v>
      </c>
      <c r="H49" s="232">
        <f>G49*'GWPs and Fuel EFs'!$C$7</f>
        <v>71941.190224299004</v>
      </c>
      <c r="I49" s="527"/>
      <c r="J49" s="527"/>
      <c r="K49" s="527"/>
      <c r="L49" s="527"/>
      <c r="M49" s="527"/>
      <c r="N49" s="527"/>
    </row>
    <row r="50" spans="1:14" s="215" customFormat="1" x14ac:dyDescent="0.4">
      <c r="A50" s="452" t="s">
        <v>249</v>
      </c>
      <c r="B50" s="528"/>
      <c r="C50" s="529"/>
      <c r="D50" s="530">
        <f>SUM(D46:D49)</f>
        <v>-1429657.6754406095</v>
      </c>
      <c r="E50" s="521"/>
      <c r="F50" s="523">
        <f>SUM(F46:F49)</f>
        <v>-105437.02669541324</v>
      </c>
      <c r="G50" s="520"/>
      <c r="H50" s="523">
        <f>SUM(H46:H49)</f>
        <v>-1933554.7228047561</v>
      </c>
      <c r="I50" s="459"/>
      <c r="J50" s="459"/>
      <c r="K50" s="459"/>
      <c r="L50" s="459"/>
      <c r="M50" s="459"/>
      <c r="N50" s="459"/>
    </row>
    <row r="51" spans="1:14" s="215" customFormat="1" x14ac:dyDescent="0.4">
      <c r="A51" s="457" t="s">
        <v>11</v>
      </c>
      <c r="B51" s="516"/>
      <c r="C51" s="516"/>
      <c r="D51" s="516"/>
      <c r="E51" s="516"/>
      <c r="F51" s="516"/>
      <c r="G51" s="516"/>
      <c r="H51" s="516"/>
      <c r="I51" s="459"/>
      <c r="J51" s="459"/>
      <c r="K51" s="459"/>
      <c r="L51" s="459"/>
      <c r="M51" s="459"/>
      <c r="N51" s="459"/>
    </row>
    <row r="52" spans="1:14" s="215" customFormat="1" x14ac:dyDescent="0.4">
      <c r="A52" s="459"/>
      <c r="B52" s="516"/>
      <c r="C52" s="516"/>
      <c r="D52" s="516"/>
      <c r="E52" s="516"/>
      <c r="F52" s="516"/>
      <c r="G52" s="516"/>
      <c r="H52" s="516"/>
      <c r="I52" s="459"/>
      <c r="J52" s="459"/>
      <c r="K52" s="459"/>
      <c r="L52" s="459"/>
      <c r="M52" s="459"/>
      <c r="N52" s="459"/>
    </row>
    <row r="53" spans="1:14" x14ac:dyDescent="0.4">
      <c r="A53" s="16" t="s">
        <v>3976</v>
      </c>
      <c r="B53" s="44"/>
      <c r="C53" s="44"/>
      <c r="D53" s="44"/>
      <c r="E53" s="44"/>
      <c r="F53" s="44"/>
      <c r="G53" s="44"/>
      <c r="H53" s="44"/>
    </row>
    <row r="54" spans="1:14" x14ac:dyDescent="0.4">
      <c r="A54" s="475" t="s">
        <v>212</v>
      </c>
      <c r="B54" s="249" t="s">
        <v>213</v>
      </c>
      <c r="C54" s="249" t="s">
        <v>3973</v>
      </c>
      <c r="D54" s="249" t="s">
        <v>216</v>
      </c>
      <c r="E54" s="249" t="s">
        <v>217</v>
      </c>
      <c r="F54" s="249" t="s">
        <v>218</v>
      </c>
      <c r="G54" s="249" t="s">
        <v>219</v>
      </c>
      <c r="H54" s="249" t="s">
        <v>220</v>
      </c>
    </row>
    <row r="55" spans="1:14" x14ac:dyDescent="0.4">
      <c r="A55" s="8" t="s">
        <v>225</v>
      </c>
      <c r="B55" s="123" t="s">
        <v>226</v>
      </c>
      <c r="C55" s="230">
        <f>'GIS Heat Input'!G281</f>
        <v>0</v>
      </c>
      <c r="D55" s="232">
        <f>C55*'GWPs and Fuel EFs'!$B$25</f>
        <v>0</v>
      </c>
      <c r="E55" s="232">
        <f>C55*'GWPs and Fuel EFs'!$B$68</f>
        <v>0</v>
      </c>
      <c r="F55" s="232">
        <f>E55*'GWPs and Fuel EFs'!$B$7</f>
        <v>0</v>
      </c>
      <c r="G55" s="232">
        <f>C55*'GWPs and Fuel EFs'!$B$93</f>
        <v>0</v>
      </c>
      <c r="H55" s="232">
        <f>G55*'GWPs and Fuel EFs'!$C$7</f>
        <v>0</v>
      </c>
    </row>
    <row r="56" spans="1:14" x14ac:dyDescent="0.4">
      <c r="A56" s="8" t="s">
        <v>270</v>
      </c>
      <c r="B56" s="123" t="s">
        <v>228</v>
      </c>
      <c r="C56" s="230">
        <f>'GIS Heat Input'!G282</f>
        <v>0</v>
      </c>
      <c r="D56" s="232">
        <f>C56*'GWPs and Fuel EFs'!$B$26</f>
        <v>0</v>
      </c>
      <c r="E56" s="232">
        <f>C56*'GWPs and Fuel EFs'!$B$69</f>
        <v>0</v>
      </c>
      <c r="F56" s="232">
        <f>E56*'GWPs and Fuel EFs'!$B$7</f>
        <v>0</v>
      </c>
      <c r="G56" s="232">
        <f>C56*'GWPs and Fuel EFs'!$B$94</f>
        <v>0</v>
      </c>
      <c r="H56" s="232">
        <f>G56*'GWPs and Fuel EFs'!$C$7</f>
        <v>0</v>
      </c>
      <c r="J56" s="26"/>
      <c r="K56" s="71"/>
      <c r="M56" s="26"/>
      <c r="N56" s="71"/>
    </row>
    <row r="57" spans="1:14" x14ac:dyDescent="0.4">
      <c r="A57" s="8" t="s">
        <v>229</v>
      </c>
      <c r="B57" s="123" t="s">
        <v>230</v>
      </c>
      <c r="C57" s="230">
        <f>'GIS Heat Input'!G283</f>
        <v>71956.408970234144</v>
      </c>
      <c r="D57" s="232">
        <f>C57*'GWPs and Fuel EFs'!$B$27</f>
        <v>14388351.127086245</v>
      </c>
      <c r="E57" s="232">
        <f>C57*'GWPs and Fuel EFs'!$B$70</f>
        <v>5076.3752598319716</v>
      </c>
      <c r="F57" s="232">
        <f>E57*'GWPs and Fuel EFs'!$B$7</f>
        <v>126909.38149579929</v>
      </c>
      <c r="G57" s="232">
        <f>C57*'GWPs and Fuel EFs'!$B$95</f>
        <v>666.27425285294612</v>
      </c>
      <c r="H57" s="232">
        <f>G57*'GWPs and Fuel EFs'!$C$7</f>
        <v>198549.72735017794</v>
      </c>
    </row>
    <row r="58" spans="1:14" x14ac:dyDescent="0.4">
      <c r="A58" s="8" t="s">
        <v>247</v>
      </c>
      <c r="B58" s="44" t="s">
        <v>248</v>
      </c>
      <c r="C58" s="232" t="s">
        <v>4493</v>
      </c>
      <c r="D58" s="232">
        <f>(GIS!D72-GIS!H49)*'GWPs and Fuel EFs'!$B$56</f>
        <v>11072139.6</v>
      </c>
      <c r="E58" s="232"/>
      <c r="F58" s="44"/>
      <c r="G58" s="44"/>
      <c r="H58" s="44"/>
    </row>
    <row r="59" spans="1:14" x14ac:dyDescent="0.4">
      <c r="A59" s="452" t="s">
        <v>249</v>
      </c>
      <c r="B59" s="521"/>
      <c r="C59" s="521"/>
      <c r="D59" s="523">
        <f>SUM(D55:D58)</f>
        <v>25460490.727086246</v>
      </c>
      <c r="E59" s="521"/>
      <c r="F59" s="523">
        <f>SUM(F55:F58)</f>
        <v>126909.38149579929</v>
      </c>
      <c r="G59" s="521"/>
      <c r="H59" s="523">
        <f>SUM(H55:H58)</f>
        <v>198549.72735017794</v>
      </c>
    </row>
    <row r="60" spans="1:14" x14ac:dyDescent="0.4">
      <c r="A60" s="457" t="s">
        <v>11</v>
      </c>
    </row>
    <row r="61" spans="1:14" x14ac:dyDescent="0.4">
      <c r="A61" s="44"/>
      <c r="B61" s="119"/>
      <c r="D61" s="44"/>
      <c r="E61" s="47"/>
      <c r="F61" s="26"/>
    </row>
    <row r="62" spans="1:14" x14ac:dyDescent="0.4">
      <c r="A62" s="4" t="s">
        <v>3977</v>
      </c>
      <c r="B62" s="4"/>
      <c r="D62" s="651"/>
      <c r="E62" s="651"/>
      <c r="F62" s="651"/>
      <c r="H62" s="412"/>
      <c r="J62" s="651"/>
      <c r="K62" s="651"/>
      <c r="M62" s="651"/>
      <c r="N62" s="651"/>
    </row>
    <row r="63" spans="1:14" x14ac:dyDescent="0.4">
      <c r="A63" s="475" t="s">
        <v>212</v>
      </c>
      <c r="B63" s="249" t="s">
        <v>213</v>
      </c>
      <c r="C63" s="249" t="s">
        <v>3973</v>
      </c>
      <c r="D63" s="249" t="s">
        <v>216</v>
      </c>
      <c r="E63" s="249" t="s">
        <v>217</v>
      </c>
      <c r="F63" s="249" t="s">
        <v>218</v>
      </c>
      <c r="G63" s="249" t="s">
        <v>219</v>
      </c>
      <c r="H63" s="249" t="s">
        <v>220</v>
      </c>
    </row>
    <row r="64" spans="1:14" x14ac:dyDescent="0.4">
      <c r="A64" s="8" t="s">
        <v>251</v>
      </c>
      <c r="B64" s="123" t="s">
        <v>252</v>
      </c>
      <c r="C64" s="230">
        <f>'GIS Heat Input'!G284</f>
        <v>5912363.7771767937</v>
      </c>
      <c r="D64" s="232">
        <f>C64*'GWPs and Fuel EFs'!$B$44</f>
        <v>678708025.04775345</v>
      </c>
      <c r="E64" s="232">
        <f>C64*'GWPs and Fuel EFs'!$B$79</f>
        <v>41710.498946664316</v>
      </c>
      <c r="F64" s="232">
        <f>E64*'GWPs and Fuel EFs'!$B$7</f>
        <v>1042762.4736666079</v>
      </c>
      <c r="G64" s="232">
        <f>C64*'GWPs and Fuel EFs'!$B$104</f>
        <v>8211.7544801245367</v>
      </c>
      <c r="H64" s="232">
        <f>G64*'GWPs and Fuel EFs'!$C$7</f>
        <v>2447102.8350771121</v>
      </c>
      <c r="K64" s="24"/>
      <c r="M64" s="24"/>
      <c r="N64" s="24"/>
    </row>
    <row r="65" spans="1:14" x14ac:dyDescent="0.4">
      <c r="A65" s="8" t="s">
        <v>253</v>
      </c>
      <c r="B65" s="123" t="s">
        <v>254</v>
      </c>
      <c r="C65" s="230">
        <f>'GIS Heat Input'!G285</f>
        <v>58872.354501833564</v>
      </c>
      <c r="D65" s="232">
        <f>C65*'GWPs and Fuel EFs'!$B$45</f>
        <v>9583791.3957192972</v>
      </c>
      <c r="E65" s="232">
        <f>C65*'GWPs and Fuel EFs'!$B$80</f>
        <v>4153.322381676835</v>
      </c>
      <c r="F65" s="232">
        <f>E65*'GWPs and Fuel EFs'!$B$7</f>
        <v>103833.05954192087</v>
      </c>
      <c r="G65" s="232">
        <f>C65*'GWPs and Fuel EFs'!$B$105</f>
        <v>545.12356259508454</v>
      </c>
      <c r="H65" s="232">
        <f>G65*'GWPs and Fuel EFs'!$C$7</f>
        <v>162446.82165333518</v>
      </c>
    </row>
    <row r="66" spans="1:14" x14ac:dyDescent="0.4">
      <c r="A66" s="8" t="s">
        <v>257</v>
      </c>
      <c r="B66" s="123" t="s">
        <v>258</v>
      </c>
      <c r="C66" s="230">
        <f>'GIS Heat Input'!G286</f>
        <v>12095167.202096345</v>
      </c>
      <c r="D66" s="232">
        <f>C66*'GWPs and Fuel EFs'!$B$47</f>
        <v>2418540824.0226307</v>
      </c>
      <c r="E66" s="232">
        <f>C66*'GWPs and Fuel EFs'!$B$82</f>
        <v>191990.01028625073</v>
      </c>
      <c r="F66" s="232">
        <f>E66*'GWPs and Fuel EFs'!$B$7</f>
        <v>4799750.2571562687</v>
      </c>
      <c r="G66" s="232">
        <f>C66*'GWPs and Fuel EFs'!$B$107</f>
        <v>95995.005143125367</v>
      </c>
      <c r="H66" s="232">
        <f>G66*'GWPs and Fuel EFs'!$C$7</f>
        <v>28606511.532651361</v>
      </c>
    </row>
    <row r="67" spans="1:14" x14ac:dyDescent="0.4">
      <c r="A67" s="8" t="s">
        <v>3975</v>
      </c>
      <c r="B67" s="123" t="s">
        <v>266</v>
      </c>
      <c r="C67" s="230">
        <f>'GIS Heat Input'!G287</f>
        <v>96696.878432615864</v>
      </c>
      <c r="D67" s="232">
        <f>C67*'GWPs and Fuel EFs'!$B$51</f>
        <v>11100289.133531939</v>
      </c>
      <c r="E67" s="232">
        <f>C67*'GWPs and Fuel EFs'!$B$86</f>
        <v>682.17640152299225</v>
      </c>
      <c r="F67" s="232">
        <f>E67*'GWPs and Fuel EFs'!$B$7</f>
        <v>17054.410038074806</v>
      </c>
      <c r="G67" s="232">
        <f>C67*'GWPs and Fuel EFs'!$B$111</f>
        <v>134.3034790498391</v>
      </c>
      <c r="H67" s="232">
        <f>G67*'GWPs and Fuel EFs'!$C$7</f>
        <v>40022.436756852054</v>
      </c>
    </row>
    <row r="68" spans="1:14" x14ac:dyDescent="0.4">
      <c r="A68" s="452" t="s">
        <v>249</v>
      </c>
      <c r="B68" s="521"/>
      <c r="C68" s="521"/>
      <c r="D68" s="523">
        <f>SUM(D64:D67)</f>
        <v>3117932929.5996356</v>
      </c>
      <c r="E68" s="521"/>
      <c r="F68" s="523">
        <f>SUM(F64:F67)</f>
        <v>5963400.2004028717</v>
      </c>
      <c r="G68" s="521"/>
      <c r="H68" s="523">
        <f>SUM(H64:H67)</f>
        <v>31256083.626138661</v>
      </c>
    </row>
    <row r="69" spans="1:14" x14ac:dyDescent="0.4">
      <c r="A69" s="457" t="s">
        <v>11</v>
      </c>
    </row>
    <row r="71" spans="1:14" x14ac:dyDescent="0.4">
      <c r="A71" s="16" t="s">
        <v>3978</v>
      </c>
      <c r="D71" s="37"/>
      <c r="F71" s="26"/>
      <c r="H71" s="71"/>
      <c r="J71" s="26"/>
      <c r="K71" s="71"/>
      <c r="M71" s="26"/>
      <c r="N71" s="71"/>
    </row>
    <row r="72" spans="1:14" x14ac:dyDescent="0.4">
      <c r="A72" s="475" t="s">
        <v>212</v>
      </c>
      <c r="B72" s="249" t="s">
        <v>213</v>
      </c>
      <c r="C72" s="249" t="s">
        <v>3973</v>
      </c>
      <c r="D72" s="249" t="s">
        <v>216</v>
      </c>
      <c r="E72" s="249" t="s">
        <v>217</v>
      </c>
      <c r="F72" s="249" t="s">
        <v>218</v>
      </c>
      <c r="G72" s="249" t="s">
        <v>219</v>
      </c>
      <c r="H72" s="249" t="s">
        <v>220</v>
      </c>
    </row>
    <row r="73" spans="1:14" x14ac:dyDescent="0.4">
      <c r="A73" s="8" t="s">
        <v>225</v>
      </c>
      <c r="B73" s="123" t="s">
        <v>226</v>
      </c>
      <c r="C73" s="230">
        <f>'GIS Heat Input'!G292</f>
        <v>0</v>
      </c>
      <c r="D73" s="232">
        <f>C73*'GWPs and Fuel EFs'!$B$25</f>
        <v>0</v>
      </c>
      <c r="E73" s="232">
        <f>C73*'GWPs and Fuel EFs'!$B$68</f>
        <v>0</v>
      </c>
      <c r="F73" s="232">
        <f>E73*'GWPs and Fuel EFs'!$B$7</f>
        <v>0</v>
      </c>
      <c r="G73" s="232">
        <f>C73*'GWPs and Fuel EFs'!$B$93</f>
        <v>0</v>
      </c>
      <c r="H73" s="232">
        <f>G73*'GWPs and Fuel EFs'!$C$7</f>
        <v>0</v>
      </c>
    </row>
    <row r="74" spans="1:14" x14ac:dyDescent="0.4">
      <c r="A74" s="8" t="s">
        <v>270</v>
      </c>
      <c r="B74" s="123" t="s">
        <v>228</v>
      </c>
      <c r="C74" s="230">
        <f>'GIS Heat Input'!G293</f>
        <v>2250834.0956091867</v>
      </c>
      <c r="D74" s="232">
        <f>C74*'GWPs and Fuel EFs'!$B$26</f>
        <v>262551793.73693439</v>
      </c>
      <c r="E74" s="232">
        <f>C74*'GWPs and Fuel EFs'!$B$69</f>
        <v>4962.2397610472553</v>
      </c>
      <c r="F74" s="232">
        <f>E74*'GWPs and Fuel EFs'!$B$7</f>
        <v>124055.99402618139</v>
      </c>
      <c r="G74" s="232">
        <f>C74*'GWPs and Fuel EFs'!$B$94</f>
        <v>496.22397610472558</v>
      </c>
      <c r="H74" s="232">
        <f>G74*'GWPs and Fuel EFs'!$C$7</f>
        <v>147874.74487920821</v>
      </c>
    </row>
    <row r="75" spans="1:14" x14ac:dyDescent="0.4">
      <c r="A75" s="8" t="s">
        <v>229</v>
      </c>
      <c r="B75" s="123" t="s">
        <v>230</v>
      </c>
      <c r="C75" s="230">
        <f>'GIS Heat Input'!G294</f>
        <v>2176167.7772624032</v>
      </c>
      <c r="D75" s="232">
        <f>C75*'GWPs and Fuel EFs'!$B$27</f>
        <v>435144923.69477087</v>
      </c>
      <c r="E75" s="232">
        <f>C75*'GWPs and Fuel EFs'!$B$70</f>
        <v>153524.11861337011</v>
      </c>
      <c r="F75" s="232">
        <f>E75*'GWPs and Fuel EFs'!$B$7</f>
        <v>3838102.9653342529</v>
      </c>
      <c r="G75" s="232">
        <f>C75*'GWPs and Fuel EFs'!$B$95</f>
        <v>20150.040568004821</v>
      </c>
      <c r="H75" s="232">
        <f>G75*'GWPs and Fuel EFs'!$C$7</f>
        <v>6004712.0892654369</v>
      </c>
    </row>
    <row r="76" spans="1:14" x14ac:dyDescent="0.4">
      <c r="A76" s="8" t="s">
        <v>247</v>
      </c>
      <c r="B76" s="44" t="s">
        <v>248</v>
      </c>
      <c r="C76" s="232" t="s">
        <v>4494</v>
      </c>
      <c r="D76" s="232">
        <f>(GIS!J49)*'GWPs and Fuel EFs'!$B$56</f>
        <v>25421763.800000001</v>
      </c>
      <c r="E76" s="44"/>
      <c r="F76" s="44"/>
      <c r="G76" s="44"/>
      <c r="H76" s="44"/>
    </row>
    <row r="77" spans="1:14" x14ac:dyDescent="0.4">
      <c r="A77" s="8" t="s">
        <v>3979</v>
      </c>
      <c r="B77" s="44" t="s">
        <v>170</v>
      </c>
      <c r="C77" s="44" t="s">
        <v>170</v>
      </c>
      <c r="D77" s="232">
        <f>GIS!M224*'State and Province Summary'!F33</f>
        <v>0</v>
      </c>
      <c r="E77" s="232"/>
      <c r="F77" s="232"/>
      <c r="G77" s="232"/>
      <c r="H77" s="232"/>
    </row>
    <row r="78" spans="1:14" x14ac:dyDescent="0.4">
      <c r="A78" s="463" t="s">
        <v>249</v>
      </c>
      <c r="B78" s="534"/>
      <c r="C78" s="534"/>
      <c r="D78" s="535">
        <f>SUM(D73:D77)</f>
        <v>723118481.23170519</v>
      </c>
      <c r="E78" s="539"/>
      <c r="F78" s="535">
        <f>SUM(F73:F77)</f>
        <v>3962158.9593604342</v>
      </c>
      <c r="G78" s="539"/>
      <c r="H78" s="535">
        <f>SUM(H73:H77)</f>
        <v>6152586.8341446454</v>
      </c>
      <c r="J78" s="37"/>
      <c r="K78" s="37"/>
      <c r="M78" s="37"/>
      <c r="N78" s="37"/>
    </row>
    <row r="79" spans="1:14" x14ac:dyDescent="0.4">
      <c r="A79" s="457" t="s">
        <v>11</v>
      </c>
    </row>
    <row r="81" spans="1:14" x14ac:dyDescent="0.4">
      <c r="A81" s="16" t="s">
        <v>3980</v>
      </c>
    </row>
    <row r="82" spans="1:14" x14ac:dyDescent="0.4">
      <c r="A82" s="475" t="s">
        <v>212</v>
      </c>
      <c r="B82" s="249" t="s">
        <v>213</v>
      </c>
      <c r="C82" s="249" t="s">
        <v>3973</v>
      </c>
      <c r="D82" s="249" t="s">
        <v>216</v>
      </c>
      <c r="E82" s="249" t="s">
        <v>217</v>
      </c>
      <c r="F82" s="249" t="s">
        <v>218</v>
      </c>
      <c r="G82" s="249" t="s">
        <v>219</v>
      </c>
      <c r="H82" s="249" t="s">
        <v>220</v>
      </c>
    </row>
    <row r="83" spans="1:14" x14ac:dyDescent="0.4">
      <c r="A83" s="8" t="s">
        <v>251</v>
      </c>
      <c r="B83" s="123" t="s">
        <v>252</v>
      </c>
      <c r="C83" s="230">
        <f>'GIS Heat Input'!G295</f>
        <v>-132369.95961146313</v>
      </c>
      <c r="D83" s="232">
        <f>C83*'GWPs and Fuel EFs'!$B$44</f>
        <v>-15195369.779233491</v>
      </c>
      <c r="E83" s="232">
        <f>C83*'GWPs and Fuel EFs'!$B$79</f>
        <v>-933.84258293733762</v>
      </c>
      <c r="F83" s="232">
        <f>E83*'GWPs and Fuel EFs'!$B$7</f>
        <v>-23346.064573433439</v>
      </c>
      <c r="G83" s="232">
        <f>C83*'GWPs and Fuel EFs'!$B$104</f>
        <v>-183.85025851578834</v>
      </c>
      <c r="H83" s="232">
        <f>G83*'GWPs and Fuel EFs'!$C$7</f>
        <v>-54787.377037704922</v>
      </c>
      <c r="K83" s="119"/>
    </row>
    <row r="84" spans="1:14" x14ac:dyDescent="0.4">
      <c r="A84" s="8" t="s">
        <v>253</v>
      </c>
      <c r="B84" s="123" t="s">
        <v>254</v>
      </c>
      <c r="C84" s="230">
        <f>'GIS Heat Input'!G296</f>
        <v>767603.30940762395</v>
      </c>
      <c r="D84" s="232">
        <f>C84*'GWPs and Fuel EFs'!$B$45</f>
        <v>124957631.71485397</v>
      </c>
      <c r="E84" s="232">
        <f>C84*'GWPs and Fuel EFs'!$B$80</f>
        <v>54152.81981142101</v>
      </c>
      <c r="F84" s="232">
        <f>E84*'GWPs and Fuel EFs'!$B$7</f>
        <v>1353820.4952855252</v>
      </c>
      <c r="G84" s="232">
        <f>C84*'GWPs and Fuel EFs'!$B$105</f>
        <v>7107.5576002490061</v>
      </c>
      <c r="H84" s="232">
        <f>G84*'GWPs and Fuel EFs'!$C$7</f>
        <v>2118052.164874204</v>
      </c>
      <c r="J84" s="651"/>
      <c r="K84" s="651"/>
      <c r="M84" s="651"/>
      <c r="N84" s="651"/>
    </row>
    <row r="85" spans="1:14" x14ac:dyDescent="0.4">
      <c r="A85" s="8" t="s">
        <v>257</v>
      </c>
      <c r="B85" s="123" t="s">
        <v>258</v>
      </c>
      <c r="C85" s="230">
        <f>'GIS Heat Input'!G297</f>
        <v>-4072324.7255536672</v>
      </c>
      <c r="D85" s="232">
        <f>C85*'GWPs and Fuel EFs'!$B$47</f>
        <v>-814299085.97884023</v>
      </c>
      <c r="E85" s="232">
        <f>C85*'GWPs and Fuel EFs'!$B$82</f>
        <v>-64641.162282774523</v>
      </c>
      <c r="F85" s="232">
        <f>E85*'GWPs and Fuel EFs'!$B$7</f>
        <v>-1616029.0570693631</v>
      </c>
      <c r="G85" s="232">
        <f>C85*'GWPs and Fuel EFs'!$B$107</f>
        <v>-32320.581141387262</v>
      </c>
      <c r="H85" s="232">
        <f>G85*'GWPs and Fuel EFs'!$C$7</f>
        <v>-9631533.1801334042</v>
      </c>
      <c r="J85" s="651"/>
      <c r="K85" s="651"/>
      <c r="M85" s="651"/>
      <c r="N85" s="651"/>
    </row>
    <row r="86" spans="1:14" s="24" customFormat="1" x14ac:dyDescent="0.4">
      <c r="A86" s="8" t="s">
        <v>3975</v>
      </c>
      <c r="B86" s="123" t="s">
        <v>266</v>
      </c>
      <c r="C86" s="230">
        <f>'GIS Heat Input'!G298</f>
        <v>-152550.48008476879</v>
      </c>
      <c r="D86" s="232">
        <f>C86*'GWPs and Fuel EFs'!$B$51</f>
        <v>-17511986.56924659</v>
      </c>
      <c r="E86" s="232">
        <f>C86*'GWPs and Fuel EFs'!$B$86</f>
        <v>-1076.2119650775705</v>
      </c>
      <c r="F86" s="232">
        <f>E86*'GWPs and Fuel EFs'!$B$7</f>
        <v>-26905.299126939262</v>
      </c>
      <c r="G86" s="232">
        <f>C86*'GWPs and Fuel EFs'!$B$111</f>
        <v>-211.87923062464668</v>
      </c>
      <c r="H86" s="232">
        <f>G86*'GWPs and Fuel EFs'!$C$7</f>
        <v>-63140.010726144712</v>
      </c>
      <c r="J86" s="37"/>
      <c r="K86" s="37"/>
      <c r="M86" s="37"/>
      <c r="N86" s="37"/>
    </row>
    <row r="87" spans="1:14" x14ac:dyDescent="0.4">
      <c r="A87" s="8" t="s">
        <v>3979</v>
      </c>
      <c r="B87" s="44" t="s">
        <v>170</v>
      </c>
      <c r="C87" s="44" t="s">
        <v>170</v>
      </c>
      <c r="D87" s="232">
        <f>GIS!M224*'State and Province Summary'!F46</f>
        <v>0</v>
      </c>
      <c r="E87" s="232"/>
      <c r="F87" s="232"/>
      <c r="G87" s="232"/>
      <c r="H87" s="232"/>
      <c r="J87" s="24"/>
      <c r="K87" s="24"/>
      <c r="M87" s="24"/>
      <c r="N87" s="24"/>
    </row>
    <row r="88" spans="1:14" x14ac:dyDescent="0.4">
      <c r="A88" s="466" t="s">
        <v>249</v>
      </c>
      <c r="B88" s="531"/>
      <c r="C88" s="521"/>
      <c r="D88" s="523">
        <f>SUM(D83:D87)</f>
        <v>-722048810.61246634</v>
      </c>
      <c r="E88" s="532"/>
      <c r="F88" s="523">
        <f>SUM(F83:F87)</f>
        <v>-312459.9254842106</v>
      </c>
      <c r="G88" s="532"/>
      <c r="H88" s="523">
        <f>SUM(H83:H87)</f>
        <v>-7631408.4030230492</v>
      </c>
    </row>
    <row r="89" spans="1:14" x14ac:dyDescent="0.4">
      <c r="A89" s="457" t="s">
        <v>11</v>
      </c>
    </row>
    <row r="91" spans="1:14" x14ac:dyDescent="0.4">
      <c r="A91" s="16" t="s">
        <v>3981</v>
      </c>
    </row>
    <row r="92" spans="1:14" x14ac:dyDescent="0.4">
      <c r="A92" s="475" t="s">
        <v>212</v>
      </c>
      <c r="B92" s="249" t="s">
        <v>213</v>
      </c>
      <c r="C92" s="249" t="s">
        <v>3973</v>
      </c>
      <c r="D92" s="249" t="s">
        <v>216</v>
      </c>
      <c r="E92" s="249" t="s">
        <v>217</v>
      </c>
      <c r="F92" s="249" t="s">
        <v>218</v>
      </c>
      <c r="G92" s="249" t="s">
        <v>219</v>
      </c>
      <c r="H92" s="249" t="s">
        <v>220</v>
      </c>
    </row>
    <row r="93" spans="1:14" x14ac:dyDescent="0.4">
      <c r="A93" s="8" t="s">
        <v>225</v>
      </c>
      <c r="B93" s="123" t="s">
        <v>226</v>
      </c>
      <c r="C93" s="230">
        <f>'GIS Heat Input'!G303</f>
        <v>0</v>
      </c>
      <c r="D93" s="232">
        <f>C93*'GWPs and Fuel EFs'!$B$25</f>
        <v>0</v>
      </c>
      <c r="E93" s="232">
        <f>C93*'GWPs and Fuel EFs'!$B$68</f>
        <v>0</v>
      </c>
      <c r="F93" s="232">
        <f>E93*'GWPs and Fuel EFs'!$B$7</f>
        <v>0</v>
      </c>
      <c r="G93" s="232">
        <f>C93*'GWPs and Fuel EFs'!$B$93</f>
        <v>0</v>
      </c>
      <c r="H93" s="232">
        <f>G93*'GWPs and Fuel EFs'!$C$7</f>
        <v>0</v>
      </c>
    </row>
    <row r="94" spans="1:14" x14ac:dyDescent="0.4">
      <c r="A94" s="8" t="s">
        <v>270</v>
      </c>
      <c r="B94" s="123" t="s">
        <v>228</v>
      </c>
      <c r="C94" s="230">
        <f>'GIS Heat Input'!G304</f>
        <v>0</v>
      </c>
      <c r="D94" s="232">
        <f>C94*'GWPs and Fuel EFs'!$B$26</f>
        <v>0</v>
      </c>
      <c r="E94" s="232">
        <f>C94*'GWPs and Fuel EFs'!$B$69</f>
        <v>0</v>
      </c>
      <c r="F94" s="232">
        <f>E94*'GWPs and Fuel EFs'!$B$7</f>
        <v>0</v>
      </c>
      <c r="G94" s="232">
        <f>C94*'GWPs and Fuel EFs'!$B$94</f>
        <v>0</v>
      </c>
      <c r="H94" s="232">
        <f>G94*'GWPs and Fuel EFs'!$C$7</f>
        <v>0</v>
      </c>
    </row>
    <row r="95" spans="1:14" x14ac:dyDescent="0.4">
      <c r="A95" s="8" t="s">
        <v>229</v>
      </c>
      <c r="B95" s="123" t="s">
        <v>230</v>
      </c>
      <c r="C95" s="230">
        <f>'GIS Heat Input'!G305</f>
        <v>-1023009.5314329144</v>
      </c>
      <c r="D95" s="232">
        <f>C95*'GWPs and Fuel EFs'!$B$27</f>
        <v>-204560240.77996519</v>
      </c>
      <c r="E95" s="232">
        <f>C95*'GWPs and Fuel EFs'!$B$70</f>
        <v>-72171.198511123337</v>
      </c>
      <c r="F95" s="232">
        <f>E95*'GWPs and Fuel EFs'!$B$7</f>
        <v>-1804279.9627780835</v>
      </c>
      <c r="G95" s="232">
        <f>C95*'GWPs and Fuel EFs'!$B$95</f>
        <v>-9472.4698045849364</v>
      </c>
      <c r="H95" s="232">
        <f>G95*'GWPs and Fuel EFs'!$C$7</f>
        <v>-2822796.001766311</v>
      </c>
    </row>
    <row r="96" spans="1:14" x14ac:dyDescent="0.4">
      <c r="A96" s="466" t="s">
        <v>249</v>
      </c>
      <c r="B96" s="531"/>
      <c r="C96" s="521"/>
      <c r="D96" s="523">
        <f>SUM(D93:D95)</f>
        <v>-204560240.77996519</v>
      </c>
      <c r="E96" s="532"/>
      <c r="F96" s="523">
        <f>SUM(F93:F95)</f>
        <v>-1804279.9627780835</v>
      </c>
      <c r="G96" s="532"/>
      <c r="H96" s="523">
        <f>SUM(H93:H95)</f>
        <v>-2822796.001766311</v>
      </c>
      <c r="K96" s="71"/>
      <c r="M96" s="26"/>
      <c r="N96" s="71"/>
    </row>
    <row r="97" spans="1:15" x14ac:dyDescent="0.4">
      <c r="A97" s="533" t="s">
        <v>11</v>
      </c>
      <c r="B97" s="232"/>
      <c r="C97" s="44"/>
      <c r="D97" s="44"/>
      <c r="E97" s="44"/>
      <c r="F97" s="44"/>
      <c r="G97" s="44"/>
      <c r="H97" s="44"/>
    </row>
    <row r="99" spans="1:15" x14ac:dyDescent="0.4">
      <c r="A99" s="16" t="s">
        <v>4545</v>
      </c>
    </row>
    <row r="100" spans="1:15" x14ac:dyDescent="0.4">
      <c r="A100" s="248" t="s">
        <v>212</v>
      </c>
      <c r="B100" s="249" t="s">
        <v>213</v>
      </c>
      <c r="C100" s="249" t="s">
        <v>3973</v>
      </c>
      <c r="D100" s="249" t="s">
        <v>216</v>
      </c>
      <c r="E100" s="249" t="s">
        <v>217</v>
      </c>
      <c r="F100" s="249" t="s">
        <v>218</v>
      </c>
      <c r="G100" s="249" t="s">
        <v>219</v>
      </c>
      <c r="H100" s="249" t="s">
        <v>220</v>
      </c>
    </row>
    <row r="101" spans="1:15" x14ac:dyDescent="0.4">
      <c r="A101" s="8" t="s">
        <v>251</v>
      </c>
      <c r="B101" s="229" t="s">
        <v>252</v>
      </c>
      <c r="C101" s="230">
        <f>'GIS Heat Input'!G306</f>
        <v>-679848.12116363819</v>
      </c>
      <c r="D101" s="231">
        <f>C101*'GWPs and Fuel EFs'!$B$44</f>
        <v>-78042960.994482309</v>
      </c>
      <c r="E101" s="231">
        <f>C101*'GWPs and Fuel EFs'!$B$79</f>
        <v>-4796.1873474619442</v>
      </c>
      <c r="F101" s="232">
        <f>E101*'GWPs and Fuel EFs'!$B$7</f>
        <v>-119904.68368654861</v>
      </c>
      <c r="G101" s="231">
        <f>C101*'GWPs and Fuel EFs'!$B$104</f>
        <v>-944.24938403157012</v>
      </c>
      <c r="H101" s="232">
        <f>G101*'GWPs and Fuel EFs'!$C$7</f>
        <v>-281386.31644140789</v>
      </c>
    </row>
    <row r="102" spans="1:15" x14ac:dyDescent="0.4">
      <c r="A102" s="8" t="s">
        <v>253</v>
      </c>
      <c r="B102" s="518" t="s">
        <v>254</v>
      </c>
      <c r="C102" s="230">
        <f>'GIS Heat Input'!G307</f>
        <v>-836992.57168582419</v>
      </c>
      <c r="D102" s="519">
        <f>C102*'GWPs and Fuel EFs'!$B$45</f>
        <v>-136253463.52597022</v>
      </c>
      <c r="E102" s="519">
        <f>C102*'GWPs and Fuel EFs'!$B$80</f>
        <v>-59048.088201937266</v>
      </c>
      <c r="F102" s="232">
        <f>E102*'GWPs and Fuel EFs'!$B$7</f>
        <v>-1476202.2050484316</v>
      </c>
      <c r="G102" s="519">
        <f>C102*'GWPs and Fuel EFs'!$B$105</f>
        <v>-7750.0615765042648</v>
      </c>
      <c r="H102" s="232">
        <f>G102*'GWPs and Fuel EFs'!$C$7</f>
        <v>-2309518.349798271</v>
      </c>
    </row>
    <row r="103" spans="1:15" x14ac:dyDescent="0.4">
      <c r="A103" s="8" t="s">
        <v>257</v>
      </c>
      <c r="B103" s="518" t="s">
        <v>258</v>
      </c>
      <c r="C103" s="230">
        <f>'GIS Heat Input'!G308</f>
        <v>-3401103.780036578</v>
      </c>
      <c r="D103" s="519">
        <f>C103*'GWPs and Fuel EFs'!$B$47</f>
        <v>-680082234.60775828</v>
      </c>
      <c r="E103" s="519">
        <f>C103*'GWPs and Fuel EFs'!$B$82</f>
        <v>-53986.682350340234</v>
      </c>
      <c r="F103" s="232">
        <f>E103*'GWPs and Fuel EFs'!$B$7</f>
        <v>-1349667.0587585059</v>
      </c>
      <c r="G103" s="519">
        <f>C103*'GWPs and Fuel EFs'!$B$107</f>
        <v>-26993.341175170117</v>
      </c>
      <c r="H103" s="232">
        <f>G103*'GWPs and Fuel EFs'!$C$7</f>
        <v>-8044015.6702006953</v>
      </c>
    </row>
    <row r="104" spans="1:15" x14ac:dyDescent="0.4">
      <c r="A104" s="8" t="s">
        <v>3975</v>
      </c>
      <c r="B104" s="233" t="s">
        <v>266</v>
      </c>
      <c r="C104" s="230">
        <f>'GIS Heat Input'!G309</f>
        <v>47449.330591706414</v>
      </c>
      <c r="D104" s="234">
        <f>C104*'GWPs and Fuel EFs'!$B$51</f>
        <v>5446931.662096208</v>
      </c>
      <c r="E104" s="234">
        <f>C104*'GWPs and Fuel EFs'!$B$86</f>
        <v>334.74517608426862</v>
      </c>
      <c r="F104" s="232">
        <f>E104*'GWPs and Fuel EFs'!$B$7</f>
        <v>8368.6294021067151</v>
      </c>
      <c r="G104" s="234">
        <f>C104*'GWPs and Fuel EFs'!$B$111</f>
        <v>65.902956541590385</v>
      </c>
      <c r="H104" s="232">
        <f>G104*'GWPs and Fuel EFs'!$C$7</f>
        <v>19639.081049393935</v>
      </c>
    </row>
    <row r="105" spans="1:15" x14ac:dyDescent="0.4">
      <c r="A105" s="466" t="s">
        <v>249</v>
      </c>
      <c r="B105" s="531"/>
      <c r="C105" s="521"/>
      <c r="D105" s="523">
        <f>SUM(D101:D104)</f>
        <v>-888931727.46611452</v>
      </c>
      <c r="E105" s="532"/>
      <c r="F105" s="523">
        <f>SUM(F101:F104)</f>
        <v>-2937405.3180913795</v>
      </c>
      <c r="G105" s="532"/>
      <c r="H105" s="523">
        <f>SUM(H101:H104)</f>
        <v>-10615281.255390979</v>
      </c>
      <c r="J105" s="651"/>
      <c r="K105" s="651"/>
      <c r="M105" s="651"/>
      <c r="N105" s="651"/>
    </row>
    <row r="106" spans="1:15" x14ac:dyDescent="0.4">
      <c r="A106" s="457" t="s">
        <v>11</v>
      </c>
      <c r="B106" s="465"/>
      <c r="D106" s="4"/>
      <c r="E106" s="4"/>
      <c r="F106" s="4"/>
      <c r="H106" s="412"/>
      <c r="J106" s="651"/>
      <c r="K106" s="651"/>
      <c r="M106" s="651"/>
      <c r="N106" s="651"/>
    </row>
    <row r="107" spans="1:15" s="24" customFormat="1" x14ac:dyDescent="0.4">
      <c r="A107" s="4"/>
      <c r="B107" s="19"/>
      <c r="D107" s="19"/>
      <c r="E107" s="19"/>
      <c r="F107" s="19"/>
      <c r="G107" s="3"/>
      <c r="H107" s="37"/>
      <c r="J107" s="37"/>
      <c r="K107" s="37"/>
      <c r="M107" s="37"/>
      <c r="N107" s="37"/>
    </row>
    <row r="108" spans="1:15" x14ac:dyDescent="0.4">
      <c r="A108" s="6" t="s">
        <v>3982</v>
      </c>
      <c r="B108" s="37"/>
      <c r="C108" s="37"/>
      <c r="D108" s="37"/>
      <c r="E108" s="37"/>
      <c r="F108" s="37"/>
      <c r="G108" s="37"/>
      <c r="H108" s="37"/>
      <c r="I108" s="37"/>
      <c r="J108" s="37"/>
      <c r="K108" s="37"/>
      <c r="L108" s="37"/>
      <c r="M108" s="37"/>
      <c r="N108" s="37"/>
      <c r="O108" s="37"/>
    </row>
    <row r="109" spans="1:15" x14ac:dyDescent="0.4">
      <c r="A109" s="248" t="s">
        <v>212</v>
      </c>
      <c r="B109" s="249" t="s">
        <v>213</v>
      </c>
      <c r="C109" s="248" t="s">
        <v>3973</v>
      </c>
      <c r="D109" s="248" t="s">
        <v>216</v>
      </c>
      <c r="E109" s="248" t="s">
        <v>217</v>
      </c>
      <c r="F109" s="248" t="s">
        <v>218</v>
      </c>
      <c r="G109" s="248" t="s">
        <v>219</v>
      </c>
      <c r="H109" s="248" t="s">
        <v>220</v>
      </c>
    </row>
    <row r="110" spans="1:15" x14ac:dyDescent="0.4">
      <c r="A110" s="3" t="s">
        <v>225</v>
      </c>
      <c r="B110" s="123" t="s">
        <v>226</v>
      </c>
      <c r="C110" s="118">
        <f>'GIS Heat Input'!D336</f>
        <v>0</v>
      </c>
      <c r="D110" s="26">
        <f>C110*'GWPs and Fuel EFs'!$B$25</f>
        <v>0</v>
      </c>
      <c r="E110" s="26">
        <f>C110*'GWPs and Fuel EFs'!$B$68</f>
        <v>0</v>
      </c>
      <c r="F110" s="26">
        <f>E110*'GWPs and Fuel EFs'!$B$7</f>
        <v>0</v>
      </c>
      <c r="G110" s="26">
        <f>C110*'GWPs and Fuel EFs'!$B$93</f>
        <v>0</v>
      </c>
      <c r="H110" s="26">
        <f>G110*'GWPs and Fuel EFs'!$C$7</f>
        <v>0</v>
      </c>
      <c r="J110" s="37"/>
      <c r="K110" s="37"/>
      <c r="L110" s="37"/>
      <c r="M110" s="37"/>
      <c r="N110" s="37"/>
      <c r="O110" s="37"/>
    </row>
    <row r="111" spans="1:15" x14ac:dyDescent="0.4">
      <c r="A111" s="3" t="s">
        <v>270</v>
      </c>
      <c r="B111" s="123" t="s">
        <v>228</v>
      </c>
      <c r="C111" s="118">
        <f>'GIS Heat Input'!D337</f>
        <v>0</v>
      </c>
      <c r="D111" s="26">
        <f>C111*'GWPs and Fuel EFs'!$B$26</f>
        <v>0</v>
      </c>
      <c r="E111" s="26">
        <f>C111*'GWPs and Fuel EFs'!$B$69</f>
        <v>0</v>
      </c>
      <c r="F111" s="26">
        <f>E111*'GWPs and Fuel EFs'!$B$7</f>
        <v>0</v>
      </c>
      <c r="G111" s="26">
        <f>C111*'GWPs and Fuel EFs'!$B$94</f>
        <v>0</v>
      </c>
      <c r="H111" s="26">
        <f>G111*'GWPs and Fuel EFs'!$C$7</f>
        <v>0</v>
      </c>
      <c r="J111" s="37"/>
      <c r="K111" s="37"/>
      <c r="L111" s="37"/>
      <c r="M111" s="37"/>
      <c r="N111" s="37"/>
      <c r="O111" s="37"/>
    </row>
    <row r="112" spans="1:15" x14ac:dyDescent="0.4">
      <c r="A112" s="3" t="s">
        <v>229</v>
      </c>
      <c r="B112" s="123" t="s">
        <v>230</v>
      </c>
      <c r="C112" s="118">
        <f>'GIS Heat Input'!D338</f>
        <v>0</v>
      </c>
      <c r="D112" s="26">
        <f>C112*'GWPs and Fuel EFs'!$B$27</f>
        <v>0</v>
      </c>
      <c r="E112" s="26">
        <f>C112*'GWPs and Fuel EFs'!$B$70</f>
        <v>0</v>
      </c>
      <c r="F112" s="26">
        <f>E112*'GWPs and Fuel EFs'!$B$7</f>
        <v>0</v>
      </c>
      <c r="G112" s="26">
        <f>C112*'GWPs and Fuel EFs'!$B$95</f>
        <v>0</v>
      </c>
      <c r="H112" s="26">
        <f>G112*'GWPs and Fuel EFs'!$C$7</f>
        <v>0</v>
      </c>
      <c r="J112" s="37"/>
      <c r="K112" s="37"/>
      <c r="L112" s="37"/>
      <c r="M112" s="37"/>
      <c r="N112" s="37"/>
      <c r="O112" s="37"/>
    </row>
    <row r="113" spans="1:15" x14ac:dyDescent="0.4">
      <c r="A113" s="3" t="s">
        <v>3983</v>
      </c>
      <c r="B113" s="44" t="s">
        <v>170</v>
      </c>
      <c r="C113" s="44" t="s">
        <v>170</v>
      </c>
      <c r="D113" s="26">
        <f>-(GIS!H200*'State and Province Summary'!F32)</f>
        <v>0</v>
      </c>
      <c r="E113" s="26"/>
      <c r="F113" s="26"/>
      <c r="G113" s="26"/>
      <c r="H113" s="26"/>
      <c r="J113" s="37"/>
      <c r="K113" s="37"/>
      <c r="L113" s="37"/>
      <c r="M113" s="37"/>
      <c r="N113" s="37"/>
      <c r="O113" s="37"/>
    </row>
    <row r="114" spans="1:15" x14ac:dyDescent="0.4">
      <c r="A114" s="463" t="s">
        <v>249</v>
      </c>
      <c r="B114" s="521"/>
      <c r="C114" s="534"/>
      <c r="D114" s="535">
        <f>SUM(D110:D113)</f>
        <v>0</v>
      </c>
      <c r="E114" s="534"/>
      <c r="F114" s="535">
        <f>SUM(F110:F113)</f>
        <v>0</v>
      </c>
      <c r="G114" s="534"/>
      <c r="H114" s="535">
        <f>SUM(H110:H113)</f>
        <v>0</v>
      </c>
      <c r="J114" s="37"/>
      <c r="K114" s="37"/>
      <c r="L114" s="37"/>
      <c r="M114" s="37"/>
      <c r="N114" s="37"/>
      <c r="O114" s="37"/>
    </row>
    <row r="115" spans="1:15" x14ac:dyDescent="0.4">
      <c r="A115" s="465" t="s">
        <v>11</v>
      </c>
      <c r="B115" s="209"/>
      <c r="C115" s="37"/>
      <c r="D115" s="37"/>
      <c r="E115" s="37"/>
      <c r="F115" s="37"/>
      <c r="G115" s="37"/>
      <c r="H115" s="37"/>
      <c r="I115" s="37"/>
      <c r="J115" s="37"/>
      <c r="K115" s="37"/>
      <c r="L115" s="37"/>
      <c r="M115" s="37"/>
      <c r="N115" s="37"/>
      <c r="O115" s="37"/>
    </row>
    <row r="116" spans="1:15" x14ac:dyDescent="0.4">
      <c r="A116" s="37"/>
      <c r="B116" s="209"/>
      <c r="C116" s="37"/>
      <c r="D116" s="37"/>
      <c r="E116" s="37"/>
      <c r="F116" s="37"/>
      <c r="G116" s="37"/>
      <c r="H116" s="37"/>
      <c r="I116" s="37"/>
      <c r="J116" s="37"/>
      <c r="K116" s="37"/>
      <c r="L116" s="37"/>
      <c r="M116" s="37"/>
      <c r="N116" s="37"/>
      <c r="O116" s="37"/>
    </row>
    <row r="117" spans="1:15" x14ac:dyDescent="0.4">
      <c r="A117" s="6" t="s">
        <v>3984</v>
      </c>
      <c r="B117" s="209"/>
      <c r="C117" s="37"/>
      <c r="D117" s="37"/>
      <c r="E117" s="37"/>
      <c r="F117" s="37"/>
      <c r="G117" s="37"/>
      <c r="H117" s="37"/>
      <c r="I117" s="37"/>
      <c r="J117" s="37"/>
      <c r="K117" s="37"/>
      <c r="L117" s="37"/>
      <c r="M117" s="37"/>
      <c r="N117" s="37"/>
      <c r="O117" s="37"/>
    </row>
    <row r="118" spans="1:15" x14ac:dyDescent="0.4">
      <c r="A118" s="248" t="s">
        <v>212</v>
      </c>
      <c r="B118" s="249" t="s">
        <v>213</v>
      </c>
      <c r="C118" s="248" t="s">
        <v>3973</v>
      </c>
      <c r="D118" s="248" t="s">
        <v>216</v>
      </c>
      <c r="E118" s="248" t="s">
        <v>217</v>
      </c>
      <c r="F118" s="248" t="s">
        <v>218</v>
      </c>
      <c r="G118" s="248" t="s">
        <v>219</v>
      </c>
      <c r="H118" s="248" t="s">
        <v>220</v>
      </c>
    </row>
    <row r="119" spans="1:15" x14ac:dyDescent="0.4">
      <c r="A119" s="3" t="s">
        <v>251</v>
      </c>
      <c r="B119" s="123" t="s">
        <v>252</v>
      </c>
      <c r="C119" s="118">
        <f>'GIS Heat Input'!D339</f>
        <v>-5594822.9326370778</v>
      </c>
      <c r="D119" s="26">
        <f>C119*'GWPs and Fuel EFs'!$B$44</f>
        <v>-642256019.1171478</v>
      </c>
      <c r="E119" s="26">
        <f>C119*'GWPs and Fuel EFs'!$B$79</f>
        <v>-39470.314214996601</v>
      </c>
      <c r="F119" s="26">
        <f>E119*'GWPs and Fuel EFs'!$B$7</f>
        <v>-986757.85537491506</v>
      </c>
      <c r="G119" s="26">
        <f>C119*'GWPs and Fuel EFs'!$B$104</f>
        <v>-7770.7181110774554</v>
      </c>
      <c r="H119" s="26">
        <f>G119*'GWPs and Fuel EFs'!$C$7</f>
        <v>-2315673.9971010815</v>
      </c>
      <c r="J119" s="37"/>
      <c r="K119" s="37"/>
      <c r="L119" s="37"/>
      <c r="M119" s="37"/>
      <c r="N119" s="37"/>
      <c r="O119" s="37"/>
    </row>
    <row r="120" spans="1:15" x14ac:dyDescent="0.4">
      <c r="A120" s="3" t="s">
        <v>253</v>
      </c>
      <c r="B120" s="123" t="s">
        <v>254</v>
      </c>
      <c r="C120" s="118">
        <f>'GIS Heat Input'!D340</f>
        <v>0</v>
      </c>
      <c r="D120" s="26">
        <f>C120*'GWPs and Fuel EFs'!$B$45</f>
        <v>0</v>
      </c>
      <c r="E120" s="26">
        <f>C120*'GWPs and Fuel EFs'!$B$80</f>
        <v>0</v>
      </c>
      <c r="F120" s="26">
        <f>E120*'GWPs and Fuel EFs'!$B$7</f>
        <v>0</v>
      </c>
      <c r="G120" s="26">
        <f>C120*'GWPs and Fuel EFs'!$B$105</f>
        <v>0</v>
      </c>
      <c r="H120" s="26">
        <f>G120*'GWPs and Fuel EFs'!$C$7</f>
        <v>0</v>
      </c>
      <c r="J120" s="37"/>
      <c r="K120" s="37"/>
      <c r="L120" s="37"/>
      <c r="M120" s="37"/>
      <c r="N120" s="37"/>
      <c r="O120" s="37"/>
    </row>
    <row r="121" spans="1:15" x14ac:dyDescent="0.4">
      <c r="A121" s="3" t="s">
        <v>257</v>
      </c>
      <c r="B121" s="123" t="s">
        <v>258</v>
      </c>
      <c r="C121" s="118">
        <f>'GIS Heat Input'!D341</f>
        <v>0</v>
      </c>
      <c r="D121" s="26">
        <f>C121*'GWPs and Fuel EFs'!$B$47</f>
        <v>0</v>
      </c>
      <c r="E121" s="26">
        <f>C121*'GWPs and Fuel EFs'!$B$82</f>
        <v>0</v>
      </c>
      <c r="F121" s="26">
        <f>E121*'GWPs and Fuel EFs'!$B$7</f>
        <v>0</v>
      </c>
      <c r="G121" s="26">
        <f>C121*'GWPs and Fuel EFs'!$B$107</f>
        <v>0</v>
      </c>
      <c r="H121" s="26">
        <f>G121*'GWPs and Fuel EFs'!$C$7</f>
        <v>0</v>
      </c>
    </row>
    <row r="122" spans="1:15" x14ac:dyDescent="0.4">
      <c r="A122" s="3" t="s">
        <v>3975</v>
      </c>
      <c r="B122" s="123" t="s">
        <v>266</v>
      </c>
      <c r="C122" s="118">
        <f>'GIS Heat Input'!D342</f>
        <v>-111800.43654981161</v>
      </c>
      <c r="D122" s="26">
        <f>C122*'GWPs and Fuel EFs'!$B$51</f>
        <v>-12834097.553860702</v>
      </c>
      <c r="E122" s="26">
        <f>C122*'GWPs and Fuel EFs'!$B$86</f>
        <v>-788.72886829948618</v>
      </c>
      <c r="F122" s="26">
        <f>E122*'GWPs and Fuel EFs'!$B$7</f>
        <v>-19718.221707487155</v>
      </c>
      <c r="G122" s="26">
        <f>C122*'GWPs and Fuel EFs'!$B$111</f>
        <v>-155.28099594646133</v>
      </c>
      <c r="H122" s="26">
        <f>G122*'GWPs and Fuel EFs'!$C$7</f>
        <v>-46273.736792045478</v>
      </c>
    </row>
    <row r="123" spans="1:15" s="24" customFormat="1" x14ac:dyDescent="0.4">
      <c r="A123" s="3" t="s">
        <v>3983</v>
      </c>
      <c r="B123" s="44" t="s">
        <v>170</v>
      </c>
      <c r="C123" s="44" t="s">
        <v>170</v>
      </c>
      <c r="D123" s="26">
        <f>-(GIS!H200*'State and Province Summary'!F45)</f>
        <v>0</v>
      </c>
      <c r="E123" s="26"/>
      <c r="F123" s="26"/>
      <c r="G123" s="26"/>
      <c r="H123" s="26"/>
    </row>
    <row r="124" spans="1:15" x14ac:dyDescent="0.4">
      <c r="A124" s="463" t="s">
        <v>249</v>
      </c>
      <c r="B124" s="521"/>
      <c r="C124" s="534"/>
      <c r="D124" s="535">
        <f>SUM(D119:D123)</f>
        <v>-655090116.67100847</v>
      </c>
      <c r="E124" s="534"/>
      <c r="F124" s="535">
        <f>SUM(F119:F123)</f>
        <v>-1006476.0770824022</v>
      </c>
      <c r="G124" s="534"/>
      <c r="H124" s="535">
        <f>SUM(H119:H123)</f>
        <v>-2361947.7338931272</v>
      </c>
      <c r="J124" s="24"/>
      <c r="K124" s="24"/>
      <c r="M124" s="24"/>
      <c r="N124" s="24"/>
    </row>
    <row r="125" spans="1:15" x14ac:dyDescent="0.4">
      <c r="A125" s="536" t="s">
        <v>11</v>
      </c>
      <c r="B125" s="44"/>
    </row>
    <row r="126" spans="1:15" x14ac:dyDescent="0.4">
      <c r="B126" s="44"/>
    </row>
    <row r="127" spans="1:15" x14ac:dyDescent="0.4">
      <c r="A127" s="6" t="s">
        <v>3985</v>
      </c>
      <c r="B127" s="44"/>
    </row>
    <row r="128" spans="1:15" x14ac:dyDescent="0.4">
      <c r="A128" s="248" t="s">
        <v>212</v>
      </c>
      <c r="B128" s="249" t="s">
        <v>213</v>
      </c>
      <c r="C128" s="248" t="s">
        <v>3973</v>
      </c>
      <c r="D128" s="248" t="s">
        <v>216</v>
      </c>
      <c r="E128" s="248" t="s">
        <v>217</v>
      </c>
      <c r="F128" s="248" t="s">
        <v>218</v>
      </c>
      <c r="G128" s="248" t="s">
        <v>219</v>
      </c>
      <c r="H128" s="248" t="s">
        <v>220</v>
      </c>
    </row>
    <row r="129" spans="1:15" x14ac:dyDescent="0.4">
      <c r="A129" s="3" t="s">
        <v>225</v>
      </c>
      <c r="B129" s="123" t="s">
        <v>226</v>
      </c>
      <c r="C129" s="118">
        <f>'GIS Heat Input'!G314</f>
        <v>0</v>
      </c>
      <c r="D129" s="26">
        <f>C129*'GWPs and Fuel EFs'!$B$25</f>
        <v>0</v>
      </c>
      <c r="E129" s="26">
        <f>C129*'GWPs and Fuel EFs'!$B$68</f>
        <v>0</v>
      </c>
      <c r="F129" s="26">
        <f>E129*'GWPs and Fuel EFs'!$B$7</f>
        <v>0</v>
      </c>
      <c r="G129" s="26">
        <f>C129*'GWPs and Fuel EFs'!$B$93</f>
        <v>0</v>
      </c>
      <c r="H129" s="26">
        <f>G129*'GWPs and Fuel EFs'!$C$7</f>
        <v>0</v>
      </c>
    </row>
    <row r="130" spans="1:15" x14ac:dyDescent="0.4">
      <c r="A130" s="3" t="s">
        <v>270</v>
      </c>
      <c r="B130" s="123" t="s">
        <v>228</v>
      </c>
      <c r="C130" s="118">
        <f>'GIS Heat Input'!G315</f>
        <v>0</v>
      </c>
      <c r="D130" s="26">
        <f>C130*'GWPs and Fuel EFs'!$B$26</f>
        <v>0</v>
      </c>
      <c r="E130" s="26">
        <f>C130*'GWPs and Fuel EFs'!$B$69</f>
        <v>0</v>
      </c>
      <c r="F130" s="26">
        <f>E130*'GWPs and Fuel EFs'!$B$7</f>
        <v>0</v>
      </c>
      <c r="G130" s="26">
        <f>C130*'GWPs and Fuel EFs'!$B$94</f>
        <v>0</v>
      </c>
      <c r="H130" s="26">
        <f>G130*'GWPs and Fuel EFs'!$C$7</f>
        <v>0</v>
      </c>
    </row>
    <row r="131" spans="1:15" x14ac:dyDescent="0.4">
      <c r="A131" s="3" t="s">
        <v>229</v>
      </c>
      <c r="B131" s="123" t="s">
        <v>230</v>
      </c>
      <c r="C131" s="118">
        <f>'GIS Heat Input'!G316</f>
        <v>11217.62991822143</v>
      </c>
      <c r="D131" s="26">
        <f>C131*'GWPs and Fuel EFs'!$B$27</f>
        <v>2243069.1079073241</v>
      </c>
      <c r="E131" s="26">
        <f>C131*'GWPs and Fuel EFs'!$B$70</f>
        <v>791.38050113599081</v>
      </c>
      <c r="F131" s="26">
        <f>E131*'GWPs and Fuel EFs'!$B$7</f>
        <v>19784.51252839977</v>
      </c>
      <c r="G131" s="26">
        <f>C131*'GWPs and Fuel EFs'!$B$95</f>
        <v>103.86869077409878</v>
      </c>
      <c r="H131" s="26">
        <f>G131*'GWPs and Fuel EFs'!$C$7</f>
        <v>30952.869850681436</v>
      </c>
      <c r="K131" s="71"/>
      <c r="M131" s="26"/>
      <c r="N131" s="71"/>
    </row>
    <row r="132" spans="1:15" x14ac:dyDescent="0.4">
      <c r="A132" s="463" t="s">
        <v>249</v>
      </c>
      <c r="B132" s="521"/>
      <c r="C132" s="534"/>
      <c r="D132" s="535">
        <f>SUM(D129:D131)</f>
        <v>2243069.1079073241</v>
      </c>
      <c r="E132" s="534"/>
      <c r="F132" s="535">
        <f>SUM(F129:F131)</f>
        <v>19784.51252839977</v>
      </c>
      <c r="G132" s="534"/>
      <c r="H132" s="535">
        <f>SUM(H129:H131)</f>
        <v>30952.869850681436</v>
      </c>
      <c r="J132" s="37"/>
      <c r="K132" s="37"/>
      <c r="L132" s="37"/>
      <c r="M132" s="37"/>
      <c r="N132" s="37"/>
      <c r="O132" s="37"/>
    </row>
    <row r="133" spans="1:15" x14ac:dyDescent="0.4">
      <c r="A133" s="536" t="s">
        <v>11</v>
      </c>
      <c r="B133" s="44"/>
    </row>
    <row r="134" spans="1:15" x14ac:dyDescent="0.4">
      <c r="B134" s="44"/>
    </row>
    <row r="135" spans="1:15" x14ac:dyDescent="0.4">
      <c r="A135" s="6" t="s">
        <v>3986</v>
      </c>
      <c r="B135" s="44"/>
    </row>
    <row r="136" spans="1:15" x14ac:dyDescent="0.4">
      <c r="A136" s="248" t="s">
        <v>212</v>
      </c>
      <c r="B136" s="249" t="s">
        <v>213</v>
      </c>
      <c r="C136" s="248" t="s">
        <v>3973</v>
      </c>
      <c r="D136" s="248" t="s">
        <v>216</v>
      </c>
      <c r="E136" s="248" t="s">
        <v>217</v>
      </c>
      <c r="F136" s="248" t="s">
        <v>218</v>
      </c>
      <c r="G136" s="248" t="s">
        <v>219</v>
      </c>
      <c r="H136" s="248" t="s">
        <v>220</v>
      </c>
    </row>
    <row r="137" spans="1:15" x14ac:dyDescent="0.4">
      <c r="A137" s="3" t="s">
        <v>251</v>
      </c>
      <c r="B137" s="123" t="s">
        <v>252</v>
      </c>
      <c r="C137" s="118">
        <f>'GIS Heat Input'!G317</f>
        <v>504047.12234172842</v>
      </c>
      <c r="D137" s="26">
        <f>C137*'GWPs and Fuel EFs'!$B$44</f>
        <v>57861938.106067285</v>
      </c>
      <c r="E137" s="26">
        <f>C137*'GWPs and Fuel EFs'!$B$79</f>
        <v>3555.947799873542</v>
      </c>
      <c r="F137" s="26">
        <f>E137*'GWPs and Fuel EFs'!$B$7</f>
        <v>88898.694996838545</v>
      </c>
      <c r="G137" s="26">
        <f>C137*'GWPs and Fuel EFs'!$B$104</f>
        <v>700.07722310010354</v>
      </c>
      <c r="H137" s="26">
        <f>G137*'GWPs and Fuel EFs'!$C$7</f>
        <v>208623.01248383085</v>
      </c>
    </row>
    <row r="138" spans="1:15" x14ac:dyDescent="0.4">
      <c r="A138" s="3" t="s">
        <v>253</v>
      </c>
      <c r="B138" s="123" t="s">
        <v>254</v>
      </c>
      <c r="C138" s="118">
        <f>'GIS Heat Input'!G318</f>
        <v>9177.8938758477252</v>
      </c>
      <c r="D138" s="26">
        <f>C138*'GWPs and Fuel EFs'!$B$45</f>
        <v>1494063.2339655245</v>
      </c>
      <c r="E138" s="26">
        <f>C138*'GWPs and Fuel EFs'!$B$80</f>
        <v>647.48135816490776</v>
      </c>
      <c r="F138" s="26">
        <f>E138*'GWPs and Fuel EFs'!$B$7</f>
        <v>16187.033954122693</v>
      </c>
      <c r="G138" s="26">
        <f>C138*'GWPs and Fuel EFs'!$B$105</f>
        <v>84.981928259144127</v>
      </c>
      <c r="H138" s="26">
        <f>G138*'GWPs and Fuel EFs'!$C$7</f>
        <v>25324.614621224951</v>
      </c>
    </row>
    <row r="139" spans="1:15" x14ac:dyDescent="0.4">
      <c r="A139" s="3" t="s">
        <v>257</v>
      </c>
      <c r="B139" s="123" t="s">
        <v>258</v>
      </c>
      <c r="C139" s="118">
        <f>'GIS Heat Input'!G319</f>
        <v>2594322.0720057758</v>
      </c>
      <c r="D139" s="26">
        <f>C139*'GWPs and Fuel EFs'!$B$47</f>
        <v>518758751.90228462</v>
      </c>
      <c r="E139" s="26">
        <f>C139*'GWPs and Fuel EFs'!$B$82</f>
        <v>41180.408089266253</v>
      </c>
      <c r="F139" s="26">
        <f>E139*'GWPs and Fuel EFs'!$B$7</f>
        <v>1029510.2022316563</v>
      </c>
      <c r="G139" s="26">
        <f>C139*'GWPs and Fuel EFs'!$B$107</f>
        <v>20590.204044633127</v>
      </c>
      <c r="H139" s="26">
        <f>G139*'GWPs and Fuel EFs'!$C$7</f>
        <v>6135880.8053006716</v>
      </c>
      <c r="K139" s="119"/>
    </row>
    <row r="140" spans="1:15" x14ac:dyDescent="0.4">
      <c r="A140" s="3" t="s">
        <v>3975</v>
      </c>
      <c r="B140" s="123" t="s">
        <v>266</v>
      </c>
      <c r="C140" s="118">
        <f>'GIS Heat Input'!G320</f>
        <v>112416.62326021802</v>
      </c>
      <c r="D140" s="26">
        <f>C140*'GWPs and Fuel EFs'!$B$51</f>
        <v>12904832.522316974</v>
      </c>
      <c r="E140" s="26">
        <f>C140*'GWPs and Fuel EFs'!$B$86</f>
        <v>793.07593761118335</v>
      </c>
      <c r="F140" s="26">
        <f>E140*'GWPs and Fuel EFs'!$B$7</f>
        <v>19826.898440279583</v>
      </c>
      <c r="G140" s="26">
        <f>C140*'GWPs and Fuel EFs'!$B$111</f>
        <v>156.1368252172017</v>
      </c>
      <c r="H140" s="26">
        <f>G140*'GWPs and Fuel EFs'!$C$7</f>
        <v>46528.773914726109</v>
      </c>
      <c r="J140" s="4"/>
      <c r="K140" s="4"/>
      <c r="M140" s="4"/>
      <c r="N140" s="4"/>
    </row>
    <row r="141" spans="1:15" x14ac:dyDescent="0.4">
      <c r="A141" s="463" t="s">
        <v>249</v>
      </c>
      <c r="B141" s="534"/>
      <c r="C141" s="534"/>
      <c r="D141" s="535">
        <f>SUM(D137:D140)</f>
        <v>591019585.76463437</v>
      </c>
      <c r="E141" s="534"/>
      <c r="F141" s="535">
        <f>SUM(F137:F140)</f>
        <v>1154422.8296228971</v>
      </c>
      <c r="G141" s="534"/>
      <c r="H141" s="535">
        <f>SUM(H137:H140)</f>
        <v>6416357.2063204534</v>
      </c>
      <c r="J141" s="37"/>
      <c r="K141" s="37"/>
      <c r="L141" s="37"/>
      <c r="M141" s="37"/>
      <c r="N141" s="37"/>
      <c r="O141" s="37"/>
    </row>
    <row r="142" spans="1:15" x14ac:dyDescent="0.4">
      <c r="A142" s="465" t="s">
        <v>11</v>
      </c>
    </row>
    <row r="143" spans="1:15" x14ac:dyDescent="0.4">
      <c r="H143" s="47"/>
    </row>
    <row r="144" spans="1:15" x14ac:dyDescent="0.4">
      <c r="A144" s="6" t="s">
        <v>3987</v>
      </c>
      <c r="H144" s="47"/>
    </row>
    <row r="145" spans="1:15" x14ac:dyDescent="0.4">
      <c r="A145" s="248" t="s">
        <v>212</v>
      </c>
      <c r="B145" s="249" t="s">
        <v>213</v>
      </c>
      <c r="C145" s="248" t="s">
        <v>3973</v>
      </c>
      <c r="D145" s="248" t="s">
        <v>216</v>
      </c>
      <c r="E145" s="248" t="s">
        <v>217</v>
      </c>
      <c r="F145" s="248" t="s">
        <v>218</v>
      </c>
      <c r="G145" s="248" t="s">
        <v>219</v>
      </c>
      <c r="H145" s="248" t="s">
        <v>220</v>
      </c>
    </row>
    <row r="146" spans="1:15" s="24" customFormat="1" x14ac:dyDescent="0.4">
      <c r="A146" s="44" t="s">
        <v>225</v>
      </c>
      <c r="B146" s="117" t="s">
        <v>226</v>
      </c>
      <c r="C146" s="118">
        <f>'GIS Heat Input'!G325</f>
        <v>0</v>
      </c>
      <c r="D146" s="26">
        <f>C146*'GWPs and Fuel EFs'!$B$25</f>
        <v>0</v>
      </c>
      <c r="E146" s="26">
        <f>C146*'GWPs and Fuel EFs'!$B$68</f>
        <v>0</v>
      </c>
      <c r="F146" s="26">
        <f>E146*'GWPs and Fuel EFs'!$B$7</f>
        <v>0</v>
      </c>
      <c r="G146" s="26">
        <f>C146*'GWPs and Fuel EFs'!$B$93</f>
        <v>0</v>
      </c>
      <c r="H146" s="26">
        <f>G146*'GWPs and Fuel EFs'!$C$7</f>
        <v>0</v>
      </c>
      <c r="K146" s="3"/>
    </row>
    <row r="147" spans="1:15" s="24" customFormat="1" x14ac:dyDescent="0.4">
      <c r="A147" s="44" t="s">
        <v>270</v>
      </c>
      <c r="B147" s="117" t="s">
        <v>228</v>
      </c>
      <c r="C147" s="118">
        <f>'GIS Heat Input'!G326</f>
        <v>0</v>
      </c>
      <c r="D147" s="26">
        <f>C147*'GWPs and Fuel EFs'!$B$26</f>
        <v>0</v>
      </c>
      <c r="E147" s="26">
        <f>C147*'GWPs and Fuel EFs'!$B$69</f>
        <v>0</v>
      </c>
      <c r="F147" s="26">
        <f>E147*'GWPs and Fuel EFs'!$B$7</f>
        <v>0</v>
      </c>
      <c r="G147" s="26">
        <f>C147*'GWPs and Fuel EFs'!$B$94</f>
        <v>0</v>
      </c>
      <c r="H147" s="26">
        <f>G147*'GWPs and Fuel EFs'!$C$7</f>
        <v>0</v>
      </c>
      <c r="K147" s="3"/>
    </row>
    <row r="148" spans="1:15" s="24" customFormat="1" x14ac:dyDescent="0.4">
      <c r="A148" s="44" t="s">
        <v>229</v>
      </c>
      <c r="B148" s="117" t="s">
        <v>230</v>
      </c>
      <c r="C148" s="118">
        <f>'GIS Heat Input'!G327</f>
        <v>0</v>
      </c>
      <c r="D148" s="26">
        <f>C148*'GWPs and Fuel EFs'!$B$27</f>
        <v>0</v>
      </c>
      <c r="E148" s="26">
        <f>C148*'GWPs and Fuel EFs'!$B$70</f>
        <v>0</v>
      </c>
      <c r="F148" s="26">
        <f>E148*'GWPs and Fuel EFs'!$B$7</f>
        <v>0</v>
      </c>
      <c r="G148" s="26">
        <f>C148*'GWPs and Fuel EFs'!$B$95</f>
        <v>0</v>
      </c>
      <c r="H148" s="26">
        <f>G148*'GWPs and Fuel EFs'!$C$7</f>
        <v>0</v>
      </c>
      <c r="K148" s="3"/>
    </row>
    <row r="149" spans="1:15" s="24" customFormat="1" x14ac:dyDescent="0.4">
      <c r="A149" s="44" t="s">
        <v>3983</v>
      </c>
      <c r="B149" s="44" t="s">
        <v>170</v>
      </c>
      <c r="C149" s="44" t="s">
        <v>170</v>
      </c>
      <c r="D149" s="71">
        <f>GIS!G200*'State and Province Summary'!F32</f>
        <v>0</v>
      </c>
      <c r="E149" s="26"/>
      <c r="F149" s="71"/>
      <c r="G149" s="26"/>
      <c r="H149" s="71"/>
      <c r="K149" s="3"/>
    </row>
    <row r="150" spans="1:15" s="24" customFormat="1" x14ac:dyDescent="0.4">
      <c r="A150" s="44" t="s">
        <v>3988</v>
      </c>
      <c r="B150" s="44" t="s">
        <v>170</v>
      </c>
      <c r="C150" s="44" t="s">
        <v>170</v>
      </c>
      <c r="D150" s="71">
        <f>GIS!Y248*'State and Province Summary'!F34</f>
        <v>6238418.1499058083</v>
      </c>
      <c r="E150" s="26"/>
      <c r="G150" s="237"/>
      <c r="K150" s="3"/>
    </row>
    <row r="151" spans="1:15" x14ac:dyDescent="0.4">
      <c r="A151" s="463" t="s">
        <v>249</v>
      </c>
      <c r="B151" s="534"/>
      <c r="C151" s="534"/>
      <c r="D151" s="535">
        <f>SUM(D146:D150)</f>
        <v>6238418.1499058083</v>
      </c>
      <c r="E151" s="534"/>
      <c r="F151" s="535">
        <f>SUM(F146:F150)</f>
        <v>0</v>
      </c>
      <c r="G151" s="535"/>
      <c r="H151" s="535">
        <f>SUM(H146:H150)</f>
        <v>0</v>
      </c>
      <c r="J151" s="37"/>
      <c r="K151" s="37"/>
      <c r="L151" s="37"/>
      <c r="M151" s="37"/>
      <c r="N151" s="37"/>
      <c r="O151" s="37"/>
    </row>
    <row r="152" spans="1:15" x14ac:dyDescent="0.4">
      <c r="A152" s="465" t="s">
        <v>11</v>
      </c>
      <c r="D152" s="24"/>
      <c r="E152" s="24"/>
      <c r="F152" s="24"/>
      <c r="J152" s="24"/>
      <c r="K152" s="24"/>
      <c r="M152" s="24"/>
      <c r="N152" s="24"/>
    </row>
    <row r="154" spans="1:15" x14ac:dyDescent="0.4">
      <c r="A154" s="6" t="s">
        <v>3989</v>
      </c>
    </row>
    <row r="155" spans="1:15" x14ac:dyDescent="0.4">
      <c r="A155" s="248" t="s">
        <v>212</v>
      </c>
      <c r="B155" s="249" t="s">
        <v>213</v>
      </c>
      <c r="C155" s="248" t="s">
        <v>3973</v>
      </c>
      <c r="D155" s="248" t="s">
        <v>216</v>
      </c>
      <c r="E155" s="248" t="s">
        <v>217</v>
      </c>
      <c r="F155" s="248" t="s">
        <v>218</v>
      </c>
      <c r="G155" s="248" t="s">
        <v>219</v>
      </c>
      <c r="H155" s="248" t="s">
        <v>220</v>
      </c>
    </row>
    <row r="156" spans="1:15" x14ac:dyDescent="0.4">
      <c r="A156" s="44" t="s">
        <v>251</v>
      </c>
      <c r="B156" s="117" t="s">
        <v>252</v>
      </c>
      <c r="C156" s="118">
        <f>'GIS Heat Input'!G328</f>
        <v>-254697.94125373859</v>
      </c>
      <c r="D156" s="26">
        <f>C156*'GWPs and Fuel EFs'!$B$44</f>
        <v>-29237973.711860888</v>
      </c>
      <c r="E156" s="26">
        <f>C156*'GWPs and Fuel EFs'!$B$79</f>
        <v>-1796.8410961773545</v>
      </c>
      <c r="F156" s="26">
        <f>E156*'GWPs and Fuel EFs'!$B$7</f>
        <v>-44921.027404433866</v>
      </c>
      <c r="G156" s="26">
        <f>C156*'GWPs and Fuel EFs'!$B$104</f>
        <v>-353.75309080991661</v>
      </c>
      <c r="H156" s="26">
        <f>G156*'GWPs and Fuel EFs'!$C$7</f>
        <v>-105418.42106135515</v>
      </c>
    </row>
    <row r="157" spans="1:15" x14ac:dyDescent="0.4">
      <c r="A157" s="44" t="s">
        <v>253</v>
      </c>
      <c r="B157" s="117" t="s">
        <v>254</v>
      </c>
      <c r="C157" s="118">
        <f>'GIS Heat Input'!G329</f>
        <v>0</v>
      </c>
      <c r="D157" s="26">
        <f>C157*'GWPs and Fuel EFs'!$B$45</f>
        <v>0</v>
      </c>
      <c r="E157" s="26">
        <f>C157*'GWPs and Fuel EFs'!$B$80</f>
        <v>0</v>
      </c>
      <c r="F157" s="26">
        <f>E157*'GWPs and Fuel EFs'!$B$7</f>
        <v>0</v>
      </c>
      <c r="G157" s="26">
        <f>C157*'GWPs and Fuel EFs'!$B$105</f>
        <v>0</v>
      </c>
      <c r="H157" s="26">
        <f>G157*'GWPs and Fuel EFs'!$C$7</f>
        <v>0</v>
      </c>
    </row>
    <row r="158" spans="1:15" x14ac:dyDescent="0.4">
      <c r="A158" s="44" t="s">
        <v>257</v>
      </c>
      <c r="B158" s="117" t="s">
        <v>258</v>
      </c>
      <c r="C158" s="118">
        <f>'GIS Heat Input'!G330</f>
        <v>-4452809.8347150758</v>
      </c>
      <c r="D158" s="26">
        <f>C158*'GWPs and Fuel EFs'!$B$47</f>
        <v>-890380611.27433848</v>
      </c>
      <c r="E158" s="26">
        <f>C158*'GWPs and Fuel EFs'!$B$82</f>
        <v>-70680.710046033477</v>
      </c>
      <c r="F158" s="26">
        <f>E158*'GWPs and Fuel EFs'!$B$7</f>
        <v>-1767017.7511508369</v>
      </c>
      <c r="G158" s="26">
        <f>C158*'GWPs and Fuel EFs'!$B$107</f>
        <v>-35340.355023016738</v>
      </c>
      <c r="H158" s="26">
        <f>G158*'GWPs and Fuel EFs'!$C$7</f>
        <v>-10531425.796858989</v>
      </c>
    </row>
    <row r="159" spans="1:15" x14ac:dyDescent="0.4">
      <c r="A159" s="44" t="s">
        <v>3975</v>
      </c>
      <c r="B159" s="117" t="s">
        <v>266</v>
      </c>
      <c r="C159" s="118">
        <f>'GIS Heat Input'!G331</f>
        <v>-2889.1318405949401</v>
      </c>
      <c r="D159" s="26">
        <f>C159*'GWPs and Fuel EFs'!$B$51</f>
        <v>-331657.02239132329</v>
      </c>
      <c r="E159" s="26">
        <f>C159*'GWPs and Fuel EFs'!$B$86</f>
        <v>-20.382225305401086</v>
      </c>
      <c r="F159" s="26">
        <f>E159*'GWPs and Fuel EFs'!$B$7</f>
        <v>-509.55563263502717</v>
      </c>
      <c r="G159" s="26">
        <f>C159*'GWPs and Fuel EFs'!$B$111</f>
        <v>-4.0127506070008385</v>
      </c>
      <c r="H159" s="26">
        <f>G159*'GWPs and Fuel EFs'!$C$7</f>
        <v>-1195.7996808862499</v>
      </c>
      <c r="K159" s="26"/>
      <c r="M159" s="26"/>
      <c r="N159" s="26"/>
    </row>
    <row r="160" spans="1:15" x14ac:dyDescent="0.4">
      <c r="A160" s="44" t="s">
        <v>3983</v>
      </c>
      <c r="B160" s="44" t="s">
        <v>170</v>
      </c>
      <c r="C160" s="44" t="s">
        <v>170</v>
      </c>
      <c r="D160" s="26">
        <f>GIS!G200*'State and Province Summary'!F45</f>
        <v>0</v>
      </c>
      <c r="E160" s="26"/>
      <c r="F160" s="26"/>
      <c r="G160" s="26"/>
      <c r="H160" s="26"/>
    </row>
    <row r="161" spans="1:15" x14ac:dyDescent="0.4">
      <c r="A161" s="44" t="s">
        <v>3988</v>
      </c>
      <c r="B161" s="44" t="s">
        <v>170</v>
      </c>
      <c r="C161" s="44" t="s">
        <v>170</v>
      </c>
      <c r="D161" s="26">
        <f>GIS!Y248*'State and Province Summary'!F47</f>
        <v>21172452.31627059</v>
      </c>
      <c r="E161" s="26"/>
      <c r="F161" s="26"/>
      <c r="G161" s="26"/>
      <c r="H161" s="26"/>
    </row>
    <row r="162" spans="1:15" x14ac:dyDescent="0.4">
      <c r="A162" s="463" t="s">
        <v>249</v>
      </c>
      <c r="B162" s="534"/>
      <c r="C162" s="534"/>
      <c r="D162" s="535">
        <f>SUM(D156:D161)</f>
        <v>-898777789.69232011</v>
      </c>
      <c r="E162" s="534"/>
      <c r="F162" s="535">
        <f>SUM(F156:F161)</f>
        <v>-1812448.3341879058</v>
      </c>
      <c r="G162" s="534"/>
      <c r="H162" s="535">
        <f>SUM(H156:H161)</f>
        <v>-10638040.017601231</v>
      </c>
      <c r="J162" s="37"/>
      <c r="K162" s="37"/>
      <c r="L162" s="37"/>
      <c r="M162" s="37"/>
      <c r="N162" s="37"/>
      <c r="O162" s="37"/>
    </row>
    <row r="163" spans="1:15" x14ac:dyDescent="0.4">
      <c r="A163" s="465" t="s">
        <v>11</v>
      </c>
    </row>
    <row r="164" spans="1:15" x14ac:dyDescent="0.4">
      <c r="B164" s="26"/>
      <c r="F164" s="26"/>
    </row>
    <row r="165" spans="1:15" x14ac:dyDescent="0.4">
      <c r="A165" s="6" t="s">
        <v>3990</v>
      </c>
    </row>
    <row r="166" spans="1:15" x14ac:dyDescent="0.4">
      <c r="A166" s="248" t="s">
        <v>212</v>
      </c>
      <c r="B166" s="249" t="s">
        <v>213</v>
      </c>
      <c r="C166" s="248" t="s">
        <v>3973</v>
      </c>
      <c r="D166" s="248" t="s">
        <v>216</v>
      </c>
      <c r="E166" s="248" t="s">
        <v>217</v>
      </c>
      <c r="F166" s="248" t="s">
        <v>218</v>
      </c>
      <c r="G166" s="248" t="s">
        <v>219</v>
      </c>
      <c r="H166" s="248" t="s">
        <v>220</v>
      </c>
    </row>
    <row r="167" spans="1:15" x14ac:dyDescent="0.4">
      <c r="A167" s="44" t="s">
        <v>3988</v>
      </c>
      <c r="B167" s="44" t="s">
        <v>170</v>
      </c>
      <c r="C167" s="44" t="s">
        <v>170</v>
      </c>
      <c r="D167" s="237">
        <f>-(GIS!Z248*'State and Province Summary'!F34)</f>
        <v>-6238418.1499058083</v>
      </c>
      <c r="E167" s="4"/>
      <c r="F167" s="4"/>
      <c r="H167" s="412"/>
      <c r="J167" s="4"/>
      <c r="K167" s="4"/>
      <c r="M167" s="4"/>
      <c r="N167" s="4"/>
    </row>
    <row r="168" spans="1:15" x14ac:dyDescent="0.4">
      <c r="A168" s="463" t="s">
        <v>249</v>
      </c>
      <c r="B168" s="534"/>
      <c r="C168" s="534"/>
      <c r="D168" s="535">
        <f>D167</f>
        <v>-6238418.1499058083</v>
      </c>
      <c r="E168" s="539"/>
      <c r="F168" s="535" t="s">
        <v>170</v>
      </c>
      <c r="G168" s="539"/>
      <c r="H168" s="535" t="s">
        <v>170</v>
      </c>
      <c r="J168" s="37"/>
      <c r="K168" s="37"/>
      <c r="M168" s="37"/>
      <c r="N168" s="37"/>
    </row>
    <row r="169" spans="1:15" s="24" customFormat="1" x14ac:dyDescent="0.4">
      <c r="A169" s="465" t="s">
        <v>11</v>
      </c>
      <c r="B169" s="19"/>
      <c r="D169" s="19"/>
      <c r="E169" s="19"/>
      <c r="F169" s="19"/>
      <c r="G169" s="3"/>
      <c r="H169" s="37"/>
      <c r="J169" s="37"/>
      <c r="K169" s="37"/>
      <c r="M169" s="37"/>
      <c r="N169" s="37"/>
    </row>
    <row r="170" spans="1:15" x14ac:dyDescent="0.4">
      <c r="A170" s="37"/>
      <c r="D170" s="37"/>
      <c r="E170" s="37"/>
      <c r="F170" s="37"/>
      <c r="J170" s="24"/>
      <c r="K170" s="24"/>
      <c r="M170" s="24"/>
      <c r="N170" s="24"/>
    </row>
    <row r="171" spans="1:15" x14ac:dyDescent="0.4">
      <c r="A171" s="6" t="s">
        <v>3991</v>
      </c>
    </row>
    <row r="172" spans="1:15" x14ac:dyDescent="0.4">
      <c r="A172" s="248" t="s">
        <v>212</v>
      </c>
      <c r="B172" s="249" t="s">
        <v>213</v>
      </c>
      <c r="C172" s="248" t="s">
        <v>3973</v>
      </c>
      <c r="D172" s="248" t="s">
        <v>216</v>
      </c>
      <c r="E172" s="248" t="s">
        <v>217</v>
      </c>
      <c r="F172" s="248" t="s">
        <v>218</v>
      </c>
      <c r="G172" s="248" t="s">
        <v>219</v>
      </c>
      <c r="H172" s="248" t="s">
        <v>220</v>
      </c>
    </row>
    <row r="173" spans="1:15" x14ac:dyDescent="0.4">
      <c r="A173" s="44" t="s">
        <v>3992</v>
      </c>
      <c r="C173" s="26">
        <f>'GIS Heat Input'!D361</f>
        <v>-613262.06573394733</v>
      </c>
      <c r="D173" s="26">
        <f>'GWPs and Fuel EFs'!B44*C173</f>
        <v>-70399234.749006674</v>
      </c>
      <c r="E173" s="26">
        <f>C173*'GWPs and Fuel EFs'!B79</f>
        <v>-4326.4365507359589</v>
      </c>
      <c r="F173" s="26">
        <f>E173*'GWPs and Fuel EFs'!$B$7</f>
        <v>-108160.91376839897</v>
      </c>
      <c r="G173" s="26">
        <f>C173*'GWPs and Fuel EFs'!B104</f>
        <v>-851.76719592614188</v>
      </c>
      <c r="H173" s="26">
        <f>G173*'GWPs and Fuel EFs'!$C$7</f>
        <v>-253826.62438599029</v>
      </c>
    </row>
    <row r="174" spans="1:15" x14ac:dyDescent="0.4">
      <c r="A174" s="44" t="s">
        <v>287</v>
      </c>
      <c r="C174" s="26">
        <f>'GIS Heat Input'!D363</f>
        <v>-1504548.6628298033</v>
      </c>
      <c r="D174" s="26">
        <f>C174*'GWPs and Fuel EFs'!B47</f>
        <v>-300848454.75735611</v>
      </c>
      <c r="E174" s="26">
        <f>C174*'GWPs and Fuel EFs'!B82</f>
        <v>-23882.126507750429</v>
      </c>
      <c r="F174" s="26">
        <f>E174*'GWPs and Fuel EFs'!$B$7</f>
        <v>-597053.16269376071</v>
      </c>
      <c r="G174" s="26">
        <f>C174*'GWPs and Fuel EFs'!B107</f>
        <v>-11941.063253875214</v>
      </c>
      <c r="H174" s="26">
        <f>G174*'GWPs and Fuel EFs'!$C$7</f>
        <v>-3558436.8496548138</v>
      </c>
    </row>
    <row r="175" spans="1:15" x14ac:dyDescent="0.4">
      <c r="A175" s="44" t="s">
        <v>3988</v>
      </c>
      <c r="B175" s="44" t="s">
        <v>170</v>
      </c>
      <c r="C175" s="44" t="s">
        <v>170</v>
      </c>
      <c r="D175" s="26">
        <f>-(GIS!Z248*'State and Province Summary'!F47)</f>
        <v>-21172452.31627059</v>
      </c>
      <c r="E175" s="26"/>
      <c r="F175" s="26"/>
      <c r="G175" s="26"/>
      <c r="H175" s="26"/>
    </row>
    <row r="176" spans="1:15" x14ac:dyDescent="0.4">
      <c r="A176" s="463" t="s">
        <v>249</v>
      </c>
      <c r="B176" s="534"/>
      <c r="C176" s="534"/>
      <c r="D176" s="535">
        <f>SUM(D173:D175)</f>
        <v>-392420141.82263339</v>
      </c>
      <c r="E176" s="539"/>
      <c r="F176" s="535">
        <f>SUM(F173:F175)</f>
        <v>-705214.07646215963</v>
      </c>
      <c r="G176" s="539"/>
      <c r="H176" s="535">
        <f>SUM(H173:H175)</f>
        <v>-3812263.474040804</v>
      </c>
      <c r="J176" s="37"/>
      <c r="K176" s="37"/>
      <c r="M176" s="37"/>
      <c r="N176" s="37"/>
    </row>
    <row r="177" spans="1:14" x14ac:dyDescent="0.4">
      <c r="A177" s="465" t="s">
        <v>11</v>
      </c>
      <c r="B177" s="237"/>
    </row>
    <row r="178" spans="1:14" x14ac:dyDescent="0.4">
      <c r="B178" s="237"/>
    </row>
    <row r="179" spans="1:14" x14ac:dyDescent="0.4">
      <c r="A179" s="6" t="s">
        <v>3993</v>
      </c>
    </row>
    <row r="180" spans="1:14" x14ac:dyDescent="0.4">
      <c r="A180" s="248" t="s">
        <v>212</v>
      </c>
      <c r="B180" s="249" t="s">
        <v>213</v>
      </c>
      <c r="C180" s="248" t="s">
        <v>3973</v>
      </c>
      <c r="D180" s="248" t="s">
        <v>216</v>
      </c>
      <c r="E180" s="248" t="s">
        <v>217</v>
      </c>
      <c r="F180" s="248" t="s">
        <v>218</v>
      </c>
      <c r="G180" s="248" t="s">
        <v>219</v>
      </c>
      <c r="H180" s="248" t="s">
        <v>220</v>
      </c>
    </row>
    <row r="181" spans="1:14" x14ac:dyDescent="0.4">
      <c r="A181" s="44" t="s">
        <v>3979</v>
      </c>
      <c r="B181" s="44" t="s">
        <v>170</v>
      </c>
      <c r="C181" s="44" t="s">
        <v>170</v>
      </c>
      <c r="D181" s="237">
        <f>-(GIS!Z224*'State and Province Summary'!F33)</f>
        <v>0</v>
      </c>
    </row>
    <row r="182" spans="1:14" x14ac:dyDescent="0.4">
      <c r="A182" s="463" t="s">
        <v>249</v>
      </c>
      <c r="B182" s="534"/>
      <c r="C182" s="534"/>
      <c r="D182" s="535">
        <f>D181</f>
        <v>0</v>
      </c>
      <c r="E182" s="539"/>
      <c r="F182" s="535" t="s">
        <v>170</v>
      </c>
      <c r="G182" s="539"/>
      <c r="H182" s="535" t="s">
        <v>170</v>
      </c>
      <c r="J182" s="37"/>
      <c r="K182" s="37"/>
      <c r="M182" s="37"/>
      <c r="N182" s="37"/>
    </row>
    <row r="183" spans="1:14" x14ac:dyDescent="0.4">
      <c r="A183" s="465" t="s">
        <v>11</v>
      </c>
      <c r="B183" s="237"/>
    </row>
    <row r="184" spans="1:14" x14ac:dyDescent="0.4">
      <c r="B184" s="237"/>
    </row>
    <row r="185" spans="1:14" x14ac:dyDescent="0.4">
      <c r="A185" s="6" t="s">
        <v>4546</v>
      </c>
    </row>
    <row r="186" spans="1:14" x14ac:dyDescent="0.4">
      <c r="A186" s="248" t="s">
        <v>212</v>
      </c>
      <c r="B186" s="249" t="s">
        <v>213</v>
      </c>
      <c r="C186" s="248" t="s">
        <v>3973</v>
      </c>
      <c r="D186" s="248" t="s">
        <v>216</v>
      </c>
      <c r="E186" s="248" t="s">
        <v>217</v>
      </c>
      <c r="F186" s="248" t="s">
        <v>218</v>
      </c>
      <c r="G186" s="248" t="s">
        <v>219</v>
      </c>
      <c r="H186" s="248" t="s">
        <v>220</v>
      </c>
    </row>
    <row r="187" spans="1:14" x14ac:dyDescent="0.4">
      <c r="A187" s="44" t="s">
        <v>3979</v>
      </c>
      <c r="B187" s="44" t="s">
        <v>170</v>
      </c>
      <c r="C187" s="44" t="s">
        <v>170</v>
      </c>
      <c r="D187" s="26">
        <f>-(GIS!Z224*'State and Province Summary'!F46)</f>
        <v>0</v>
      </c>
    </row>
    <row r="188" spans="1:14" x14ac:dyDescent="0.4">
      <c r="A188" s="463" t="s">
        <v>249</v>
      </c>
      <c r="B188" s="534"/>
      <c r="C188" s="534"/>
      <c r="D188" s="535">
        <f>SUM(D187:D187)</f>
        <v>0</v>
      </c>
      <c r="E188" s="539"/>
      <c r="F188" s="535" t="s">
        <v>170</v>
      </c>
      <c r="G188" s="539"/>
      <c r="H188" s="535" t="s">
        <v>170</v>
      </c>
      <c r="J188" s="37"/>
      <c r="K188" s="37"/>
      <c r="M188" s="37"/>
      <c r="N188" s="37"/>
    </row>
    <row r="189" spans="1:14" x14ac:dyDescent="0.4">
      <c r="A189" s="465" t="s">
        <v>11</v>
      </c>
      <c r="B189" s="237"/>
    </row>
    <row r="190" spans="1:14" x14ac:dyDescent="0.4">
      <c r="A190" s="459"/>
      <c r="B190" s="237"/>
    </row>
    <row r="191" spans="1:14" x14ac:dyDescent="0.4">
      <c r="A191" s="3" t="s">
        <v>4481</v>
      </c>
      <c r="B191" s="237"/>
    </row>
    <row r="192" spans="1:14" x14ac:dyDescent="0.4">
      <c r="A192" s="3" t="s">
        <v>4567</v>
      </c>
      <c r="B192" s="237"/>
    </row>
    <row r="193" spans="1:14" x14ac:dyDescent="0.4">
      <c r="A193" s="3" t="s">
        <v>4501</v>
      </c>
      <c r="B193" s="237"/>
    </row>
    <row r="194" spans="1:14" x14ac:dyDescent="0.4">
      <c r="A194" s="3" t="s">
        <v>4502</v>
      </c>
      <c r="B194" s="237"/>
    </row>
    <row r="195" spans="1:14" x14ac:dyDescent="0.4">
      <c r="A195" s="3" t="s">
        <v>4503</v>
      </c>
      <c r="B195" s="237"/>
    </row>
    <row r="196" spans="1:14" x14ac:dyDescent="0.4">
      <c r="A196" s="238" t="s">
        <v>3994</v>
      </c>
      <c r="B196" s="239"/>
      <c r="C196" s="240"/>
      <c r="D196" s="240"/>
      <c r="E196" s="240"/>
      <c r="F196" s="240"/>
      <c r="G196" s="240"/>
    </row>
    <row r="197" spans="1:14" x14ac:dyDescent="0.4">
      <c r="A197" s="104" t="s">
        <v>202</v>
      </c>
      <c r="B197" s="216" t="s">
        <v>33</v>
      </c>
      <c r="C197" s="413" t="s">
        <v>37</v>
      </c>
      <c r="D197" s="413" t="s">
        <v>34</v>
      </c>
      <c r="E197" s="413" t="s">
        <v>35</v>
      </c>
      <c r="F197" s="413" t="s">
        <v>38</v>
      </c>
      <c r="G197" s="413" t="s">
        <v>36</v>
      </c>
    </row>
    <row r="198" spans="1:14" x14ac:dyDescent="0.4">
      <c r="A198" s="200" t="s">
        <v>203</v>
      </c>
      <c r="B198" s="79">
        <f t="shared" ref="B198:G198" si="1">SUM(B199:B203)</f>
        <v>276209419.77027482</v>
      </c>
      <c r="C198" s="79">
        <f t="shared" si="1"/>
        <v>28776357.177111909</v>
      </c>
      <c r="D198" s="79">
        <f t="shared" si="1"/>
        <v>16698978.204675283</v>
      </c>
      <c r="E198" s="79">
        <f t="shared" si="1"/>
        <v>223524166.37947938</v>
      </c>
      <c r="F198" s="79">
        <f t="shared" si="1"/>
        <v>9068.5692471534367</v>
      </c>
      <c r="G198" s="79">
        <f t="shared" si="1"/>
        <v>12450488.351789137</v>
      </c>
    </row>
    <row r="199" spans="1:14" x14ac:dyDescent="0.4">
      <c r="A199" s="459" t="s">
        <v>3970</v>
      </c>
      <c r="B199" s="237">
        <f>D214</f>
        <v>271941063.63267684</v>
      </c>
      <c r="C199" s="237">
        <f>D231</f>
        <v>25421763.800000001</v>
      </c>
      <c r="D199" s="237">
        <f>D249</f>
        <v>0</v>
      </c>
      <c r="E199" s="237">
        <f>D266</f>
        <v>204560240.77996519</v>
      </c>
      <c r="F199" s="237">
        <f>D283</f>
        <v>0</v>
      </c>
      <c r="G199" s="237">
        <f>D300</f>
        <v>0</v>
      </c>
    </row>
    <row r="200" spans="1:14" x14ac:dyDescent="0.4">
      <c r="A200" s="459" t="s">
        <v>206</v>
      </c>
      <c r="B200" s="237">
        <f>F214</f>
        <v>206872.04602831998</v>
      </c>
      <c r="C200" s="237">
        <f>F231</f>
        <v>0</v>
      </c>
      <c r="D200" s="237">
        <f>F249</f>
        <v>0</v>
      </c>
      <c r="E200" s="237">
        <f>F266</f>
        <v>1804279.9627780835</v>
      </c>
      <c r="F200" s="237">
        <f>F283</f>
        <v>0</v>
      </c>
      <c r="G200" s="237">
        <f>F300</f>
        <v>0</v>
      </c>
    </row>
    <row r="201" spans="1:14" x14ac:dyDescent="0.4">
      <c r="A201" s="459" t="s">
        <v>207</v>
      </c>
      <c r="B201" s="237">
        <f>H214</f>
        <v>277440.458236554</v>
      </c>
      <c r="C201" s="237">
        <f>H231</f>
        <v>0</v>
      </c>
      <c r="D201" s="237">
        <f>H249</f>
        <v>0</v>
      </c>
      <c r="E201" s="237">
        <f>H266</f>
        <v>2822796.001766311</v>
      </c>
      <c r="F201" s="237">
        <f>H283</f>
        <v>0</v>
      </c>
      <c r="G201" s="237">
        <f>H300</f>
        <v>0</v>
      </c>
    </row>
    <row r="202" spans="1:14" x14ac:dyDescent="0.4">
      <c r="A202" s="459" t="s">
        <v>208</v>
      </c>
      <c r="B202" s="237">
        <f>F223</f>
        <v>637995.21188204898</v>
      </c>
      <c r="C202" s="237">
        <f>F241</f>
        <v>483443.8704801795</v>
      </c>
      <c r="D202" s="237">
        <f>F258</f>
        <v>2431991.4208727572</v>
      </c>
      <c r="E202" s="237">
        <f>F275</f>
        <v>3096329.585089941</v>
      </c>
      <c r="F202" s="237">
        <f>F292</f>
        <v>2709.6643750365088</v>
      </c>
      <c r="G202" s="237">
        <f>F309</f>
        <v>1812448.3341879058</v>
      </c>
      <c r="K202" s="4"/>
      <c r="M202" s="4"/>
      <c r="N202" s="4"/>
    </row>
    <row r="203" spans="1:14" x14ac:dyDescent="0.4">
      <c r="A203" s="459" t="s">
        <v>209</v>
      </c>
      <c r="B203" s="237">
        <f>H223</f>
        <v>3146048.4214510107</v>
      </c>
      <c r="C203" s="237">
        <f>H241</f>
        <v>2871149.5066317269</v>
      </c>
      <c r="D203" s="237">
        <f>H258</f>
        <v>14266986.783802526</v>
      </c>
      <c r="E203" s="237">
        <f>H275</f>
        <v>11240520.04987983</v>
      </c>
      <c r="F203" s="237">
        <f>H292</f>
        <v>6358.9048721169274</v>
      </c>
      <c r="G203" s="237">
        <f>H309</f>
        <v>10638040.017601231</v>
      </c>
      <c r="K203" s="4"/>
      <c r="M203" s="4"/>
      <c r="N203" s="4"/>
    </row>
    <row r="204" spans="1:14" s="24" customFormat="1" x14ac:dyDescent="0.4">
      <c r="A204" s="104" t="s">
        <v>50</v>
      </c>
      <c r="B204" s="79">
        <f>D223</f>
        <v>308177289.46288329</v>
      </c>
      <c r="C204" s="79">
        <f>D241</f>
        <v>244015950.31584761</v>
      </c>
      <c r="D204" s="79">
        <f>D258</f>
        <v>1234715505.4105997</v>
      </c>
      <c r="E204" s="79">
        <f>D275</f>
        <v>982108739.05013931</v>
      </c>
      <c r="F204" s="79">
        <f>D292</f>
        <v>1763652.8001018877</v>
      </c>
      <c r="G204" s="79">
        <f>D309</f>
        <v>919950242.0085907</v>
      </c>
      <c r="H204" s="3"/>
      <c r="I204" s="3"/>
      <c r="J204" s="3"/>
      <c r="K204" s="37"/>
      <c r="L204" s="3"/>
      <c r="M204" s="37"/>
      <c r="N204" s="37"/>
    </row>
    <row r="205" spans="1:14" x14ac:dyDescent="0.4">
      <c r="A205" s="459" t="s">
        <v>11</v>
      </c>
      <c r="B205" s="226"/>
      <c r="C205" s="226"/>
      <c r="D205" s="226"/>
      <c r="E205" s="226"/>
      <c r="F205" s="226"/>
      <c r="G205" s="538"/>
      <c r="K205" s="37"/>
      <c r="M205" s="37"/>
      <c r="N205" s="37"/>
    </row>
    <row r="206" spans="1:14" x14ac:dyDescent="0.4">
      <c r="K206" s="37"/>
      <c r="M206" s="37"/>
      <c r="N206" s="37"/>
    </row>
    <row r="207" spans="1:14" x14ac:dyDescent="0.4">
      <c r="K207" s="37"/>
      <c r="M207" s="37"/>
      <c r="N207" s="37"/>
    </row>
    <row r="208" spans="1:14" x14ac:dyDescent="0.4">
      <c r="A208" s="4" t="s">
        <v>3994</v>
      </c>
      <c r="J208" s="37"/>
      <c r="K208" s="37"/>
      <c r="M208" s="37"/>
      <c r="N208" s="37"/>
    </row>
    <row r="209" spans="1:14" x14ac:dyDescent="0.4">
      <c r="A209" s="43" t="s">
        <v>3995</v>
      </c>
      <c r="J209" s="37"/>
      <c r="K209" s="37"/>
      <c r="M209" s="37"/>
      <c r="N209" s="37"/>
    </row>
    <row r="210" spans="1:14" x14ac:dyDescent="0.4">
      <c r="A210" s="241" t="s">
        <v>212</v>
      </c>
      <c r="B210" s="242" t="s">
        <v>213</v>
      </c>
      <c r="C210" s="248" t="s">
        <v>3973</v>
      </c>
      <c r="D210" s="241" t="s">
        <v>216</v>
      </c>
      <c r="E210" s="241" t="s">
        <v>217</v>
      </c>
      <c r="F210" s="241" t="s">
        <v>218</v>
      </c>
      <c r="G210" s="241" t="s">
        <v>219</v>
      </c>
      <c r="H210" s="241" t="s">
        <v>220</v>
      </c>
      <c r="K210" s="37"/>
      <c r="M210" s="37"/>
      <c r="N210" s="37"/>
    </row>
    <row r="211" spans="1:14" x14ac:dyDescent="0.4">
      <c r="A211" s="44" t="s">
        <v>3996</v>
      </c>
      <c r="B211" s="117" t="s">
        <v>226</v>
      </c>
      <c r="C211" s="118">
        <f>'GIS Heat Input'!E270</f>
        <v>0</v>
      </c>
      <c r="D211" s="26">
        <f>C211*'GWPs and Fuel EFs'!$B$25</f>
        <v>0</v>
      </c>
      <c r="E211" s="26">
        <f>C211*'GWPs and Fuel EFs'!$B$68</f>
        <v>0</v>
      </c>
      <c r="F211" s="26">
        <f>E211*'GWPs and Fuel EFs'!$B$7</f>
        <v>0</v>
      </c>
      <c r="G211" s="26">
        <f>C211*'GWPs and Fuel EFs'!$B$93</f>
        <v>0</v>
      </c>
      <c r="H211" s="26">
        <f>G211*'GWPs and Fuel EFs'!$C$7</f>
        <v>0</v>
      </c>
      <c r="K211" s="37"/>
      <c r="M211" s="37"/>
      <c r="N211" s="37"/>
    </row>
    <row r="212" spans="1:14" x14ac:dyDescent="0.4">
      <c r="A212" s="44" t="s">
        <v>270</v>
      </c>
      <c r="B212" s="117" t="s">
        <v>228</v>
      </c>
      <c r="C212" s="118">
        <f>'GIS Heat Input'!E271</f>
        <v>2250834.0956091867</v>
      </c>
      <c r="D212" s="26">
        <f>C212*'GWPs and Fuel EFs'!$B$26</f>
        <v>262551793.73693439</v>
      </c>
      <c r="E212" s="26">
        <f>C212*'GWPs and Fuel EFs'!$B$69</f>
        <v>4962.2397610472553</v>
      </c>
      <c r="F212" s="26">
        <f>E212*'GWPs and Fuel EFs'!$B$7</f>
        <v>124055.99402618139</v>
      </c>
      <c r="G212" s="26">
        <f>C212*'GWPs and Fuel EFs'!$B$94</f>
        <v>496.22397610472558</v>
      </c>
      <c r="H212" s="26">
        <f>G212*'GWPs and Fuel EFs'!$C$7</f>
        <v>147874.74487920821</v>
      </c>
      <c r="K212" s="37"/>
      <c r="M212" s="37"/>
      <c r="N212" s="37"/>
    </row>
    <row r="213" spans="1:14" x14ac:dyDescent="0.4">
      <c r="A213" s="44" t="s">
        <v>229</v>
      </c>
      <c r="B213" s="117" t="s">
        <v>230</v>
      </c>
      <c r="C213" s="118">
        <f>'GIS Heat Input'!E272</f>
        <v>46955.911666493397</v>
      </c>
      <c r="D213" s="26">
        <f>C213*'GWPs and Fuel EFs'!$B$27</f>
        <v>9389269.8957424629</v>
      </c>
      <c r="E213" s="26">
        <f>C213*'GWPs and Fuel EFs'!$B$70</f>
        <v>3312.6420800855435</v>
      </c>
      <c r="F213" s="26">
        <f>E213*'GWPs and Fuel EFs'!$B$7</f>
        <v>82816.052002138589</v>
      </c>
      <c r="G213" s="26">
        <f>C213*'GWPs and Fuel EFs'!$B$95</f>
        <v>434.78427301122753</v>
      </c>
      <c r="H213" s="26">
        <f>G213*'GWPs and Fuel EFs'!$C$7</f>
        <v>129565.7133573458</v>
      </c>
      <c r="K213" s="37"/>
      <c r="M213" s="37"/>
      <c r="N213" s="37"/>
    </row>
    <row r="214" spans="1:14" x14ac:dyDescent="0.4">
      <c r="A214" s="463" t="s">
        <v>249</v>
      </c>
      <c r="B214" s="534"/>
      <c r="C214" s="534"/>
      <c r="D214" s="535">
        <f>SUM(D211:D213)</f>
        <v>271941063.63267684</v>
      </c>
      <c r="E214" s="539"/>
      <c r="F214" s="535">
        <f>SUM(F211:F213)</f>
        <v>206872.04602831998</v>
      </c>
      <c r="G214" s="539"/>
      <c r="H214" s="535">
        <f>SUM(H211:H213)</f>
        <v>277440.458236554</v>
      </c>
      <c r="J214" s="37"/>
      <c r="K214" s="37"/>
      <c r="M214" s="37"/>
      <c r="N214" s="37"/>
    </row>
    <row r="215" spans="1:14" x14ac:dyDescent="0.4">
      <c r="A215" s="465" t="s">
        <v>11</v>
      </c>
      <c r="J215" s="37"/>
      <c r="K215" s="37"/>
      <c r="M215" s="37"/>
      <c r="N215" s="37"/>
    </row>
    <row r="216" spans="1:14" x14ac:dyDescent="0.4">
      <c r="J216" s="37"/>
      <c r="K216" s="37"/>
      <c r="M216" s="37"/>
      <c r="N216" s="37"/>
    </row>
    <row r="217" spans="1:14" x14ac:dyDescent="0.4">
      <c r="A217" s="43" t="s">
        <v>3997</v>
      </c>
      <c r="J217" s="37"/>
      <c r="K217" s="37"/>
      <c r="M217" s="37"/>
      <c r="N217" s="37"/>
    </row>
    <row r="218" spans="1:14" x14ac:dyDescent="0.4">
      <c r="A218" s="243" t="s">
        <v>212</v>
      </c>
      <c r="B218" s="244" t="s">
        <v>213</v>
      </c>
      <c r="C218" s="248" t="s">
        <v>3973</v>
      </c>
      <c r="D218" s="243" t="s">
        <v>216</v>
      </c>
      <c r="E218" s="243" t="s">
        <v>217</v>
      </c>
      <c r="F218" s="243" t="s">
        <v>218</v>
      </c>
      <c r="G218" s="243" t="s">
        <v>219</v>
      </c>
      <c r="H218" s="243" t="s">
        <v>220</v>
      </c>
      <c r="K218" s="37"/>
      <c r="M218" s="37"/>
      <c r="N218" s="37"/>
    </row>
    <row r="219" spans="1:14" x14ac:dyDescent="0.4">
      <c r="A219" s="44" t="s">
        <v>251</v>
      </c>
      <c r="B219" s="117" t="s">
        <v>252</v>
      </c>
      <c r="C219" s="118">
        <f>'GIS Heat Input'!E273</f>
        <v>562676.08797897364</v>
      </c>
      <c r="D219" s="26">
        <f>C219*'GWPs and Fuel EFs'!$B$44</f>
        <v>64592232.617351286</v>
      </c>
      <c r="E219" s="26">
        <f>C219*'GWPs and Fuel EFs'!$B$79</f>
        <v>3969.5629801329774</v>
      </c>
      <c r="F219" s="26">
        <f>E219*'GWPs and Fuel EFs'!$B$7</f>
        <v>99239.074503324431</v>
      </c>
      <c r="G219" s="26">
        <f>C219*'GWPs and Fuel EFs'!$B$104</f>
        <v>781.50771171367978</v>
      </c>
      <c r="H219" s="26">
        <f>G219*'GWPs and Fuel EFs'!$C$7</f>
        <v>232889.29809067657</v>
      </c>
      <c r="K219" s="37"/>
      <c r="M219" s="37"/>
      <c r="N219" s="37"/>
    </row>
    <row r="220" spans="1:14" x14ac:dyDescent="0.4">
      <c r="A220" s="44" t="s">
        <v>253</v>
      </c>
      <c r="B220" s="117" t="s">
        <v>254</v>
      </c>
      <c r="C220" s="118">
        <f>'GIS Heat Input'!E274</f>
        <v>38417.774276786375</v>
      </c>
      <c r="D220" s="26">
        <f>C220*'GWPs and Fuel EFs'!$B$45</f>
        <v>6254003.8982997406</v>
      </c>
      <c r="E220" s="26">
        <f>C220*'GWPs and Fuel EFs'!$B$80</f>
        <v>2710.294213781036</v>
      </c>
      <c r="F220" s="26">
        <f>E220*'GWPs and Fuel EFs'!$B$7</f>
        <v>67757.355344525902</v>
      </c>
      <c r="G220" s="26">
        <f>C220*'GWPs and Fuel EFs'!$B$105</f>
        <v>355.72611555876097</v>
      </c>
      <c r="H220" s="26">
        <f>G220*'GWPs and Fuel EFs'!$C$7</f>
        <v>106006.38243651077</v>
      </c>
      <c r="K220" s="37"/>
      <c r="M220" s="37"/>
      <c r="N220" s="37"/>
    </row>
    <row r="221" spans="1:14" x14ac:dyDescent="0.4">
      <c r="A221" s="44" t="s">
        <v>257</v>
      </c>
      <c r="B221" s="117" t="s">
        <v>258</v>
      </c>
      <c r="C221" s="118">
        <f>'GIS Heat Input'!E275</f>
        <v>1186896.9666064626</v>
      </c>
      <c r="D221" s="26">
        <f>C221*'GWPs and Fuel EFs'!$B$47</f>
        <v>237331052.94723228</v>
      </c>
      <c r="E221" s="26">
        <f>C221*'GWPs and Fuel EFs'!$B$82</f>
        <v>18839.951281367943</v>
      </c>
      <c r="F221" s="26">
        <f>E221*'GWPs and Fuel EFs'!$B$7</f>
        <v>470998.78203419858</v>
      </c>
      <c r="G221" s="26">
        <f>C221*'GWPs and Fuel EFs'!$B$107</f>
        <v>9419.9756406839715</v>
      </c>
      <c r="H221" s="26">
        <f>G221*'GWPs and Fuel EFs'!$C$7</f>
        <v>2807152.7409238233</v>
      </c>
      <c r="K221" s="37"/>
      <c r="M221" s="37"/>
      <c r="N221" s="37"/>
    </row>
    <row r="222" spans="1:14" x14ac:dyDescent="0.4">
      <c r="A222" s="44" t="s">
        <v>3975</v>
      </c>
      <c r="B222" s="117" t="s">
        <v>266</v>
      </c>
      <c r="C222" s="118">
        <f>'GIS Heat Input'!E276</f>
        <v>0</v>
      </c>
      <c r="D222" s="26">
        <f>C222*'GWPs and Fuel EFs'!$B$51</f>
        <v>0</v>
      </c>
      <c r="E222" s="26">
        <f>C222*'GWPs and Fuel EFs'!$B$86</f>
        <v>0</v>
      </c>
      <c r="F222" s="26">
        <f>E222*'GWPs and Fuel EFs'!$B$7</f>
        <v>0</v>
      </c>
      <c r="G222" s="26">
        <f>C222*'GWPs and Fuel EFs'!$B$111</f>
        <v>0</v>
      </c>
      <c r="H222" s="26">
        <f>G222*'GWPs and Fuel EFs'!$C$7</f>
        <v>0</v>
      </c>
      <c r="K222" s="37"/>
      <c r="M222" s="37"/>
      <c r="N222" s="37"/>
    </row>
    <row r="223" spans="1:14" x14ac:dyDescent="0.4">
      <c r="A223" s="463" t="s">
        <v>249</v>
      </c>
      <c r="B223" s="534"/>
      <c r="C223" s="534"/>
      <c r="D223" s="535">
        <f>SUM(D219:D222)</f>
        <v>308177289.46288329</v>
      </c>
      <c r="E223" s="539"/>
      <c r="F223" s="535">
        <f>SUM(F219:F222)</f>
        <v>637995.21188204898</v>
      </c>
      <c r="G223" s="539"/>
      <c r="H223" s="535">
        <f>SUM(H219:H222)</f>
        <v>3146048.4214510107</v>
      </c>
      <c r="K223" s="412"/>
      <c r="M223" s="412"/>
      <c r="N223" s="412"/>
    </row>
    <row r="224" spans="1:14" x14ac:dyDescent="0.4">
      <c r="A224" s="465" t="s">
        <v>11</v>
      </c>
      <c r="B224" s="412"/>
      <c r="D224" s="412"/>
      <c r="E224" s="412"/>
      <c r="F224" s="412"/>
      <c r="G224" s="24"/>
      <c r="H224" s="412"/>
      <c r="I224" s="412"/>
      <c r="J224" s="412"/>
      <c r="K224" s="412"/>
      <c r="M224" s="412"/>
      <c r="N224" s="412"/>
    </row>
    <row r="225" spans="1:14" x14ac:dyDescent="0.4">
      <c r="A225" s="4"/>
      <c r="B225" s="19"/>
      <c r="C225" s="24"/>
      <c r="D225" s="19"/>
      <c r="E225" s="19"/>
      <c r="F225" s="19"/>
      <c r="H225" s="37"/>
      <c r="I225" s="24"/>
      <c r="J225" s="37"/>
      <c r="K225" s="37"/>
      <c r="L225" s="24"/>
      <c r="M225" s="37"/>
      <c r="N225" s="37"/>
    </row>
    <row r="226" spans="1:14" x14ac:dyDescent="0.4">
      <c r="A226" s="43" t="s">
        <v>3998</v>
      </c>
      <c r="D226" s="4"/>
      <c r="F226" s="4"/>
      <c r="G226" s="26"/>
    </row>
    <row r="227" spans="1:14" x14ac:dyDescent="0.4">
      <c r="A227" s="243" t="s">
        <v>212</v>
      </c>
      <c r="B227" s="244" t="s">
        <v>213</v>
      </c>
      <c r="C227" s="248" t="s">
        <v>3973</v>
      </c>
      <c r="D227" s="243" t="s">
        <v>216</v>
      </c>
      <c r="E227" s="243" t="s">
        <v>217</v>
      </c>
      <c r="F227" s="243" t="s">
        <v>218</v>
      </c>
      <c r="G227" s="243" t="s">
        <v>219</v>
      </c>
      <c r="H227" s="243" t="s">
        <v>220</v>
      </c>
      <c r="K227" s="37"/>
      <c r="M227" s="37"/>
      <c r="N227" s="37"/>
    </row>
    <row r="228" spans="1:14" x14ac:dyDescent="0.4">
      <c r="A228" s="44" t="s">
        <v>3996</v>
      </c>
      <c r="B228" s="117" t="s">
        <v>226</v>
      </c>
      <c r="C228" s="118">
        <f>'GIS Heat Input'!E281</f>
        <v>0</v>
      </c>
      <c r="D228" s="26">
        <f>C228*'GWPs and Fuel EFs'!$B$25</f>
        <v>0</v>
      </c>
      <c r="E228" s="26">
        <f>C228*'GWPs and Fuel EFs'!$B$68</f>
        <v>0</v>
      </c>
      <c r="F228" s="26">
        <f>E228*'GWPs and Fuel EFs'!$B$7</f>
        <v>0</v>
      </c>
      <c r="G228" s="26">
        <f>C228*'GWPs and Fuel EFs'!$B$93</f>
        <v>0</v>
      </c>
      <c r="H228" s="26">
        <f>G228*'GWPs and Fuel EFs'!$C$7</f>
        <v>0</v>
      </c>
    </row>
    <row r="229" spans="1:14" x14ac:dyDescent="0.4">
      <c r="A229" s="44" t="s">
        <v>270</v>
      </c>
      <c r="B229" s="117" t="s">
        <v>228</v>
      </c>
      <c r="C229" s="118">
        <f>'GIS Heat Input'!E282</f>
        <v>0</v>
      </c>
      <c r="D229" s="26">
        <f>C229*'GWPs and Fuel EFs'!$B$26</f>
        <v>0</v>
      </c>
      <c r="E229" s="26">
        <f>C229*'GWPs and Fuel EFs'!$B$69</f>
        <v>0</v>
      </c>
      <c r="F229" s="26">
        <f>E229*'GWPs and Fuel EFs'!$B$7</f>
        <v>0</v>
      </c>
      <c r="G229" s="26">
        <f>C229*'GWPs and Fuel EFs'!$B$94</f>
        <v>0</v>
      </c>
      <c r="H229" s="26">
        <f>G229*'GWPs and Fuel EFs'!$C$7</f>
        <v>0</v>
      </c>
    </row>
    <row r="230" spans="1:14" x14ac:dyDescent="0.4">
      <c r="A230" s="44" t="s">
        <v>229</v>
      </c>
      <c r="B230" s="117" t="s">
        <v>230</v>
      </c>
      <c r="C230" s="118">
        <f>'GIS Heat Input'!E283</f>
        <v>0</v>
      </c>
      <c r="D230" s="26">
        <f>C230*'GWPs and Fuel EFs'!$B$27</f>
        <v>0</v>
      </c>
      <c r="E230" s="26">
        <f>C230*'GWPs and Fuel EFs'!$B$70</f>
        <v>0</v>
      </c>
      <c r="F230" s="26">
        <f>E230*'GWPs and Fuel EFs'!$B$7</f>
        <v>0</v>
      </c>
      <c r="G230" s="26">
        <f>C230*'GWPs and Fuel EFs'!$B$95</f>
        <v>0</v>
      </c>
      <c r="H230" s="26">
        <f>G230*'GWPs and Fuel EFs'!$C$7</f>
        <v>0</v>
      </c>
    </row>
    <row r="231" spans="1:14" x14ac:dyDescent="0.4">
      <c r="A231" s="44" t="s">
        <v>247</v>
      </c>
      <c r="B231" s="47" t="s">
        <v>248</v>
      </c>
      <c r="C231" s="26" t="s">
        <v>4489</v>
      </c>
      <c r="D231" s="26">
        <f>(GIS!J49)*'GWPs and Fuel EFs'!$B$56</f>
        <v>25421763.800000001</v>
      </c>
      <c r="E231" s="26"/>
      <c r="F231" s="71"/>
      <c r="G231" s="26"/>
      <c r="H231" s="71"/>
    </row>
    <row r="232" spans="1:14" x14ac:dyDescent="0.4">
      <c r="A232" s="463" t="s">
        <v>249</v>
      </c>
      <c r="B232" s="534"/>
      <c r="C232" s="534"/>
      <c r="D232" s="535">
        <f>SUM(D228:D231)</f>
        <v>25421763.800000001</v>
      </c>
      <c r="E232" s="539"/>
      <c r="F232" s="535">
        <f>SUM(F228:F231)</f>
        <v>0</v>
      </c>
      <c r="G232" s="539"/>
      <c r="H232" s="535">
        <f>SUM(H228:H231)</f>
        <v>0</v>
      </c>
    </row>
    <row r="233" spans="1:14" x14ac:dyDescent="0.4">
      <c r="A233" s="536" t="s">
        <v>11</v>
      </c>
      <c r="D233" s="4"/>
      <c r="F233" s="26"/>
      <c r="H233" s="71"/>
      <c r="J233" s="26"/>
      <c r="K233" s="71"/>
      <c r="M233" s="26"/>
      <c r="N233" s="71"/>
    </row>
    <row r="235" spans="1:14" x14ac:dyDescent="0.4">
      <c r="A235" s="43" t="s">
        <v>3999</v>
      </c>
      <c r="D235" s="4"/>
      <c r="F235" s="4"/>
      <c r="G235" s="26"/>
    </row>
    <row r="236" spans="1:14" x14ac:dyDescent="0.4">
      <c r="A236" s="243" t="s">
        <v>212</v>
      </c>
      <c r="B236" s="244" t="s">
        <v>213</v>
      </c>
      <c r="C236" s="248" t="s">
        <v>3973</v>
      </c>
      <c r="D236" s="243" t="s">
        <v>216</v>
      </c>
      <c r="E236" s="243" t="s">
        <v>217</v>
      </c>
      <c r="F236" s="243" t="s">
        <v>218</v>
      </c>
      <c r="G236" s="243" t="s">
        <v>219</v>
      </c>
      <c r="H236" s="243" t="s">
        <v>220</v>
      </c>
      <c r="K236" s="37"/>
      <c r="M236" s="37"/>
      <c r="N236" s="37"/>
    </row>
    <row r="237" spans="1:14" x14ac:dyDescent="0.4">
      <c r="A237" s="44" t="s">
        <v>251</v>
      </c>
      <c r="B237" s="117" t="s">
        <v>252</v>
      </c>
      <c r="C237" s="118">
        <f>'GIS Heat Input'!E284</f>
        <v>15968.098201058201</v>
      </c>
      <c r="D237" s="26">
        <f>C237*'GWPs and Fuel EFs'!$B$44</f>
        <v>1833053.0397410498</v>
      </c>
      <c r="E237" s="26">
        <f>C237*'GWPs and Fuel EFs'!$B$79</f>
        <v>112.6516175757895</v>
      </c>
      <c r="F237" s="26">
        <f>E237*'GWPs and Fuel EFs'!$B$7</f>
        <v>2816.2904393947374</v>
      </c>
      <c r="G237" s="26">
        <f>C237*'GWPs and Fuel EFs'!$B$104</f>
        <v>22.178287210233556</v>
      </c>
      <c r="H237" s="26">
        <f>G237*'GWPs and Fuel EFs'!$C$7</f>
        <v>6609.1295886496</v>
      </c>
    </row>
    <row r="238" spans="1:14" x14ac:dyDescent="0.4">
      <c r="A238" s="44" t="s">
        <v>253</v>
      </c>
      <c r="B238" s="117" t="s">
        <v>254</v>
      </c>
      <c r="C238" s="118">
        <f>'GIS Heat Input'!E285</f>
        <v>0</v>
      </c>
      <c r="D238" s="26">
        <f>C238*'GWPs and Fuel EFs'!$B$45</f>
        <v>0</v>
      </c>
      <c r="E238" s="26">
        <f>C238*'GWPs and Fuel EFs'!$B$80</f>
        <v>0</v>
      </c>
      <c r="F238" s="26">
        <f>E238*'GWPs and Fuel EFs'!$B$7</f>
        <v>0</v>
      </c>
      <c r="G238" s="26">
        <f>C238*'GWPs and Fuel EFs'!$B$105</f>
        <v>0</v>
      </c>
      <c r="H238" s="26">
        <f>G238*'GWPs and Fuel EFs'!$C$7</f>
        <v>0</v>
      </c>
    </row>
    <row r="239" spans="1:14" x14ac:dyDescent="0.4">
      <c r="A239" s="44" t="s">
        <v>257</v>
      </c>
      <c r="B239" s="117" t="s">
        <v>258</v>
      </c>
      <c r="C239" s="118">
        <f>'GIS Heat Input'!E286</f>
        <v>1211161.1294493587</v>
      </c>
      <c r="D239" s="26">
        <f>C239*'GWPs and Fuel EFs'!$B$47</f>
        <v>242182897.27610657</v>
      </c>
      <c r="E239" s="26">
        <f>C239*'GWPs and Fuel EFs'!$B$82</f>
        <v>19225.103201631391</v>
      </c>
      <c r="F239" s="26">
        <f>E239*'GWPs and Fuel EFs'!$B$7</f>
        <v>480627.58004078479</v>
      </c>
      <c r="G239" s="26">
        <f>C239*'GWPs and Fuel EFs'!$B$107</f>
        <v>9612.5516008156956</v>
      </c>
      <c r="H239" s="26">
        <f>G239*'GWPs and Fuel EFs'!$C$7</f>
        <v>2864540.3770430773</v>
      </c>
    </row>
    <row r="240" spans="1:14" x14ac:dyDescent="0.4">
      <c r="A240" s="44" t="s">
        <v>3975</v>
      </c>
      <c r="B240" s="117" t="s">
        <v>266</v>
      </c>
      <c r="C240" s="118">
        <f>'GIS Heat Input'!E287</f>
        <v>0</v>
      </c>
      <c r="D240" s="26">
        <f>C240*'GWPs and Fuel EFs'!$B$51</f>
        <v>0</v>
      </c>
      <c r="E240" s="26">
        <f>C240*'GWPs and Fuel EFs'!$B$86</f>
        <v>0</v>
      </c>
      <c r="F240" s="26">
        <f>E240*'GWPs and Fuel EFs'!$B$7</f>
        <v>0</v>
      </c>
      <c r="G240" s="26">
        <f>C240*'GWPs and Fuel EFs'!$B$111</f>
        <v>0</v>
      </c>
      <c r="H240" s="26">
        <f>G240*'GWPs and Fuel EFs'!$C$7</f>
        <v>0</v>
      </c>
    </row>
    <row r="241" spans="1:14" x14ac:dyDescent="0.4">
      <c r="A241" s="463" t="s">
        <v>249</v>
      </c>
      <c r="B241" s="534"/>
      <c r="C241" s="534"/>
      <c r="D241" s="535">
        <f>SUM(D237:D240)</f>
        <v>244015950.31584761</v>
      </c>
      <c r="E241" s="534"/>
      <c r="F241" s="535">
        <f>SUM(F237:F240)</f>
        <v>483443.8704801795</v>
      </c>
      <c r="G241" s="534"/>
      <c r="H241" s="535">
        <f>SUM(H237:H240)</f>
        <v>2871149.5066317269</v>
      </c>
    </row>
    <row r="242" spans="1:14" x14ac:dyDescent="0.4">
      <c r="A242" s="465" t="s">
        <v>11</v>
      </c>
    </row>
    <row r="244" spans="1:14" x14ac:dyDescent="0.4">
      <c r="A244" s="43" t="s">
        <v>4000</v>
      </c>
    </row>
    <row r="245" spans="1:14" x14ac:dyDescent="0.4">
      <c r="A245" s="243" t="s">
        <v>212</v>
      </c>
      <c r="B245" s="244" t="s">
        <v>213</v>
      </c>
      <c r="C245" s="248" t="s">
        <v>3973</v>
      </c>
      <c r="D245" s="243" t="s">
        <v>216</v>
      </c>
      <c r="E245" s="243" t="s">
        <v>217</v>
      </c>
      <c r="F245" s="243" t="s">
        <v>218</v>
      </c>
      <c r="G245" s="243" t="s">
        <v>219</v>
      </c>
      <c r="H245" s="243" t="s">
        <v>220</v>
      </c>
      <c r="K245" s="37"/>
      <c r="M245" s="37"/>
      <c r="N245" s="37"/>
    </row>
    <row r="246" spans="1:14" x14ac:dyDescent="0.4">
      <c r="A246" s="44" t="s">
        <v>3996</v>
      </c>
      <c r="B246" s="117" t="s">
        <v>226</v>
      </c>
      <c r="C246" s="118">
        <f>'GIS Heat Input'!E292</f>
        <v>0</v>
      </c>
      <c r="D246" s="26">
        <f>C246*'GWPs and Fuel EFs'!$B$25</f>
        <v>0</v>
      </c>
      <c r="E246" s="26">
        <f>C246*'GWPs and Fuel EFs'!$B$68</f>
        <v>0</v>
      </c>
      <c r="F246" s="26">
        <f>E246*'GWPs and Fuel EFs'!$B$7</f>
        <v>0</v>
      </c>
      <c r="G246" s="26">
        <f>C246*'GWPs and Fuel EFs'!$B$93</f>
        <v>0</v>
      </c>
      <c r="H246" s="26">
        <f>G246*'GWPs and Fuel EFs'!$C$7</f>
        <v>0</v>
      </c>
      <c r="I246" s="47"/>
      <c r="J246" s="412"/>
      <c r="K246" s="412"/>
      <c r="L246" s="47"/>
      <c r="M246" s="412"/>
      <c r="N246" s="412"/>
    </row>
    <row r="247" spans="1:14" x14ac:dyDescent="0.4">
      <c r="A247" s="44" t="s">
        <v>270</v>
      </c>
      <c r="B247" s="117" t="s">
        <v>228</v>
      </c>
      <c r="C247" s="118">
        <f>'GIS Heat Input'!E293</f>
        <v>0</v>
      </c>
      <c r="D247" s="26">
        <f>C247*'GWPs and Fuel EFs'!$B$26</f>
        <v>0</v>
      </c>
      <c r="E247" s="26">
        <f>C247*'GWPs and Fuel EFs'!$B$69</f>
        <v>0</v>
      </c>
      <c r="F247" s="26">
        <f>E247*'GWPs and Fuel EFs'!$B$7</f>
        <v>0</v>
      </c>
      <c r="G247" s="26">
        <f>C247*'GWPs and Fuel EFs'!$B$94</f>
        <v>0</v>
      </c>
      <c r="H247" s="26">
        <f>G247*'GWPs and Fuel EFs'!$C$7</f>
        <v>0</v>
      </c>
      <c r="I247" s="39"/>
      <c r="J247" s="19"/>
      <c r="K247" s="19"/>
      <c r="L247" s="39"/>
      <c r="M247" s="19"/>
      <c r="N247" s="19"/>
    </row>
    <row r="248" spans="1:14" x14ac:dyDescent="0.4">
      <c r="A248" s="44" t="s">
        <v>229</v>
      </c>
      <c r="B248" s="117" t="s">
        <v>230</v>
      </c>
      <c r="C248" s="118">
        <f>'GIS Heat Input'!E294</f>
        <v>0</v>
      </c>
      <c r="D248" s="26">
        <f>C248*'GWPs and Fuel EFs'!$B$27</f>
        <v>0</v>
      </c>
      <c r="E248" s="26">
        <f>C248*'GWPs and Fuel EFs'!$B$70</f>
        <v>0</v>
      </c>
      <c r="F248" s="26">
        <f>E248*'GWPs and Fuel EFs'!$B$7</f>
        <v>0</v>
      </c>
      <c r="G248" s="26">
        <f>C248*'GWPs and Fuel EFs'!$B$95</f>
        <v>0</v>
      </c>
      <c r="H248" s="26">
        <f>G248*'GWPs and Fuel EFs'!$C$7</f>
        <v>0</v>
      </c>
      <c r="J248" s="24"/>
      <c r="K248" s="24"/>
      <c r="M248" s="24"/>
      <c r="N248" s="24"/>
    </row>
    <row r="249" spans="1:14" x14ac:dyDescent="0.4">
      <c r="A249" s="463" t="s">
        <v>249</v>
      </c>
      <c r="B249" s="534"/>
      <c r="C249" s="534"/>
      <c r="D249" s="535">
        <f>SUM(D246:D248)</f>
        <v>0</v>
      </c>
      <c r="E249" s="534"/>
      <c r="F249" s="535">
        <f>SUM(F246:F248)</f>
        <v>0</v>
      </c>
      <c r="G249" s="534"/>
      <c r="H249" s="535">
        <f>SUM(H246:H248)</f>
        <v>0</v>
      </c>
    </row>
    <row r="250" spans="1:14" x14ac:dyDescent="0.4">
      <c r="A250" s="465" t="s">
        <v>11</v>
      </c>
    </row>
    <row r="252" spans="1:14" x14ac:dyDescent="0.4">
      <c r="A252" s="43" t="s">
        <v>4001</v>
      </c>
    </row>
    <row r="253" spans="1:14" x14ac:dyDescent="0.4">
      <c r="A253" s="243" t="s">
        <v>212</v>
      </c>
      <c r="B253" s="244" t="s">
        <v>213</v>
      </c>
      <c r="C253" s="248" t="s">
        <v>3973</v>
      </c>
      <c r="D253" s="243" t="s">
        <v>216</v>
      </c>
      <c r="E253" s="243" t="s">
        <v>217</v>
      </c>
      <c r="F253" s="243" t="s">
        <v>218</v>
      </c>
      <c r="G253" s="243" t="s">
        <v>219</v>
      </c>
      <c r="H253" s="243" t="s">
        <v>220</v>
      </c>
    </row>
    <row r="254" spans="1:14" x14ac:dyDescent="0.4">
      <c r="A254" s="44" t="s">
        <v>251</v>
      </c>
      <c r="B254" s="117" t="s">
        <v>252</v>
      </c>
      <c r="C254" s="118">
        <f>'GIS Heat Input'!E295</f>
        <v>204727.78894745422</v>
      </c>
      <c r="D254" s="26">
        <f>C254*'GWPs and Fuel EFs'!$B$44</f>
        <v>23501665.077731393</v>
      </c>
      <c r="E254" s="26">
        <f>C254*'GWPs and Fuel EFs'!$B$79</f>
        <v>1444.3120462596594</v>
      </c>
      <c r="F254" s="26">
        <f>E254*'GWPs and Fuel EFs'!$B$7</f>
        <v>36107.801156491485</v>
      </c>
      <c r="G254" s="26">
        <f>C254*'GWPs and Fuel EFs'!$B$104</f>
        <v>284.34893410737044</v>
      </c>
      <c r="H254" s="26">
        <f>G254*'GWPs and Fuel EFs'!$C$7</f>
        <v>84735.982363996387</v>
      </c>
      <c r="J254" s="26"/>
      <c r="K254" s="71"/>
      <c r="M254" s="26"/>
      <c r="N254" s="71"/>
    </row>
    <row r="255" spans="1:14" x14ac:dyDescent="0.4">
      <c r="A255" s="44" t="s">
        <v>253</v>
      </c>
      <c r="B255" s="117" t="s">
        <v>254</v>
      </c>
      <c r="C255" s="118">
        <f>'GIS Heat Input'!E296</f>
        <v>0</v>
      </c>
      <c r="D255" s="26">
        <f>C255*'GWPs and Fuel EFs'!$B$45</f>
        <v>0</v>
      </c>
      <c r="E255" s="26">
        <f>C255*'GWPs and Fuel EFs'!$B$80</f>
        <v>0</v>
      </c>
      <c r="F255" s="26">
        <f>E255*'GWPs and Fuel EFs'!$B$7</f>
        <v>0</v>
      </c>
      <c r="G255" s="26">
        <f>C255*'GWPs and Fuel EFs'!$B$105</f>
        <v>0</v>
      </c>
      <c r="H255" s="26">
        <f>G255*'GWPs and Fuel EFs'!$C$7</f>
        <v>0</v>
      </c>
    </row>
    <row r="256" spans="1:14" x14ac:dyDescent="0.4">
      <c r="A256" s="44" t="s">
        <v>257</v>
      </c>
      <c r="B256" s="117" t="s">
        <v>258</v>
      </c>
      <c r="C256" s="118">
        <f>'GIS Heat Input'!E297</f>
        <v>5969724.9545324463</v>
      </c>
      <c r="D256" s="26">
        <f>C256*'GWPs and Fuel EFs'!$B$47</f>
        <v>1193701853.7636218</v>
      </c>
      <c r="E256" s="26">
        <f>C256*'GWPs and Fuel EFs'!$B$82</f>
        <v>94759.132823573047</v>
      </c>
      <c r="F256" s="26">
        <f>E256*'GWPs and Fuel EFs'!$B$7</f>
        <v>2368978.3205893263</v>
      </c>
      <c r="G256" s="26">
        <f>C256*'GWPs and Fuel EFs'!$B$107</f>
        <v>47379.566411786524</v>
      </c>
      <c r="H256" s="26">
        <f>G256*'GWPs and Fuel EFs'!$C$7</f>
        <v>14119110.790712385</v>
      </c>
    </row>
    <row r="257" spans="1:14" x14ac:dyDescent="0.4">
      <c r="A257" s="44" t="s">
        <v>3975</v>
      </c>
      <c r="B257" s="117" t="s">
        <v>266</v>
      </c>
      <c r="C257" s="118">
        <f>'GIS Heat Input'!E298</f>
        <v>152550.48008476879</v>
      </c>
      <c r="D257" s="26">
        <f>C257*'GWPs and Fuel EFs'!$B$51</f>
        <v>17511986.56924659</v>
      </c>
      <c r="E257" s="26">
        <f>C257*'GWPs and Fuel EFs'!$B$86</f>
        <v>1076.2119650775705</v>
      </c>
      <c r="F257" s="26">
        <f>E257*'GWPs and Fuel EFs'!$B$7</f>
        <v>26905.299126939262</v>
      </c>
      <c r="G257" s="26">
        <f>C257*'GWPs and Fuel EFs'!$B$111</f>
        <v>211.87923062464668</v>
      </c>
      <c r="H257" s="26">
        <f>G257*'GWPs and Fuel EFs'!$C$7</f>
        <v>63140.010726144712</v>
      </c>
    </row>
    <row r="258" spans="1:14" x14ac:dyDescent="0.4">
      <c r="A258" s="463" t="s">
        <v>249</v>
      </c>
      <c r="B258" s="534"/>
      <c r="C258" s="534"/>
      <c r="D258" s="535">
        <f>SUM(D254:D257)</f>
        <v>1234715505.4105997</v>
      </c>
      <c r="E258" s="534"/>
      <c r="F258" s="535">
        <f>SUM(F254:F257)</f>
        <v>2431991.4208727572</v>
      </c>
      <c r="G258" s="534"/>
      <c r="H258" s="535">
        <f>SUM(H254:H257)</f>
        <v>14266986.783802526</v>
      </c>
    </row>
    <row r="259" spans="1:14" x14ac:dyDescent="0.4">
      <c r="A259" s="465" t="s">
        <v>11</v>
      </c>
    </row>
    <row r="261" spans="1:14" x14ac:dyDescent="0.4">
      <c r="A261" s="43" t="s">
        <v>4002</v>
      </c>
    </row>
    <row r="262" spans="1:14" x14ac:dyDescent="0.4">
      <c r="A262" s="243" t="s">
        <v>212</v>
      </c>
      <c r="B262" s="244" t="s">
        <v>213</v>
      </c>
      <c r="C262" s="248" t="s">
        <v>3973</v>
      </c>
      <c r="D262" s="243" t="s">
        <v>216</v>
      </c>
      <c r="E262" s="243" t="s">
        <v>217</v>
      </c>
      <c r="F262" s="243" t="s">
        <v>218</v>
      </c>
      <c r="G262" s="243" t="s">
        <v>219</v>
      </c>
      <c r="H262" s="243" t="s">
        <v>220</v>
      </c>
      <c r="K262" s="37"/>
      <c r="M262" s="37"/>
      <c r="N262" s="37"/>
    </row>
    <row r="263" spans="1:14" x14ac:dyDescent="0.4">
      <c r="A263" s="44" t="s">
        <v>3996</v>
      </c>
      <c r="B263" s="117" t="s">
        <v>226</v>
      </c>
      <c r="C263" s="118">
        <f>'GIS Heat Input'!E303</f>
        <v>0</v>
      </c>
      <c r="D263" s="26">
        <f>C263*'GWPs and Fuel EFs'!$B$25</f>
        <v>0</v>
      </c>
      <c r="E263" s="26">
        <f>C263*'GWPs and Fuel EFs'!$B$68</f>
        <v>0</v>
      </c>
      <c r="F263" s="26">
        <f>E263*'GWPs and Fuel EFs'!$B$7</f>
        <v>0</v>
      </c>
      <c r="G263" s="26">
        <f>C263*'GWPs and Fuel EFs'!$B$93</f>
        <v>0</v>
      </c>
      <c r="H263" s="26">
        <f>G263*'GWPs and Fuel EFs'!$C$7</f>
        <v>0</v>
      </c>
    </row>
    <row r="264" spans="1:14" x14ac:dyDescent="0.4">
      <c r="A264" s="44" t="s">
        <v>270</v>
      </c>
      <c r="B264" s="117" t="s">
        <v>228</v>
      </c>
      <c r="C264" s="118">
        <f>'GIS Heat Input'!E304</f>
        <v>0</v>
      </c>
      <c r="D264" s="26">
        <f>C264*'GWPs and Fuel EFs'!$B$26</f>
        <v>0</v>
      </c>
      <c r="E264" s="26">
        <f>C264*'GWPs and Fuel EFs'!$B$69</f>
        <v>0</v>
      </c>
      <c r="F264" s="26">
        <f>E264*'GWPs and Fuel EFs'!$B$7</f>
        <v>0</v>
      </c>
      <c r="G264" s="26">
        <f>C264*'GWPs and Fuel EFs'!$B$94</f>
        <v>0</v>
      </c>
      <c r="H264" s="26">
        <f>G264*'GWPs and Fuel EFs'!$C$7</f>
        <v>0</v>
      </c>
    </row>
    <row r="265" spans="1:14" x14ac:dyDescent="0.4">
      <c r="A265" s="44" t="s">
        <v>229</v>
      </c>
      <c r="B265" s="117" t="s">
        <v>230</v>
      </c>
      <c r="C265" s="118">
        <f>'GIS Heat Input'!E305</f>
        <v>1023009.5314329144</v>
      </c>
      <c r="D265" s="26">
        <f>C265*'GWPs and Fuel EFs'!$B$27</f>
        <v>204560240.77996519</v>
      </c>
      <c r="E265" s="26">
        <f>C265*'GWPs and Fuel EFs'!$B$70</f>
        <v>72171.198511123337</v>
      </c>
      <c r="F265" s="26">
        <f>E265*'GWPs and Fuel EFs'!$B$7</f>
        <v>1804279.9627780835</v>
      </c>
      <c r="G265" s="26">
        <f>C265*'GWPs and Fuel EFs'!$B$95</f>
        <v>9472.4698045849364</v>
      </c>
      <c r="H265" s="26">
        <f>G265*'GWPs and Fuel EFs'!$C$7</f>
        <v>2822796.001766311</v>
      </c>
    </row>
    <row r="266" spans="1:14" x14ac:dyDescent="0.4">
      <c r="A266" s="463" t="s">
        <v>249</v>
      </c>
      <c r="B266" s="534"/>
      <c r="C266" s="534"/>
      <c r="D266" s="535">
        <f>SUM(D263:D265)</f>
        <v>204560240.77996519</v>
      </c>
      <c r="E266" s="534"/>
      <c r="F266" s="535">
        <f>SUM(F263:F265)</f>
        <v>1804279.9627780835</v>
      </c>
      <c r="G266" s="534"/>
      <c r="H266" s="535">
        <f>SUM(H263:H265)</f>
        <v>2822796.001766311</v>
      </c>
    </row>
    <row r="267" spans="1:14" x14ac:dyDescent="0.4">
      <c r="A267" s="465" t="s">
        <v>11</v>
      </c>
    </row>
    <row r="269" spans="1:14" x14ac:dyDescent="0.4">
      <c r="A269" s="43" t="s">
        <v>4003</v>
      </c>
    </row>
    <row r="270" spans="1:14" x14ac:dyDescent="0.4">
      <c r="A270" s="243" t="s">
        <v>212</v>
      </c>
      <c r="B270" s="244" t="s">
        <v>213</v>
      </c>
      <c r="C270" s="248" t="s">
        <v>3973</v>
      </c>
      <c r="D270" s="243" t="s">
        <v>216</v>
      </c>
      <c r="E270" s="243" t="s">
        <v>217</v>
      </c>
      <c r="F270" s="243" t="s">
        <v>218</v>
      </c>
      <c r="G270" s="243" t="s">
        <v>219</v>
      </c>
      <c r="H270" s="243" t="s">
        <v>220</v>
      </c>
      <c r="K270" s="37"/>
      <c r="M270" s="37"/>
      <c r="N270" s="37"/>
    </row>
    <row r="271" spans="1:14" x14ac:dyDescent="0.4">
      <c r="A271" s="44" t="s">
        <v>251</v>
      </c>
      <c r="B271" s="117" t="s">
        <v>252</v>
      </c>
      <c r="C271" s="118">
        <f>'GIS Heat Input'!E306</f>
        <v>1137601.826716431</v>
      </c>
      <c r="D271" s="26">
        <f>C271*'GWPs and Fuel EFs'!$B$44</f>
        <v>130590660.21646419</v>
      </c>
      <c r="E271" s="26">
        <f>C271*'GWPs and Fuel EFs'!$B$79</f>
        <v>8025.5447031435651</v>
      </c>
      <c r="F271" s="26">
        <f>E271*'GWPs and Fuel EFs'!$B$7</f>
        <v>200638.61757858912</v>
      </c>
      <c r="G271" s="26">
        <f>C271*'GWPs and Fuel EFs'!$B$104</f>
        <v>1580.0291134313893</v>
      </c>
      <c r="H271" s="26">
        <f>G271*'GWPs and Fuel EFs'!$C$7</f>
        <v>470848.675802554</v>
      </c>
    </row>
    <row r="272" spans="1:14" x14ac:dyDescent="0.4">
      <c r="A272" s="44" t="s">
        <v>253</v>
      </c>
      <c r="B272" s="117" t="s">
        <v>254</v>
      </c>
      <c r="C272" s="118">
        <f>'GIS Heat Input'!E307</f>
        <v>836992.57168582419</v>
      </c>
      <c r="D272" s="26">
        <f>C272*'GWPs and Fuel EFs'!$B$45</f>
        <v>136253463.52597022</v>
      </c>
      <c r="E272" s="26">
        <f>C272*'GWPs and Fuel EFs'!$B$80</f>
        <v>59048.088201937266</v>
      </c>
      <c r="F272" s="26">
        <f>E272*'GWPs and Fuel EFs'!$B$7</f>
        <v>1476202.2050484316</v>
      </c>
      <c r="G272" s="26">
        <f>C272*'GWPs and Fuel EFs'!$B$105</f>
        <v>7750.0615765042648</v>
      </c>
      <c r="H272" s="26">
        <f>G272*'GWPs and Fuel EFs'!$C$7</f>
        <v>2309518.349798271</v>
      </c>
    </row>
    <row r="273" spans="1:14" x14ac:dyDescent="0.4">
      <c r="A273" s="44" t="s">
        <v>257</v>
      </c>
      <c r="B273" s="117" t="s">
        <v>258</v>
      </c>
      <c r="C273" s="118">
        <f>'GIS Heat Input'!E308</f>
        <v>3577051.5138548105</v>
      </c>
      <c r="D273" s="26">
        <f>C273*'GWPs and Fuel EFs'!$B$47</f>
        <v>715264615.30770493</v>
      </c>
      <c r="E273" s="26">
        <f>C273*'GWPs and Fuel EFs'!$B$82</f>
        <v>56779.550498516815</v>
      </c>
      <c r="F273" s="26">
        <f>E273*'GWPs and Fuel EFs'!$B$7</f>
        <v>1419488.7624629203</v>
      </c>
      <c r="G273" s="26">
        <f>C273*'GWPs and Fuel EFs'!$B$107</f>
        <v>28389.775249258408</v>
      </c>
      <c r="H273" s="26">
        <f>G273*'GWPs and Fuel EFs'!$C$7</f>
        <v>8460153.0242790058</v>
      </c>
    </row>
    <row r="274" spans="1:14" x14ac:dyDescent="0.4">
      <c r="A274" s="44" t="s">
        <v>3975</v>
      </c>
      <c r="B274" s="117" t="s">
        <v>266</v>
      </c>
      <c r="C274" s="118">
        <f>'GIS Heat Input'!E309</f>
        <v>0</v>
      </c>
      <c r="D274" s="26">
        <f>C274*'GWPs and Fuel EFs'!$B$51</f>
        <v>0</v>
      </c>
      <c r="E274" s="26">
        <f>C274*'GWPs and Fuel EFs'!$B$86</f>
        <v>0</v>
      </c>
      <c r="F274" s="26">
        <f>E274*'GWPs and Fuel EFs'!$B$7</f>
        <v>0</v>
      </c>
      <c r="G274" s="26">
        <f>C274*'GWPs and Fuel EFs'!$B$111</f>
        <v>0</v>
      </c>
      <c r="H274" s="26">
        <f>G274*'GWPs and Fuel EFs'!$C$7</f>
        <v>0</v>
      </c>
    </row>
    <row r="275" spans="1:14" x14ac:dyDescent="0.4">
      <c r="A275" s="463" t="s">
        <v>249</v>
      </c>
      <c r="B275" s="534"/>
      <c r="C275" s="534"/>
      <c r="D275" s="535">
        <f>SUM(D271:D274)</f>
        <v>982108739.05013931</v>
      </c>
      <c r="E275" s="534"/>
      <c r="F275" s="535">
        <f>SUM(F271:F274)</f>
        <v>3096329.585089941</v>
      </c>
      <c r="G275" s="534"/>
      <c r="H275" s="535">
        <f>SUM(H271:H274)</f>
        <v>11240520.04987983</v>
      </c>
    </row>
    <row r="276" spans="1:14" x14ac:dyDescent="0.4">
      <c r="A276" s="465" t="s">
        <v>11</v>
      </c>
    </row>
    <row r="278" spans="1:14" x14ac:dyDescent="0.4">
      <c r="A278" s="43" t="s">
        <v>4004</v>
      </c>
    </row>
    <row r="279" spans="1:14" x14ac:dyDescent="0.4">
      <c r="A279" s="243" t="s">
        <v>212</v>
      </c>
      <c r="B279" s="244" t="s">
        <v>213</v>
      </c>
      <c r="C279" s="248" t="s">
        <v>3973</v>
      </c>
      <c r="D279" s="243" t="s">
        <v>216</v>
      </c>
      <c r="E279" s="243" t="s">
        <v>217</v>
      </c>
      <c r="F279" s="243" t="s">
        <v>218</v>
      </c>
      <c r="G279" s="243" t="s">
        <v>219</v>
      </c>
      <c r="H279" s="243" t="s">
        <v>220</v>
      </c>
      <c r="K279" s="37"/>
      <c r="M279" s="37"/>
      <c r="N279" s="37"/>
    </row>
    <row r="280" spans="1:14" x14ac:dyDescent="0.4">
      <c r="A280" s="44" t="s">
        <v>3996</v>
      </c>
      <c r="B280" s="117" t="s">
        <v>226</v>
      </c>
      <c r="C280" s="118">
        <f>'GIS Heat Input'!E314</f>
        <v>0</v>
      </c>
      <c r="D280" s="26">
        <f>C280*'GWPs and Fuel EFs'!$B$25</f>
        <v>0</v>
      </c>
      <c r="E280" s="26">
        <f>C280*'GWPs and Fuel EFs'!$B$68</f>
        <v>0</v>
      </c>
      <c r="F280" s="26">
        <f>E280*'GWPs and Fuel EFs'!$B$7</f>
        <v>0</v>
      </c>
      <c r="G280" s="26">
        <f>C280*'GWPs and Fuel EFs'!$B$93</f>
        <v>0</v>
      </c>
      <c r="H280" s="26">
        <f>G280*'GWPs and Fuel EFs'!$C$7</f>
        <v>0</v>
      </c>
      <c r="K280" s="412"/>
      <c r="M280" s="412"/>
      <c r="N280" s="412"/>
    </row>
    <row r="281" spans="1:14" x14ac:dyDescent="0.4">
      <c r="A281" s="44" t="s">
        <v>270</v>
      </c>
      <c r="B281" s="117" t="s">
        <v>228</v>
      </c>
      <c r="C281" s="118">
        <f>'GIS Heat Input'!E315</f>
        <v>0</v>
      </c>
      <c r="D281" s="26">
        <f>C281*'GWPs and Fuel EFs'!$B$26</f>
        <v>0</v>
      </c>
      <c r="E281" s="26">
        <f>C281*'GWPs and Fuel EFs'!$B$69</f>
        <v>0</v>
      </c>
      <c r="F281" s="26">
        <f>E281*'GWPs and Fuel EFs'!$B$7</f>
        <v>0</v>
      </c>
      <c r="G281" s="26">
        <f>C281*'GWPs and Fuel EFs'!$B$94</f>
        <v>0</v>
      </c>
      <c r="H281" s="26">
        <f>G281*'GWPs and Fuel EFs'!$C$7</f>
        <v>0</v>
      </c>
      <c r="K281" s="412"/>
      <c r="M281" s="412"/>
      <c r="N281" s="412"/>
    </row>
    <row r="282" spans="1:14" x14ac:dyDescent="0.4">
      <c r="A282" s="44" t="s">
        <v>229</v>
      </c>
      <c r="B282" s="117" t="s">
        <v>230</v>
      </c>
      <c r="C282" s="118">
        <f>'GIS Heat Input'!E316</f>
        <v>0</v>
      </c>
      <c r="D282" s="26">
        <f>C282*'GWPs and Fuel EFs'!$B$27</f>
        <v>0</v>
      </c>
      <c r="E282" s="26">
        <f>C282*'GWPs and Fuel EFs'!$B$70</f>
        <v>0</v>
      </c>
      <c r="F282" s="26">
        <f>E282*'GWPs and Fuel EFs'!$B$7</f>
        <v>0</v>
      </c>
      <c r="G282" s="26">
        <f>C282*'GWPs and Fuel EFs'!$B$95</f>
        <v>0</v>
      </c>
      <c r="H282" s="26">
        <f>G282*'GWPs and Fuel EFs'!$C$7</f>
        <v>0</v>
      </c>
      <c r="K282" s="37"/>
      <c r="L282" s="24"/>
      <c r="M282" s="37"/>
      <c r="N282" s="37"/>
    </row>
    <row r="283" spans="1:14" x14ac:dyDescent="0.4">
      <c r="A283" s="463" t="s">
        <v>249</v>
      </c>
      <c r="B283" s="534"/>
      <c r="C283" s="534"/>
      <c r="D283" s="535">
        <f>SUM(D280:D282)</f>
        <v>0</v>
      </c>
      <c r="E283" s="534"/>
      <c r="F283" s="535">
        <f>SUM(F280:F282)</f>
        <v>0</v>
      </c>
      <c r="G283" s="534"/>
      <c r="H283" s="535">
        <f>SUM(H280:H282)</f>
        <v>0</v>
      </c>
    </row>
    <row r="284" spans="1:14" x14ac:dyDescent="0.4">
      <c r="A284" s="465" t="s">
        <v>11</v>
      </c>
      <c r="D284" s="71"/>
      <c r="F284" s="26"/>
      <c r="G284" s="71"/>
      <c r="I284" s="26"/>
      <c r="J284" s="71"/>
    </row>
    <row r="286" spans="1:14" x14ac:dyDescent="0.4">
      <c r="A286" s="43" t="s">
        <v>4005</v>
      </c>
    </row>
    <row r="287" spans="1:14" x14ac:dyDescent="0.4">
      <c r="A287" s="243" t="s">
        <v>212</v>
      </c>
      <c r="B287" s="244" t="s">
        <v>213</v>
      </c>
      <c r="C287" s="248" t="s">
        <v>3973</v>
      </c>
      <c r="D287" s="243" t="s">
        <v>216</v>
      </c>
      <c r="E287" s="243" t="s">
        <v>217</v>
      </c>
      <c r="F287" s="243" t="s">
        <v>218</v>
      </c>
      <c r="G287" s="243" t="s">
        <v>219</v>
      </c>
      <c r="H287" s="243" t="s">
        <v>220</v>
      </c>
      <c r="K287" s="37"/>
      <c r="M287" s="37"/>
      <c r="N287" s="37"/>
    </row>
    <row r="288" spans="1:14" x14ac:dyDescent="0.4">
      <c r="A288" s="44" t="s">
        <v>251</v>
      </c>
      <c r="B288" s="117" t="s">
        <v>252</v>
      </c>
      <c r="C288" s="118">
        <f>'GIS Heat Input'!E317</f>
        <v>15363.538585100956</v>
      </c>
      <c r="D288" s="26">
        <f>C288*'GWPs and Fuel EFs'!$B$44</f>
        <v>1763652.8001018877</v>
      </c>
      <c r="E288" s="26">
        <f>C288*'GWPs and Fuel EFs'!$B$79</f>
        <v>108.38657500146036</v>
      </c>
      <c r="F288" s="26">
        <f>E288*'GWPs and Fuel EFs'!$B$7</f>
        <v>2709.6643750365088</v>
      </c>
      <c r="G288" s="26">
        <f>C288*'GWPs and Fuel EFs'!$B$104</f>
        <v>21.338606953412508</v>
      </c>
      <c r="H288" s="26">
        <f>G288*'GWPs and Fuel EFs'!$C$7</f>
        <v>6358.9048721169274</v>
      </c>
    </row>
    <row r="289" spans="1:14" x14ac:dyDescent="0.4">
      <c r="A289" s="44" t="s">
        <v>253</v>
      </c>
      <c r="B289" s="117" t="s">
        <v>254</v>
      </c>
      <c r="C289" s="118">
        <f>'GIS Heat Input'!E318</f>
        <v>0</v>
      </c>
      <c r="D289" s="26">
        <f>C289*'GWPs and Fuel EFs'!$B$45</f>
        <v>0</v>
      </c>
      <c r="E289" s="26">
        <f>C289*'GWPs and Fuel EFs'!$B$80</f>
        <v>0</v>
      </c>
      <c r="F289" s="26">
        <f>E289*'GWPs and Fuel EFs'!$B$7</f>
        <v>0</v>
      </c>
      <c r="G289" s="26">
        <f>C289*'GWPs and Fuel EFs'!$B$105</f>
        <v>0</v>
      </c>
      <c r="H289" s="26">
        <f>G289*'GWPs and Fuel EFs'!$C$7</f>
        <v>0</v>
      </c>
    </row>
    <row r="290" spans="1:14" x14ac:dyDescent="0.4">
      <c r="A290" s="44" t="s">
        <v>257</v>
      </c>
      <c r="B290" s="117" t="s">
        <v>258</v>
      </c>
      <c r="C290" s="118">
        <f>'GIS Heat Input'!E319</f>
        <v>0</v>
      </c>
      <c r="D290" s="26">
        <f>C290*'GWPs and Fuel EFs'!$B$47</f>
        <v>0</v>
      </c>
      <c r="E290" s="26">
        <f>C290*'GWPs and Fuel EFs'!$B$82</f>
        <v>0</v>
      </c>
      <c r="F290" s="26">
        <f>E290*'GWPs and Fuel EFs'!$B$7</f>
        <v>0</v>
      </c>
      <c r="G290" s="26">
        <f>C290*'GWPs and Fuel EFs'!$B$107</f>
        <v>0</v>
      </c>
      <c r="H290" s="26">
        <f>G290*'GWPs and Fuel EFs'!$C$7</f>
        <v>0</v>
      </c>
    </row>
    <row r="291" spans="1:14" x14ac:dyDescent="0.4">
      <c r="A291" s="44" t="s">
        <v>3975</v>
      </c>
      <c r="B291" s="117" t="s">
        <v>266</v>
      </c>
      <c r="C291" s="118">
        <f>'GIS Heat Input'!E320</f>
        <v>0</v>
      </c>
      <c r="D291" s="26">
        <f>C291*'GWPs and Fuel EFs'!$B$51</f>
        <v>0</v>
      </c>
      <c r="E291" s="26">
        <f>C291*'GWPs and Fuel EFs'!$B$86</f>
        <v>0</v>
      </c>
      <c r="F291" s="26">
        <f>E291*'GWPs and Fuel EFs'!$B$7</f>
        <v>0</v>
      </c>
      <c r="G291" s="26">
        <f>C291*'GWPs and Fuel EFs'!$B$111</f>
        <v>0</v>
      </c>
      <c r="H291" s="26">
        <f>G291*'GWPs and Fuel EFs'!$C$7</f>
        <v>0</v>
      </c>
    </row>
    <row r="292" spans="1:14" x14ac:dyDescent="0.4">
      <c r="A292" s="463" t="s">
        <v>249</v>
      </c>
      <c r="B292" s="534"/>
      <c r="C292" s="534"/>
      <c r="D292" s="535">
        <f>SUM(D288:D291)</f>
        <v>1763652.8001018877</v>
      </c>
      <c r="E292" s="534"/>
      <c r="F292" s="535">
        <f>SUM(F288:F291)</f>
        <v>2709.6643750365088</v>
      </c>
      <c r="G292" s="534"/>
      <c r="H292" s="535">
        <f>SUM(H288:H291)</f>
        <v>6358.9048721169274</v>
      </c>
    </row>
    <row r="293" spans="1:14" x14ac:dyDescent="0.4">
      <c r="A293" s="465" t="s">
        <v>11</v>
      </c>
      <c r="B293" s="43"/>
      <c r="D293" s="412"/>
      <c r="E293" s="412"/>
      <c r="F293" s="412"/>
      <c r="H293" s="412"/>
      <c r="J293" s="412"/>
      <c r="K293" s="412"/>
      <c r="M293" s="412"/>
      <c r="N293" s="412"/>
    </row>
    <row r="294" spans="1:14" x14ac:dyDescent="0.4">
      <c r="A294" s="412"/>
      <c r="B294" s="412"/>
      <c r="D294" s="412"/>
      <c r="E294" s="412"/>
      <c r="F294" s="412"/>
      <c r="H294" s="412"/>
      <c r="J294" s="412"/>
      <c r="K294" s="412"/>
      <c r="M294" s="412"/>
      <c r="N294" s="412"/>
    </row>
    <row r="295" spans="1:14" x14ac:dyDescent="0.4">
      <c r="A295" s="43" t="s">
        <v>4006</v>
      </c>
    </row>
    <row r="296" spans="1:14" x14ac:dyDescent="0.4">
      <c r="A296" s="243" t="s">
        <v>212</v>
      </c>
      <c r="B296" s="244" t="s">
        <v>213</v>
      </c>
      <c r="C296" s="248" t="s">
        <v>3973</v>
      </c>
      <c r="D296" s="243" t="s">
        <v>216</v>
      </c>
      <c r="E296" s="243" t="s">
        <v>217</v>
      </c>
      <c r="F296" s="243" t="s">
        <v>218</v>
      </c>
      <c r="G296" s="243" t="s">
        <v>219</v>
      </c>
      <c r="H296" s="243" t="s">
        <v>220</v>
      </c>
      <c r="K296" s="37"/>
      <c r="M296" s="37"/>
      <c r="N296" s="37"/>
    </row>
    <row r="297" spans="1:14" x14ac:dyDescent="0.4">
      <c r="A297" s="44" t="s">
        <v>3996</v>
      </c>
      <c r="B297" s="117" t="s">
        <v>226</v>
      </c>
      <c r="C297" s="118">
        <f>'GIS Heat Input'!E325</f>
        <v>0</v>
      </c>
      <c r="D297" s="26">
        <f>C297*'GWPs and Fuel EFs'!$B$25</f>
        <v>0</v>
      </c>
      <c r="E297" s="26">
        <f>C297*'GWPs and Fuel EFs'!$B$68</f>
        <v>0</v>
      </c>
      <c r="F297" s="26">
        <f>E297*'GWPs and Fuel EFs'!$B$7</f>
        <v>0</v>
      </c>
      <c r="G297" s="26">
        <f>C297*'GWPs and Fuel EFs'!$B$93</f>
        <v>0</v>
      </c>
      <c r="H297" s="26">
        <f>G297*'GWPs and Fuel EFs'!$C$7</f>
        <v>0</v>
      </c>
    </row>
    <row r="298" spans="1:14" x14ac:dyDescent="0.4">
      <c r="A298" s="44" t="s">
        <v>270</v>
      </c>
      <c r="B298" s="117" t="s">
        <v>228</v>
      </c>
      <c r="C298" s="118">
        <f>'GIS Heat Input'!E326</f>
        <v>0</v>
      </c>
      <c r="D298" s="26">
        <f>C298*'GWPs and Fuel EFs'!$B$26</f>
        <v>0</v>
      </c>
      <c r="E298" s="26">
        <f>C298*'GWPs and Fuel EFs'!$B$69</f>
        <v>0</v>
      </c>
      <c r="F298" s="26">
        <f>E298*'GWPs and Fuel EFs'!$B$7</f>
        <v>0</v>
      </c>
      <c r="G298" s="26">
        <f>C298*'GWPs and Fuel EFs'!$B$94</f>
        <v>0</v>
      </c>
      <c r="H298" s="26">
        <f>G298*'GWPs and Fuel EFs'!$C$7</f>
        <v>0</v>
      </c>
    </row>
    <row r="299" spans="1:14" x14ac:dyDescent="0.4">
      <c r="A299" s="44" t="s">
        <v>229</v>
      </c>
      <c r="B299" s="117" t="s">
        <v>230</v>
      </c>
      <c r="C299" s="118">
        <f>'GIS Heat Input'!E327</f>
        <v>0</v>
      </c>
      <c r="D299" s="26">
        <f>C299*'GWPs and Fuel EFs'!$B$27</f>
        <v>0</v>
      </c>
      <c r="E299" s="26">
        <f>C299*'GWPs and Fuel EFs'!$B$70</f>
        <v>0</v>
      </c>
      <c r="F299" s="26">
        <f>E299*'GWPs and Fuel EFs'!$B$7</f>
        <v>0</v>
      </c>
      <c r="G299" s="26">
        <f>C299*'GWPs and Fuel EFs'!$B$95</f>
        <v>0</v>
      </c>
      <c r="H299" s="26">
        <f>G299*'GWPs and Fuel EFs'!$C$7</f>
        <v>0</v>
      </c>
    </row>
    <row r="300" spans="1:14" x14ac:dyDescent="0.4">
      <c r="A300" s="463" t="s">
        <v>249</v>
      </c>
      <c r="B300" s="534"/>
      <c r="C300" s="534"/>
      <c r="D300" s="535">
        <f>SUM(D297:D299)</f>
        <v>0</v>
      </c>
      <c r="E300" s="534"/>
      <c r="F300" s="535">
        <f>SUM(F297:F299)</f>
        <v>0</v>
      </c>
      <c r="G300" s="534"/>
      <c r="H300" s="535">
        <f>SUM(H297:H299)</f>
        <v>0</v>
      </c>
    </row>
    <row r="301" spans="1:14" x14ac:dyDescent="0.4">
      <c r="A301" s="465" t="s">
        <v>11</v>
      </c>
    </row>
    <row r="303" spans="1:14" x14ac:dyDescent="0.4">
      <c r="A303" s="43" t="s">
        <v>4007</v>
      </c>
    </row>
    <row r="304" spans="1:14" x14ac:dyDescent="0.4">
      <c r="A304" s="243" t="s">
        <v>212</v>
      </c>
      <c r="B304" s="244" t="s">
        <v>213</v>
      </c>
      <c r="C304" s="248" t="s">
        <v>3973</v>
      </c>
      <c r="D304" s="243" t="s">
        <v>216</v>
      </c>
      <c r="E304" s="243" t="s">
        <v>217</v>
      </c>
      <c r="F304" s="243" t="s">
        <v>218</v>
      </c>
      <c r="G304" s="243" t="s">
        <v>219</v>
      </c>
      <c r="H304" s="243" t="s">
        <v>220</v>
      </c>
      <c r="K304" s="37"/>
      <c r="M304" s="37"/>
      <c r="N304" s="37"/>
    </row>
    <row r="305" spans="1:8" x14ac:dyDescent="0.4">
      <c r="A305" s="44" t="s">
        <v>251</v>
      </c>
      <c r="B305" s="117" t="s">
        <v>252</v>
      </c>
      <c r="C305" s="118">
        <f>'GIS Heat Input'!E328</f>
        <v>254697.94125373859</v>
      </c>
      <c r="D305" s="26">
        <f>C305*'GWPs and Fuel EFs'!$B$44</f>
        <v>29237973.711860888</v>
      </c>
      <c r="E305" s="26">
        <f>C305*'GWPs and Fuel EFs'!$B$79</f>
        <v>1796.8410961773545</v>
      </c>
      <c r="F305" s="26">
        <f>E305*'GWPs and Fuel EFs'!$B$7</f>
        <v>44921.027404433866</v>
      </c>
      <c r="G305" s="26">
        <f>C305*'GWPs and Fuel EFs'!$B$104</f>
        <v>353.75309080991661</v>
      </c>
      <c r="H305" s="26">
        <f>G305*'GWPs and Fuel EFs'!$C$7</f>
        <v>105418.42106135515</v>
      </c>
    </row>
    <row r="306" spans="1:8" x14ac:dyDescent="0.4">
      <c r="A306" s="44" t="s">
        <v>253</v>
      </c>
      <c r="B306" s="117" t="s">
        <v>254</v>
      </c>
      <c r="C306" s="118">
        <f>'GIS Heat Input'!E329</f>
        <v>0</v>
      </c>
      <c r="D306" s="26">
        <f>C306*'GWPs and Fuel EFs'!$B$45</f>
        <v>0</v>
      </c>
      <c r="E306" s="26">
        <f>C306*'GWPs and Fuel EFs'!$B$80</f>
        <v>0</v>
      </c>
      <c r="F306" s="26">
        <f>E306*'GWPs and Fuel EFs'!$B$7</f>
        <v>0</v>
      </c>
      <c r="G306" s="26">
        <f>C306*'GWPs and Fuel EFs'!$B$105</f>
        <v>0</v>
      </c>
      <c r="H306" s="26">
        <f>G306*'GWPs and Fuel EFs'!$C$7</f>
        <v>0</v>
      </c>
    </row>
    <row r="307" spans="1:8" x14ac:dyDescent="0.4">
      <c r="A307" s="44" t="s">
        <v>257</v>
      </c>
      <c r="B307" s="117" t="s">
        <v>258</v>
      </c>
      <c r="C307" s="118">
        <f>'GIS Heat Input'!E330</f>
        <v>4452809.8347150758</v>
      </c>
      <c r="D307" s="26">
        <f>C307*'GWPs and Fuel EFs'!$B$47</f>
        <v>890380611.27433848</v>
      </c>
      <c r="E307" s="26">
        <f>C307*'GWPs and Fuel EFs'!$B$82</f>
        <v>70680.710046033477</v>
      </c>
      <c r="F307" s="26">
        <f>E307*'GWPs and Fuel EFs'!$B$7</f>
        <v>1767017.7511508369</v>
      </c>
      <c r="G307" s="26">
        <f>C307*'GWPs and Fuel EFs'!$B$107</f>
        <v>35340.355023016738</v>
      </c>
      <c r="H307" s="26">
        <f>G307*'GWPs and Fuel EFs'!$C$7</f>
        <v>10531425.796858989</v>
      </c>
    </row>
    <row r="308" spans="1:8" x14ac:dyDescent="0.4">
      <c r="A308" s="44" t="s">
        <v>3975</v>
      </c>
      <c r="B308" s="117" t="s">
        <v>266</v>
      </c>
      <c r="C308" s="118">
        <f>'GIS Heat Input'!E331</f>
        <v>2889.1318405949401</v>
      </c>
      <c r="D308" s="26">
        <f>C308*'GWPs and Fuel EFs'!$B$51</f>
        <v>331657.02239132329</v>
      </c>
      <c r="E308" s="26">
        <f>C308*'GWPs and Fuel EFs'!$B$86</f>
        <v>20.382225305401086</v>
      </c>
      <c r="F308" s="26">
        <f>E308*'GWPs and Fuel EFs'!$B$7</f>
        <v>509.55563263502717</v>
      </c>
      <c r="G308" s="26">
        <f>C308*'GWPs and Fuel EFs'!$B$111</f>
        <v>4.0127506070008385</v>
      </c>
      <c r="H308" s="26">
        <f>G308*'GWPs and Fuel EFs'!$C$7</f>
        <v>1195.7996808862499</v>
      </c>
    </row>
    <row r="309" spans="1:8" x14ac:dyDescent="0.4">
      <c r="A309" s="537" t="s">
        <v>249</v>
      </c>
      <c r="B309" s="534"/>
      <c r="C309" s="534"/>
      <c r="D309" s="535">
        <f>SUM(D305:D308)</f>
        <v>919950242.0085907</v>
      </c>
      <c r="E309" s="534"/>
      <c r="F309" s="535">
        <f>SUM(F305:F308)</f>
        <v>1812448.3341879058</v>
      </c>
      <c r="G309" s="534"/>
      <c r="H309" s="535">
        <f>SUM(H305:H308)</f>
        <v>10638040.017601231</v>
      </c>
    </row>
    <row r="310" spans="1:8" x14ac:dyDescent="0.4">
      <c r="A310" s="465" t="s">
        <v>11</v>
      </c>
      <c r="D310" s="71"/>
      <c r="F310" s="26"/>
      <c r="G310" s="71"/>
    </row>
    <row r="312" spans="1:8" x14ac:dyDescent="0.4">
      <c r="A312" s="3" t="s">
        <v>4482</v>
      </c>
    </row>
    <row r="313" spans="1:8" x14ac:dyDescent="0.4">
      <c r="A313" s="3" t="s">
        <v>4505</v>
      </c>
    </row>
    <row r="314" spans="1:8" x14ac:dyDescent="0.4">
      <c r="A314" s="3" t="s">
        <v>4506</v>
      </c>
    </row>
    <row r="315" spans="1:8" x14ac:dyDescent="0.4">
      <c r="A315" s="3" t="s">
        <v>4507</v>
      </c>
    </row>
    <row r="316" spans="1:8" x14ac:dyDescent="0.4">
      <c r="A316" s="3" t="s">
        <v>4502</v>
      </c>
    </row>
    <row r="317" spans="1:8" x14ac:dyDescent="0.4">
      <c r="A317" s="3" t="s">
        <v>4503</v>
      </c>
    </row>
    <row r="318" spans="1:8" x14ac:dyDescent="0.4">
      <c r="A318" s="245" t="s">
        <v>4008</v>
      </c>
      <c r="B318" s="246"/>
      <c r="C318" s="247"/>
      <c r="D318" s="247"/>
      <c r="E318" s="247"/>
      <c r="F318" s="247"/>
      <c r="G318" s="247"/>
    </row>
    <row r="319" spans="1:8" x14ac:dyDescent="0.4">
      <c r="A319" s="104" t="s">
        <v>202</v>
      </c>
      <c r="B319" s="216" t="s">
        <v>33</v>
      </c>
      <c r="C319" s="413" t="s">
        <v>37</v>
      </c>
      <c r="D319" s="413" t="s">
        <v>34</v>
      </c>
      <c r="E319" s="413" t="s">
        <v>35</v>
      </c>
      <c r="F319" s="413" t="s">
        <v>38</v>
      </c>
      <c r="G319" s="413" t="s">
        <v>36</v>
      </c>
    </row>
    <row r="320" spans="1:8" x14ac:dyDescent="0.4">
      <c r="A320" s="200" t="s">
        <v>203</v>
      </c>
      <c r="B320" s="226">
        <f t="shared" ref="B320:G320" si="2">SUM(B321:B325)</f>
        <v>3294247634.762392</v>
      </c>
      <c r="C320" s="226">
        <f t="shared" si="2"/>
        <v>1683268822.2621293</v>
      </c>
      <c r="D320" s="226">
        <f t="shared" si="2"/>
        <v>204800453.76085722</v>
      </c>
      <c r="E320" s="226">
        <f t="shared" si="2"/>
        <v>11939337.860002883</v>
      </c>
      <c r="F320" s="226">
        <f t="shared" si="2"/>
        <v>1210086.8215037913</v>
      </c>
      <c r="G320" s="226">
        <f t="shared" si="2"/>
        <v>17885.601493825972</v>
      </c>
    </row>
    <row r="321" spans="1:14" x14ac:dyDescent="0.4">
      <c r="A321" s="459" t="s">
        <v>3970</v>
      </c>
      <c r="B321" s="542">
        <f>D335</f>
        <v>3163960636.0905905</v>
      </c>
      <c r="C321" s="542">
        <f>D353</f>
        <v>1624647528.2243028</v>
      </c>
      <c r="D321" s="542">
        <f>D370</f>
        <v>191075108.7595365</v>
      </c>
      <c r="E321" s="542">
        <f>D387</f>
        <v>0</v>
      </c>
      <c r="F321" s="542">
        <f>D404</f>
        <v>0</v>
      </c>
      <c r="G321" s="542">
        <f>D421</f>
        <v>0</v>
      </c>
    </row>
    <row r="322" spans="1:14" x14ac:dyDescent="0.4">
      <c r="A322" s="459" t="s">
        <v>206</v>
      </c>
      <c r="B322" s="542">
        <f>F335</f>
        <v>27907039.789112151</v>
      </c>
      <c r="C322" s="542">
        <f>F353</f>
        <v>11925081.898340045</v>
      </c>
      <c r="D322" s="542">
        <f>F370</f>
        <v>1685337.2327191755</v>
      </c>
      <c r="E322" s="542">
        <f>F387</f>
        <v>0</v>
      </c>
      <c r="F322" s="542">
        <f>F404</f>
        <v>0</v>
      </c>
      <c r="G322" s="542">
        <f>F421</f>
        <v>0</v>
      </c>
    </row>
    <row r="323" spans="1:14" x14ac:dyDescent="0.4">
      <c r="A323" s="459" t="s">
        <v>207</v>
      </c>
      <c r="B323" s="542">
        <f>H335</f>
        <v>43660563.750065953</v>
      </c>
      <c r="C323" s="542">
        <f>H353</f>
        <v>18656790.629952997</v>
      </c>
      <c r="D323" s="542">
        <f>H370</f>
        <v>2636710.1005891496</v>
      </c>
      <c r="E323" s="542">
        <f>H387</f>
        <v>0</v>
      </c>
      <c r="F323" s="542">
        <f>H404</f>
        <v>0</v>
      </c>
      <c r="G323" s="542">
        <f>H421</f>
        <v>0</v>
      </c>
    </row>
    <row r="324" spans="1:14" x14ac:dyDescent="0.4">
      <c r="A324" s="459" t="s">
        <v>208</v>
      </c>
      <c r="B324" s="542">
        <f>F344</f>
        <v>22881963.074790124</v>
      </c>
      <c r="C324" s="542">
        <f>F362</f>
        <v>10194594.644607382</v>
      </c>
      <c r="D324" s="542">
        <f>F379</f>
        <v>2221867.2901275815</v>
      </c>
      <c r="E324" s="542">
        <f>F396</f>
        <v>1729387.0190382218</v>
      </c>
      <c r="F324" s="542">
        <f>F413</f>
        <v>361570.72428588668</v>
      </c>
      <c r="G324" s="542">
        <f>F430</f>
        <v>5344.1701632407476</v>
      </c>
    </row>
    <row r="325" spans="1:14" x14ac:dyDescent="0.4">
      <c r="A325" s="459" t="s">
        <v>209</v>
      </c>
      <c r="B325" s="542">
        <f>H344</f>
        <v>35837432.057833761</v>
      </c>
      <c r="C325" s="542">
        <f>H362</f>
        <v>17844826.86492642</v>
      </c>
      <c r="D325" s="542">
        <f>H379</f>
        <v>7181430.3778848117</v>
      </c>
      <c r="E325" s="542">
        <f>H396</f>
        <v>10209950.840964662</v>
      </c>
      <c r="F325" s="542">
        <f>H413</f>
        <v>848516.09721790452</v>
      </c>
      <c r="G325" s="542">
        <f>H430</f>
        <v>12541.431330585225</v>
      </c>
    </row>
    <row r="326" spans="1:14" x14ac:dyDescent="0.4">
      <c r="A326" s="104" t="s">
        <v>50</v>
      </c>
      <c r="B326" s="226">
        <f>D344</f>
        <v>2139568575.7888746</v>
      </c>
      <c r="C326" s="226">
        <f>D362</f>
        <v>1122384381.1967781</v>
      </c>
      <c r="D326" s="226">
        <f>D379</f>
        <v>552039591.05844057</v>
      </c>
      <c r="E326" s="226">
        <f>D396</f>
        <v>875372804.14111125</v>
      </c>
      <c r="F326" s="226">
        <f>D413</f>
        <v>235337345.1695765</v>
      </c>
      <c r="G326" s="226">
        <f>D430</f>
        <v>3478386.7549993219</v>
      </c>
    </row>
    <row r="327" spans="1:14" x14ac:dyDescent="0.4">
      <c r="A327" s="459" t="s">
        <v>11</v>
      </c>
      <c r="B327" s="226"/>
      <c r="C327" s="226"/>
      <c r="D327" s="226"/>
      <c r="E327" s="226"/>
      <c r="F327" s="226"/>
      <c r="G327" s="538"/>
    </row>
    <row r="329" spans="1:14" x14ac:dyDescent="0.4">
      <c r="A329" s="4" t="s">
        <v>4009</v>
      </c>
    </row>
    <row r="330" spans="1:14" x14ac:dyDescent="0.4">
      <c r="A330" s="248" t="s">
        <v>212</v>
      </c>
      <c r="B330" s="249" t="s">
        <v>213</v>
      </c>
      <c r="C330" s="248" t="s">
        <v>3973</v>
      </c>
      <c r="D330" s="248" t="s">
        <v>216</v>
      </c>
      <c r="E330" s="248" t="s">
        <v>217</v>
      </c>
      <c r="F330" s="248" t="s">
        <v>218</v>
      </c>
      <c r="G330" s="248" t="s">
        <v>219</v>
      </c>
      <c r="H330" s="248" t="s">
        <v>220</v>
      </c>
      <c r="K330" s="37"/>
      <c r="M330" s="37"/>
      <c r="N330" s="37"/>
    </row>
    <row r="331" spans="1:14" x14ac:dyDescent="0.4">
      <c r="A331" s="44" t="s">
        <v>3996</v>
      </c>
      <c r="B331" s="117" t="s">
        <v>226</v>
      </c>
      <c r="C331" s="118">
        <f>'GIS CO2e'!B438+'GIS CO2e'!B448</f>
        <v>0</v>
      </c>
      <c r="D331" s="26">
        <f>C331*'GWPs and Fuel EFs'!$B$25</f>
        <v>0</v>
      </c>
      <c r="E331" s="26">
        <f>C331*'GWPs and Fuel EFs'!$B$68</f>
        <v>0</v>
      </c>
      <c r="F331" s="26">
        <f>E331*'GWPs and Fuel EFs'!$B$7</f>
        <v>0</v>
      </c>
      <c r="G331" s="26">
        <f>C331*'GWPs and Fuel EFs'!$B$93</f>
        <v>0</v>
      </c>
      <c r="H331" s="26">
        <f>G331*'GWPs and Fuel EFs'!$C$7</f>
        <v>0</v>
      </c>
    </row>
    <row r="332" spans="1:14" x14ac:dyDescent="0.4">
      <c r="A332" s="44" t="s">
        <v>270</v>
      </c>
      <c r="B332" s="117" t="s">
        <v>228</v>
      </c>
      <c r="C332" s="118">
        <f>'GIS CO2e'!B446</f>
        <v>0</v>
      </c>
      <c r="D332" s="26">
        <f>C332*'GWPs and Fuel EFs'!$B$26</f>
        <v>0</v>
      </c>
      <c r="E332" s="26">
        <f>C332*'GWPs and Fuel EFs'!$B$69</f>
        <v>0</v>
      </c>
      <c r="F332" s="26">
        <f>E332*'GWPs and Fuel EFs'!$B$7</f>
        <v>0</v>
      </c>
      <c r="G332" s="26">
        <f>C332*'GWPs and Fuel EFs'!$B$94</f>
        <v>0</v>
      </c>
      <c r="H332" s="26">
        <f>G332*'GWPs and Fuel EFs'!$C$7</f>
        <v>0</v>
      </c>
    </row>
    <row r="333" spans="1:14" x14ac:dyDescent="0.4">
      <c r="A333" s="44" t="s">
        <v>229</v>
      </c>
      <c r="B333" s="117" t="s">
        <v>230</v>
      </c>
      <c r="C333" s="118">
        <f>('GIS CO2e'!B445+'GIS CO2e'!B450)*'GIS Heat Input'!F272</f>
        <v>15823025.410303643</v>
      </c>
      <c r="D333" s="26">
        <f>C333*'GWPs and Fuel EFs'!$B$27</f>
        <v>3163960636.0905905</v>
      </c>
      <c r="E333" s="26">
        <f>C333*'GWPs and Fuel EFs'!$B$70</f>
        <v>1116281.591564486</v>
      </c>
      <c r="F333" s="26">
        <f>E333*'GWPs and Fuel EFs'!$B$7</f>
        <v>27907039.789112151</v>
      </c>
      <c r="G333" s="26">
        <f>C333*'GWPs and Fuel EFs'!$B$95</f>
        <v>146511.95889283877</v>
      </c>
      <c r="H333" s="26">
        <f>G333*'GWPs and Fuel EFs'!$C$7</f>
        <v>43660563.750065953</v>
      </c>
    </row>
    <row r="334" spans="1:14" x14ac:dyDescent="0.4">
      <c r="A334" s="44" t="s">
        <v>247</v>
      </c>
      <c r="B334" s="47" t="s">
        <v>248</v>
      </c>
      <c r="C334" s="26" t="s">
        <v>4490</v>
      </c>
      <c r="D334" s="26">
        <f>GIS!E72*'GWPs and Fuel EFs'!$B$56</f>
        <v>0</v>
      </c>
      <c r="E334" s="26"/>
      <c r="G334" s="26"/>
    </row>
    <row r="335" spans="1:14" x14ac:dyDescent="0.4">
      <c r="A335" s="537" t="s">
        <v>249</v>
      </c>
      <c r="B335" s="534"/>
      <c r="C335" s="534"/>
      <c r="D335" s="535">
        <f>SUM(D331:D334)</f>
        <v>3163960636.0905905</v>
      </c>
      <c r="E335" s="534"/>
      <c r="F335" s="535">
        <f>SUM(F331:F334)</f>
        <v>27907039.789112151</v>
      </c>
      <c r="G335" s="535"/>
      <c r="H335" s="535">
        <f>SUM(H331:H334)</f>
        <v>43660563.750065953</v>
      </c>
    </row>
    <row r="336" spans="1:14" x14ac:dyDescent="0.4">
      <c r="A336" s="465" t="s">
        <v>11</v>
      </c>
    </row>
    <row r="338" spans="1:14" x14ac:dyDescent="0.4">
      <c r="A338" s="4" t="s">
        <v>4010</v>
      </c>
    </row>
    <row r="339" spans="1:14" x14ac:dyDescent="0.4">
      <c r="A339" s="248" t="s">
        <v>212</v>
      </c>
      <c r="B339" s="249" t="s">
        <v>213</v>
      </c>
      <c r="C339" s="248" t="s">
        <v>3973</v>
      </c>
      <c r="D339" s="248" t="s">
        <v>216</v>
      </c>
      <c r="E339" s="248" t="s">
        <v>217</v>
      </c>
      <c r="F339" s="248" t="s">
        <v>218</v>
      </c>
      <c r="G339" s="248" t="s">
        <v>219</v>
      </c>
      <c r="H339" s="248" t="s">
        <v>220</v>
      </c>
      <c r="K339" s="37"/>
      <c r="M339" s="37"/>
      <c r="N339" s="37"/>
    </row>
    <row r="340" spans="1:14" x14ac:dyDescent="0.4">
      <c r="A340" s="44" t="s">
        <v>251</v>
      </c>
      <c r="B340" s="117" t="s">
        <v>252</v>
      </c>
      <c r="C340" s="118">
        <f>'GIS CO2e'!B444</f>
        <v>279786.52548447542</v>
      </c>
      <c r="D340" s="26">
        <f>C340*'GWPs and Fuel EFs'!$B$44</f>
        <v>32118010.207622409</v>
      </c>
      <c r="E340" s="26">
        <f>C340*'GWPs and Fuel EFs'!$B$79</f>
        <v>1973.8358491336992</v>
      </c>
      <c r="F340" s="26">
        <f>E340*'GWPs and Fuel EFs'!$B$7</f>
        <v>49345.896228342477</v>
      </c>
      <c r="G340" s="26">
        <f>C340*'GWPs and Fuel EFs'!$B$104</f>
        <v>388.59893279819698</v>
      </c>
      <c r="H340" s="26">
        <f>G340*'GWPs and Fuel EFs'!$C$7</f>
        <v>115802.4819738627</v>
      </c>
    </row>
    <row r="341" spans="1:14" x14ac:dyDescent="0.4">
      <c r="A341" s="44" t="s">
        <v>253</v>
      </c>
      <c r="B341" s="117" t="s">
        <v>254</v>
      </c>
      <c r="C341" s="118">
        <f>('GIS CO2e'!B445+'GIS CO2e'!B450)*'GIS Heat Input'!F274</f>
        <v>12945876.185014479</v>
      </c>
      <c r="D341" s="26">
        <f>C341*'GWPs and Fuel EFs'!$B$45</f>
        <v>2107450565.5812521</v>
      </c>
      <c r="E341" s="26">
        <f>C341*'GWPs and Fuel EFs'!$B$80</f>
        <v>913304.6871424712</v>
      </c>
      <c r="F341" s="26">
        <f>E341*'GWPs and Fuel EFs'!$B$7</f>
        <v>22832617.178561781</v>
      </c>
      <c r="G341" s="26">
        <f>C341*'GWPs and Fuel EFs'!$B$105</f>
        <v>119871.24018744932</v>
      </c>
      <c r="H341" s="26">
        <f>G341*'GWPs and Fuel EFs'!$C$7</f>
        <v>35721629.575859897</v>
      </c>
    </row>
    <row r="342" spans="1:14" x14ac:dyDescent="0.4">
      <c r="A342" s="44" t="s">
        <v>257</v>
      </c>
      <c r="B342" s="117" t="s">
        <v>258</v>
      </c>
      <c r="C342" s="118">
        <f>'GIS CO2e'!B436+'GIS CO2e'!B452</f>
        <v>0</v>
      </c>
      <c r="D342" s="26">
        <f>C342*'GWPs and Fuel EFs'!$B$47</f>
        <v>0</v>
      </c>
      <c r="E342" s="26">
        <f>C342*'GWPs and Fuel EFs'!$B$82</f>
        <v>0</v>
      </c>
      <c r="F342" s="26">
        <f>E342*'GWPs and Fuel EFs'!$B$7</f>
        <v>0</v>
      </c>
      <c r="G342" s="26">
        <f>C342*'GWPs and Fuel EFs'!$B$107</f>
        <v>0</v>
      </c>
      <c r="H342" s="26">
        <f>G342*'GWPs and Fuel EFs'!$C$7</f>
        <v>0</v>
      </c>
    </row>
    <row r="343" spans="1:14" x14ac:dyDescent="0.4">
      <c r="A343" s="44" t="s">
        <v>3975</v>
      </c>
      <c r="B343" s="117" t="s">
        <v>266</v>
      </c>
      <c r="C343" s="118">
        <f>'GIS CO2e'!B435+'GIS CO2e'!B439</f>
        <v>0</v>
      </c>
      <c r="D343" s="26">
        <f>C343*'GWPs and Fuel EFs'!$B$51</f>
        <v>0</v>
      </c>
      <c r="E343" s="26">
        <f>C343*'GWPs and Fuel EFs'!$B$86</f>
        <v>0</v>
      </c>
      <c r="F343" s="26">
        <f>E343*'GWPs and Fuel EFs'!$B$7</f>
        <v>0</v>
      </c>
      <c r="G343" s="26">
        <f>C343*'GWPs and Fuel EFs'!$B$111</f>
        <v>0</v>
      </c>
      <c r="H343" s="26">
        <f>G343*'GWPs and Fuel EFs'!$C$7</f>
        <v>0</v>
      </c>
    </row>
    <row r="344" spans="1:14" x14ac:dyDescent="0.4">
      <c r="A344" s="537" t="s">
        <v>249</v>
      </c>
      <c r="B344" s="543"/>
      <c r="C344" s="543"/>
      <c r="D344" s="544">
        <f>SUM(D340:D343)</f>
        <v>2139568575.7888746</v>
      </c>
      <c r="E344" s="543"/>
      <c r="F344" s="544">
        <f>SUM(F340:F343)</f>
        <v>22881963.074790124</v>
      </c>
      <c r="G344" s="543"/>
      <c r="H344" s="544">
        <f>SUM(H340:H343)</f>
        <v>35837432.057833761</v>
      </c>
    </row>
    <row r="345" spans="1:14" x14ac:dyDescent="0.4">
      <c r="A345" s="465" t="s">
        <v>11</v>
      </c>
    </row>
    <row r="347" spans="1:14" x14ac:dyDescent="0.4">
      <c r="A347" s="4" t="s">
        <v>4011</v>
      </c>
    </row>
    <row r="348" spans="1:14" x14ac:dyDescent="0.4">
      <c r="A348" s="248" t="s">
        <v>212</v>
      </c>
      <c r="B348" s="249" t="s">
        <v>213</v>
      </c>
      <c r="C348" s="248" t="s">
        <v>3973</v>
      </c>
      <c r="D348" s="248" t="s">
        <v>216</v>
      </c>
      <c r="E348" s="248" t="s">
        <v>217</v>
      </c>
      <c r="F348" s="248" t="s">
        <v>218</v>
      </c>
      <c r="G348" s="248" t="s">
        <v>219</v>
      </c>
      <c r="H348" s="248" t="s">
        <v>220</v>
      </c>
      <c r="K348" s="37"/>
      <c r="M348" s="37"/>
      <c r="N348" s="37"/>
    </row>
    <row r="349" spans="1:14" x14ac:dyDescent="0.4">
      <c r="A349" s="44" t="s">
        <v>3996</v>
      </c>
      <c r="B349" s="117" t="s">
        <v>226</v>
      </c>
      <c r="C349" s="118">
        <f>'GIS CO2e'!C438+'GIS CO2e'!C448</f>
        <v>0</v>
      </c>
      <c r="D349" s="26">
        <f>C349*'GWPs and Fuel EFs'!$B$25</f>
        <v>0</v>
      </c>
      <c r="E349" s="26">
        <f>C349*'GWPs and Fuel EFs'!$B$68</f>
        <v>0</v>
      </c>
      <c r="F349" s="26">
        <f>E349*'GWPs and Fuel EFs'!$B$7</f>
        <v>0</v>
      </c>
      <c r="G349" s="26">
        <f>C349*'GWPs and Fuel EFs'!$B$93</f>
        <v>0</v>
      </c>
      <c r="H349" s="26">
        <f>G349*'GWPs and Fuel EFs'!$C$7</f>
        <v>0</v>
      </c>
    </row>
    <row r="350" spans="1:14" x14ac:dyDescent="0.4">
      <c r="A350" s="44" t="s">
        <v>270</v>
      </c>
      <c r="B350" s="117" t="s">
        <v>228</v>
      </c>
      <c r="C350" s="118">
        <f>'GIS CO2e'!C446</f>
        <v>0</v>
      </c>
      <c r="D350" s="26">
        <f>C350*'GWPs and Fuel EFs'!$B$26</f>
        <v>0</v>
      </c>
      <c r="E350" s="26">
        <f>C350*'GWPs and Fuel EFs'!$B$69</f>
        <v>0</v>
      </c>
      <c r="F350" s="26">
        <f>E350*'GWPs and Fuel EFs'!$B$7</f>
        <v>0</v>
      </c>
      <c r="G350" s="26">
        <f>C350*'GWPs and Fuel EFs'!$B$94</f>
        <v>0</v>
      </c>
      <c r="H350" s="26">
        <f>G350*'GWPs and Fuel EFs'!$C$7</f>
        <v>0</v>
      </c>
    </row>
    <row r="351" spans="1:14" x14ac:dyDescent="0.4">
      <c r="A351" s="44" t="s">
        <v>229</v>
      </c>
      <c r="B351" s="117" t="s">
        <v>230</v>
      </c>
      <c r="C351" s="118">
        <f>('GIS CO2e'!C445+'GIS CO2e'!C450)*'GIS Heat Input'!F283</f>
        <v>6761407.7065602532</v>
      </c>
      <c r="D351" s="26">
        <f>C351*'GWPs and Fuel EFs'!$B$27</f>
        <v>1352006160.2243028</v>
      </c>
      <c r="E351" s="26">
        <f>C351*'GWPs and Fuel EFs'!$B$70</f>
        <v>477003.27593360178</v>
      </c>
      <c r="F351" s="26">
        <f>E351*'GWPs and Fuel EFs'!$B$7</f>
        <v>11925081.898340045</v>
      </c>
      <c r="G351" s="26">
        <f>C351*'GWPs and Fuel EFs'!$B$95</f>
        <v>62606.679966285228</v>
      </c>
      <c r="H351" s="26">
        <f>G351*'GWPs and Fuel EFs'!$C$7</f>
        <v>18656790.629952997</v>
      </c>
    </row>
    <row r="352" spans="1:14" x14ac:dyDescent="0.4">
      <c r="A352" s="44" t="s">
        <v>247</v>
      </c>
      <c r="B352" s="47" t="s">
        <v>248</v>
      </c>
      <c r="C352" s="26" t="s">
        <v>4491</v>
      </c>
      <c r="D352" s="26">
        <f>GIS!B49*'GWPs and Fuel EFs'!$B$56</f>
        <v>272641368</v>
      </c>
      <c r="E352" s="26"/>
      <c r="K352" s="412"/>
      <c r="L352" s="47"/>
      <c r="M352" s="412"/>
      <c r="N352" s="412"/>
    </row>
    <row r="353" spans="1:15" x14ac:dyDescent="0.4">
      <c r="A353" s="537" t="s">
        <v>249</v>
      </c>
      <c r="B353" s="543"/>
      <c r="C353" s="543"/>
      <c r="D353" s="544">
        <f>SUM(D349:D352)</f>
        <v>1624647528.2243028</v>
      </c>
      <c r="E353" s="543"/>
      <c r="F353" s="544">
        <f>SUM(F349:F352)</f>
        <v>11925081.898340045</v>
      </c>
      <c r="G353" s="544"/>
      <c r="H353" s="544">
        <f>SUM(H349:H352)</f>
        <v>18656790.629952997</v>
      </c>
      <c r="K353" s="412"/>
      <c r="L353" s="47"/>
      <c r="M353" s="412"/>
      <c r="N353" s="412"/>
    </row>
    <row r="354" spans="1:15" x14ac:dyDescent="0.4">
      <c r="A354" s="465" t="s">
        <v>11</v>
      </c>
      <c r="B354" s="19"/>
      <c r="C354" s="24"/>
      <c r="D354" s="19"/>
      <c r="E354" s="19"/>
      <c r="F354" s="19"/>
      <c r="H354" s="19"/>
      <c r="I354" s="39"/>
      <c r="J354" s="19"/>
      <c r="K354" s="19"/>
      <c r="L354" s="39"/>
      <c r="M354" s="19"/>
      <c r="N354" s="19"/>
    </row>
    <row r="355" spans="1:15" x14ac:dyDescent="0.4">
      <c r="A355" s="37"/>
      <c r="D355" s="37"/>
      <c r="E355" s="37"/>
      <c r="F355" s="37"/>
      <c r="J355" s="24"/>
      <c r="K355" s="24"/>
      <c r="M355" s="24"/>
      <c r="N355" s="24"/>
    </row>
    <row r="356" spans="1:15" x14ac:dyDescent="0.4">
      <c r="A356" s="4" t="s">
        <v>4012</v>
      </c>
    </row>
    <row r="357" spans="1:15" x14ac:dyDescent="0.4">
      <c r="A357" s="248" t="s">
        <v>212</v>
      </c>
      <c r="B357" s="249" t="s">
        <v>213</v>
      </c>
      <c r="C357" s="248" t="s">
        <v>3973</v>
      </c>
      <c r="D357" s="248" t="s">
        <v>216</v>
      </c>
      <c r="E357" s="248" t="s">
        <v>217</v>
      </c>
      <c r="F357" s="248" t="s">
        <v>218</v>
      </c>
      <c r="G357" s="248" t="s">
        <v>219</v>
      </c>
      <c r="H357" s="248" t="s">
        <v>220</v>
      </c>
      <c r="K357" s="37"/>
      <c r="M357" s="37"/>
      <c r="N357" s="37"/>
    </row>
    <row r="358" spans="1:15" x14ac:dyDescent="0.4">
      <c r="A358" s="44" t="s">
        <v>251</v>
      </c>
      <c r="B358" s="117" t="s">
        <v>252</v>
      </c>
      <c r="C358" s="118">
        <f>'GIS CO2e'!C444</f>
        <v>46053.687195767197</v>
      </c>
      <c r="D358" s="26">
        <f>C358*'GWPs and Fuel EFs'!$B$44</f>
        <v>5286719.1973988554</v>
      </c>
      <c r="E358" s="26">
        <f>C358*'GWPs and Fuel EFs'!$B$79</f>
        <v>324.89920168381673</v>
      </c>
      <c r="F358" s="26">
        <f>E358*'GWPs and Fuel EFs'!$B$7</f>
        <v>8122.480042095418</v>
      </c>
      <c r="G358" s="26">
        <f>C358*'GWPs and Fuel EFs'!$B$104</f>
        <v>63.964530331501415</v>
      </c>
      <c r="H358" s="26">
        <f>G358*'GWPs and Fuel EFs'!$C$7</f>
        <v>19061.430038787421</v>
      </c>
    </row>
    <row r="359" spans="1:15" x14ac:dyDescent="0.4">
      <c r="A359" s="44" t="s">
        <v>253</v>
      </c>
      <c r="B359" s="117" t="s">
        <v>254</v>
      </c>
      <c r="C359" s="118">
        <f>('GIS CO2e'!C445+'GIS CO2e'!C450)*'GIS Heat Input'!F285</f>
        <v>5531960.212143275</v>
      </c>
      <c r="D359" s="26">
        <f>C359*'GWPs and Fuel EFs'!$B$45</f>
        <v>900544120.09203756</v>
      </c>
      <c r="E359" s="26">
        <f>C359*'GWPs and Fuel EFs'!$B$80</f>
        <v>390268.30773219402</v>
      </c>
      <c r="F359" s="26">
        <f>E359*'GWPs and Fuel EFs'!$B$7</f>
        <v>9756707.6933048498</v>
      </c>
      <c r="G359" s="26">
        <f>C359*'GWPs and Fuel EFs'!$B$105</f>
        <v>51222.715389850455</v>
      </c>
      <c r="H359" s="26">
        <f>G359*'GWPs and Fuel EFs'!$C$7</f>
        <v>15264369.186175436</v>
      </c>
    </row>
    <row r="360" spans="1:15" x14ac:dyDescent="0.4">
      <c r="A360" s="44" t="s">
        <v>257</v>
      </c>
      <c r="B360" s="117" t="s">
        <v>258</v>
      </c>
      <c r="C360" s="118">
        <f>'GIS CO2e'!C436+'GIS CO2e'!C452</f>
        <v>1082988.2512460607</v>
      </c>
      <c r="D360" s="26">
        <f>C360*'GWPs and Fuel EFs'!$B$47</f>
        <v>216553541.90734169</v>
      </c>
      <c r="E360" s="26">
        <f>C360*'GWPs and Fuel EFs'!$B$82</f>
        <v>17190.57885041742</v>
      </c>
      <c r="F360" s="26">
        <f>E360*'GWPs and Fuel EFs'!$B$7</f>
        <v>429764.47126043547</v>
      </c>
      <c r="G360" s="26">
        <f>C360*'GWPs and Fuel EFs'!$B$107</f>
        <v>8595.2894252087099</v>
      </c>
      <c r="H360" s="26">
        <f>G360*'GWPs and Fuel EFs'!$C$7</f>
        <v>2561396.2487121955</v>
      </c>
    </row>
    <row r="361" spans="1:15" x14ac:dyDescent="0.4">
      <c r="A361" s="44" t="s">
        <v>3975</v>
      </c>
      <c r="B361" s="117" t="s">
        <v>266</v>
      </c>
      <c r="C361" s="118">
        <f>'GIS CO2e'!C435+'GIS CO2e'!C439</f>
        <v>0</v>
      </c>
      <c r="D361" s="26">
        <f>C361*'GWPs and Fuel EFs'!$B$51</f>
        <v>0</v>
      </c>
      <c r="E361" s="26">
        <f>C361*'GWPs and Fuel EFs'!$B$86</f>
        <v>0</v>
      </c>
      <c r="F361" s="26">
        <f>E361*'GWPs and Fuel EFs'!$B$7</f>
        <v>0</v>
      </c>
      <c r="G361" s="26">
        <f>C361*'GWPs and Fuel EFs'!$B$111</f>
        <v>0</v>
      </c>
      <c r="H361" s="26">
        <f>G361*'GWPs and Fuel EFs'!$C$7</f>
        <v>0</v>
      </c>
    </row>
    <row r="362" spans="1:15" x14ac:dyDescent="0.4">
      <c r="A362" s="537" t="s">
        <v>249</v>
      </c>
      <c r="B362" s="543"/>
      <c r="C362" s="543"/>
      <c r="D362" s="544">
        <f>SUM(D358:D361)</f>
        <v>1122384381.1967781</v>
      </c>
      <c r="E362" s="543"/>
      <c r="F362" s="544">
        <f>SUM(F358:F361)</f>
        <v>10194594.644607382</v>
      </c>
      <c r="G362" s="543"/>
      <c r="H362" s="544">
        <f>SUM(H358:H361)</f>
        <v>17844826.86492642</v>
      </c>
      <c r="K362" s="71"/>
      <c r="M362" s="26"/>
      <c r="N362" s="71"/>
    </row>
    <row r="363" spans="1:15" x14ac:dyDescent="0.4">
      <c r="A363" s="465" t="s">
        <v>11</v>
      </c>
    </row>
    <row r="364" spans="1:15" x14ac:dyDescent="0.4">
      <c r="A364" s="44"/>
      <c r="B364" s="119"/>
    </row>
    <row r="365" spans="1:15" x14ac:dyDescent="0.4">
      <c r="A365" s="4" t="s">
        <v>4013</v>
      </c>
    </row>
    <row r="366" spans="1:15" x14ac:dyDescent="0.4">
      <c r="A366" s="248" t="s">
        <v>212</v>
      </c>
      <c r="B366" s="249" t="s">
        <v>213</v>
      </c>
      <c r="C366" s="248" t="s">
        <v>3973</v>
      </c>
      <c r="D366" s="248" t="s">
        <v>216</v>
      </c>
      <c r="E366" s="248" t="s">
        <v>217</v>
      </c>
      <c r="F366" s="248" t="s">
        <v>218</v>
      </c>
      <c r="G366" s="248" t="s">
        <v>219</v>
      </c>
      <c r="H366" s="248" t="s">
        <v>220</v>
      </c>
      <c r="K366" s="37"/>
      <c r="M366" s="37"/>
      <c r="N366" s="37"/>
    </row>
    <row r="367" spans="1:15" x14ac:dyDescent="0.4">
      <c r="A367" s="44" t="s">
        <v>3996</v>
      </c>
      <c r="B367" s="117" t="s">
        <v>226</v>
      </c>
      <c r="C367" s="118">
        <f>'GIS CO2e'!D438+'GIS CO2e'!D448</f>
        <v>0</v>
      </c>
      <c r="D367" s="26">
        <f>C367*'GWPs and Fuel EFs'!$B$25</f>
        <v>0</v>
      </c>
      <c r="E367" s="26">
        <f>C367*'GWPs and Fuel EFs'!$B$68</f>
        <v>0</v>
      </c>
      <c r="F367" s="26">
        <f>E367*'GWPs and Fuel EFs'!$B$7</f>
        <v>0</v>
      </c>
      <c r="G367" s="26">
        <f>C367*'GWPs and Fuel EFs'!$B$93</f>
        <v>0</v>
      </c>
      <c r="H367" s="26">
        <f>G367*'GWPs and Fuel EFs'!$C$7</f>
        <v>0</v>
      </c>
    </row>
    <row r="368" spans="1:15" x14ac:dyDescent="0.4">
      <c r="A368" s="44" t="s">
        <v>270</v>
      </c>
      <c r="B368" s="117" t="s">
        <v>228</v>
      </c>
      <c r="C368" s="118">
        <f>'GIS CO2e'!D446</f>
        <v>0</v>
      </c>
      <c r="D368" s="26">
        <f>C368*'GWPs and Fuel EFs'!$B$26</f>
        <v>0</v>
      </c>
      <c r="E368" s="26">
        <f>C368*'GWPs and Fuel EFs'!$B$69</f>
        <v>0</v>
      </c>
      <c r="F368" s="26">
        <f>E368*'GWPs and Fuel EFs'!$B$7</f>
        <v>0</v>
      </c>
      <c r="G368" s="26">
        <f>C368*'GWPs and Fuel EFs'!$B$94</f>
        <v>0</v>
      </c>
      <c r="H368" s="26">
        <f>G368*'GWPs and Fuel EFs'!$C$7</f>
        <v>0</v>
      </c>
      <c r="O368" s="24"/>
    </row>
    <row r="369" spans="1:14" x14ac:dyDescent="0.4">
      <c r="A369" s="44" t="s">
        <v>229</v>
      </c>
      <c r="B369" s="117" t="s">
        <v>230</v>
      </c>
      <c r="C369" s="118">
        <f>('GIS CO2e'!D445+'GIS CO2e'!D450)*'GIS Heat Input'!F294</f>
        <v>955570.13784924755</v>
      </c>
      <c r="D369" s="26">
        <f>C369*'GWPs and Fuel EFs'!$B$27</f>
        <v>191075108.7595365</v>
      </c>
      <c r="E369" s="26">
        <f>C369*'GWPs and Fuel EFs'!$B$70</f>
        <v>67413.489308767021</v>
      </c>
      <c r="F369" s="26">
        <f>E369*'GWPs and Fuel EFs'!$B$7</f>
        <v>1685337.2327191755</v>
      </c>
      <c r="G369" s="26">
        <f>C369*'GWPs and Fuel EFs'!$B$95</f>
        <v>8848.0204717756696</v>
      </c>
      <c r="H369" s="26">
        <f>G369*'GWPs and Fuel EFs'!$C$7</f>
        <v>2636710.1005891496</v>
      </c>
    </row>
    <row r="370" spans="1:14" x14ac:dyDescent="0.4">
      <c r="A370" s="463" t="s">
        <v>249</v>
      </c>
      <c r="B370" s="540"/>
      <c r="C370" s="540"/>
      <c r="D370" s="541">
        <f>SUM(D367:D369)</f>
        <v>191075108.7595365</v>
      </c>
      <c r="E370" s="540"/>
      <c r="F370" s="541">
        <f>SUM(F367:F369)</f>
        <v>1685337.2327191755</v>
      </c>
      <c r="G370" s="540"/>
      <c r="H370" s="541">
        <f>SUM(H367:H369)</f>
        <v>2636710.1005891496</v>
      </c>
      <c r="K370" s="71"/>
      <c r="M370" s="26"/>
      <c r="N370" s="71"/>
    </row>
    <row r="371" spans="1:14" x14ac:dyDescent="0.4">
      <c r="A371" s="465" t="s">
        <v>11</v>
      </c>
      <c r="B371" s="412"/>
      <c r="D371" s="412"/>
      <c r="E371" s="412"/>
      <c r="F371" s="412"/>
      <c r="H371" s="412"/>
      <c r="J371" s="412"/>
      <c r="K371" s="412"/>
      <c r="M371" s="412"/>
      <c r="N371" s="412"/>
    </row>
    <row r="372" spans="1:14" x14ac:dyDescent="0.4">
      <c r="A372" s="412"/>
      <c r="B372" s="412"/>
      <c r="D372" s="412"/>
      <c r="E372" s="412"/>
      <c r="F372" s="412"/>
      <c r="H372" s="412"/>
      <c r="J372" s="412"/>
      <c r="K372" s="412"/>
      <c r="M372" s="412"/>
      <c r="N372" s="412"/>
    </row>
    <row r="373" spans="1:14" x14ac:dyDescent="0.4">
      <c r="A373" s="4" t="s">
        <v>4014</v>
      </c>
    </row>
    <row r="374" spans="1:14" x14ac:dyDescent="0.4">
      <c r="A374" s="248" t="s">
        <v>212</v>
      </c>
      <c r="B374" s="249" t="s">
        <v>213</v>
      </c>
      <c r="C374" s="248" t="s">
        <v>3973</v>
      </c>
      <c r="D374" s="248" t="s">
        <v>216</v>
      </c>
      <c r="E374" s="248" t="s">
        <v>217</v>
      </c>
      <c r="F374" s="248" t="s">
        <v>218</v>
      </c>
      <c r="G374" s="248" t="s">
        <v>219</v>
      </c>
      <c r="H374" s="248" t="s">
        <v>220</v>
      </c>
      <c r="K374" s="37"/>
      <c r="M374" s="37"/>
      <c r="N374" s="37"/>
    </row>
    <row r="375" spans="1:14" x14ac:dyDescent="0.4">
      <c r="A375" s="44" t="s">
        <v>251</v>
      </c>
      <c r="B375" s="117" t="s">
        <v>252</v>
      </c>
      <c r="C375" s="118">
        <f>'GIS CO2e'!D444</f>
        <v>0</v>
      </c>
      <c r="D375" s="26">
        <f>C375*'GWPs and Fuel EFs'!$B$44</f>
        <v>0</v>
      </c>
      <c r="E375" s="26">
        <f>C375*'GWPs and Fuel EFs'!$B$79</f>
        <v>0</v>
      </c>
      <c r="F375" s="26">
        <f>E375*'GWPs and Fuel EFs'!$B$7</f>
        <v>0</v>
      </c>
      <c r="G375" s="26">
        <f>C375*'GWPs and Fuel EFs'!$B$104</f>
        <v>0</v>
      </c>
      <c r="H375" s="26">
        <f>G375*'GWPs and Fuel EFs'!$C$7</f>
        <v>0</v>
      </c>
    </row>
    <row r="376" spans="1:14" x14ac:dyDescent="0.4">
      <c r="A376" s="44" t="s">
        <v>253</v>
      </c>
      <c r="B376" s="117" t="s">
        <v>254</v>
      </c>
      <c r="C376" s="118">
        <f>('GIS CO2e'!D445+'GIS CO2e'!D450)*'GIS Heat Input'!F296</f>
        <v>781815.88981321012</v>
      </c>
      <c r="D376" s="26">
        <f>C376*'GWPs and Fuel EFs'!$B$45</f>
        <v>127271288.21720743</v>
      </c>
      <c r="E376" s="26">
        <f>C376*'GWPs and Fuel EFs'!$B$80</f>
        <v>55155.487851444181</v>
      </c>
      <c r="F376" s="26">
        <f>E376*'GWPs and Fuel EFs'!$B$7</f>
        <v>1378887.1962861046</v>
      </c>
      <c r="G376" s="26">
        <f>C376*'GWPs and Fuel EFs'!$B$105</f>
        <v>7239.157780502047</v>
      </c>
      <c r="H376" s="26">
        <f>G376*'GWPs and Fuel EFs'!$C$7</f>
        <v>2157269.0185896102</v>
      </c>
    </row>
    <row r="377" spans="1:14" x14ac:dyDescent="0.4">
      <c r="A377" s="44" t="s">
        <v>257</v>
      </c>
      <c r="B377" s="117" t="s">
        <v>258</v>
      </c>
      <c r="C377" s="118">
        <f>'GIS CO2e'!D436+'GIS CO2e'!D452</f>
        <v>2124274.1052723848</v>
      </c>
      <c r="D377" s="26">
        <f>C377*'GWPs and Fuel EFs'!$B$47</f>
        <v>424768302.84123313</v>
      </c>
      <c r="E377" s="26">
        <f>C377*'GWPs and Fuel EFs'!$B$82</f>
        <v>33719.203753659072</v>
      </c>
      <c r="F377" s="26">
        <f>E377*'GWPs and Fuel EFs'!$B$7</f>
        <v>842980.09384147683</v>
      </c>
      <c r="G377" s="26">
        <f>C377*'GWPs and Fuel EFs'!$B$107</f>
        <v>16859.601876829536</v>
      </c>
      <c r="H377" s="26">
        <f>G377*'GWPs and Fuel EFs'!$C$7</f>
        <v>5024161.3592952015</v>
      </c>
    </row>
    <row r="378" spans="1:14" x14ac:dyDescent="0.4">
      <c r="A378" s="44" t="s">
        <v>3975</v>
      </c>
      <c r="B378" s="117" t="s">
        <v>266</v>
      </c>
      <c r="C378" s="118">
        <f>'GIS CO2e'!D435+'GIS CO2e'!D439</f>
        <v>0</v>
      </c>
      <c r="D378" s="26">
        <f>C378*'GWPs and Fuel EFs'!$B$51</f>
        <v>0</v>
      </c>
      <c r="E378" s="26">
        <f>C378*'GWPs and Fuel EFs'!$B$86</f>
        <v>0</v>
      </c>
      <c r="F378" s="26">
        <f>E378*'GWPs and Fuel EFs'!$B$7</f>
        <v>0</v>
      </c>
      <c r="G378" s="26">
        <f>C378*'GWPs and Fuel EFs'!$B$111</f>
        <v>0</v>
      </c>
      <c r="H378" s="26">
        <f>G378*'GWPs and Fuel EFs'!$C$7</f>
        <v>0</v>
      </c>
    </row>
    <row r="379" spans="1:14" x14ac:dyDescent="0.4">
      <c r="A379" s="537" t="s">
        <v>249</v>
      </c>
      <c r="B379" s="543"/>
      <c r="C379" s="543"/>
      <c r="D379" s="544">
        <f>SUM(D375:D378)</f>
        <v>552039591.05844057</v>
      </c>
      <c r="E379" s="543"/>
      <c r="F379" s="544">
        <f>SUM(F375:F378)</f>
        <v>2221867.2901275815</v>
      </c>
      <c r="G379" s="543"/>
      <c r="H379" s="544">
        <f>SUM(H375:H378)</f>
        <v>7181430.3778848117</v>
      </c>
      <c r="K379" s="71"/>
      <c r="M379" s="26"/>
      <c r="N379" s="71"/>
    </row>
    <row r="380" spans="1:14" x14ac:dyDescent="0.4">
      <c r="A380" s="465" t="s">
        <v>11</v>
      </c>
    </row>
    <row r="381" spans="1:14" x14ac:dyDescent="0.4">
      <c r="D381" s="37"/>
      <c r="F381" s="26"/>
    </row>
    <row r="382" spans="1:14" x14ac:dyDescent="0.4">
      <c r="A382" s="4" t="s">
        <v>4015</v>
      </c>
    </row>
    <row r="383" spans="1:14" x14ac:dyDescent="0.4">
      <c r="A383" s="248" t="s">
        <v>212</v>
      </c>
      <c r="B383" s="249" t="s">
        <v>213</v>
      </c>
      <c r="C383" s="248" t="s">
        <v>3973</v>
      </c>
      <c r="D383" s="248" t="s">
        <v>216</v>
      </c>
      <c r="E383" s="248" t="s">
        <v>217</v>
      </c>
      <c r="F383" s="248" t="s">
        <v>218</v>
      </c>
      <c r="G383" s="248" t="s">
        <v>219</v>
      </c>
      <c r="H383" s="248" t="s">
        <v>220</v>
      </c>
      <c r="K383" s="37"/>
      <c r="M383" s="37"/>
      <c r="N383" s="37"/>
    </row>
    <row r="384" spans="1:14" x14ac:dyDescent="0.4">
      <c r="A384" s="44" t="s">
        <v>3996</v>
      </c>
      <c r="B384" s="117" t="s">
        <v>226</v>
      </c>
      <c r="C384" s="118">
        <f>'GIS CO2e'!E438+'GIS CO2e'!E448</f>
        <v>0</v>
      </c>
      <c r="D384" s="26">
        <f>C384*'GWPs and Fuel EFs'!$B$25</f>
        <v>0</v>
      </c>
      <c r="E384" s="26">
        <f>C384*'GWPs and Fuel EFs'!$B$68</f>
        <v>0</v>
      </c>
      <c r="F384" s="26">
        <f>E384*'GWPs and Fuel EFs'!$B$7</f>
        <v>0</v>
      </c>
      <c r="G384" s="26">
        <f>C384*'GWPs and Fuel EFs'!$B$93</f>
        <v>0</v>
      </c>
      <c r="H384" s="26">
        <f>G384*'GWPs and Fuel EFs'!$C$7</f>
        <v>0</v>
      </c>
    </row>
    <row r="385" spans="1:15" x14ac:dyDescent="0.4">
      <c r="A385" s="44" t="s">
        <v>270</v>
      </c>
      <c r="B385" s="117" t="s">
        <v>228</v>
      </c>
      <c r="C385" s="118">
        <f>'GIS CO2e'!E446</f>
        <v>0</v>
      </c>
      <c r="D385" s="26">
        <f>C385*'GWPs and Fuel EFs'!$B$26</f>
        <v>0</v>
      </c>
      <c r="E385" s="26">
        <f>C385*'GWPs and Fuel EFs'!$B$69</f>
        <v>0</v>
      </c>
      <c r="F385" s="26">
        <f>E385*'GWPs and Fuel EFs'!$B$7</f>
        <v>0</v>
      </c>
      <c r="G385" s="26">
        <f>C385*'GWPs and Fuel EFs'!$B$94</f>
        <v>0</v>
      </c>
      <c r="H385" s="26">
        <f>G385*'GWPs and Fuel EFs'!$C$7</f>
        <v>0</v>
      </c>
      <c r="O385" s="24"/>
    </row>
    <row r="386" spans="1:15" x14ac:dyDescent="0.4">
      <c r="A386" s="44" t="s">
        <v>229</v>
      </c>
      <c r="B386" s="117" t="s">
        <v>230</v>
      </c>
      <c r="C386" s="118">
        <f>('GIS CO2e'!E445+'GIS CO2e'!E450)*'GIS Heat Input'!F305</f>
        <v>0</v>
      </c>
      <c r="D386" s="26">
        <f>C386*'GWPs and Fuel EFs'!$B$27</f>
        <v>0</v>
      </c>
      <c r="E386" s="26">
        <f>C386*'GWPs and Fuel EFs'!$B$70</f>
        <v>0</v>
      </c>
      <c r="F386" s="26">
        <f>E386*'GWPs and Fuel EFs'!$B$7</f>
        <v>0</v>
      </c>
      <c r="G386" s="26">
        <f>C386*'GWPs and Fuel EFs'!$B$95</f>
        <v>0</v>
      </c>
      <c r="H386" s="26">
        <f>G386*'GWPs and Fuel EFs'!$C$7</f>
        <v>0</v>
      </c>
    </row>
    <row r="387" spans="1:15" x14ac:dyDescent="0.4">
      <c r="A387" s="463" t="s">
        <v>249</v>
      </c>
      <c r="B387" s="540"/>
      <c r="C387" s="540"/>
      <c r="D387" s="541">
        <f>SUM(D384:D386)</f>
        <v>0</v>
      </c>
      <c r="E387" s="540"/>
      <c r="F387" s="541">
        <f>SUM(F384:F386)</f>
        <v>0</v>
      </c>
      <c r="G387" s="540"/>
      <c r="H387" s="541">
        <f>SUM(H384:H386)</f>
        <v>0</v>
      </c>
      <c r="K387" s="71"/>
      <c r="M387" s="26"/>
      <c r="N387" s="71"/>
    </row>
    <row r="388" spans="1:15" x14ac:dyDescent="0.4">
      <c r="A388" s="465" t="s">
        <v>11</v>
      </c>
      <c r="D388" s="44"/>
      <c r="E388" s="47"/>
      <c r="F388" s="26"/>
    </row>
    <row r="389" spans="1:15" x14ac:dyDescent="0.4">
      <c r="D389" s="44"/>
      <c r="E389" s="47"/>
      <c r="F389" s="26"/>
    </row>
    <row r="390" spans="1:15" x14ac:dyDescent="0.4">
      <c r="A390" s="4" t="s">
        <v>4016</v>
      </c>
    </row>
    <row r="391" spans="1:15" x14ac:dyDescent="0.4">
      <c r="A391" s="248" t="s">
        <v>212</v>
      </c>
      <c r="B391" s="249" t="s">
        <v>213</v>
      </c>
      <c r="C391" s="248" t="s">
        <v>3973</v>
      </c>
      <c r="D391" s="248" t="s">
        <v>216</v>
      </c>
      <c r="E391" s="248" t="s">
        <v>217</v>
      </c>
      <c r="F391" s="248" t="s">
        <v>218</v>
      </c>
      <c r="G391" s="248" t="s">
        <v>219</v>
      </c>
      <c r="H391" s="248" t="s">
        <v>220</v>
      </c>
      <c r="K391" s="37"/>
      <c r="M391" s="37"/>
      <c r="N391" s="37"/>
    </row>
    <row r="392" spans="1:15" x14ac:dyDescent="0.4">
      <c r="A392" s="44" t="s">
        <v>251</v>
      </c>
      <c r="B392" s="117" t="s">
        <v>252</v>
      </c>
      <c r="C392" s="118">
        <f>'GIS CO2e'!E444</f>
        <v>152519.44202760179</v>
      </c>
      <c r="D392" s="26">
        <f>C392*'GWPs and Fuel EFs'!$B$44</f>
        <v>17508423.564791005</v>
      </c>
      <c r="E392" s="26">
        <f>C392*'GWPs and Fuel EFs'!$B$79</f>
        <v>1075.9929980282545</v>
      </c>
      <c r="F392" s="26">
        <f>E392*'GWPs and Fuel EFs'!$B$7</f>
        <v>26899.824950706363</v>
      </c>
      <c r="G392" s="26">
        <f>C392*'GWPs and Fuel EFs'!$B$104</f>
        <v>211.83612148681263</v>
      </c>
      <c r="H392" s="26">
        <f>G392*'GWPs and Fuel EFs'!$C$7</f>
        <v>63127.164203070162</v>
      </c>
    </row>
    <row r="393" spans="1:15" x14ac:dyDescent="0.4">
      <c r="A393" s="44" t="s">
        <v>253</v>
      </c>
      <c r="B393" s="117" t="s">
        <v>254</v>
      </c>
      <c r="C393" s="118">
        <f>('GIS CO2e'!E445+'GIS CO2e'!E450)*'GIS Heat Input'!F307</f>
        <v>0</v>
      </c>
      <c r="D393" s="26">
        <f>C393*'GWPs and Fuel EFs'!$B$45</f>
        <v>0</v>
      </c>
      <c r="E393" s="26">
        <f>C393*'GWPs and Fuel EFs'!$B$80</f>
        <v>0</v>
      </c>
      <c r="F393" s="26">
        <f>E393*'GWPs and Fuel EFs'!$B$7</f>
        <v>0</v>
      </c>
      <c r="G393" s="26">
        <f>C393*'GWPs and Fuel EFs'!$B$105</f>
        <v>0</v>
      </c>
      <c r="H393" s="26">
        <f>G393*'GWPs and Fuel EFs'!$C$7</f>
        <v>0</v>
      </c>
    </row>
    <row r="394" spans="1:15" x14ac:dyDescent="0.4">
      <c r="A394" s="44" t="s">
        <v>257</v>
      </c>
      <c r="B394" s="117" t="s">
        <v>258</v>
      </c>
      <c r="C394" s="118">
        <f>'GIS CO2e'!E436+'GIS CO2e'!E452</f>
        <v>4290195.5661577517</v>
      </c>
      <c r="D394" s="26">
        <f>C394*'GWPs and Fuel EFs'!$B$47</f>
        <v>857864380.57632029</v>
      </c>
      <c r="E394" s="26">
        <f>C394*'GWPs and Fuel EFs'!$B$82</f>
        <v>68099.487763500612</v>
      </c>
      <c r="F394" s="26">
        <f>E394*'GWPs and Fuel EFs'!$B$7</f>
        <v>1702487.1940875154</v>
      </c>
      <c r="G394" s="26">
        <f>C394*'GWPs and Fuel EFs'!$B$107</f>
        <v>34049.743881750306</v>
      </c>
      <c r="H394" s="26">
        <f>G394*'GWPs and Fuel EFs'!$C$7</f>
        <v>10146823.676761592</v>
      </c>
    </row>
    <row r="395" spans="1:15" x14ac:dyDescent="0.4">
      <c r="A395" s="44" t="s">
        <v>3975</v>
      </c>
      <c r="B395" s="117" t="s">
        <v>266</v>
      </c>
      <c r="C395" s="118">
        <f>'GIS CO2e'!E435+'GIS CO2e'!E439</f>
        <v>0</v>
      </c>
      <c r="D395" s="26">
        <f>C395*'GWPs and Fuel EFs'!$B$51</f>
        <v>0</v>
      </c>
      <c r="E395" s="26">
        <f>C395*'GWPs and Fuel EFs'!$B$86</f>
        <v>0</v>
      </c>
      <c r="F395" s="26">
        <f>E395*'GWPs and Fuel EFs'!$B$7</f>
        <v>0</v>
      </c>
      <c r="G395" s="26">
        <f>C395*'GWPs and Fuel EFs'!$B$111</f>
        <v>0</v>
      </c>
      <c r="H395" s="26">
        <f>G395*'GWPs and Fuel EFs'!$C$7</f>
        <v>0</v>
      </c>
      <c r="K395" s="412"/>
      <c r="M395" s="412"/>
      <c r="N395" s="412"/>
    </row>
    <row r="396" spans="1:15" x14ac:dyDescent="0.4">
      <c r="A396" s="537" t="s">
        <v>249</v>
      </c>
      <c r="B396" s="543"/>
      <c r="C396" s="543"/>
      <c r="D396" s="544">
        <f>SUM(D392:D395)</f>
        <v>875372804.14111125</v>
      </c>
      <c r="E396" s="543"/>
      <c r="F396" s="544">
        <f>SUM(F392:F395)</f>
        <v>1729387.0190382218</v>
      </c>
      <c r="G396" s="543"/>
      <c r="H396" s="544">
        <f>SUM(H392:H395)</f>
        <v>10209950.840964662</v>
      </c>
      <c r="K396" s="71"/>
      <c r="M396" s="26"/>
      <c r="N396" s="71"/>
    </row>
    <row r="397" spans="1:15" x14ac:dyDescent="0.4">
      <c r="A397" s="465" t="s">
        <v>11</v>
      </c>
      <c r="B397" s="19"/>
      <c r="C397" s="24"/>
      <c r="D397" s="19"/>
      <c r="E397" s="19"/>
      <c r="F397" s="19"/>
      <c r="H397" s="37"/>
      <c r="I397" s="24"/>
      <c r="J397" s="37"/>
      <c r="K397" s="37"/>
      <c r="L397" s="24"/>
      <c r="M397" s="37"/>
      <c r="N397" s="37"/>
    </row>
    <row r="398" spans="1:15" x14ac:dyDescent="0.4">
      <c r="A398" s="37"/>
      <c r="D398" s="37"/>
      <c r="E398" s="37"/>
      <c r="F398" s="37"/>
      <c r="J398" s="24"/>
      <c r="K398" s="24"/>
      <c r="M398" s="24"/>
      <c r="N398" s="24"/>
    </row>
    <row r="399" spans="1:15" x14ac:dyDescent="0.4">
      <c r="A399" s="4" t="s">
        <v>4017</v>
      </c>
    </row>
    <row r="400" spans="1:15" x14ac:dyDescent="0.4">
      <c r="A400" s="248" t="s">
        <v>212</v>
      </c>
      <c r="B400" s="249" t="s">
        <v>213</v>
      </c>
      <c r="C400" s="248" t="s">
        <v>3973</v>
      </c>
      <c r="D400" s="248" t="s">
        <v>216</v>
      </c>
      <c r="E400" s="248" t="s">
        <v>217</v>
      </c>
      <c r="F400" s="248" t="s">
        <v>218</v>
      </c>
      <c r="G400" s="248" t="s">
        <v>219</v>
      </c>
      <c r="H400" s="248" t="s">
        <v>220</v>
      </c>
      <c r="K400" s="37"/>
      <c r="M400" s="37"/>
      <c r="N400" s="37"/>
    </row>
    <row r="401" spans="1:15" x14ac:dyDescent="0.4">
      <c r="A401" s="44" t="s">
        <v>3996</v>
      </c>
      <c r="B401" s="117" t="s">
        <v>226</v>
      </c>
      <c r="C401" s="118">
        <f>'GIS CO2e'!F438+'GIS CO2e'!F448</f>
        <v>0</v>
      </c>
      <c r="D401" s="26">
        <f>C401*'GWPs and Fuel EFs'!$B$25</f>
        <v>0</v>
      </c>
      <c r="E401" s="26">
        <f>C401*'GWPs and Fuel EFs'!$B$68</f>
        <v>0</v>
      </c>
      <c r="F401" s="26">
        <f>E401*'GWPs and Fuel EFs'!$B$7</f>
        <v>0</v>
      </c>
      <c r="G401" s="26">
        <f>C401*'GWPs and Fuel EFs'!$B$93</f>
        <v>0</v>
      </c>
      <c r="H401" s="26">
        <f>G401*'GWPs and Fuel EFs'!$C$7</f>
        <v>0</v>
      </c>
    </row>
    <row r="402" spans="1:15" x14ac:dyDescent="0.4">
      <c r="A402" s="44" t="s">
        <v>270</v>
      </c>
      <c r="B402" s="117" t="s">
        <v>228</v>
      </c>
      <c r="C402" s="118">
        <f>'GIS CO2e'!F446</f>
        <v>0</v>
      </c>
      <c r="D402" s="26">
        <f>C402*'GWPs and Fuel EFs'!$B$26</f>
        <v>0</v>
      </c>
      <c r="E402" s="26">
        <f>C402*'GWPs and Fuel EFs'!$B$69</f>
        <v>0</v>
      </c>
      <c r="F402" s="26">
        <f>E402*'GWPs and Fuel EFs'!$B$7</f>
        <v>0</v>
      </c>
      <c r="G402" s="26">
        <f>C402*'GWPs and Fuel EFs'!$B$94</f>
        <v>0</v>
      </c>
      <c r="H402" s="26">
        <f>G402*'GWPs and Fuel EFs'!$C$7</f>
        <v>0</v>
      </c>
    </row>
    <row r="403" spans="1:15" x14ac:dyDescent="0.4">
      <c r="A403" s="44" t="s">
        <v>229</v>
      </c>
      <c r="B403" s="117" t="s">
        <v>230</v>
      </c>
      <c r="C403" s="118">
        <f>('GIS CO2e'!F445+'GIS CO2e'!F450)*'GIS Heat Input'!F316</f>
        <v>0</v>
      </c>
      <c r="D403" s="26">
        <f>C403*'GWPs and Fuel EFs'!$B$27</f>
        <v>0</v>
      </c>
      <c r="E403" s="26">
        <f>C403*'GWPs and Fuel EFs'!$B$70</f>
        <v>0</v>
      </c>
      <c r="F403" s="26">
        <f>E403*'GWPs and Fuel EFs'!$B$7</f>
        <v>0</v>
      </c>
      <c r="G403" s="26">
        <f>C403*'GWPs and Fuel EFs'!$B$95</f>
        <v>0</v>
      </c>
      <c r="H403" s="26">
        <f>G403*'GWPs and Fuel EFs'!$C$7</f>
        <v>0</v>
      </c>
      <c r="O403" s="24"/>
    </row>
    <row r="404" spans="1:15" x14ac:dyDescent="0.4">
      <c r="A404" s="463" t="s">
        <v>249</v>
      </c>
      <c r="B404" s="540"/>
      <c r="C404" s="540"/>
      <c r="D404" s="541">
        <f>SUM(D401:D403)</f>
        <v>0</v>
      </c>
      <c r="E404" s="540"/>
      <c r="F404" s="541">
        <f>SUM(F401:F403)</f>
        <v>0</v>
      </c>
      <c r="G404" s="540"/>
      <c r="H404" s="541">
        <f>SUM(H401:H403)</f>
        <v>0</v>
      </c>
      <c r="K404" s="71"/>
      <c r="M404" s="26"/>
      <c r="N404" s="71"/>
    </row>
    <row r="405" spans="1:15" x14ac:dyDescent="0.4">
      <c r="A405" s="465" t="s">
        <v>11</v>
      </c>
      <c r="D405" s="24"/>
      <c r="F405" s="26"/>
      <c r="H405" s="26"/>
      <c r="J405" s="26"/>
      <c r="K405" s="26"/>
      <c r="M405" s="26"/>
      <c r="N405" s="26"/>
    </row>
    <row r="406" spans="1:15" x14ac:dyDescent="0.4">
      <c r="B406" s="26"/>
    </row>
    <row r="407" spans="1:15" x14ac:dyDescent="0.4">
      <c r="A407" s="4" t="s">
        <v>4018</v>
      </c>
    </row>
    <row r="408" spans="1:15" x14ac:dyDescent="0.4">
      <c r="A408" s="248" t="s">
        <v>212</v>
      </c>
      <c r="B408" s="249" t="s">
        <v>213</v>
      </c>
      <c r="C408" s="248" t="s">
        <v>3973</v>
      </c>
      <c r="D408" s="248" t="s">
        <v>216</v>
      </c>
      <c r="E408" s="248" t="s">
        <v>217</v>
      </c>
      <c r="F408" s="248" t="s">
        <v>218</v>
      </c>
      <c r="G408" s="248" t="s">
        <v>219</v>
      </c>
      <c r="H408" s="248" t="s">
        <v>220</v>
      </c>
      <c r="K408" s="37"/>
      <c r="M408" s="37"/>
      <c r="N408" s="37"/>
    </row>
    <row r="409" spans="1:15" x14ac:dyDescent="0.4">
      <c r="A409" s="44" t="s">
        <v>251</v>
      </c>
      <c r="B409" s="117" t="s">
        <v>252</v>
      </c>
      <c r="C409" s="118">
        <f>'GIS CO2e'!F444</f>
        <v>2048989.8800892399</v>
      </c>
      <c r="D409" s="26">
        <f>C409*'GWPs and Fuel EFs'!$B$44</f>
        <v>235213178.22602865</v>
      </c>
      <c r="E409" s="26">
        <f>C409*'GWPs and Fuel EFs'!$B$79</f>
        <v>14455.198200946643</v>
      </c>
      <c r="F409" s="26">
        <f>E409*'GWPs and Fuel EFs'!$B$7</f>
        <v>361379.95502366609</v>
      </c>
      <c r="G409" s="26">
        <f>C409*'GWPs and Fuel EFs'!$B$104</f>
        <v>2845.8671458113699</v>
      </c>
      <c r="H409" s="26">
        <f>G409*'GWPs and Fuel EFs'!$C$7</f>
        <v>848068.40945178829</v>
      </c>
    </row>
    <row r="410" spans="1:15" x14ac:dyDescent="0.4">
      <c r="A410" s="44" t="s">
        <v>253</v>
      </c>
      <c r="B410" s="117" t="s">
        <v>254</v>
      </c>
      <c r="C410" s="118">
        <f>('GIS CO2e'!F445+'GIS CO2e'!F450)*'GIS Heat Input'!F318</f>
        <v>0</v>
      </c>
      <c r="D410" s="26">
        <f>C410*'GWPs and Fuel EFs'!$B$45</f>
        <v>0</v>
      </c>
      <c r="E410" s="26">
        <f>C410*'GWPs and Fuel EFs'!$B$80</f>
        <v>0</v>
      </c>
      <c r="F410" s="26">
        <f>E410*'GWPs and Fuel EFs'!$B$7</f>
        <v>0</v>
      </c>
      <c r="G410" s="26">
        <f>C410*'GWPs and Fuel EFs'!$B$105</f>
        <v>0</v>
      </c>
      <c r="H410" s="26">
        <f>G410*'GWPs and Fuel EFs'!$C$7</f>
        <v>0</v>
      </c>
    </row>
    <row r="411" spans="1:15" x14ac:dyDescent="0.4">
      <c r="A411" s="44" t="s">
        <v>257</v>
      </c>
      <c r="B411" s="117" t="s">
        <v>258</v>
      </c>
      <c r="C411" s="118">
        <f>'GIS CO2e'!F436+'GIS CO2e'!F452</f>
        <v>0</v>
      </c>
      <c r="D411" s="26">
        <f>C411*'GWPs and Fuel EFs'!$B$47</f>
        <v>0</v>
      </c>
      <c r="E411" s="26">
        <f>C411*'GWPs and Fuel EFs'!$B$82</f>
        <v>0</v>
      </c>
      <c r="F411" s="26">
        <f>E411*'GWPs and Fuel EFs'!$B$7</f>
        <v>0</v>
      </c>
      <c r="G411" s="26">
        <f>C411*'GWPs and Fuel EFs'!$B$107</f>
        <v>0</v>
      </c>
      <c r="H411" s="26">
        <f>G411*'GWPs and Fuel EFs'!$C$7</f>
        <v>0</v>
      </c>
    </row>
    <row r="412" spans="1:15" x14ac:dyDescent="0.4">
      <c r="A412" s="44" t="s">
        <v>3975</v>
      </c>
      <c r="B412" s="117" t="s">
        <v>266</v>
      </c>
      <c r="C412" s="118">
        <f>'GIS CO2e'!F435+'GIS CO2e'!F439</f>
        <v>1081.6435230795614</v>
      </c>
      <c r="D412" s="26">
        <f>C412*'GWPs and Fuel EFs'!$B$51</f>
        <v>124166.94354784308</v>
      </c>
      <c r="E412" s="26">
        <f>C412*'GWPs and Fuel EFs'!$B$86</f>
        <v>7.6307704888246182</v>
      </c>
      <c r="F412" s="26">
        <f>E412*'GWPs and Fuel EFs'!$B$7</f>
        <v>190.76926222061545</v>
      </c>
      <c r="G412" s="26">
        <f>C412*'GWPs and Fuel EFs'!$B$111</f>
        <v>1.5023079399873467</v>
      </c>
      <c r="H412" s="26">
        <f>G412*'GWPs and Fuel EFs'!$C$7</f>
        <v>447.68776611622934</v>
      </c>
    </row>
    <row r="413" spans="1:15" x14ac:dyDescent="0.4">
      <c r="A413" s="537" t="s">
        <v>249</v>
      </c>
      <c r="B413" s="543"/>
      <c r="C413" s="543"/>
      <c r="D413" s="544">
        <f>SUM(D409:D412)</f>
        <v>235337345.1695765</v>
      </c>
      <c r="E413" s="543"/>
      <c r="F413" s="544">
        <f>SUM(F409:F412)</f>
        <v>361570.72428588668</v>
      </c>
      <c r="G413" s="543"/>
      <c r="H413" s="544">
        <f>SUM(H409:H412)</f>
        <v>848516.09721790452</v>
      </c>
      <c r="K413" s="71"/>
      <c r="M413" s="26"/>
      <c r="N413" s="71"/>
    </row>
    <row r="414" spans="1:15" x14ac:dyDescent="0.4">
      <c r="A414" s="465" t="s">
        <v>11</v>
      </c>
    </row>
    <row r="416" spans="1:15" x14ac:dyDescent="0.4">
      <c r="A416" s="4" t="s">
        <v>4019</v>
      </c>
    </row>
    <row r="417" spans="1:15" x14ac:dyDescent="0.4">
      <c r="A417" s="248" t="s">
        <v>212</v>
      </c>
      <c r="B417" s="249" t="s">
        <v>213</v>
      </c>
      <c r="C417" s="248" t="s">
        <v>3973</v>
      </c>
      <c r="D417" s="248" t="s">
        <v>216</v>
      </c>
      <c r="E417" s="248" t="s">
        <v>217</v>
      </c>
      <c r="F417" s="248" t="s">
        <v>218</v>
      </c>
      <c r="G417" s="248" t="s">
        <v>219</v>
      </c>
      <c r="H417" s="248" t="s">
        <v>220</v>
      </c>
      <c r="K417" s="37"/>
      <c r="M417" s="37"/>
      <c r="N417" s="37"/>
    </row>
    <row r="418" spans="1:15" x14ac:dyDescent="0.4">
      <c r="A418" s="44" t="s">
        <v>3996</v>
      </c>
      <c r="B418" s="117" t="s">
        <v>226</v>
      </c>
      <c r="C418" s="118">
        <f>'GIS CO2e'!G438+'GIS CO2e'!G448</f>
        <v>0</v>
      </c>
      <c r="D418" s="26">
        <f>C418*'GWPs and Fuel EFs'!$B$25</f>
        <v>0</v>
      </c>
      <c r="E418" s="26">
        <f>C418*'GWPs and Fuel EFs'!$B$68</f>
        <v>0</v>
      </c>
      <c r="F418" s="26">
        <f>E418*'GWPs and Fuel EFs'!$B$7</f>
        <v>0</v>
      </c>
      <c r="G418" s="26">
        <f>C418*'GWPs and Fuel EFs'!$B$93</f>
        <v>0</v>
      </c>
      <c r="H418" s="26">
        <f>G418*'GWPs and Fuel EFs'!$C$7</f>
        <v>0</v>
      </c>
    </row>
    <row r="419" spans="1:15" x14ac:dyDescent="0.4">
      <c r="A419" s="44" t="s">
        <v>270</v>
      </c>
      <c r="B419" s="117" t="s">
        <v>228</v>
      </c>
      <c r="C419" s="118">
        <f>'GIS CO2e'!G446</f>
        <v>0</v>
      </c>
      <c r="D419" s="26">
        <f>C419*'GWPs and Fuel EFs'!$B$26</f>
        <v>0</v>
      </c>
      <c r="E419" s="26">
        <f>C419*'GWPs and Fuel EFs'!$B$69</f>
        <v>0</v>
      </c>
      <c r="F419" s="26">
        <f>E419*'GWPs and Fuel EFs'!$B$7</f>
        <v>0</v>
      </c>
      <c r="G419" s="26">
        <f>C419*'GWPs and Fuel EFs'!$B$94</f>
        <v>0</v>
      </c>
      <c r="H419" s="26">
        <f>G419*'GWPs and Fuel EFs'!$C$7</f>
        <v>0</v>
      </c>
      <c r="K419" s="412"/>
      <c r="M419" s="412"/>
      <c r="N419" s="412"/>
    </row>
    <row r="420" spans="1:15" x14ac:dyDescent="0.4">
      <c r="A420" s="44" t="s">
        <v>229</v>
      </c>
      <c r="B420" s="117" t="s">
        <v>230</v>
      </c>
      <c r="C420" s="118">
        <f>('GIS CO2e'!G445+'GIS CO2e'!G450)*'GIS Heat Input'!F327</f>
        <v>0</v>
      </c>
      <c r="D420" s="26">
        <f>C420*'GWPs and Fuel EFs'!$B$27</f>
        <v>0</v>
      </c>
      <c r="E420" s="26">
        <f>C420*'GWPs and Fuel EFs'!$B$70</f>
        <v>0</v>
      </c>
      <c r="F420" s="26">
        <f>E420*'GWPs and Fuel EFs'!$B$7</f>
        <v>0</v>
      </c>
      <c r="G420" s="26">
        <f>C420*'GWPs and Fuel EFs'!$B$95</f>
        <v>0</v>
      </c>
      <c r="H420" s="26">
        <f>G420*'GWPs and Fuel EFs'!$C$7</f>
        <v>0</v>
      </c>
      <c r="K420" s="412"/>
      <c r="M420" s="412"/>
      <c r="N420" s="412"/>
    </row>
    <row r="421" spans="1:15" x14ac:dyDescent="0.4">
      <c r="A421" s="463" t="s">
        <v>249</v>
      </c>
      <c r="B421" s="540"/>
      <c r="C421" s="540"/>
      <c r="D421" s="541">
        <f>SUM(D418:D420)</f>
        <v>0</v>
      </c>
      <c r="E421" s="540"/>
      <c r="F421" s="541">
        <f>SUM(F418:F420)</f>
        <v>0</v>
      </c>
      <c r="G421" s="540"/>
      <c r="H421" s="541">
        <f>SUM(H418:H420)</f>
        <v>0</v>
      </c>
      <c r="K421" s="71"/>
      <c r="M421" s="26"/>
      <c r="N421" s="71"/>
    </row>
    <row r="422" spans="1:15" x14ac:dyDescent="0.4">
      <c r="A422" s="465" t="s">
        <v>11</v>
      </c>
      <c r="D422" s="37"/>
      <c r="E422" s="37"/>
      <c r="F422" s="37"/>
      <c r="J422" s="24"/>
      <c r="K422" s="24"/>
      <c r="M422" s="24"/>
      <c r="N422" s="24"/>
    </row>
    <row r="423" spans="1:15" x14ac:dyDescent="0.4">
      <c r="O423" s="24"/>
    </row>
    <row r="424" spans="1:15" x14ac:dyDescent="0.4">
      <c r="A424" s="4" t="s">
        <v>4020</v>
      </c>
    </row>
    <row r="425" spans="1:15" x14ac:dyDescent="0.4">
      <c r="A425" s="248" t="s">
        <v>212</v>
      </c>
      <c r="B425" s="249" t="s">
        <v>213</v>
      </c>
      <c r="C425" s="248" t="s">
        <v>3973</v>
      </c>
      <c r="D425" s="248" t="s">
        <v>216</v>
      </c>
      <c r="E425" s="248" t="s">
        <v>217</v>
      </c>
      <c r="F425" s="248" t="s">
        <v>218</v>
      </c>
      <c r="G425" s="248" t="s">
        <v>219</v>
      </c>
      <c r="H425" s="248" t="s">
        <v>220</v>
      </c>
      <c r="K425" s="37"/>
      <c r="M425" s="37"/>
      <c r="N425" s="37"/>
    </row>
    <row r="426" spans="1:15" x14ac:dyDescent="0.4">
      <c r="A426" s="44" t="s">
        <v>251</v>
      </c>
      <c r="B426" s="117" t="s">
        <v>252</v>
      </c>
      <c r="C426" s="118">
        <f>'GIS CO2e'!G444</f>
        <v>0</v>
      </c>
      <c r="D426" s="26">
        <f>C426*'GWPs and Fuel EFs'!$B$44</f>
        <v>0</v>
      </c>
      <c r="E426" s="26">
        <f>C426*'GWPs and Fuel EFs'!$B$79</f>
        <v>0</v>
      </c>
      <c r="F426" s="26">
        <f>E426*'GWPs and Fuel EFs'!$B$7</f>
        <v>0</v>
      </c>
      <c r="G426" s="26">
        <f>C426*'GWPs and Fuel EFs'!$B$104</f>
        <v>0</v>
      </c>
      <c r="H426" s="26">
        <f>G426*'GWPs and Fuel EFs'!$C$7</f>
        <v>0</v>
      </c>
    </row>
    <row r="427" spans="1:15" x14ac:dyDescent="0.4">
      <c r="A427" s="44" t="s">
        <v>253</v>
      </c>
      <c r="B427" s="117" t="s">
        <v>254</v>
      </c>
      <c r="C427" s="118">
        <f>('GIS CO2e'!G445+'GIS CO2e'!G450)*'GIS Heat Input'!F329</f>
        <v>0</v>
      </c>
      <c r="D427" s="26">
        <f>C427*'GWPs and Fuel EFs'!$B$45</f>
        <v>0</v>
      </c>
      <c r="E427" s="26">
        <f>C427*'GWPs and Fuel EFs'!$B$80</f>
        <v>0</v>
      </c>
      <c r="F427" s="26">
        <f>E427*'GWPs and Fuel EFs'!$B$7</f>
        <v>0</v>
      </c>
      <c r="G427" s="26">
        <f>C427*'GWPs and Fuel EFs'!$B$105</f>
        <v>0</v>
      </c>
      <c r="H427" s="26">
        <f>G427*'GWPs and Fuel EFs'!$C$7</f>
        <v>0</v>
      </c>
    </row>
    <row r="428" spans="1:15" x14ac:dyDescent="0.4">
      <c r="A428" s="44" t="s">
        <v>257</v>
      </c>
      <c r="B428" s="117" t="s">
        <v>258</v>
      </c>
      <c r="C428" s="118">
        <f>'GIS CO2e'!G436+'GIS CO2e'!G452</f>
        <v>0</v>
      </c>
      <c r="D428" s="26">
        <f>C428*'GWPs and Fuel EFs'!$B$47</f>
        <v>0</v>
      </c>
      <c r="E428" s="26">
        <f>C428*'GWPs and Fuel EFs'!$B$82</f>
        <v>0</v>
      </c>
      <c r="F428" s="26">
        <f>E428*'GWPs and Fuel EFs'!$B$7</f>
        <v>0</v>
      </c>
      <c r="G428" s="26">
        <f>C428*'GWPs and Fuel EFs'!$B$107</f>
        <v>0</v>
      </c>
      <c r="H428" s="26">
        <f>G428*'GWPs and Fuel EFs'!$C$7</f>
        <v>0</v>
      </c>
    </row>
    <row r="429" spans="1:15" x14ac:dyDescent="0.4">
      <c r="A429" s="44" t="s">
        <v>3975</v>
      </c>
      <c r="B429" s="117" t="s">
        <v>266</v>
      </c>
      <c r="C429" s="118">
        <f>'GIS CO2e'!G435+'GIS CO2e'!G439</f>
        <v>30300.935150755802</v>
      </c>
      <c r="D429" s="26">
        <f>C429*'GWPs and Fuel EFs'!$B$51</f>
        <v>3478386.7549993219</v>
      </c>
      <c r="E429" s="26">
        <f>C429*'GWPs and Fuel EFs'!$B$86</f>
        <v>213.76680652962992</v>
      </c>
      <c r="F429" s="26">
        <f>E429*'GWPs and Fuel EFs'!$B$7</f>
        <v>5344.1701632407476</v>
      </c>
      <c r="G429" s="26">
        <f>C429*'GWPs and Fuel EFs'!$B$111</f>
        <v>42.085340035520886</v>
      </c>
      <c r="H429" s="26">
        <f>G429*'GWPs and Fuel EFs'!$C$7</f>
        <v>12541.431330585225</v>
      </c>
      <c r="K429" s="71"/>
      <c r="M429" s="26"/>
      <c r="N429" s="71"/>
    </row>
    <row r="430" spans="1:15" x14ac:dyDescent="0.4">
      <c r="A430" s="537" t="s">
        <v>249</v>
      </c>
      <c r="B430" s="543"/>
      <c r="C430" s="543"/>
      <c r="D430" s="544">
        <f>SUM(D426:D429)</f>
        <v>3478386.7549993219</v>
      </c>
      <c r="E430" s="543"/>
      <c r="F430" s="544">
        <f>SUM(F426:F429)</f>
        <v>5344.1701632407476</v>
      </c>
      <c r="G430" s="543"/>
      <c r="H430" s="544">
        <f>SUM(H426:H429)</f>
        <v>12541.431330585225</v>
      </c>
      <c r="K430" s="71"/>
      <c r="M430" s="26"/>
      <c r="N430" s="71"/>
    </row>
    <row r="431" spans="1:15" x14ac:dyDescent="0.4">
      <c r="A431" s="465" t="s">
        <v>11</v>
      </c>
    </row>
    <row r="433" spans="1:7" ht="16" customHeight="1" x14ac:dyDescent="0.4">
      <c r="A433" s="43" t="s">
        <v>4547</v>
      </c>
    </row>
    <row r="434" spans="1:7" x14ac:dyDescent="0.4">
      <c r="A434" s="323" t="s">
        <v>4021</v>
      </c>
      <c r="B434" s="323" t="s">
        <v>4022</v>
      </c>
      <c r="C434" s="323" t="s">
        <v>4023</v>
      </c>
      <c r="D434" s="323" t="s">
        <v>4024</v>
      </c>
      <c r="E434" s="323" t="s">
        <v>4025</v>
      </c>
      <c r="F434" s="323" t="s">
        <v>4026</v>
      </c>
      <c r="G434" s="323" t="s">
        <v>4027</v>
      </c>
    </row>
    <row r="435" spans="1:7" x14ac:dyDescent="0.4">
      <c r="A435" s="342" t="s">
        <v>4028</v>
      </c>
      <c r="B435" s="545">
        <f>GIS!E67*'GIS Heat Input'!$B28</f>
        <v>0</v>
      </c>
      <c r="C435" s="545">
        <f>GIS!B44*'GIS Heat Input'!$C28</f>
        <v>0</v>
      </c>
      <c r="D435" s="545">
        <f>GIS!J90*'GIS Heat Input'!$D28</f>
        <v>0</v>
      </c>
      <c r="E435" s="545">
        <f>GIS!K113*'GIS Heat Input'!$E28</f>
        <v>0</v>
      </c>
      <c r="F435" s="545">
        <f>GIS!N136*'GIS Heat Input'!$F28</f>
        <v>1081.6435230795614</v>
      </c>
      <c r="G435" s="545">
        <f>GIS!Q159*'GIS Heat Input'!$G28</f>
        <v>0</v>
      </c>
    </row>
    <row r="436" spans="1:7" x14ac:dyDescent="0.4">
      <c r="A436" s="121" t="s">
        <v>4029</v>
      </c>
      <c r="B436" s="545">
        <f>GIS!E68*'GIS Heat Input'!$B29</f>
        <v>0</v>
      </c>
      <c r="C436" s="545">
        <f>GIS!B45*'GIS Heat Input'!$C29</f>
        <v>1082988.2512460607</v>
      </c>
      <c r="D436" s="545">
        <f>GIS!J91*'GIS Heat Input'!$D29</f>
        <v>535123.92680241296</v>
      </c>
      <c r="E436" s="545">
        <f>GIS!K114*'GIS Heat Input'!$E29</f>
        <v>3402171.5332220369</v>
      </c>
      <c r="F436" s="545">
        <f>GIS!N137*'GIS Heat Input'!$F29</f>
        <v>0</v>
      </c>
      <c r="G436" s="545">
        <f>GIS!Q160*'GIS Heat Input'!$G29</f>
        <v>0</v>
      </c>
    </row>
    <row r="437" spans="1:7" x14ac:dyDescent="0.4">
      <c r="A437" s="121" t="s">
        <v>4030</v>
      </c>
      <c r="B437" s="545">
        <f>GIS!E69*'GIS Heat Input'!$B30</f>
        <v>0</v>
      </c>
      <c r="C437" s="545">
        <f>GIS!B46*'GIS Heat Input'!$C30</f>
        <v>0</v>
      </c>
      <c r="D437" s="545">
        <f>GIS!J92*'GIS Heat Input'!$D30</f>
        <v>0</v>
      </c>
      <c r="E437" s="545">
        <f>GIS!K115*'GIS Heat Input'!$E30</f>
        <v>0</v>
      </c>
      <c r="F437" s="545">
        <f>GIS!N138*'GIS Heat Input'!$F30</f>
        <v>0</v>
      </c>
      <c r="G437" s="545">
        <f>GIS!Q161*'GIS Heat Input'!$G30</f>
        <v>0</v>
      </c>
    </row>
    <row r="438" spans="1:7" x14ac:dyDescent="0.4">
      <c r="A438" s="121" t="s">
        <v>4031</v>
      </c>
      <c r="B438" s="545">
        <f>GIS!E70*'GIS Heat Input'!$B31</f>
        <v>0</v>
      </c>
      <c r="C438" s="545">
        <f>GIS!B47*'GIS Heat Input'!$C31</f>
        <v>0</v>
      </c>
      <c r="D438" s="545">
        <f>GIS!J93*'GIS Heat Input'!$D31</f>
        <v>0</v>
      </c>
      <c r="E438" s="545">
        <f>GIS!K116*'GIS Heat Input'!$E31</f>
        <v>0</v>
      </c>
      <c r="F438" s="545">
        <f>GIS!N139*'GIS Heat Input'!$F31</f>
        <v>0</v>
      </c>
      <c r="G438" s="545">
        <f>GIS!Q162*'GIS Heat Input'!$G31</f>
        <v>0</v>
      </c>
    </row>
    <row r="439" spans="1:7" x14ac:dyDescent="0.4">
      <c r="A439" s="121" t="s">
        <v>4032</v>
      </c>
      <c r="B439" s="545">
        <f>GIS!E71*'GIS Heat Input'!$B32</f>
        <v>0</v>
      </c>
      <c r="C439" s="545">
        <f>GIS!B48*'GIS Heat Input'!$C32</f>
        <v>0</v>
      </c>
      <c r="D439" s="545">
        <f>GIS!J94*'GIS Heat Input'!$D32</f>
        <v>0</v>
      </c>
      <c r="E439" s="545">
        <f>GIS!K117*'GIS Heat Input'!$E32</f>
        <v>0</v>
      </c>
      <c r="F439" s="545">
        <f>GIS!N140*'GIS Heat Input'!$F32</f>
        <v>0</v>
      </c>
      <c r="G439" s="545">
        <f>GIS!Q163*'GIS Heat Input'!$G32</f>
        <v>30300.935150755802</v>
      </c>
    </row>
    <row r="440" spans="1:7" x14ac:dyDescent="0.4">
      <c r="A440" s="121" t="s">
        <v>4033</v>
      </c>
      <c r="B440" s="545">
        <f>GIS!E72*'GIS Heat Input'!$B33</f>
        <v>0</v>
      </c>
      <c r="C440" s="545">
        <f>GIS!B49*'GIS Heat Input'!$C33</f>
        <v>0</v>
      </c>
      <c r="D440" s="545">
        <f>GIS!J95*'GIS Heat Input'!$D33</f>
        <v>0</v>
      </c>
      <c r="E440" s="545">
        <f>GIS!K118*'GIS Heat Input'!$E33</f>
        <v>0</v>
      </c>
      <c r="F440" s="545">
        <f>GIS!N141*'GIS Heat Input'!$F33</f>
        <v>0</v>
      </c>
      <c r="G440" s="545">
        <f>GIS!Q164*'GIS Heat Input'!$G33</f>
        <v>0</v>
      </c>
    </row>
    <row r="441" spans="1:7" x14ac:dyDescent="0.4">
      <c r="A441" s="122" t="s">
        <v>4034</v>
      </c>
      <c r="B441" s="545">
        <f>GIS!E73*'GIS Heat Input'!$B34</f>
        <v>0</v>
      </c>
      <c r="C441" s="545">
        <f>GIS!B50*'GIS Heat Input'!$C34</f>
        <v>0</v>
      </c>
      <c r="D441" s="545">
        <f>GIS!J96*'GIS Heat Input'!$D34</f>
        <v>0</v>
      </c>
      <c r="E441" s="545">
        <f>GIS!K119*'GIS Heat Input'!$E34</f>
        <v>0</v>
      </c>
      <c r="F441" s="545">
        <f>GIS!N142*'GIS Heat Input'!$F34</f>
        <v>0</v>
      </c>
      <c r="G441" s="545">
        <f>GIS!Q165*'GIS Heat Input'!$G34</f>
        <v>0</v>
      </c>
    </row>
    <row r="442" spans="1:7" x14ac:dyDescent="0.4">
      <c r="A442" s="122" t="s">
        <v>4035</v>
      </c>
      <c r="B442" s="545">
        <f>GIS!E74*'GIS Heat Input'!$B35</f>
        <v>0</v>
      </c>
      <c r="C442" s="545">
        <f>GIS!B51*'GIS Heat Input'!$C35</f>
        <v>0</v>
      </c>
      <c r="D442" s="545">
        <f>GIS!J97*'GIS Heat Input'!$D35</f>
        <v>0</v>
      </c>
      <c r="E442" s="545">
        <f>GIS!K120*'GIS Heat Input'!$E35</f>
        <v>0</v>
      </c>
      <c r="F442" s="545">
        <f>GIS!N143*'GIS Heat Input'!$F35</f>
        <v>0</v>
      </c>
      <c r="G442" s="545">
        <f>GIS!Q166*'GIS Heat Input'!$G35</f>
        <v>0</v>
      </c>
    </row>
    <row r="443" spans="1:7" x14ac:dyDescent="0.4">
      <c r="A443" s="121" t="s">
        <v>4036</v>
      </c>
      <c r="B443" s="545">
        <f>GIS!E75*'GIS Heat Input'!$B36</f>
        <v>0</v>
      </c>
      <c r="C443" s="545">
        <f>GIS!B52*'GIS Heat Input'!$C36</f>
        <v>0</v>
      </c>
      <c r="D443" s="545">
        <f>GIS!J98*'GIS Heat Input'!$D36</f>
        <v>0</v>
      </c>
      <c r="E443" s="545">
        <f>GIS!K121*'GIS Heat Input'!$E36</f>
        <v>0</v>
      </c>
      <c r="F443" s="545">
        <f>GIS!N144*'GIS Heat Input'!$F36</f>
        <v>0</v>
      </c>
      <c r="G443" s="545">
        <f>GIS!Q167*'GIS Heat Input'!$G36</f>
        <v>0</v>
      </c>
    </row>
    <row r="444" spans="1:7" x14ac:dyDescent="0.4">
      <c r="A444" s="121" t="s">
        <v>4037</v>
      </c>
      <c r="B444" s="545">
        <f>GIS!E76*'GIS Heat Input'!$B37</f>
        <v>279786.52548447542</v>
      </c>
      <c r="C444" s="545">
        <f>GIS!B53*'GIS Heat Input'!$C37</f>
        <v>46053.687195767197</v>
      </c>
      <c r="D444" s="545">
        <f>GIS!J99*'GIS Heat Input'!$D37</f>
        <v>0</v>
      </c>
      <c r="E444" s="545">
        <f>GIS!K122*'GIS Heat Input'!$E37</f>
        <v>152519.44202760179</v>
      </c>
      <c r="F444" s="545">
        <f>GIS!N145*'GIS Heat Input'!$F37</f>
        <v>2048989.8800892399</v>
      </c>
      <c r="G444" s="545">
        <f>GIS!Q168*'GIS Heat Input'!$G37</f>
        <v>0</v>
      </c>
    </row>
    <row r="445" spans="1:7" x14ac:dyDescent="0.4">
      <c r="A445" s="121" t="s">
        <v>4038</v>
      </c>
      <c r="B445" s="545">
        <f>GIS!E77*'GIS Heat Input'!$B38</f>
        <v>8898000.988180995</v>
      </c>
      <c r="C445" s="545">
        <f>GIS!B54*'GIS Heat Input'!$C38</f>
        <v>0</v>
      </c>
      <c r="D445" s="545">
        <f>GIS!J100*'GIS Heat Input'!$D38</f>
        <v>174815.93868083489</v>
      </c>
      <c r="E445" s="545">
        <f>GIS!K123*'GIS Heat Input'!$E38</f>
        <v>0</v>
      </c>
      <c r="F445" s="545">
        <f>GIS!N146*'GIS Heat Input'!$F38</f>
        <v>0</v>
      </c>
      <c r="G445" s="545">
        <f>GIS!Q169*'GIS Heat Input'!$G38</f>
        <v>0</v>
      </c>
    </row>
    <row r="446" spans="1:7" x14ac:dyDescent="0.4">
      <c r="A446" s="121" t="s">
        <v>4039</v>
      </c>
      <c r="B446" s="545">
        <f>GIS!E78*'GIS Heat Input'!$B39</f>
        <v>0</v>
      </c>
      <c r="C446" s="545">
        <f>GIS!B55*'GIS Heat Input'!$C39</f>
        <v>0</v>
      </c>
      <c r="D446" s="545">
        <f>GIS!J101*'GIS Heat Input'!$D39</f>
        <v>0</v>
      </c>
      <c r="E446" s="545">
        <f>GIS!K124*'GIS Heat Input'!$E39</f>
        <v>0</v>
      </c>
      <c r="F446" s="545">
        <f>GIS!N147*'GIS Heat Input'!$F39</f>
        <v>0</v>
      </c>
      <c r="G446" s="545">
        <f>GIS!Q170*'GIS Heat Input'!$G39</f>
        <v>0</v>
      </c>
    </row>
    <row r="447" spans="1:7" x14ac:dyDescent="0.4">
      <c r="A447" s="121" t="s">
        <v>4040</v>
      </c>
      <c r="B447" s="545">
        <f>GIS!E79*'GIS Heat Input'!$B40</f>
        <v>0</v>
      </c>
      <c r="C447" s="545">
        <f>GIS!B56*'GIS Heat Input'!$C40</f>
        <v>0</v>
      </c>
      <c r="D447" s="545">
        <f>GIS!J102*'GIS Heat Input'!$D40</f>
        <v>0</v>
      </c>
      <c r="E447" s="545">
        <f>GIS!K125*'GIS Heat Input'!$E40</f>
        <v>0</v>
      </c>
      <c r="F447" s="545">
        <f>GIS!N148*'GIS Heat Input'!$F40</f>
        <v>0</v>
      </c>
      <c r="G447" s="545">
        <f>GIS!Q171*'GIS Heat Input'!$G40</f>
        <v>0</v>
      </c>
    </row>
    <row r="448" spans="1:7" x14ac:dyDescent="0.4">
      <c r="A448" s="121" t="s">
        <v>4041</v>
      </c>
      <c r="B448" s="545">
        <f>GIS!E80*'GIS Heat Input'!$B41</f>
        <v>0</v>
      </c>
      <c r="C448" s="545">
        <f>GIS!B57*'GIS Heat Input'!$C41</f>
        <v>0</v>
      </c>
      <c r="D448" s="545">
        <f>GIS!J103*'GIS Heat Input'!$D41</f>
        <v>0</v>
      </c>
      <c r="E448" s="545">
        <f>GIS!K126*'GIS Heat Input'!$E41</f>
        <v>0</v>
      </c>
      <c r="F448" s="545">
        <f>GIS!N149*'GIS Heat Input'!$F41</f>
        <v>0</v>
      </c>
      <c r="G448" s="545">
        <f>GIS!Q172*'GIS Heat Input'!$G41</f>
        <v>0</v>
      </c>
    </row>
    <row r="449" spans="1:7" x14ac:dyDescent="0.4">
      <c r="A449" s="122" t="s">
        <v>4042</v>
      </c>
      <c r="B449" s="545">
        <f>GIS!E81*'GIS Heat Input'!$B42</f>
        <v>0</v>
      </c>
      <c r="C449" s="545">
        <f>GIS!B58*'GIS Heat Input'!$C42</f>
        <v>0</v>
      </c>
      <c r="D449" s="545">
        <f>GIS!J104*'GIS Heat Input'!$D42</f>
        <v>0</v>
      </c>
      <c r="E449" s="545">
        <f>GIS!K127*'GIS Heat Input'!$E42</f>
        <v>0</v>
      </c>
      <c r="F449" s="545">
        <f>GIS!N150*'GIS Heat Input'!$F42</f>
        <v>0</v>
      </c>
      <c r="G449" s="545">
        <f>GIS!Q173*'GIS Heat Input'!$G42</f>
        <v>0</v>
      </c>
    </row>
    <row r="450" spans="1:7" x14ac:dyDescent="0.4">
      <c r="A450" s="121" t="s">
        <v>4043</v>
      </c>
      <c r="B450" s="545">
        <f>GIS!E82*'GIS Heat Input'!$B43</f>
        <v>19870900.607137129</v>
      </c>
      <c r="C450" s="545">
        <f>GIS!B59*'GIS Heat Input'!$C43</f>
        <v>12293367.918703528</v>
      </c>
      <c r="D450" s="545">
        <f>GIS!J105*'GIS Heat Input'!$D43</f>
        <v>1562570.0889816228</v>
      </c>
      <c r="E450" s="545">
        <f>GIS!K128*'GIS Heat Input'!$E43</f>
        <v>0</v>
      </c>
      <c r="F450" s="545">
        <f>GIS!N151*'GIS Heat Input'!$F43</f>
        <v>0</v>
      </c>
      <c r="G450" s="545">
        <f>GIS!Q174*'GIS Heat Input'!$G43</f>
        <v>0</v>
      </c>
    </row>
    <row r="451" spans="1:7" x14ac:dyDescent="0.4">
      <c r="A451" s="121" t="s">
        <v>4044</v>
      </c>
      <c r="B451" s="545">
        <f>GIS!E83*'GIS Heat Input'!$B44</f>
        <v>0</v>
      </c>
      <c r="C451" s="545">
        <f>GIS!B60*'GIS Heat Input'!$C44</f>
        <v>0</v>
      </c>
      <c r="D451" s="545">
        <f>GIS!J106*'GIS Heat Input'!$D44</f>
        <v>0</v>
      </c>
      <c r="E451" s="545">
        <f>GIS!K129*'GIS Heat Input'!$E44</f>
        <v>0</v>
      </c>
      <c r="F451" s="545">
        <f>GIS!N152*'GIS Heat Input'!$F44</f>
        <v>0</v>
      </c>
      <c r="G451" s="545">
        <f>GIS!Q175*'GIS Heat Input'!$G44</f>
        <v>0</v>
      </c>
    </row>
    <row r="452" spans="1:7" x14ac:dyDescent="0.4">
      <c r="A452" s="121" t="s">
        <v>4045</v>
      </c>
      <c r="B452" s="545">
        <f>GIS!E84*'GIS Heat Input'!$B45</f>
        <v>0</v>
      </c>
      <c r="C452" s="545">
        <f>GIS!B61*'GIS Heat Input'!$C45</f>
        <v>0</v>
      </c>
      <c r="D452" s="545">
        <f>GIS!J107*'GIS Heat Input'!$D45</f>
        <v>1589150.178469972</v>
      </c>
      <c r="E452" s="545">
        <f>GIS!K130*'GIS Heat Input'!$E45</f>
        <v>888024.03293571481</v>
      </c>
      <c r="F452" s="545">
        <f>GIS!N153*'GIS Heat Input'!$F45</f>
        <v>0</v>
      </c>
      <c r="G452" s="545">
        <f>GIS!Q176*'GIS Heat Input'!$G45</f>
        <v>0</v>
      </c>
    </row>
    <row r="453" spans="1:7" x14ac:dyDescent="0.4">
      <c r="A453" s="3" t="s">
        <v>11</v>
      </c>
      <c r="B453" s="319"/>
      <c r="C453" s="319"/>
      <c r="D453" s="319"/>
      <c r="E453" s="319"/>
      <c r="F453" s="319"/>
      <c r="G453" s="319"/>
    </row>
    <row r="455" spans="1:7" x14ac:dyDescent="0.4">
      <c r="A455" s="155" t="s">
        <v>150</v>
      </c>
    </row>
  </sheetData>
  <mergeCells count="15">
    <mergeCell ref="D62:F62"/>
    <mergeCell ref="J105:K105"/>
    <mergeCell ref="M46:N46"/>
    <mergeCell ref="M47:N47"/>
    <mergeCell ref="J85:K85"/>
    <mergeCell ref="M62:N62"/>
    <mergeCell ref="J84:K84"/>
    <mergeCell ref="M84:N84"/>
    <mergeCell ref="M85:N85"/>
    <mergeCell ref="M105:N105"/>
    <mergeCell ref="J106:K106"/>
    <mergeCell ref="M106:N106"/>
    <mergeCell ref="J62:K62"/>
    <mergeCell ref="J46:K46"/>
    <mergeCell ref="J47:K47"/>
  </mergeCells>
  <phoneticPr fontId="11" type="noConversion"/>
  <hyperlinks>
    <hyperlink ref="A13" location="'GIS CO2e'!A191" display="ISO-MSS EMISSIONS REMOVED-FROM-STATE: " xr:uid="{2CA386DB-B635-4912-9880-D399A2743D83}"/>
    <hyperlink ref="A15" location="'GIS CO2e'!A312" display="ISO-MSS EMISSIONS THAT SETTLE-IN-STATE: " xr:uid="{1AD2D932-FEAF-4391-8F55-CB1EDB2AC70C}"/>
    <hyperlink ref="A11" location="'GIS CO2e'!A18" display="NET TRANSFER GIS EMISSIONS: " xr:uid="{8C3DDFB6-C9EC-420E-B8B5-0BF2AD7D52FF}"/>
  </hyperlinks>
  <pageMargins left="0" right="0" top="0.75" bottom="1" header="0.5" footer="0.5"/>
  <pageSetup scale="44" fitToHeight="0" orientation="landscape" r:id="rId1"/>
  <headerFooter alignWithMargins="0">
    <oddFooter>&amp;R&amp;A Page &amp;P of &amp;N</oddFooter>
  </headerFooter>
  <rowBreaks count="3" manualBreakCount="3">
    <brk id="104" max="16383" man="1"/>
    <brk id="201" max="16383" man="1"/>
    <brk id="369" max="16383" man="1"/>
  </rowBreaks>
  <tableParts count="4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pageSetUpPr fitToPage="1"/>
  </sheetPr>
  <dimension ref="A1:M367"/>
  <sheetViews>
    <sheetView zoomScaleNormal="100" workbookViewId="0"/>
  </sheetViews>
  <sheetFormatPr defaultColWidth="9.1796875" defaultRowHeight="16" x14ac:dyDescent="0.4"/>
  <cols>
    <col min="1" max="1" width="52.1796875" style="3" customWidth="1"/>
    <col min="2" max="7" width="15.453125" style="3" customWidth="1"/>
    <col min="8" max="8" width="23.1796875" style="3" customWidth="1"/>
    <col min="9" max="10" width="15.453125" style="3" customWidth="1"/>
    <col min="11" max="11" width="49.54296875" style="3" customWidth="1"/>
    <col min="12" max="13" width="15.453125" style="3" customWidth="1"/>
    <col min="14" max="16384" width="9.1796875" style="3"/>
  </cols>
  <sheetData>
    <row r="1" spans="1:9" ht="21" x14ac:dyDescent="0.5">
      <c r="A1" s="49" t="s">
        <v>4577</v>
      </c>
    </row>
    <row r="2" spans="1:9" x14ac:dyDescent="0.4">
      <c r="A2" s="3" t="s">
        <v>4046</v>
      </c>
    </row>
    <row r="3" spans="1:9" x14ac:dyDescent="0.4">
      <c r="A3" s="3" t="s">
        <v>4047</v>
      </c>
    </row>
    <row r="4" spans="1:9" x14ac:dyDescent="0.4">
      <c r="A4" s="3" t="s">
        <v>4048</v>
      </c>
      <c r="I4" s="4"/>
    </row>
    <row r="5" spans="1:9" x14ac:dyDescent="0.4">
      <c r="A5" s="3" t="s">
        <v>4049</v>
      </c>
      <c r="I5" s="4"/>
    </row>
    <row r="6" spans="1:9" x14ac:dyDescent="0.4">
      <c r="A6" s="2" t="s">
        <v>4517</v>
      </c>
      <c r="I6" s="4"/>
    </row>
    <row r="7" spans="1:9" x14ac:dyDescent="0.4">
      <c r="A7" s="60" t="s">
        <v>4073</v>
      </c>
      <c r="I7" s="4"/>
    </row>
    <row r="8" spans="1:9" x14ac:dyDescent="0.4">
      <c r="A8" s="3" t="s">
        <v>4050</v>
      </c>
    </row>
    <row r="9" spans="1:9" x14ac:dyDescent="0.4">
      <c r="A9" s="3" t="s">
        <v>4051</v>
      </c>
    </row>
    <row r="10" spans="1:9" x14ac:dyDescent="0.4">
      <c r="A10" s="3" t="s">
        <v>4518</v>
      </c>
    </row>
    <row r="11" spans="1:9" x14ac:dyDescent="0.4">
      <c r="A11" s="3" t="s">
        <v>4568</v>
      </c>
    </row>
    <row r="12" spans="1:9" x14ac:dyDescent="0.4">
      <c r="A12" s="3" t="s">
        <v>4519</v>
      </c>
    </row>
    <row r="13" spans="1:9" x14ac:dyDescent="0.4">
      <c r="A13" s="3" t="s">
        <v>4520</v>
      </c>
    </row>
    <row r="14" spans="1:9" x14ac:dyDescent="0.4">
      <c r="A14" s="3" t="s">
        <v>4521</v>
      </c>
    </row>
    <row r="15" spans="1:9" x14ac:dyDescent="0.4">
      <c r="A15" s="3" t="s">
        <v>4522</v>
      </c>
    </row>
    <row r="16" spans="1:9" x14ac:dyDescent="0.4">
      <c r="A16" s="2" t="s">
        <v>4052</v>
      </c>
    </row>
    <row r="17" spans="1:11" x14ac:dyDescent="0.4">
      <c r="A17" s="3" t="s">
        <v>4516</v>
      </c>
    </row>
    <row r="18" spans="1:11" x14ac:dyDescent="0.4">
      <c r="A18" s="3" t="s">
        <v>4053</v>
      </c>
    </row>
    <row r="20" spans="1:11" x14ac:dyDescent="0.4">
      <c r="A20" s="4" t="s">
        <v>4054</v>
      </c>
    </row>
    <row r="21" spans="1:11" x14ac:dyDescent="0.4">
      <c r="A21" s="3" t="s">
        <v>4055</v>
      </c>
    </row>
    <row r="22" spans="1:11" x14ac:dyDescent="0.4">
      <c r="A22" s="3" t="s">
        <v>4056</v>
      </c>
    </row>
    <row r="23" spans="1:11" x14ac:dyDescent="0.4">
      <c r="A23" s="3" t="s">
        <v>4057</v>
      </c>
    </row>
    <row r="24" spans="1:11" x14ac:dyDescent="0.4">
      <c r="A24" s="3" t="s">
        <v>4058</v>
      </c>
    </row>
    <row r="25" spans="1:11" x14ac:dyDescent="0.4">
      <c r="A25" s="3" t="s">
        <v>4059</v>
      </c>
    </row>
    <row r="26" spans="1:11" x14ac:dyDescent="0.4">
      <c r="A26" s="4" t="s">
        <v>4060</v>
      </c>
      <c r="C26" s="4"/>
      <c r="D26" s="4"/>
      <c r="E26" s="4"/>
      <c r="F26" s="4"/>
      <c r="G26" s="4"/>
      <c r="H26" s="4"/>
      <c r="I26" s="4"/>
      <c r="J26" s="4"/>
      <c r="K26" s="4"/>
    </row>
    <row r="27" spans="1:11" ht="32" x14ac:dyDescent="0.4">
      <c r="A27" s="324" t="s">
        <v>4061</v>
      </c>
      <c r="B27" s="325" t="s">
        <v>33</v>
      </c>
      <c r="C27" s="325" t="s">
        <v>37</v>
      </c>
      <c r="D27" s="325" t="s">
        <v>34</v>
      </c>
      <c r="E27" s="325" t="s">
        <v>35</v>
      </c>
      <c r="F27" s="325" t="s">
        <v>38</v>
      </c>
      <c r="G27" s="325" t="s">
        <v>36</v>
      </c>
      <c r="H27" s="325" t="s">
        <v>52</v>
      </c>
      <c r="I27" s="324" t="s">
        <v>4062</v>
      </c>
      <c r="J27" s="325" t="s">
        <v>4063</v>
      </c>
      <c r="K27" s="324" t="s">
        <v>4064</v>
      </c>
    </row>
    <row r="28" spans="1:11" x14ac:dyDescent="0.4">
      <c r="A28" s="326" t="s">
        <v>4028</v>
      </c>
      <c r="B28" s="327">
        <f t="shared" ref="B28:H28" si="0">B37</f>
        <v>11.934757730856777</v>
      </c>
      <c r="C28" s="327">
        <f t="shared" si="0"/>
        <v>13.218624338624339</v>
      </c>
      <c r="D28" s="327">
        <f t="shared" si="0"/>
        <v>11.310927566157691</v>
      </c>
      <c r="E28" s="327">
        <f t="shared" si="0"/>
        <v>16.263536151375749</v>
      </c>
      <c r="F28" s="327">
        <f t="shared" si="0"/>
        <v>10.501393427956907</v>
      </c>
      <c r="G28" s="327">
        <f t="shared" si="0"/>
        <v>11.649725163689274</v>
      </c>
      <c r="H28" s="327">
        <f t="shared" si="0"/>
        <v>11.458484836508314</v>
      </c>
      <c r="I28" s="327"/>
      <c r="J28" s="327"/>
      <c r="K28" s="328" t="s">
        <v>266</v>
      </c>
    </row>
    <row r="29" spans="1:11" x14ac:dyDescent="0.4">
      <c r="A29" s="326" t="s">
        <v>4029</v>
      </c>
      <c r="B29" s="329">
        <f>B45</f>
        <v>19.385188995156753</v>
      </c>
      <c r="C29" s="329">
        <f>C45</f>
        <v>12.511995138939655</v>
      </c>
      <c r="D29" s="329">
        <f>D45</f>
        <v>13.495509099223568</v>
      </c>
      <c r="E29" s="329">
        <f>E45</f>
        <v>14.792757624156099</v>
      </c>
      <c r="F29" s="329"/>
      <c r="G29" s="329">
        <f>G45</f>
        <v>15.365272362084756</v>
      </c>
      <c r="H29" s="329">
        <f>H45</f>
        <v>19.898834464448377</v>
      </c>
      <c r="I29" s="329"/>
      <c r="J29" s="329">
        <f>'EIA Form 923'!B3085</f>
        <v>14.319079714387172</v>
      </c>
      <c r="K29" s="546" t="s">
        <v>258</v>
      </c>
    </row>
    <row r="30" spans="1:11" x14ac:dyDescent="0.4">
      <c r="A30" s="326" t="s">
        <v>4030</v>
      </c>
      <c r="B30" s="329"/>
      <c r="C30" s="329"/>
      <c r="D30" s="329"/>
      <c r="E30" s="329"/>
      <c r="F30" s="329"/>
      <c r="G30" s="329"/>
      <c r="H30" s="329"/>
      <c r="I30" s="329"/>
      <c r="J30" s="329"/>
      <c r="K30" s="546" t="s">
        <v>4065</v>
      </c>
    </row>
    <row r="31" spans="1:11" x14ac:dyDescent="0.4">
      <c r="A31" s="326" t="s">
        <v>4066</v>
      </c>
      <c r="B31" s="329">
        <f>'EIA Form 923'!L3102</f>
        <v>8.9878912374672009</v>
      </c>
      <c r="C31" s="329">
        <f>'EIA Form 923'!L3131</f>
        <v>9.015649324182812</v>
      </c>
      <c r="D31" s="329">
        <f>'EIA Form 923'!L3160</f>
        <v>17.741196878762423</v>
      </c>
      <c r="E31" s="329">
        <f>'EIA Form 923'!L3187</f>
        <v>8.0583983936276269</v>
      </c>
      <c r="F31" s="329">
        <f>'EIA Form 923'!L3243</f>
        <v>8.4693098074403252</v>
      </c>
      <c r="G31" s="329">
        <f>'EIA Form 923'!L3270</f>
        <v>23.92067858780376</v>
      </c>
      <c r="H31" s="329">
        <f>'EIA Form 923'!L3214</f>
        <v>11.729844028424797</v>
      </c>
      <c r="I31" s="329"/>
      <c r="J31" s="329"/>
      <c r="K31" s="546" t="s">
        <v>226</v>
      </c>
    </row>
    <row r="32" spans="1:11" x14ac:dyDescent="0.4">
      <c r="A32" s="326" t="s">
        <v>4032</v>
      </c>
      <c r="B32" s="329">
        <f t="shared" ref="B32:H32" si="1">B37</f>
        <v>11.934757730856777</v>
      </c>
      <c r="C32" s="329">
        <f t="shared" si="1"/>
        <v>13.218624338624339</v>
      </c>
      <c r="D32" s="329">
        <f t="shared" si="1"/>
        <v>11.310927566157691</v>
      </c>
      <c r="E32" s="329">
        <f t="shared" si="1"/>
        <v>16.263536151375749</v>
      </c>
      <c r="F32" s="329">
        <f t="shared" si="1"/>
        <v>10.501393427956907</v>
      </c>
      <c r="G32" s="329">
        <f t="shared" si="1"/>
        <v>11.649725163689274</v>
      </c>
      <c r="H32" s="329">
        <f t="shared" si="1"/>
        <v>11.458484836508314</v>
      </c>
      <c r="I32" s="329"/>
      <c r="J32" s="329"/>
      <c r="K32" s="546" t="s">
        <v>266</v>
      </c>
    </row>
    <row r="33" spans="1:11" x14ac:dyDescent="0.4">
      <c r="A33" s="326" t="s">
        <v>4067</v>
      </c>
      <c r="B33" s="329"/>
      <c r="C33" s="329"/>
      <c r="D33" s="329"/>
      <c r="E33" s="329"/>
      <c r="F33" s="329"/>
      <c r="G33" s="329"/>
      <c r="H33" s="329"/>
      <c r="I33" s="329"/>
      <c r="J33" s="329"/>
      <c r="K33" s="546" t="s">
        <v>4068</v>
      </c>
    </row>
    <row r="34" spans="1:11" x14ac:dyDescent="0.4">
      <c r="A34" s="326" t="s">
        <v>4034</v>
      </c>
      <c r="B34" s="329">
        <v>0</v>
      </c>
      <c r="C34" s="329">
        <v>0</v>
      </c>
      <c r="D34" s="329">
        <v>0</v>
      </c>
      <c r="E34" s="329">
        <v>0</v>
      </c>
      <c r="F34" s="329">
        <v>0</v>
      </c>
      <c r="G34" s="329">
        <v>0</v>
      </c>
      <c r="H34" s="329">
        <v>0</v>
      </c>
      <c r="I34" s="329"/>
      <c r="J34" s="329"/>
      <c r="K34" s="546" t="s">
        <v>4065</v>
      </c>
    </row>
    <row r="35" spans="1:11" x14ac:dyDescent="0.4">
      <c r="A35" s="326" t="s">
        <v>4035</v>
      </c>
      <c r="B35" s="329">
        <v>0</v>
      </c>
      <c r="C35" s="329">
        <v>0</v>
      </c>
      <c r="D35" s="329">
        <v>0</v>
      </c>
      <c r="E35" s="329">
        <v>0</v>
      </c>
      <c r="F35" s="329">
        <v>0</v>
      </c>
      <c r="G35" s="329">
        <v>0</v>
      </c>
      <c r="H35" s="329">
        <v>0</v>
      </c>
      <c r="I35" s="329"/>
      <c r="J35" s="329"/>
      <c r="K35" s="546" t="s">
        <v>4065</v>
      </c>
    </row>
    <row r="36" spans="1:11" x14ac:dyDescent="0.4">
      <c r="A36" s="326" t="s">
        <v>4036</v>
      </c>
      <c r="B36" s="329"/>
      <c r="C36" s="329"/>
      <c r="D36" s="329"/>
      <c r="E36" s="329"/>
      <c r="F36" s="329"/>
      <c r="G36" s="329"/>
      <c r="H36" s="329"/>
      <c r="I36" s="329"/>
      <c r="J36" s="329"/>
      <c r="K36" s="546" t="s">
        <v>4065</v>
      </c>
    </row>
    <row r="37" spans="1:11" x14ac:dyDescent="0.4">
      <c r="A37" s="326" t="s">
        <v>4069</v>
      </c>
      <c r="B37" s="329">
        <f>'EIA Form 923'!L3114</f>
        <v>11.934757730856777</v>
      </c>
      <c r="C37" s="329">
        <f>'EIA Form 923'!L3143</f>
        <v>13.218624338624339</v>
      </c>
      <c r="D37" s="329">
        <f>'EIA Form 923'!L3171</f>
        <v>11.310927566157691</v>
      </c>
      <c r="E37" s="329">
        <f>'EIA Form 923'!L3198</f>
        <v>16.263536151375749</v>
      </c>
      <c r="F37" s="329">
        <f>'EIA Form 923'!L3254</f>
        <v>10.501393427956907</v>
      </c>
      <c r="G37" s="329">
        <f>'EIA Form 923'!L3281</f>
        <v>11.649725163689274</v>
      </c>
      <c r="H37" s="329">
        <f>'EIA Form 923'!L3226</f>
        <v>11.458484836508314</v>
      </c>
      <c r="I37" s="329"/>
      <c r="J37" s="329">
        <f>'EIA Form 923'!B3086</f>
        <v>11.600092037262325</v>
      </c>
      <c r="K37" s="546" t="s">
        <v>252</v>
      </c>
    </row>
    <row r="38" spans="1:11" x14ac:dyDescent="0.4">
      <c r="A38" s="326" t="s">
        <v>4038</v>
      </c>
      <c r="B38" s="329">
        <f>'EIA Form 923'!L3105</f>
        <v>17.969624488166655</v>
      </c>
      <c r="C38" s="329">
        <f>'EIA Form 923'!L3134</f>
        <v>18.352884851453314</v>
      </c>
      <c r="D38" s="329">
        <f>'EIA Form 923'!L3162</f>
        <v>17.320513096288011</v>
      </c>
      <c r="E38" s="329">
        <f>'EIA Form 923'!L3189</f>
        <v>19.943409065863982</v>
      </c>
      <c r="F38" s="329"/>
      <c r="G38" s="329"/>
      <c r="H38" s="329">
        <f>'EIA Form 923'!L3217</f>
        <v>13.020698409320023</v>
      </c>
      <c r="I38" s="329"/>
      <c r="J38" s="329"/>
      <c r="K38" s="546" t="s">
        <v>4070</v>
      </c>
    </row>
    <row r="39" spans="1:11" x14ac:dyDescent="0.4">
      <c r="A39" s="326" t="s">
        <v>4071</v>
      </c>
      <c r="B39" s="329">
        <f>'EIA Form 923'!L3103</f>
        <v>7.5808121450436037</v>
      </c>
      <c r="C39" s="329">
        <f>'EIA Form 923'!L3132</f>
        <v>7.1097201655418791</v>
      </c>
      <c r="D39" s="329">
        <f>'EIA Form 923'!L3161</f>
        <v>7.149384771645674</v>
      </c>
      <c r="E39" s="329">
        <f>'EIA Form 923'!L3188</f>
        <v>7.490273518927423</v>
      </c>
      <c r="F39" s="329">
        <f>'EIA Form 923'!L3244</f>
        <v>7.7524890797555832</v>
      </c>
      <c r="G39" s="329">
        <f>'EIA Form 923'!L3271</f>
        <v>15.402434913492367</v>
      </c>
      <c r="H39" s="329">
        <f>'EIA Form 923'!L3215</f>
        <v>8.1642269699782197</v>
      </c>
      <c r="I39" s="329"/>
      <c r="J39" s="329"/>
      <c r="K39" s="546" t="s">
        <v>228</v>
      </c>
    </row>
    <row r="40" spans="1:11" x14ac:dyDescent="0.4">
      <c r="A40" s="326" t="s">
        <v>4040</v>
      </c>
      <c r="B40" s="329">
        <v>0</v>
      </c>
      <c r="C40" s="329">
        <v>0</v>
      </c>
      <c r="D40" s="329">
        <v>0</v>
      </c>
      <c r="E40" s="329">
        <v>0</v>
      </c>
      <c r="F40" s="329">
        <v>0</v>
      </c>
      <c r="G40" s="329">
        <v>0</v>
      </c>
      <c r="H40" s="329">
        <v>0</v>
      </c>
      <c r="I40" s="329"/>
      <c r="J40" s="329"/>
      <c r="K40" s="546" t="s">
        <v>4065</v>
      </c>
    </row>
    <row r="41" spans="1:11" x14ac:dyDescent="0.4">
      <c r="A41" s="326" t="s">
        <v>4041</v>
      </c>
      <c r="B41" s="329">
        <f>'EIA Form 923'!L3102</f>
        <v>8.9878912374672009</v>
      </c>
      <c r="C41" s="329"/>
      <c r="D41" s="329"/>
      <c r="E41" s="329"/>
      <c r="F41" s="329"/>
      <c r="G41" s="329">
        <f>'EIA Form 923'!L3270</f>
        <v>23.92067858780376</v>
      </c>
      <c r="H41" s="329"/>
      <c r="I41" s="329"/>
      <c r="J41" s="329"/>
      <c r="K41" s="546" t="s">
        <v>226</v>
      </c>
    </row>
    <row r="42" spans="1:11" x14ac:dyDescent="0.4">
      <c r="A42" s="326" t="s">
        <v>4042</v>
      </c>
      <c r="B42" s="329">
        <v>0</v>
      </c>
      <c r="C42" s="329">
        <v>0</v>
      </c>
      <c r="D42" s="329">
        <v>0</v>
      </c>
      <c r="E42" s="329">
        <v>0</v>
      </c>
      <c r="F42" s="329">
        <v>0</v>
      </c>
      <c r="G42" s="329">
        <v>0</v>
      </c>
      <c r="H42" s="329">
        <v>0</v>
      </c>
      <c r="I42" s="329"/>
      <c r="J42" s="329"/>
      <c r="K42" s="546" t="s">
        <v>4065</v>
      </c>
    </row>
    <row r="43" spans="1:11" x14ac:dyDescent="0.4">
      <c r="A43" s="326" t="s">
        <v>4043</v>
      </c>
      <c r="B43" s="329">
        <f>B38</f>
        <v>17.969624488166655</v>
      </c>
      <c r="C43" s="329">
        <f>C38</f>
        <v>18.352884851453314</v>
      </c>
      <c r="D43" s="329">
        <f>D38</f>
        <v>17.320513096288011</v>
      </c>
      <c r="E43" s="329">
        <f>E38</f>
        <v>19.943409065863982</v>
      </c>
      <c r="F43" s="329"/>
      <c r="G43" s="329"/>
      <c r="H43" s="329">
        <f>H38</f>
        <v>13.020698409320023</v>
      </c>
      <c r="I43" s="329"/>
      <c r="J43" s="329"/>
      <c r="K43" s="546" t="str">
        <f>K38</f>
        <v>% MSN &amp; % MSB</v>
      </c>
    </row>
    <row r="44" spans="1:11" x14ac:dyDescent="0.4">
      <c r="A44" s="326" t="s">
        <v>4044</v>
      </c>
      <c r="B44" s="329">
        <v>0</v>
      </c>
      <c r="C44" s="329">
        <v>0</v>
      </c>
      <c r="D44" s="329">
        <v>0</v>
      </c>
      <c r="E44" s="329">
        <v>0</v>
      </c>
      <c r="F44" s="329">
        <v>0</v>
      </c>
      <c r="G44" s="329">
        <v>0</v>
      </c>
      <c r="H44" s="329">
        <v>0</v>
      </c>
      <c r="I44" s="329"/>
      <c r="J44" s="329"/>
      <c r="K44" s="546" t="s">
        <v>4065</v>
      </c>
    </row>
    <row r="45" spans="1:11" ht="16.5" thickBot="1" x14ac:dyDescent="0.45">
      <c r="A45" s="330" t="s">
        <v>4072</v>
      </c>
      <c r="B45" s="331">
        <f>'EIA Form 923'!L3117</f>
        <v>19.385188995156753</v>
      </c>
      <c r="C45" s="331">
        <f>'EIA Form 923'!L3146</f>
        <v>12.511995138939655</v>
      </c>
      <c r="D45" s="331">
        <f>'EIA Form 923'!L3174</f>
        <v>13.495509099223568</v>
      </c>
      <c r="E45" s="331">
        <f>'EIA Form 923'!L3201</f>
        <v>14.792757624156099</v>
      </c>
      <c r="F45" s="331"/>
      <c r="G45" s="331">
        <f>'EIA Form 923'!L3284</f>
        <v>15.365272362084756</v>
      </c>
      <c r="H45" s="331">
        <v>19.898834464448377</v>
      </c>
      <c r="I45" s="331"/>
      <c r="J45" s="331"/>
      <c r="K45" s="332" t="s">
        <v>258</v>
      </c>
    </row>
    <row r="46" spans="1:11" x14ac:dyDescent="0.4">
      <c r="A46" s="422" t="s">
        <v>11</v>
      </c>
      <c r="B46" s="86"/>
      <c r="C46" s="86"/>
      <c r="D46" s="86"/>
      <c r="E46" s="86"/>
      <c r="F46" s="86"/>
      <c r="G46" s="86"/>
      <c r="I46" s="86"/>
      <c r="J46" s="86"/>
    </row>
    <row r="47" spans="1:11" x14ac:dyDescent="0.4">
      <c r="A47" s="86" t="s">
        <v>4527</v>
      </c>
    </row>
    <row r="49" spans="1:13" x14ac:dyDescent="0.4">
      <c r="A49" s="4" t="s">
        <v>4073</v>
      </c>
    </row>
    <row r="50" spans="1:13" x14ac:dyDescent="0.4">
      <c r="A50" s="3" t="s">
        <v>4074</v>
      </c>
    </row>
    <row r="51" spans="1:13" x14ac:dyDescent="0.4">
      <c r="A51" s="3" t="s">
        <v>4523</v>
      </c>
    </row>
    <row r="52" spans="1:13" x14ac:dyDescent="0.4">
      <c r="A52" s="3" t="s">
        <v>4075</v>
      </c>
    </row>
    <row r="53" spans="1:13" x14ac:dyDescent="0.4">
      <c r="A53" s="3" t="s">
        <v>4076</v>
      </c>
    </row>
    <row r="54" spans="1:13" x14ac:dyDescent="0.4">
      <c r="A54" s="3" t="s">
        <v>4077</v>
      </c>
    </row>
    <row r="55" spans="1:13" x14ac:dyDescent="0.4">
      <c r="A55" s="3" t="s">
        <v>4524</v>
      </c>
    </row>
    <row r="56" spans="1:13" x14ac:dyDescent="0.4">
      <c r="A56" s="3" t="s">
        <v>4078</v>
      </c>
    </row>
    <row r="57" spans="1:13" x14ac:dyDescent="0.4">
      <c r="A57" s="3" t="s">
        <v>4525</v>
      </c>
    </row>
    <row r="58" spans="1:13" x14ac:dyDescent="0.4">
      <c r="A58" s="3" t="s">
        <v>4526</v>
      </c>
    </row>
    <row r="60" spans="1:13" x14ac:dyDescent="0.4">
      <c r="A60" s="4" t="s">
        <v>4079</v>
      </c>
    </row>
    <row r="61" spans="1:13" x14ac:dyDescent="0.4">
      <c r="A61" s="322" t="s">
        <v>4080</v>
      </c>
      <c r="B61" s="323" t="s">
        <v>4081</v>
      </c>
      <c r="C61" s="323" t="s">
        <v>4082</v>
      </c>
      <c r="D61" s="323" t="s">
        <v>4083</v>
      </c>
      <c r="E61" s="323" t="s">
        <v>4084</v>
      </c>
      <c r="F61" s="323" t="s">
        <v>4085</v>
      </c>
      <c r="G61" s="323" t="s">
        <v>4086</v>
      </c>
      <c r="H61" s="323" t="s">
        <v>4087</v>
      </c>
      <c r="I61" s="323" t="s">
        <v>4088</v>
      </c>
      <c r="J61" s="323" t="s">
        <v>4089</v>
      </c>
      <c r="K61" s="323" t="s">
        <v>4090</v>
      </c>
      <c r="L61" s="323" t="s">
        <v>4091</v>
      </c>
      <c r="M61" s="323" t="s">
        <v>4092</v>
      </c>
    </row>
    <row r="62" spans="1:13" x14ac:dyDescent="0.4">
      <c r="A62" s="408" t="s">
        <v>4028</v>
      </c>
      <c r="B62" s="547"/>
      <c r="C62" s="547"/>
      <c r="D62" s="548">
        <f>GIS!E44*'GIS Heat Input'!$C28</f>
        <v>0</v>
      </c>
      <c r="E62" s="549">
        <f>GIS!F44*'GIS Heat Input'!$C28</f>
        <v>0</v>
      </c>
      <c r="F62" s="548">
        <f>GIS!H44*'GIS Heat Input'!$C28</f>
        <v>0</v>
      </c>
      <c r="G62" s="549">
        <f>GIS!I44*'GIS Heat Input'!$C28</f>
        <v>0</v>
      </c>
      <c r="H62" s="548">
        <f>GIS!K44*'GIS Heat Input'!$C28</f>
        <v>0</v>
      </c>
      <c r="I62" s="549">
        <f>GIS!L44*'GIS Heat Input'!$C28</f>
        <v>0</v>
      </c>
      <c r="J62" s="548">
        <f>GIS!N44*'GIS Heat Input'!$C28</f>
        <v>0</v>
      </c>
      <c r="K62" s="549">
        <f>GIS!O44*'GIS Heat Input'!$C28</f>
        <v>0</v>
      </c>
      <c r="L62" s="548">
        <f>GIS!Q44*'GIS Heat Input'!$C28</f>
        <v>0</v>
      </c>
      <c r="M62" s="549">
        <f>GIS!R44*'GIS Heat Input'!$C28</f>
        <v>0</v>
      </c>
    </row>
    <row r="63" spans="1:13" x14ac:dyDescent="0.4">
      <c r="A63" s="121" t="s">
        <v>4029</v>
      </c>
      <c r="B63" s="550"/>
      <c r="C63" s="550"/>
      <c r="D63" s="551">
        <f>GIS!E45*'GIS Heat Input'!$C29</f>
        <v>0</v>
      </c>
      <c r="E63" s="552">
        <f>GIS!F45*'GIS Heat Input'!$C29</f>
        <v>0</v>
      </c>
      <c r="F63" s="551">
        <f>GIS!H45*'GIS Heat Input'!$C29</f>
        <v>1211161.1294493587</v>
      </c>
      <c r="G63" s="552">
        <f>GIS!I45*'GIS Heat Input'!$C29</f>
        <v>0</v>
      </c>
      <c r="H63" s="551">
        <f>GIS!K45*'GIS Heat Input'!$C29</f>
        <v>0</v>
      </c>
      <c r="I63" s="552">
        <f>GIS!L45*'GIS Heat Input'!$C29</f>
        <v>0</v>
      </c>
      <c r="J63" s="551">
        <f>GIS!N45*'GIS Heat Input'!$C29</f>
        <v>0</v>
      </c>
      <c r="K63" s="552">
        <f>GIS!O45*'GIS Heat Input'!$C29</f>
        <v>0</v>
      </c>
      <c r="L63" s="553">
        <f>GIS!Q45*'GIS Heat Input'!$C29</f>
        <v>0</v>
      </c>
      <c r="M63" s="552">
        <f>GIS!R45*'GIS Heat Input'!$C29</f>
        <v>0</v>
      </c>
    </row>
    <row r="64" spans="1:13" x14ac:dyDescent="0.4">
      <c r="A64" s="121" t="s">
        <v>4030</v>
      </c>
      <c r="B64" s="550"/>
      <c r="C64" s="550"/>
      <c r="D64" s="551">
        <f>GIS!E46*'GIS Heat Input'!$C30</f>
        <v>0</v>
      </c>
      <c r="E64" s="552">
        <f>GIS!F46*'GIS Heat Input'!$C30</f>
        <v>0</v>
      </c>
      <c r="F64" s="551">
        <f>GIS!H46*'GIS Heat Input'!$C30</f>
        <v>0</v>
      </c>
      <c r="G64" s="552">
        <f>GIS!I46*'GIS Heat Input'!$C30</f>
        <v>0</v>
      </c>
      <c r="H64" s="551">
        <f>GIS!K46*'GIS Heat Input'!$C30</f>
        <v>0</v>
      </c>
      <c r="I64" s="552">
        <f>GIS!L46*'GIS Heat Input'!$C30</f>
        <v>0</v>
      </c>
      <c r="J64" s="551">
        <f>GIS!N46*'GIS Heat Input'!$C30</f>
        <v>0</v>
      </c>
      <c r="K64" s="552">
        <f>GIS!O46*'GIS Heat Input'!$C30</f>
        <v>0</v>
      </c>
      <c r="L64" s="553">
        <f>GIS!Q46*'GIS Heat Input'!$C30</f>
        <v>0</v>
      </c>
      <c r="M64" s="552">
        <f>GIS!R46*'GIS Heat Input'!$C30</f>
        <v>0</v>
      </c>
    </row>
    <row r="65" spans="1:13" x14ac:dyDescent="0.4">
      <c r="A65" s="121" t="s">
        <v>4031</v>
      </c>
      <c r="B65" s="550"/>
      <c r="C65" s="550"/>
      <c r="D65" s="551">
        <f>GIS!E47*'GIS Heat Input'!$C31</f>
        <v>0</v>
      </c>
      <c r="E65" s="552">
        <f>GIS!F47*'GIS Heat Input'!$C31</f>
        <v>0</v>
      </c>
      <c r="F65" s="551">
        <f>GIS!H47*'GIS Heat Input'!$C31</f>
        <v>0</v>
      </c>
      <c r="G65" s="552">
        <f>GIS!I47*'GIS Heat Input'!$C31</f>
        <v>0</v>
      </c>
      <c r="H65" s="551">
        <f>GIS!K47*'GIS Heat Input'!$C31</f>
        <v>0</v>
      </c>
      <c r="I65" s="552">
        <f>GIS!L47*'GIS Heat Input'!$C31</f>
        <v>0</v>
      </c>
      <c r="J65" s="551">
        <f>GIS!N47*'GIS Heat Input'!$C31</f>
        <v>0</v>
      </c>
      <c r="K65" s="552">
        <f>GIS!O47*'GIS Heat Input'!$C31</f>
        <v>0</v>
      </c>
      <c r="L65" s="553">
        <f>GIS!Q47*'GIS Heat Input'!$C31</f>
        <v>0</v>
      </c>
      <c r="M65" s="552">
        <f>GIS!R47*'GIS Heat Input'!$C31</f>
        <v>0</v>
      </c>
    </row>
    <row r="66" spans="1:13" x14ac:dyDescent="0.4">
      <c r="A66" s="121" t="s">
        <v>4032</v>
      </c>
      <c r="B66" s="550"/>
      <c r="C66" s="550"/>
      <c r="D66" s="551">
        <f>GIS!E48*'GIS Heat Input'!$C32</f>
        <v>0</v>
      </c>
      <c r="E66" s="552">
        <f>GIS!F48*'GIS Heat Input'!$C32</f>
        <v>18096.29671957672</v>
      </c>
      <c r="F66" s="551">
        <f>GIS!H48*'GIS Heat Input'!$C32</f>
        <v>0</v>
      </c>
      <c r="G66" s="552">
        <f>GIS!I48*'GIS Heat Input'!$C32</f>
        <v>0</v>
      </c>
      <c r="H66" s="551">
        <f>GIS!K48*'GIS Heat Input'!$C32</f>
        <v>0</v>
      </c>
      <c r="I66" s="552">
        <f>GIS!L48*'GIS Heat Input'!$C32</f>
        <v>0</v>
      </c>
      <c r="J66" s="551">
        <f>GIS!N48*'GIS Heat Input'!$C32</f>
        <v>0</v>
      </c>
      <c r="K66" s="552">
        <f>GIS!O48*'GIS Heat Input'!$C32</f>
        <v>0</v>
      </c>
      <c r="L66" s="553">
        <f>GIS!Q48*'GIS Heat Input'!$C32</f>
        <v>0</v>
      </c>
      <c r="M66" s="552">
        <f>GIS!R48*'GIS Heat Input'!$C32</f>
        <v>0</v>
      </c>
    </row>
    <row r="67" spans="1:13" x14ac:dyDescent="0.4">
      <c r="A67" s="121" t="s">
        <v>4033</v>
      </c>
      <c r="B67" s="550"/>
      <c r="C67" s="550"/>
      <c r="D67" s="551">
        <f>GIS!E49*'GIS Heat Input'!$C33</f>
        <v>0</v>
      </c>
      <c r="E67" s="552">
        <f>GIS!F49*'GIS Heat Input'!$C33</f>
        <v>0</v>
      </c>
      <c r="F67" s="551">
        <f>GIS!H49*'GIS Heat Input'!$C33</f>
        <v>0</v>
      </c>
      <c r="G67" s="552">
        <f>GIS!I49*'GIS Heat Input'!$C33</f>
        <v>0</v>
      </c>
      <c r="H67" s="551">
        <f>GIS!K49*'GIS Heat Input'!$C33</f>
        <v>0</v>
      </c>
      <c r="I67" s="552">
        <f>GIS!L49*'GIS Heat Input'!$C33</f>
        <v>0</v>
      </c>
      <c r="J67" s="551">
        <f>GIS!N49*'GIS Heat Input'!$C33</f>
        <v>0</v>
      </c>
      <c r="K67" s="552">
        <f>GIS!O49*'GIS Heat Input'!$C33</f>
        <v>0</v>
      </c>
      <c r="L67" s="553">
        <f>GIS!Q49*'GIS Heat Input'!$C33</f>
        <v>0</v>
      </c>
      <c r="M67" s="552">
        <f>GIS!R49*'GIS Heat Input'!$C33</f>
        <v>0</v>
      </c>
    </row>
    <row r="68" spans="1:13" x14ac:dyDescent="0.4">
      <c r="A68" s="122" t="s">
        <v>4034</v>
      </c>
      <c r="B68" s="550"/>
      <c r="C68" s="550"/>
      <c r="D68" s="551">
        <f>GIS!E50*'GIS Heat Input'!$C34</f>
        <v>0</v>
      </c>
      <c r="E68" s="552">
        <f>GIS!F50*'GIS Heat Input'!$C34</f>
        <v>0</v>
      </c>
      <c r="F68" s="551">
        <f>GIS!H50*'GIS Heat Input'!$C34</f>
        <v>0</v>
      </c>
      <c r="G68" s="552">
        <f>GIS!I50*'GIS Heat Input'!$C34</f>
        <v>0</v>
      </c>
      <c r="H68" s="551">
        <f>GIS!K50*'GIS Heat Input'!$C34</f>
        <v>0</v>
      </c>
      <c r="I68" s="552">
        <f>GIS!L50*'GIS Heat Input'!$C34</f>
        <v>0</v>
      </c>
      <c r="J68" s="551">
        <f>GIS!N50*'GIS Heat Input'!$C34</f>
        <v>0</v>
      </c>
      <c r="K68" s="552">
        <f>GIS!O50*'GIS Heat Input'!$C34</f>
        <v>0</v>
      </c>
      <c r="L68" s="553">
        <f>GIS!Q50*'GIS Heat Input'!$C34</f>
        <v>0</v>
      </c>
      <c r="M68" s="552">
        <f>GIS!R50*'GIS Heat Input'!$C34</f>
        <v>0</v>
      </c>
    </row>
    <row r="69" spans="1:13" x14ac:dyDescent="0.4">
      <c r="A69" s="122" t="s">
        <v>4035</v>
      </c>
      <c r="B69" s="550"/>
      <c r="C69" s="550"/>
      <c r="D69" s="551">
        <f>GIS!E51*'GIS Heat Input'!$C35</f>
        <v>0</v>
      </c>
      <c r="E69" s="552">
        <f>GIS!F51*'GIS Heat Input'!$C35</f>
        <v>0</v>
      </c>
      <c r="F69" s="551">
        <f>GIS!H51*'GIS Heat Input'!$C35</f>
        <v>0</v>
      </c>
      <c r="G69" s="552">
        <f>GIS!I51*'GIS Heat Input'!$C35</f>
        <v>0</v>
      </c>
      <c r="H69" s="551">
        <f>GIS!K51*'GIS Heat Input'!$C35</f>
        <v>0</v>
      </c>
      <c r="I69" s="552">
        <f>GIS!L51*'GIS Heat Input'!$C35</f>
        <v>0</v>
      </c>
      <c r="J69" s="551">
        <f>GIS!N51*'GIS Heat Input'!$C35</f>
        <v>0</v>
      </c>
      <c r="K69" s="552">
        <f>GIS!O51*'GIS Heat Input'!$C35</f>
        <v>0</v>
      </c>
      <c r="L69" s="553">
        <f>GIS!Q51*'GIS Heat Input'!$C35</f>
        <v>0</v>
      </c>
      <c r="M69" s="552">
        <f>GIS!R51*'GIS Heat Input'!$C35</f>
        <v>0</v>
      </c>
    </row>
    <row r="70" spans="1:13" x14ac:dyDescent="0.4">
      <c r="A70" s="121" t="s">
        <v>4036</v>
      </c>
      <c r="B70" s="550"/>
      <c r="C70" s="550"/>
      <c r="D70" s="551">
        <f>GIS!E52*'GIS Heat Input'!$C36</f>
        <v>0</v>
      </c>
      <c r="E70" s="552">
        <f>GIS!F52*'GIS Heat Input'!$C36</f>
        <v>0</v>
      </c>
      <c r="F70" s="551">
        <f>GIS!H52*'GIS Heat Input'!$C36</f>
        <v>0</v>
      </c>
      <c r="G70" s="552">
        <f>GIS!I52*'GIS Heat Input'!$C36</f>
        <v>0</v>
      </c>
      <c r="H70" s="551">
        <f>GIS!K52*'GIS Heat Input'!$C36</f>
        <v>0</v>
      </c>
      <c r="I70" s="552">
        <f>GIS!L52*'GIS Heat Input'!$C36</f>
        <v>0</v>
      </c>
      <c r="J70" s="551">
        <f>GIS!N52*'GIS Heat Input'!$C36</f>
        <v>0</v>
      </c>
      <c r="K70" s="552">
        <f>GIS!O52*'GIS Heat Input'!$C36</f>
        <v>0</v>
      </c>
      <c r="L70" s="553">
        <f>GIS!Q52*'GIS Heat Input'!$C36</f>
        <v>0</v>
      </c>
      <c r="M70" s="552">
        <f>GIS!R52*'GIS Heat Input'!$C36</f>
        <v>0</v>
      </c>
    </row>
    <row r="71" spans="1:13" x14ac:dyDescent="0.4">
      <c r="A71" s="121" t="s">
        <v>4037</v>
      </c>
      <c r="B71" s="550"/>
      <c r="C71" s="550"/>
      <c r="D71" s="551">
        <f>GIS!E53*'GIS Heat Input'!$C37</f>
        <v>0</v>
      </c>
      <c r="E71" s="552">
        <f>GIS!F53*'GIS Heat Input'!$C37</f>
        <v>0</v>
      </c>
      <c r="F71" s="551">
        <f>GIS!H53*'GIS Heat Input'!$C37</f>
        <v>0</v>
      </c>
      <c r="G71" s="552">
        <f>GIS!I53*'GIS Heat Input'!$C37</f>
        <v>0</v>
      </c>
      <c r="H71" s="551">
        <f>GIS!K53*'GIS Heat Input'!$C37</f>
        <v>15968.098201058201</v>
      </c>
      <c r="I71" s="552">
        <f>GIS!L53*'GIS Heat Input'!$C37</f>
        <v>0</v>
      </c>
      <c r="J71" s="551">
        <f>GIS!N53*'GIS Heat Input'!$C37</f>
        <v>0</v>
      </c>
      <c r="K71" s="552">
        <f>GIS!O53*'GIS Heat Input'!$C37</f>
        <v>0</v>
      </c>
      <c r="L71" s="553">
        <f>GIS!Q53*'GIS Heat Input'!$C37</f>
        <v>0</v>
      </c>
      <c r="M71" s="552">
        <f>GIS!R53*'GIS Heat Input'!$C37</f>
        <v>0</v>
      </c>
    </row>
    <row r="72" spans="1:13" x14ac:dyDescent="0.4">
      <c r="A72" s="121" t="s">
        <v>4038</v>
      </c>
      <c r="B72" s="550"/>
      <c r="C72" s="550"/>
      <c r="D72" s="551">
        <f>GIS!E54*'GIS Heat Input'!$C38</f>
        <v>0</v>
      </c>
      <c r="E72" s="552">
        <f>GIS!F54*'GIS Heat Input'!$C38</f>
        <v>0</v>
      </c>
      <c r="F72" s="551">
        <f>GIS!H54*'GIS Heat Input'!$C38</f>
        <v>0</v>
      </c>
      <c r="G72" s="552">
        <f>GIS!I54*'GIS Heat Input'!$C38</f>
        <v>0</v>
      </c>
      <c r="H72" s="551">
        <f>GIS!K54*'GIS Heat Input'!$C38</f>
        <v>0</v>
      </c>
      <c r="I72" s="552">
        <f>GIS!L54*'GIS Heat Input'!$C38</f>
        <v>0</v>
      </c>
      <c r="J72" s="551">
        <f>GIS!N54*'GIS Heat Input'!$C38</f>
        <v>0</v>
      </c>
      <c r="K72" s="552">
        <f>GIS!O54*'GIS Heat Input'!$C38</f>
        <v>0</v>
      </c>
      <c r="L72" s="553">
        <f>GIS!Q54*'GIS Heat Input'!$C38</f>
        <v>0</v>
      </c>
      <c r="M72" s="552">
        <f>GIS!R54*'GIS Heat Input'!$C38</f>
        <v>0</v>
      </c>
    </row>
    <row r="73" spans="1:13" x14ac:dyDescent="0.4">
      <c r="A73" s="121" t="s">
        <v>4039</v>
      </c>
      <c r="B73" s="550"/>
      <c r="C73" s="550"/>
      <c r="D73" s="551">
        <f>GIS!E55*'GIS Heat Input'!$C39</f>
        <v>0</v>
      </c>
      <c r="E73" s="552">
        <f>GIS!F55*'GIS Heat Input'!$C39</f>
        <v>0</v>
      </c>
      <c r="F73" s="551">
        <f>GIS!H55*'GIS Heat Input'!$C39</f>
        <v>0</v>
      </c>
      <c r="G73" s="552">
        <f>GIS!I55*'GIS Heat Input'!$C39</f>
        <v>0</v>
      </c>
      <c r="H73" s="551">
        <f>GIS!K55*'GIS Heat Input'!$C39</f>
        <v>0</v>
      </c>
      <c r="I73" s="552">
        <f>GIS!L55*'GIS Heat Input'!$C39</f>
        <v>0</v>
      </c>
      <c r="J73" s="551">
        <f>GIS!N55*'GIS Heat Input'!$C39</f>
        <v>0</v>
      </c>
      <c r="K73" s="552">
        <f>GIS!O55*'GIS Heat Input'!$C39</f>
        <v>0</v>
      </c>
      <c r="L73" s="553">
        <f>GIS!Q55*'GIS Heat Input'!$C39</f>
        <v>0</v>
      </c>
      <c r="M73" s="552">
        <f>GIS!R55*'GIS Heat Input'!$C39</f>
        <v>0</v>
      </c>
    </row>
    <row r="74" spans="1:13" x14ac:dyDescent="0.4">
      <c r="A74" s="121" t="s">
        <v>4040</v>
      </c>
      <c r="B74" s="550"/>
      <c r="C74" s="550"/>
      <c r="D74" s="551">
        <f>GIS!E56*'GIS Heat Input'!$C40</f>
        <v>0</v>
      </c>
      <c r="E74" s="552">
        <f>GIS!F56*'GIS Heat Input'!$C40</f>
        <v>0</v>
      </c>
      <c r="F74" s="551">
        <f>GIS!H56*'GIS Heat Input'!$C40</f>
        <v>0</v>
      </c>
      <c r="G74" s="552">
        <f>GIS!I56*'GIS Heat Input'!$C40</f>
        <v>0</v>
      </c>
      <c r="H74" s="551">
        <f>GIS!K56*'GIS Heat Input'!$C40</f>
        <v>0</v>
      </c>
      <c r="I74" s="552">
        <f>GIS!L56*'GIS Heat Input'!$C40</f>
        <v>0</v>
      </c>
      <c r="J74" s="551">
        <f>GIS!N56*'GIS Heat Input'!$C40</f>
        <v>0</v>
      </c>
      <c r="K74" s="552">
        <f>GIS!O56*'GIS Heat Input'!$C40</f>
        <v>0</v>
      </c>
      <c r="L74" s="553">
        <f>GIS!Q56*'GIS Heat Input'!$C40</f>
        <v>0</v>
      </c>
      <c r="M74" s="552">
        <f>GIS!R56*'GIS Heat Input'!$C40</f>
        <v>0</v>
      </c>
    </row>
    <row r="75" spans="1:13" x14ac:dyDescent="0.4">
      <c r="A75" s="121" t="s">
        <v>4041</v>
      </c>
      <c r="B75" s="550"/>
      <c r="C75" s="550"/>
      <c r="D75" s="551">
        <f>GIS!E57*'GIS Heat Input'!$C41</f>
        <v>0</v>
      </c>
      <c r="E75" s="552">
        <f>GIS!F57*'GIS Heat Input'!$C41</f>
        <v>0</v>
      </c>
      <c r="F75" s="551">
        <f>GIS!H57*'GIS Heat Input'!$C41</f>
        <v>0</v>
      </c>
      <c r="G75" s="552">
        <f>GIS!I57*'GIS Heat Input'!$C41</f>
        <v>0</v>
      </c>
      <c r="H75" s="551">
        <f>GIS!K57*'GIS Heat Input'!$C41</f>
        <v>0</v>
      </c>
      <c r="I75" s="552">
        <f>GIS!L57*'GIS Heat Input'!$C41</f>
        <v>0</v>
      </c>
      <c r="J75" s="551">
        <f>GIS!N57*'GIS Heat Input'!$C41</f>
        <v>0</v>
      </c>
      <c r="K75" s="552">
        <f>GIS!O57*'GIS Heat Input'!$C41</f>
        <v>0</v>
      </c>
      <c r="L75" s="553">
        <f>GIS!Q57*'GIS Heat Input'!$C41</f>
        <v>0</v>
      </c>
      <c r="M75" s="552">
        <f>GIS!R57*'GIS Heat Input'!$C41</f>
        <v>0</v>
      </c>
    </row>
    <row r="76" spans="1:13" x14ac:dyDescent="0.4">
      <c r="A76" s="122" t="s">
        <v>4042</v>
      </c>
      <c r="B76" s="550"/>
      <c r="C76" s="550"/>
      <c r="D76" s="551">
        <f>GIS!E58*'GIS Heat Input'!$C42</f>
        <v>0</v>
      </c>
      <c r="E76" s="552">
        <f>GIS!F58*'GIS Heat Input'!$C42</f>
        <v>0</v>
      </c>
      <c r="F76" s="551">
        <f>GIS!H58*'GIS Heat Input'!$C42</f>
        <v>0</v>
      </c>
      <c r="G76" s="552">
        <f>GIS!I58*'GIS Heat Input'!$C42</f>
        <v>0</v>
      </c>
      <c r="H76" s="551">
        <f>GIS!K58*'GIS Heat Input'!$C42</f>
        <v>0</v>
      </c>
      <c r="I76" s="552">
        <f>GIS!L58*'GIS Heat Input'!$C42</f>
        <v>0</v>
      </c>
      <c r="J76" s="551">
        <f>GIS!N58*'GIS Heat Input'!$C42</f>
        <v>0</v>
      </c>
      <c r="K76" s="552">
        <f>GIS!O58*'GIS Heat Input'!$C42</f>
        <v>0</v>
      </c>
      <c r="L76" s="553">
        <f>GIS!Q58*'GIS Heat Input'!$C42</f>
        <v>0</v>
      </c>
      <c r="M76" s="552">
        <f>GIS!R58*'GIS Heat Input'!$C42</f>
        <v>0</v>
      </c>
    </row>
    <row r="77" spans="1:13" x14ac:dyDescent="0.4">
      <c r="A77" s="121" t="s">
        <v>4043</v>
      </c>
      <c r="B77" s="550"/>
      <c r="C77" s="550"/>
      <c r="D77" s="642">
        <f>GIS!E59*'GIS Heat Input'!$C43</f>
        <v>0</v>
      </c>
      <c r="E77" s="552">
        <f>GIS!F59*'GIS Heat Input'!$C43</f>
        <v>0</v>
      </c>
      <c r="F77" s="551">
        <f>GIS!H59*'GIS Heat Input'!$C43</f>
        <v>0</v>
      </c>
      <c r="G77" s="552">
        <f>GIS!I59*'GIS Heat Input'!$C43</f>
        <v>0</v>
      </c>
      <c r="H77" s="551">
        <f>GIS!K59*'GIS Heat Input'!$C43</f>
        <v>0</v>
      </c>
      <c r="I77" s="552">
        <f>GIS!L59*'GIS Heat Input'!$C43</f>
        <v>0</v>
      </c>
      <c r="J77" s="551">
        <f>GIS!N59*'GIS Heat Input'!$C43</f>
        <v>0</v>
      </c>
      <c r="K77" s="552">
        <f>GIS!O59*'GIS Heat Input'!$C43</f>
        <v>0</v>
      </c>
      <c r="L77" s="553">
        <f>GIS!Q59*'GIS Heat Input'!$C43</f>
        <v>0</v>
      </c>
      <c r="M77" s="552">
        <f>GIS!R59*'GIS Heat Input'!$C43</f>
        <v>0</v>
      </c>
    </row>
    <row r="78" spans="1:13" x14ac:dyDescent="0.4">
      <c r="A78" s="121" t="s">
        <v>4044</v>
      </c>
      <c r="B78" s="550"/>
      <c r="C78" s="550"/>
      <c r="D78" s="551">
        <f>GIS!E60*'GIS Heat Input'!$C44</f>
        <v>0</v>
      </c>
      <c r="E78" s="552">
        <f>GIS!F60*'GIS Heat Input'!$C44</f>
        <v>0</v>
      </c>
      <c r="F78" s="551">
        <f>GIS!H60*'GIS Heat Input'!$C44</f>
        <v>0</v>
      </c>
      <c r="G78" s="552">
        <f>GIS!I60*'GIS Heat Input'!$C44</f>
        <v>0</v>
      </c>
      <c r="H78" s="551">
        <f>GIS!K60*'GIS Heat Input'!$C44</f>
        <v>0</v>
      </c>
      <c r="I78" s="552">
        <f>GIS!L60*'GIS Heat Input'!$C44</f>
        <v>0</v>
      </c>
      <c r="J78" s="551">
        <f>GIS!N60*'GIS Heat Input'!$C44</f>
        <v>0</v>
      </c>
      <c r="K78" s="552">
        <f>GIS!O60*'GIS Heat Input'!$C44</f>
        <v>0</v>
      </c>
      <c r="L78" s="553">
        <f>GIS!Q60*'GIS Heat Input'!$C44</f>
        <v>0</v>
      </c>
      <c r="M78" s="552">
        <f>GIS!R60*'GIS Heat Input'!$C44</f>
        <v>0</v>
      </c>
    </row>
    <row r="79" spans="1:13" x14ac:dyDescent="0.4">
      <c r="A79" s="121" t="s">
        <v>4045</v>
      </c>
      <c r="B79" s="550"/>
      <c r="C79" s="550"/>
      <c r="D79" s="551">
        <f>GIS!E61*'GIS Heat Input'!$C45</f>
        <v>0</v>
      </c>
      <c r="E79" s="552">
        <f>GIS!F61*'GIS Heat Input'!$C45</f>
        <v>0</v>
      </c>
      <c r="F79" s="551">
        <f>GIS!H61*'GIS Heat Input'!$C45</f>
        <v>0</v>
      </c>
      <c r="G79" s="552">
        <f>GIS!I61*'GIS Heat Input'!$C45</f>
        <v>0</v>
      </c>
      <c r="H79" s="551">
        <f>GIS!K61*'GIS Heat Input'!$C45</f>
        <v>0</v>
      </c>
      <c r="I79" s="552">
        <f>GIS!L61*'GIS Heat Input'!$C45</f>
        <v>0</v>
      </c>
      <c r="J79" s="551">
        <f>GIS!N61*'GIS Heat Input'!$C45</f>
        <v>0</v>
      </c>
      <c r="K79" s="552">
        <f>GIS!O61*'GIS Heat Input'!$C45</f>
        <v>0</v>
      </c>
      <c r="L79" s="553">
        <f>GIS!Q61*'GIS Heat Input'!$C45</f>
        <v>0</v>
      </c>
      <c r="M79" s="552">
        <f>GIS!R61*'GIS Heat Input'!$C45</f>
        <v>0</v>
      </c>
    </row>
    <row r="80" spans="1:13" x14ac:dyDescent="0.4">
      <c r="A80" s="3" t="s">
        <v>11</v>
      </c>
      <c r="B80" s="319"/>
    </row>
    <row r="82" spans="1:13" x14ac:dyDescent="0.4">
      <c r="A82" s="4" t="s">
        <v>4093</v>
      </c>
    </row>
    <row r="83" spans="1:13" x14ac:dyDescent="0.4">
      <c r="A83" s="322" t="s">
        <v>4080</v>
      </c>
      <c r="B83" s="323" t="s">
        <v>4081</v>
      </c>
      <c r="C83" s="323" t="s">
        <v>4082</v>
      </c>
      <c r="D83" s="323" t="s">
        <v>4083</v>
      </c>
      <c r="E83" s="323" t="s">
        <v>4084</v>
      </c>
      <c r="F83" s="323" t="s">
        <v>4085</v>
      </c>
      <c r="G83" s="323" t="s">
        <v>4086</v>
      </c>
      <c r="H83" s="323" t="s">
        <v>4087</v>
      </c>
      <c r="I83" s="323" t="s">
        <v>4088</v>
      </c>
      <c r="J83" s="323" t="s">
        <v>4089</v>
      </c>
      <c r="K83" s="323" t="s">
        <v>4090</v>
      </c>
      <c r="L83" s="323" t="s">
        <v>4091</v>
      </c>
      <c r="M83" s="323" t="s">
        <v>4092</v>
      </c>
    </row>
    <row r="84" spans="1:13" x14ac:dyDescent="0.4">
      <c r="A84" s="408" t="s">
        <v>4028</v>
      </c>
      <c r="B84" s="548">
        <f>GIS!B67*'GIS Heat Input'!$B28</f>
        <v>0</v>
      </c>
      <c r="C84" s="549">
        <f>GIS!C67*'GIS Heat Input'!$B28</f>
        <v>0</v>
      </c>
      <c r="D84" s="547"/>
      <c r="E84" s="547"/>
      <c r="F84" s="548">
        <f>GIS!H67*'GIS Heat Input'!$B28</f>
        <v>0</v>
      </c>
      <c r="G84" s="549">
        <f>GIS!I67*'GIS Heat Input'!$B28</f>
        <v>0</v>
      </c>
      <c r="H84" s="548">
        <f>GIS!K67*'GIS Heat Input'!$B28</f>
        <v>0</v>
      </c>
      <c r="I84" s="549">
        <f>GIS!L67*'GIS Heat Input'!$B28</f>
        <v>0</v>
      </c>
      <c r="J84" s="548">
        <f>GIS!N67*'GIS Heat Input'!$B28</f>
        <v>0</v>
      </c>
      <c r="K84" s="549">
        <f>GIS!O67*'GIS Heat Input'!$B28</f>
        <v>0</v>
      </c>
      <c r="L84" s="548">
        <f>GIS!Q67*'GIS Heat Input'!$B28</f>
        <v>0</v>
      </c>
      <c r="M84" s="549">
        <f>GIS!R67*'GIS Heat Input'!$B28</f>
        <v>0</v>
      </c>
    </row>
    <row r="85" spans="1:13" x14ac:dyDescent="0.4">
      <c r="A85" s="121" t="s">
        <v>4029</v>
      </c>
      <c r="B85" s="551">
        <f>GIS!B68*'GIS Heat Input'!$B29</f>
        <v>0</v>
      </c>
      <c r="C85" s="552">
        <f>GIS!C68*'GIS Heat Input'!$B29</f>
        <v>0</v>
      </c>
      <c r="D85" s="550"/>
      <c r="E85" s="550"/>
      <c r="F85" s="551">
        <f>GIS!H68*'GIS Heat Input'!$B29</f>
        <v>0</v>
      </c>
      <c r="G85" s="552">
        <f>GIS!I68*'GIS Heat Input'!$B29</f>
        <v>0</v>
      </c>
      <c r="H85" s="551">
        <f>GIS!K68*'GIS Heat Input'!$B29</f>
        <v>0</v>
      </c>
      <c r="I85" s="552">
        <f>GIS!L68*'GIS Heat Input'!$B29</f>
        <v>0</v>
      </c>
      <c r="J85" s="551">
        <f>GIS!N68*'GIS Heat Input'!$B29</f>
        <v>0</v>
      </c>
      <c r="K85" s="552">
        <f>GIS!O68*'GIS Heat Input'!$B29</f>
        <v>0</v>
      </c>
      <c r="L85" s="551">
        <f>GIS!Q68*'GIS Heat Input'!$B29</f>
        <v>0</v>
      </c>
      <c r="M85" s="552">
        <f>GIS!R68*'GIS Heat Input'!$B29</f>
        <v>0</v>
      </c>
    </row>
    <row r="86" spans="1:13" x14ac:dyDescent="0.4">
      <c r="A86" s="121" t="s">
        <v>4030</v>
      </c>
      <c r="B86" s="551">
        <f>GIS!B69*'GIS Heat Input'!$B30</f>
        <v>0</v>
      </c>
      <c r="C86" s="552">
        <f>GIS!C69*'GIS Heat Input'!$B30</f>
        <v>0</v>
      </c>
      <c r="D86" s="550"/>
      <c r="E86" s="550"/>
      <c r="F86" s="551">
        <f>GIS!H69*'GIS Heat Input'!$B30</f>
        <v>0</v>
      </c>
      <c r="G86" s="552">
        <f>GIS!I69*'GIS Heat Input'!$B30</f>
        <v>0</v>
      </c>
      <c r="H86" s="551">
        <f>GIS!K69*'GIS Heat Input'!$B30</f>
        <v>0</v>
      </c>
      <c r="I86" s="552">
        <f>GIS!L69*'GIS Heat Input'!$B30</f>
        <v>0</v>
      </c>
      <c r="J86" s="551">
        <f>GIS!N69*'GIS Heat Input'!$B30</f>
        <v>0</v>
      </c>
      <c r="K86" s="552">
        <f>GIS!O69*'GIS Heat Input'!$B30</f>
        <v>0</v>
      </c>
      <c r="L86" s="551">
        <f>GIS!Q69*'GIS Heat Input'!$B30</f>
        <v>0</v>
      </c>
      <c r="M86" s="552">
        <f>GIS!R69*'GIS Heat Input'!$B30</f>
        <v>0</v>
      </c>
    </row>
    <row r="87" spans="1:13" x14ac:dyDescent="0.4">
      <c r="A87" s="121" t="s">
        <v>4031</v>
      </c>
      <c r="B87" s="551">
        <f>GIS!B70*'GIS Heat Input'!$B31</f>
        <v>0</v>
      </c>
      <c r="C87" s="552">
        <f>GIS!C70*'GIS Heat Input'!$B31</f>
        <v>0</v>
      </c>
      <c r="D87" s="550"/>
      <c r="E87" s="550"/>
      <c r="F87" s="551">
        <f>GIS!H70*'GIS Heat Input'!$B31</f>
        <v>0</v>
      </c>
      <c r="G87" s="552">
        <f>GIS!I70*'GIS Heat Input'!$B31</f>
        <v>0</v>
      </c>
      <c r="H87" s="551">
        <f>GIS!K70*'GIS Heat Input'!$B31</f>
        <v>0</v>
      </c>
      <c r="I87" s="552">
        <f>GIS!L70*'GIS Heat Input'!$B31</f>
        <v>0</v>
      </c>
      <c r="J87" s="551">
        <f>GIS!N70*'GIS Heat Input'!$B31</f>
        <v>0</v>
      </c>
      <c r="K87" s="552">
        <f>GIS!O70*'GIS Heat Input'!$B31</f>
        <v>0</v>
      </c>
      <c r="L87" s="551">
        <f>GIS!Q70*'GIS Heat Input'!$B31</f>
        <v>0</v>
      </c>
      <c r="M87" s="552">
        <f>GIS!R70*'GIS Heat Input'!$B31</f>
        <v>0</v>
      </c>
    </row>
    <row r="88" spans="1:13" x14ac:dyDescent="0.4">
      <c r="A88" s="121" t="s">
        <v>4032</v>
      </c>
      <c r="B88" s="551">
        <f>GIS!B71*'GIS Heat Input'!$B32</f>
        <v>0</v>
      </c>
      <c r="C88" s="552">
        <f>GIS!C71*'GIS Heat Input'!$B32</f>
        <v>0</v>
      </c>
      <c r="D88" s="550"/>
      <c r="E88" s="550"/>
      <c r="F88" s="551">
        <f>GIS!H71*'GIS Heat Input'!$B32</f>
        <v>0</v>
      </c>
      <c r="G88" s="552">
        <f>GIS!I71*'GIS Heat Input'!$B32</f>
        <v>0</v>
      </c>
      <c r="H88" s="551">
        <f>GIS!K71*'GIS Heat Input'!$B32</f>
        <v>0</v>
      </c>
      <c r="I88" s="552">
        <f>GIS!L71*'GIS Heat Input'!$B32</f>
        <v>0</v>
      </c>
      <c r="J88" s="551">
        <f>GIS!N71*'GIS Heat Input'!$B32</f>
        <v>0</v>
      </c>
      <c r="K88" s="552">
        <f>GIS!O71*'GIS Heat Input'!$B32</f>
        <v>0</v>
      </c>
      <c r="L88" s="551">
        <f>GIS!Q71*'GIS Heat Input'!$B32</f>
        <v>0</v>
      </c>
      <c r="M88" s="552">
        <f>GIS!R71*'GIS Heat Input'!$B32</f>
        <v>0</v>
      </c>
    </row>
    <row r="89" spans="1:13" x14ac:dyDescent="0.4">
      <c r="A89" s="121" t="s">
        <v>4033</v>
      </c>
      <c r="B89" s="551">
        <f>GIS!B72*'GIS Heat Input'!$B33</f>
        <v>0</v>
      </c>
      <c r="C89" s="552">
        <f>GIS!C72*'GIS Heat Input'!$B33</f>
        <v>0</v>
      </c>
      <c r="D89" s="550"/>
      <c r="E89" s="550"/>
      <c r="F89" s="551">
        <f>GIS!H72*'GIS Heat Input'!$B33</f>
        <v>0</v>
      </c>
      <c r="G89" s="552">
        <f>GIS!I72*'GIS Heat Input'!$B33</f>
        <v>0</v>
      </c>
      <c r="H89" s="551">
        <f>GIS!K72*'GIS Heat Input'!$B33</f>
        <v>0</v>
      </c>
      <c r="I89" s="552">
        <f>GIS!L72*'GIS Heat Input'!$B33</f>
        <v>0</v>
      </c>
      <c r="J89" s="551">
        <f>GIS!N72*'GIS Heat Input'!$B33</f>
        <v>0</v>
      </c>
      <c r="K89" s="552">
        <f>GIS!O72*'GIS Heat Input'!$B33</f>
        <v>0</v>
      </c>
      <c r="L89" s="551">
        <f>GIS!Q72*'GIS Heat Input'!$B33</f>
        <v>0</v>
      </c>
      <c r="M89" s="552">
        <f>GIS!R72*'GIS Heat Input'!$B33</f>
        <v>0</v>
      </c>
    </row>
    <row r="90" spans="1:13" x14ac:dyDescent="0.4">
      <c r="A90" s="122" t="s">
        <v>4034</v>
      </c>
      <c r="B90" s="551">
        <f>GIS!B73*'GIS Heat Input'!$B34</f>
        <v>0</v>
      </c>
      <c r="C90" s="552">
        <f>GIS!C73*'GIS Heat Input'!$B34</f>
        <v>0</v>
      </c>
      <c r="D90" s="550"/>
      <c r="E90" s="550"/>
      <c r="F90" s="551">
        <f>GIS!H73*'GIS Heat Input'!$B34</f>
        <v>0</v>
      </c>
      <c r="G90" s="552">
        <f>GIS!I73*'GIS Heat Input'!$B34</f>
        <v>0</v>
      </c>
      <c r="H90" s="551">
        <f>GIS!K73*'GIS Heat Input'!$B34</f>
        <v>0</v>
      </c>
      <c r="I90" s="552">
        <f>GIS!L73*'GIS Heat Input'!$B34</f>
        <v>0</v>
      </c>
      <c r="J90" s="551">
        <f>GIS!N73*'GIS Heat Input'!$B34</f>
        <v>0</v>
      </c>
      <c r="K90" s="552">
        <f>GIS!O73*'GIS Heat Input'!$B34</f>
        <v>0</v>
      </c>
      <c r="L90" s="551">
        <f>GIS!Q73*'GIS Heat Input'!$B34</f>
        <v>0</v>
      </c>
      <c r="M90" s="552">
        <f>GIS!R73*'GIS Heat Input'!$B34</f>
        <v>0</v>
      </c>
    </row>
    <row r="91" spans="1:13" x14ac:dyDescent="0.4">
      <c r="A91" s="122" t="s">
        <v>4035</v>
      </c>
      <c r="B91" s="551">
        <f>GIS!B74*'GIS Heat Input'!$B35</f>
        <v>0</v>
      </c>
      <c r="C91" s="552">
        <f>GIS!C74*'GIS Heat Input'!$B35</f>
        <v>0</v>
      </c>
      <c r="D91" s="550"/>
      <c r="E91" s="550"/>
      <c r="F91" s="551">
        <f>GIS!H74*'GIS Heat Input'!$B35</f>
        <v>0</v>
      </c>
      <c r="G91" s="552">
        <f>GIS!I74*'GIS Heat Input'!$B35</f>
        <v>0</v>
      </c>
      <c r="H91" s="551">
        <f>GIS!K74*'GIS Heat Input'!$B35</f>
        <v>0</v>
      </c>
      <c r="I91" s="552">
        <f>GIS!L74*'GIS Heat Input'!$B35</f>
        <v>0</v>
      </c>
      <c r="J91" s="551">
        <f>GIS!N74*'GIS Heat Input'!$B35</f>
        <v>0</v>
      </c>
      <c r="K91" s="552">
        <f>GIS!O74*'GIS Heat Input'!$B35</f>
        <v>0</v>
      </c>
      <c r="L91" s="551">
        <f>GIS!Q74*'GIS Heat Input'!$B35</f>
        <v>0</v>
      </c>
      <c r="M91" s="552">
        <f>GIS!R74*'GIS Heat Input'!$B35</f>
        <v>0</v>
      </c>
    </row>
    <row r="92" spans="1:13" x14ac:dyDescent="0.4">
      <c r="A92" s="121" t="s">
        <v>4036</v>
      </c>
      <c r="B92" s="551">
        <f>GIS!B75*'GIS Heat Input'!$B36</f>
        <v>0</v>
      </c>
      <c r="C92" s="552">
        <f>GIS!C75*'GIS Heat Input'!$B36</f>
        <v>0</v>
      </c>
      <c r="D92" s="550"/>
      <c r="E92" s="550"/>
      <c r="F92" s="551">
        <f>GIS!H75*'GIS Heat Input'!$B36</f>
        <v>0</v>
      </c>
      <c r="G92" s="552">
        <f>GIS!I75*'GIS Heat Input'!$B36</f>
        <v>0</v>
      </c>
      <c r="H92" s="551">
        <f>GIS!K75*'GIS Heat Input'!$B36</f>
        <v>0</v>
      </c>
      <c r="I92" s="552">
        <f>GIS!L75*'GIS Heat Input'!$B36</f>
        <v>0</v>
      </c>
      <c r="J92" s="551">
        <f>GIS!N75*'GIS Heat Input'!$B36</f>
        <v>0</v>
      </c>
      <c r="K92" s="552">
        <f>GIS!O75*'GIS Heat Input'!$B36</f>
        <v>0</v>
      </c>
      <c r="L92" s="551">
        <f>GIS!Q75*'GIS Heat Input'!$B36</f>
        <v>0</v>
      </c>
      <c r="M92" s="552">
        <f>GIS!R75*'GIS Heat Input'!$B36</f>
        <v>0</v>
      </c>
    </row>
    <row r="93" spans="1:13" x14ac:dyDescent="0.4">
      <c r="A93" s="121" t="s">
        <v>4037</v>
      </c>
      <c r="B93" s="551">
        <f>GIS!B76*'GIS Heat Input'!$B37</f>
        <v>406927.4995912927</v>
      </c>
      <c r="C93" s="552">
        <f>GIS!C76*'GIS Heat Input'!$B37</f>
        <v>41342.000779687878</v>
      </c>
      <c r="D93" s="550"/>
      <c r="E93" s="550"/>
      <c r="F93" s="551">
        <f>GIS!H76*'GIS Heat Input'!$B37</f>
        <v>0</v>
      </c>
      <c r="G93" s="552">
        <f>GIS!I76*'GIS Heat Input'!$B37</f>
        <v>0</v>
      </c>
      <c r="H93" s="551">
        <f>GIS!K76*'GIS Heat Input'!$B37</f>
        <v>46390.403299840291</v>
      </c>
      <c r="I93" s="552">
        <f>GIS!L76*'GIS Heat Input'!$B37</f>
        <v>20062.327745570241</v>
      </c>
      <c r="J93" s="551">
        <f>GIS!N76*'GIS Heat Input'!$B37</f>
        <v>109358.18508784065</v>
      </c>
      <c r="K93" s="552">
        <f>GIS!O76*'GIS Heat Input'!$B37</f>
        <v>0</v>
      </c>
      <c r="L93" s="551">
        <f>GIS!Q76*'GIS Heat Input'!$B37</f>
        <v>0</v>
      </c>
      <c r="M93" s="552">
        <f>GIS!R76*'GIS Heat Input'!$B37</f>
        <v>0</v>
      </c>
    </row>
    <row r="94" spans="1:13" x14ac:dyDescent="0.4">
      <c r="A94" s="121" t="s">
        <v>4038</v>
      </c>
      <c r="B94" s="551">
        <f>GIS!B77*'GIS Heat Input'!$B38</f>
        <v>0</v>
      </c>
      <c r="C94" s="552">
        <f>GIS!C77*'GIS Heat Input'!$B38</f>
        <v>0</v>
      </c>
      <c r="D94" s="550"/>
      <c r="E94" s="550"/>
      <c r="F94" s="551">
        <f>GIS!H77*'GIS Heat Input'!$B38</f>
        <v>0</v>
      </c>
      <c r="G94" s="552">
        <f>GIS!I77*'GIS Heat Input'!$B38</f>
        <v>0</v>
      </c>
      <c r="H94" s="551">
        <f>GIS!K77*'GIS Heat Input'!$B38</f>
        <v>0</v>
      </c>
      <c r="I94" s="552">
        <f>GIS!L77*'GIS Heat Input'!$B38</f>
        <v>0</v>
      </c>
      <c r="J94" s="551">
        <f>GIS!N77*'GIS Heat Input'!$B38</f>
        <v>0</v>
      </c>
      <c r="K94" s="552">
        <f>GIS!O77*'GIS Heat Input'!$B38</f>
        <v>0</v>
      </c>
      <c r="L94" s="551">
        <f>GIS!Q77*'GIS Heat Input'!$B38</f>
        <v>0</v>
      </c>
      <c r="M94" s="552">
        <f>GIS!R77*'GIS Heat Input'!$B38</f>
        <v>0</v>
      </c>
    </row>
    <row r="95" spans="1:13" x14ac:dyDescent="0.4">
      <c r="A95" s="121" t="s">
        <v>4039</v>
      </c>
      <c r="B95" s="551">
        <f>GIS!B78*'GIS Heat Input'!$B39</f>
        <v>0</v>
      </c>
      <c r="C95" s="552">
        <f>GIS!C78*'GIS Heat Input'!$B39</f>
        <v>0</v>
      </c>
      <c r="D95" s="550"/>
      <c r="E95" s="550"/>
      <c r="F95" s="551">
        <f>GIS!H78*'GIS Heat Input'!$B39</f>
        <v>2250834.0956091867</v>
      </c>
      <c r="G95" s="552">
        <f>GIS!I78*'GIS Heat Input'!$B39</f>
        <v>0</v>
      </c>
      <c r="H95" s="551">
        <f>GIS!K78*'GIS Heat Input'!$B39</f>
        <v>0</v>
      </c>
      <c r="I95" s="552">
        <f>GIS!L78*'GIS Heat Input'!$B39</f>
        <v>0</v>
      </c>
      <c r="J95" s="551">
        <f>GIS!N78*'GIS Heat Input'!$B39</f>
        <v>0</v>
      </c>
      <c r="K95" s="552">
        <f>GIS!O78*'GIS Heat Input'!$B39</f>
        <v>0</v>
      </c>
      <c r="L95" s="551">
        <f>GIS!Q78*'GIS Heat Input'!$B39</f>
        <v>0</v>
      </c>
      <c r="M95" s="552">
        <f>GIS!R78*'GIS Heat Input'!$B39</f>
        <v>0</v>
      </c>
    </row>
    <row r="96" spans="1:13" x14ac:dyDescent="0.4">
      <c r="A96" s="121" t="s">
        <v>4040</v>
      </c>
      <c r="B96" s="551">
        <f>GIS!B79*'GIS Heat Input'!$B40</f>
        <v>0</v>
      </c>
      <c r="C96" s="552">
        <f>GIS!C79*'GIS Heat Input'!$B40</f>
        <v>0</v>
      </c>
      <c r="D96" s="550"/>
      <c r="E96" s="550"/>
      <c r="F96" s="551">
        <f>GIS!H79*'GIS Heat Input'!$B40</f>
        <v>0</v>
      </c>
      <c r="G96" s="552">
        <f>GIS!I79*'GIS Heat Input'!$B40</f>
        <v>0</v>
      </c>
      <c r="H96" s="551">
        <f>GIS!K79*'GIS Heat Input'!$B40</f>
        <v>0</v>
      </c>
      <c r="I96" s="552">
        <f>GIS!L79*'GIS Heat Input'!$B40</f>
        <v>0</v>
      </c>
      <c r="J96" s="551">
        <f>GIS!N79*'GIS Heat Input'!$B40</f>
        <v>0</v>
      </c>
      <c r="K96" s="552">
        <f>GIS!O79*'GIS Heat Input'!$B40</f>
        <v>0</v>
      </c>
      <c r="L96" s="551">
        <f>GIS!Q79*'GIS Heat Input'!$B40</f>
        <v>0</v>
      </c>
      <c r="M96" s="552">
        <f>GIS!R79*'GIS Heat Input'!$B40</f>
        <v>0</v>
      </c>
    </row>
    <row r="97" spans="1:13" x14ac:dyDescent="0.4">
      <c r="A97" s="121" t="s">
        <v>4041</v>
      </c>
      <c r="B97" s="551">
        <f>GIS!B80*'GIS Heat Input'!$B41</f>
        <v>0</v>
      </c>
      <c r="C97" s="552">
        <f>GIS!C80*'GIS Heat Input'!$B41</f>
        <v>0</v>
      </c>
      <c r="D97" s="550"/>
      <c r="E97" s="550"/>
      <c r="F97" s="551">
        <f>GIS!H80*'GIS Heat Input'!$B41</f>
        <v>0</v>
      </c>
      <c r="G97" s="552">
        <f>GIS!I80*'GIS Heat Input'!$B41</f>
        <v>0</v>
      </c>
      <c r="H97" s="551">
        <f>GIS!K80*'GIS Heat Input'!$B41</f>
        <v>0</v>
      </c>
      <c r="I97" s="552">
        <f>GIS!L80*'GIS Heat Input'!$B41</f>
        <v>0</v>
      </c>
      <c r="J97" s="551">
        <f>GIS!N80*'GIS Heat Input'!$B41</f>
        <v>0</v>
      </c>
      <c r="K97" s="552">
        <f>GIS!O80*'GIS Heat Input'!$B41</f>
        <v>0</v>
      </c>
      <c r="L97" s="551">
        <f>GIS!Q80*'GIS Heat Input'!$B41</f>
        <v>0</v>
      </c>
      <c r="M97" s="552">
        <f>GIS!R80*'GIS Heat Input'!$B41</f>
        <v>0</v>
      </c>
    </row>
    <row r="98" spans="1:13" x14ac:dyDescent="0.4">
      <c r="A98" s="122" t="s">
        <v>4042</v>
      </c>
      <c r="B98" s="551">
        <f>GIS!B81*'GIS Heat Input'!$B42</f>
        <v>0</v>
      </c>
      <c r="C98" s="552">
        <f>GIS!C81*'GIS Heat Input'!$B42</f>
        <v>0</v>
      </c>
      <c r="D98" s="550"/>
      <c r="E98" s="550"/>
      <c r="F98" s="551">
        <f>GIS!H81*'GIS Heat Input'!$B42</f>
        <v>0</v>
      </c>
      <c r="G98" s="552">
        <f>GIS!I81*'GIS Heat Input'!$B42</f>
        <v>0</v>
      </c>
      <c r="H98" s="551">
        <f>GIS!K81*'GIS Heat Input'!$B42</f>
        <v>0</v>
      </c>
      <c r="I98" s="552">
        <f>GIS!L81*'GIS Heat Input'!$B42</f>
        <v>0</v>
      </c>
      <c r="J98" s="551">
        <f>GIS!N81*'GIS Heat Input'!$B42</f>
        <v>0</v>
      </c>
      <c r="K98" s="552">
        <f>GIS!O81*'GIS Heat Input'!$B42</f>
        <v>0</v>
      </c>
      <c r="L98" s="551">
        <f>GIS!Q81*'GIS Heat Input'!$B42</f>
        <v>0</v>
      </c>
      <c r="M98" s="552">
        <f>GIS!R81*'GIS Heat Input'!$B42</f>
        <v>0</v>
      </c>
    </row>
    <row r="99" spans="1:13" x14ac:dyDescent="0.4">
      <c r="A99" s="121" t="s">
        <v>4043</v>
      </c>
      <c r="B99" s="551">
        <f>GIS!B82*'GIS Heat Input'!$B43</f>
        <v>0</v>
      </c>
      <c r="C99" s="552">
        <f>GIS!C82*'GIS Heat Input'!$B43</f>
        <v>0</v>
      </c>
      <c r="D99" s="550"/>
      <c r="E99" s="550"/>
      <c r="F99" s="551">
        <f>GIS!H82*'GIS Heat Input'!$B43</f>
        <v>64978.162149210628</v>
      </c>
      <c r="G99" s="552">
        <f>GIS!I82*'GIS Heat Input'!$B43</f>
        <v>0</v>
      </c>
      <c r="H99" s="551">
        <f>GIS!K82*'GIS Heat Input'!$B43</f>
        <v>0</v>
      </c>
      <c r="I99" s="552">
        <f>GIS!L82*'GIS Heat Input'!$B43</f>
        <v>0</v>
      </c>
      <c r="J99" s="551">
        <f>GIS!N82*'GIS Heat Input'!$B43</f>
        <v>20395.523794069155</v>
      </c>
      <c r="K99" s="552">
        <f>GIS!O82*'GIS Heat Input'!$B43</f>
        <v>0</v>
      </c>
      <c r="L99" s="551">
        <f>GIS!Q82*'GIS Heat Input'!$B43</f>
        <v>0</v>
      </c>
      <c r="M99" s="552">
        <f>GIS!R82*'GIS Heat Input'!$B43</f>
        <v>0</v>
      </c>
    </row>
    <row r="100" spans="1:13" x14ac:dyDescent="0.4">
      <c r="A100" s="121" t="s">
        <v>4044</v>
      </c>
      <c r="B100" s="551">
        <f>GIS!B83*'GIS Heat Input'!$B44</f>
        <v>0</v>
      </c>
      <c r="C100" s="552">
        <f>GIS!C83*'GIS Heat Input'!$B44</f>
        <v>0</v>
      </c>
      <c r="D100" s="550"/>
      <c r="E100" s="550"/>
      <c r="F100" s="551">
        <f>GIS!H83*'GIS Heat Input'!$B44</f>
        <v>0</v>
      </c>
      <c r="G100" s="552">
        <f>GIS!I83*'GIS Heat Input'!$B44</f>
        <v>0</v>
      </c>
      <c r="H100" s="551">
        <f>GIS!K83*'GIS Heat Input'!$B44</f>
        <v>0</v>
      </c>
      <c r="I100" s="552">
        <f>GIS!L83*'GIS Heat Input'!$B44</f>
        <v>0</v>
      </c>
      <c r="J100" s="551">
        <f>GIS!N83*'GIS Heat Input'!$B44</f>
        <v>0</v>
      </c>
      <c r="K100" s="552">
        <f>GIS!O83*'GIS Heat Input'!$B44</f>
        <v>0</v>
      </c>
      <c r="L100" s="551">
        <f>GIS!Q83*'GIS Heat Input'!$B44</f>
        <v>0</v>
      </c>
      <c r="M100" s="552">
        <f>GIS!R83*'GIS Heat Input'!$B44</f>
        <v>0</v>
      </c>
    </row>
    <row r="101" spans="1:13" x14ac:dyDescent="0.4">
      <c r="A101" s="121" t="s">
        <v>4045</v>
      </c>
      <c r="B101" s="551">
        <f>GIS!B84*'GIS Heat Input'!$B45</f>
        <v>1186896.9666064626</v>
      </c>
      <c r="C101" s="552">
        <f>GIS!C84*'GIS Heat Input'!$B45</f>
        <v>0</v>
      </c>
      <c r="D101" s="550"/>
      <c r="E101" s="550"/>
      <c r="F101" s="551">
        <f>GIS!H84*'GIS Heat Input'!$B45</f>
        <v>0</v>
      </c>
      <c r="G101" s="552">
        <f>GIS!I84*'GIS Heat Input'!$B45</f>
        <v>0</v>
      </c>
      <c r="H101" s="551">
        <f>GIS!K84*'GIS Heat Input'!$B45</f>
        <v>0</v>
      </c>
      <c r="I101" s="552">
        <f>GIS!L84*'GIS Heat Input'!$B45</f>
        <v>0</v>
      </c>
      <c r="J101" s="551">
        <f>GIS!N84*'GIS Heat Input'!$B45</f>
        <v>0</v>
      </c>
      <c r="K101" s="552">
        <f>GIS!O84*'GIS Heat Input'!$B45</f>
        <v>0</v>
      </c>
      <c r="L101" s="551">
        <f>GIS!Q84*'GIS Heat Input'!$B45</f>
        <v>0</v>
      </c>
      <c r="M101" s="552">
        <f>GIS!R84*'GIS Heat Input'!$B45</f>
        <v>0</v>
      </c>
    </row>
    <row r="102" spans="1:13" x14ac:dyDescent="0.4">
      <c r="A102" s="422" t="s">
        <v>11</v>
      </c>
      <c r="D102" s="319"/>
    </row>
    <row r="104" spans="1:13" x14ac:dyDescent="0.4">
      <c r="A104" s="4" t="s">
        <v>4094</v>
      </c>
    </row>
    <row r="105" spans="1:13" x14ac:dyDescent="0.4">
      <c r="A105" s="322" t="s">
        <v>4080</v>
      </c>
      <c r="B105" s="323" t="s">
        <v>4081</v>
      </c>
      <c r="C105" s="323" t="s">
        <v>4082</v>
      </c>
      <c r="D105" s="323" t="s">
        <v>4083</v>
      </c>
      <c r="E105" s="323" t="s">
        <v>4084</v>
      </c>
      <c r="F105" s="323" t="s">
        <v>4085</v>
      </c>
      <c r="G105" s="323" t="s">
        <v>4086</v>
      </c>
      <c r="H105" s="323" t="s">
        <v>4087</v>
      </c>
      <c r="I105" s="323" t="s">
        <v>4088</v>
      </c>
      <c r="J105" s="323" t="s">
        <v>4089</v>
      </c>
      <c r="K105" s="323" t="s">
        <v>4090</v>
      </c>
      <c r="L105" s="323" t="s">
        <v>4091</v>
      </c>
      <c r="M105" s="323" t="s">
        <v>4092</v>
      </c>
    </row>
    <row r="106" spans="1:13" x14ac:dyDescent="0.4">
      <c r="A106" s="342" t="s">
        <v>4028</v>
      </c>
      <c r="B106" s="551">
        <f>(GIS!B90+GIS!D90)*'GIS Heat Input'!$D28</f>
        <v>0</v>
      </c>
      <c r="C106" s="552">
        <f>GIS!C90*'GIS Heat Input'!$D28</f>
        <v>0</v>
      </c>
      <c r="D106" s="551">
        <f>(GIS!F90+GIS!H90)*'GIS Heat Input'!$D28</f>
        <v>0</v>
      </c>
      <c r="E106" s="552">
        <f>GIS!G90*'GIS Heat Input'!$D28</f>
        <v>0</v>
      </c>
      <c r="F106" s="547"/>
      <c r="G106" s="550"/>
      <c r="H106" s="554">
        <f>(GIS!N90+GIS!P90)*'GIS Heat Input'!$D28</f>
        <v>0</v>
      </c>
      <c r="I106" s="555">
        <f>GIS!O90*'GIS Heat Input'!$D28</f>
        <v>0</v>
      </c>
      <c r="J106" s="554">
        <f>(GIS!R90+GIS!T90)*'GIS Heat Input'!$D28</f>
        <v>0</v>
      </c>
      <c r="K106" s="552">
        <f>GIS!S90*'GIS Heat Input'!$D28</f>
        <v>0</v>
      </c>
      <c r="L106" s="551">
        <f>(GIS!V90+GIS!X90)*'GIS Heat Input'!$D28</f>
        <v>0</v>
      </c>
      <c r="M106" s="552">
        <f>GIS!W90*'GIS Heat Input'!$D28</f>
        <v>0</v>
      </c>
    </row>
    <row r="107" spans="1:13" x14ac:dyDescent="0.4">
      <c r="A107" s="121" t="s">
        <v>4029</v>
      </c>
      <c r="B107" s="551">
        <f>(GIS!B91+GIS!D91)*'GIS Heat Input'!$D29</f>
        <v>0</v>
      </c>
      <c r="C107" s="552">
        <f>GIS!C91*'GIS Heat Input'!$D29</f>
        <v>0</v>
      </c>
      <c r="D107" s="551">
        <f>(GIS!F91+GIS!H91)*'GIS Heat Input'!$D29</f>
        <v>4763.9147120259195</v>
      </c>
      <c r="E107" s="552">
        <f>GIS!G91*'GIS Heat Input'!$D29</f>
        <v>0</v>
      </c>
      <c r="F107" s="550"/>
      <c r="G107" s="550"/>
      <c r="H107" s="554">
        <f>(GIS!N91+GIS!P91)*'GIS Heat Input'!$D29</f>
        <v>0</v>
      </c>
      <c r="I107" s="555">
        <f>GIS!O91*'GIS Heat Input'!$D29</f>
        <v>0</v>
      </c>
      <c r="J107" s="554">
        <f>(GIS!R91+GIS!T91)*'GIS Heat Input'!$D29</f>
        <v>1838047.8527869524</v>
      </c>
      <c r="K107" s="552">
        <f>GIS!S91*'GIS Heat Input'!$D29</f>
        <v>0</v>
      </c>
      <c r="L107" s="551">
        <f>(GIS!V91+GIS!X91)*'GIS Heat Input'!$D29</f>
        <v>0</v>
      </c>
      <c r="M107" s="552">
        <f>GIS!W91*'GIS Heat Input'!$D29</f>
        <v>0</v>
      </c>
    </row>
    <row r="108" spans="1:13" x14ac:dyDescent="0.4">
      <c r="A108" s="121" t="s">
        <v>4030</v>
      </c>
      <c r="B108" s="551">
        <f>(GIS!B92+GIS!D92)*'GIS Heat Input'!$D30</f>
        <v>0</v>
      </c>
      <c r="C108" s="552">
        <f>GIS!C92*'GIS Heat Input'!$D30</f>
        <v>0</v>
      </c>
      <c r="D108" s="551">
        <f>(GIS!F92+GIS!H92)*'GIS Heat Input'!$D30</f>
        <v>0</v>
      </c>
      <c r="E108" s="552">
        <f>GIS!G92*'GIS Heat Input'!$D30</f>
        <v>0</v>
      </c>
      <c r="F108" s="550"/>
      <c r="G108" s="550"/>
      <c r="H108" s="554">
        <f>(GIS!N92+GIS!P92)*'GIS Heat Input'!$D30</f>
        <v>0</v>
      </c>
      <c r="I108" s="555">
        <f>GIS!O92*'GIS Heat Input'!$D30</f>
        <v>0</v>
      </c>
      <c r="J108" s="554">
        <f>(GIS!R92+GIS!T92)*'GIS Heat Input'!$D30</f>
        <v>0</v>
      </c>
      <c r="K108" s="552">
        <f>GIS!S92*'GIS Heat Input'!$D30</f>
        <v>0</v>
      </c>
      <c r="L108" s="551">
        <f>(GIS!V92+GIS!X92)*'GIS Heat Input'!$D30</f>
        <v>0</v>
      </c>
      <c r="M108" s="552">
        <f>GIS!W92*'GIS Heat Input'!$D30</f>
        <v>0</v>
      </c>
    </row>
    <row r="109" spans="1:13" x14ac:dyDescent="0.4">
      <c r="A109" s="121" t="s">
        <v>4031</v>
      </c>
      <c r="B109" s="551">
        <f>(GIS!B93+GIS!D93)*'GIS Heat Input'!$D31</f>
        <v>0</v>
      </c>
      <c r="C109" s="552">
        <f>GIS!C93*'GIS Heat Input'!$D31</f>
        <v>0</v>
      </c>
      <c r="D109" s="551">
        <f>(GIS!F93+GIS!H93)*'GIS Heat Input'!$D31</f>
        <v>0</v>
      </c>
      <c r="E109" s="552">
        <f>GIS!G93*'GIS Heat Input'!$D31</f>
        <v>0</v>
      </c>
      <c r="F109" s="550"/>
      <c r="G109" s="550"/>
      <c r="H109" s="554">
        <f>(GIS!N93+GIS!P93)*'GIS Heat Input'!$D31</f>
        <v>0</v>
      </c>
      <c r="I109" s="555">
        <f>GIS!O93*'GIS Heat Input'!$D31</f>
        <v>0</v>
      </c>
      <c r="J109" s="554">
        <f>(GIS!R93+GIS!T93)*'GIS Heat Input'!$D31</f>
        <v>0</v>
      </c>
      <c r="K109" s="552">
        <f>GIS!S93*'GIS Heat Input'!$D31</f>
        <v>0</v>
      </c>
      <c r="L109" s="551">
        <f>(GIS!V93+GIS!X93)*'GIS Heat Input'!$D31</f>
        <v>0</v>
      </c>
      <c r="M109" s="552">
        <f>GIS!W93*'GIS Heat Input'!$D31</f>
        <v>0</v>
      </c>
    </row>
    <row r="110" spans="1:13" x14ac:dyDescent="0.4">
      <c r="A110" s="121" t="s">
        <v>4032</v>
      </c>
      <c r="B110" s="551">
        <f>(GIS!B94+GIS!D94)*'GIS Heat Input'!$D32</f>
        <v>0</v>
      </c>
      <c r="C110" s="552">
        <f>GIS!C94*'GIS Heat Input'!$D32</f>
        <v>0</v>
      </c>
      <c r="D110" s="551">
        <f>(GIS!F94+GIS!H94)*'GIS Heat Input'!$D32</f>
        <v>41986.163125577346</v>
      </c>
      <c r="E110" s="552">
        <f>GIS!G94*'GIS Heat Input'!$D32</f>
        <v>19364.307993261966</v>
      </c>
      <c r="F110" s="550"/>
      <c r="G110" s="550"/>
      <c r="H110" s="554">
        <f>(GIS!N94+GIS!P94)*'GIS Heat Input'!$D32</f>
        <v>0</v>
      </c>
      <c r="I110" s="555">
        <f>GIS!O94*'GIS Heat Input'!$D32</f>
        <v>0</v>
      </c>
      <c r="J110" s="554">
        <f>(GIS!R94+GIS!T94)*'GIS Heat Input'!$D32</f>
        <v>110564.31695919143</v>
      </c>
      <c r="K110" s="552">
        <f>GIS!S94*'GIS Heat Input'!$D32</f>
        <v>0</v>
      </c>
      <c r="L110" s="551">
        <f>(GIS!V94+GIS!X94)*'GIS Heat Input'!$D32</f>
        <v>0</v>
      </c>
      <c r="M110" s="552">
        <f>GIS!W94*'GIS Heat Input'!$D32</f>
        <v>0</v>
      </c>
    </row>
    <row r="111" spans="1:13" x14ac:dyDescent="0.4">
      <c r="A111" s="121" t="s">
        <v>4033</v>
      </c>
      <c r="B111" s="551">
        <f>(GIS!B95+GIS!D95)*'GIS Heat Input'!$D33</f>
        <v>0</v>
      </c>
      <c r="C111" s="552">
        <f>GIS!C95*'GIS Heat Input'!$D33</f>
        <v>0</v>
      </c>
      <c r="D111" s="551">
        <f>(GIS!F95+GIS!H95)*'GIS Heat Input'!$D33</f>
        <v>0</v>
      </c>
      <c r="E111" s="552">
        <f>GIS!G95*'GIS Heat Input'!$D33</f>
        <v>0</v>
      </c>
      <c r="F111" s="550"/>
      <c r="G111" s="550"/>
      <c r="H111" s="554">
        <f>(GIS!N95+GIS!P95)*'GIS Heat Input'!$D33</f>
        <v>0</v>
      </c>
      <c r="I111" s="555">
        <f>GIS!O95*'GIS Heat Input'!$D33</f>
        <v>0</v>
      </c>
      <c r="J111" s="554">
        <f>(GIS!R95+GIS!T95)*'GIS Heat Input'!$D33</f>
        <v>0</v>
      </c>
      <c r="K111" s="552">
        <f>GIS!S95*'GIS Heat Input'!$D33</f>
        <v>0</v>
      </c>
      <c r="L111" s="551">
        <f>(GIS!V95+GIS!X95)*'GIS Heat Input'!$D33</f>
        <v>0</v>
      </c>
      <c r="M111" s="552">
        <f>GIS!W95*'GIS Heat Input'!$D33</f>
        <v>0</v>
      </c>
    </row>
    <row r="112" spans="1:13" x14ac:dyDescent="0.4">
      <c r="A112" s="122" t="s">
        <v>4034</v>
      </c>
      <c r="B112" s="551">
        <f>(GIS!B96+GIS!D96)*'GIS Heat Input'!$D34</f>
        <v>0</v>
      </c>
      <c r="C112" s="552">
        <f>GIS!C96*'GIS Heat Input'!$D34</f>
        <v>0</v>
      </c>
      <c r="D112" s="551">
        <f>(GIS!F96+GIS!H96)*'GIS Heat Input'!$D34</f>
        <v>0</v>
      </c>
      <c r="E112" s="552">
        <f>GIS!G96*'GIS Heat Input'!$D34</f>
        <v>0</v>
      </c>
      <c r="F112" s="550"/>
      <c r="G112" s="550"/>
      <c r="H112" s="554">
        <f>(GIS!N96+GIS!P96)*'GIS Heat Input'!$D34</f>
        <v>0</v>
      </c>
      <c r="I112" s="555">
        <f>GIS!O96*'GIS Heat Input'!$D34</f>
        <v>0</v>
      </c>
      <c r="J112" s="554">
        <f>(GIS!R96+GIS!T96)*'GIS Heat Input'!$D34</f>
        <v>0</v>
      </c>
      <c r="K112" s="552">
        <f>GIS!S96*'GIS Heat Input'!$D34</f>
        <v>0</v>
      </c>
      <c r="L112" s="551">
        <f>(GIS!V96+GIS!X96)*'GIS Heat Input'!$D34</f>
        <v>0</v>
      </c>
      <c r="M112" s="552">
        <f>GIS!W96*'GIS Heat Input'!$D34</f>
        <v>0</v>
      </c>
    </row>
    <row r="113" spans="1:13" x14ac:dyDescent="0.4">
      <c r="A113" s="122" t="s">
        <v>4035</v>
      </c>
      <c r="B113" s="551">
        <f>(GIS!B97+GIS!D97)*'GIS Heat Input'!$D35</f>
        <v>0</v>
      </c>
      <c r="C113" s="552">
        <f>GIS!C97*'GIS Heat Input'!$D35</f>
        <v>0</v>
      </c>
      <c r="D113" s="551">
        <f>(GIS!F97+GIS!H97)*'GIS Heat Input'!$D35</f>
        <v>0</v>
      </c>
      <c r="E113" s="552">
        <f>GIS!G97*'GIS Heat Input'!$D35</f>
        <v>0</v>
      </c>
      <c r="F113" s="550"/>
      <c r="G113" s="550"/>
      <c r="H113" s="554">
        <f>(GIS!N97+GIS!P97)*'GIS Heat Input'!$D35</f>
        <v>0</v>
      </c>
      <c r="I113" s="555">
        <f>GIS!O97*'GIS Heat Input'!$D35</f>
        <v>0</v>
      </c>
      <c r="J113" s="554">
        <f>(GIS!R97+GIS!T97)*'GIS Heat Input'!$D35</f>
        <v>0</v>
      </c>
      <c r="K113" s="552">
        <f>GIS!S97*'GIS Heat Input'!$D35</f>
        <v>0</v>
      </c>
      <c r="L113" s="551">
        <f>(GIS!V97+GIS!X97)*'GIS Heat Input'!$D35</f>
        <v>0</v>
      </c>
      <c r="M113" s="552">
        <f>GIS!W97*'GIS Heat Input'!$D35</f>
        <v>0</v>
      </c>
    </row>
    <row r="114" spans="1:13" x14ac:dyDescent="0.4">
      <c r="A114" s="121" t="s">
        <v>4036</v>
      </c>
      <c r="B114" s="551">
        <f>(GIS!B98+GIS!D98)*'GIS Heat Input'!$D36</f>
        <v>0</v>
      </c>
      <c r="C114" s="552">
        <f>GIS!C98*'GIS Heat Input'!$D36</f>
        <v>0</v>
      </c>
      <c r="D114" s="551">
        <f>(GIS!F98+GIS!H98)*'GIS Heat Input'!$D36</f>
        <v>0</v>
      </c>
      <c r="E114" s="552">
        <f>GIS!G98*'GIS Heat Input'!$D36</f>
        <v>0</v>
      </c>
      <c r="F114" s="550"/>
      <c r="G114" s="550"/>
      <c r="H114" s="554">
        <f>(GIS!N98+GIS!P98)*'GIS Heat Input'!$D36</f>
        <v>0</v>
      </c>
      <c r="I114" s="555">
        <f>GIS!O98*'GIS Heat Input'!$D36</f>
        <v>0</v>
      </c>
      <c r="J114" s="554">
        <f>(GIS!R98+GIS!T98)*'GIS Heat Input'!$D36</f>
        <v>0</v>
      </c>
      <c r="K114" s="552">
        <f>GIS!S98*'GIS Heat Input'!$D36</f>
        <v>0</v>
      </c>
      <c r="L114" s="551">
        <f>(GIS!V98+GIS!X98)*'GIS Heat Input'!$D36</f>
        <v>0</v>
      </c>
      <c r="M114" s="552">
        <f>GIS!W98*'GIS Heat Input'!$D36</f>
        <v>0</v>
      </c>
    </row>
    <row r="115" spans="1:13" x14ac:dyDescent="0.4">
      <c r="A115" s="121" t="s">
        <v>4037</v>
      </c>
      <c r="B115" s="551">
        <f>(GIS!B99+GIS!D99)*'GIS Heat Input'!$D37</f>
        <v>126603.21224800304</v>
      </c>
      <c r="C115" s="552">
        <f>GIS!C99*'GIS Heat Input'!$D37</f>
        <v>0</v>
      </c>
      <c r="D115" s="551">
        <f>(GIS!F99+GIS!H99)*'GIS Heat Input'!$D37</f>
        <v>66214.169972287127</v>
      </c>
      <c r="E115" s="552">
        <f>GIS!G99*'GIS Heat Input'!$D37</f>
        <v>0</v>
      </c>
      <c r="F115" s="550"/>
      <c r="G115" s="550"/>
      <c r="H115" s="554">
        <f>(GIS!N99+GIS!P99)*'GIS Heat Input'!$D37</f>
        <v>11514.52426234853</v>
      </c>
      <c r="I115" s="555">
        <f>GIS!O99*'GIS Heat Input'!$D37</f>
        <v>0</v>
      </c>
      <c r="J115" s="554">
        <f>(GIS!R99+GIS!T99)*'GIS Heat Input'!$D37</f>
        <v>395.8824648155192</v>
      </c>
      <c r="K115" s="552">
        <f>GIS!S99*'GIS Heat Input'!$D37</f>
        <v>0</v>
      </c>
      <c r="L115" s="551">
        <f>(GIS!V99+GIS!X99)*'GIS Heat Input'!$D37</f>
        <v>0</v>
      </c>
      <c r="M115" s="552">
        <f>GIS!W99*'GIS Heat Input'!$D37</f>
        <v>0</v>
      </c>
    </row>
    <row r="116" spans="1:13" x14ac:dyDescent="0.4">
      <c r="A116" s="121" t="s">
        <v>4038</v>
      </c>
      <c r="B116" s="551">
        <f>(GIS!B100+GIS!D100)*'GIS Heat Input'!$D38</f>
        <v>0</v>
      </c>
      <c r="C116" s="552">
        <f>GIS!C100*'GIS Heat Input'!$D38</f>
        <v>0</v>
      </c>
      <c r="D116" s="551">
        <f>(GIS!F100+GIS!H100)*'GIS Heat Input'!$D38</f>
        <v>0</v>
      </c>
      <c r="E116" s="552">
        <f>GIS!G100*'GIS Heat Input'!$D38</f>
        <v>0</v>
      </c>
      <c r="F116" s="550"/>
      <c r="G116" s="550"/>
      <c r="H116" s="554">
        <f>(GIS!N100+GIS!P100)*'GIS Heat Input'!$D38</f>
        <v>0</v>
      </c>
      <c r="I116" s="555">
        <f>GIS!O100*'GIS Heat Input'!$D38</f>
        <v>0</v>
      </c>
      <c r="J116" s="554">
        <f>(GIS!R100+GIS!T100)*'GIS Heat Input'!$D38</f>
        <v>0</v>
      </c>
      <c r="K116" s="552">
        <f>GIS!S100*'GIS Heat Input'!$D38</f>
        <v>0</v>
      </c>
      <c r="L116" s="551">
        <f>(GIS!V100+GIS!X100)*'GIS Heat Input'!$D38</f>
        <v>0</v>
      </c>
      <c r="M116" s="552">
        <f>GIS!W100*'GIS Heat Input'!$D38</f>
        <v>0</v>
      </c>
    </row>
    <row r="117" spans="1:13" x14ac:dyDescent="0.4">
      <c r="A117" s="121" t="s">
        <v>4039</v>
      </c>
      <c r="B117" s="551">
        <f>(GIS!B101+GIS!D101)*'GIS Heat Input'!$D39</f>
        <v>0</v>
      </c>
      <c r="C117" s="552">
        <f>GIS!C101*'GIS Heat Input'!$D39</f>
        <v>0</v>
      </c>
      <c r="D117" s="551">
        <f>(GIS!F101+GIS!H101)*'GIS Heat Input'!$D39</f>
        <v>0</v>
      </c>
      <c r="E117" s="552">
        <f>GIS!G101*'GIS Heat Input'!$D39</f>
        <v>0</v>
      </c>
      <c r="F117" s="550"/>
      <c r="G117" s="550"/>
      <c r="H117" s="554">
        <f>(GIS!N101+GIS!P101)*'GIS Heat Input'!$D39</f>
        <v>0</v>
      </c>
      <c r="I117" s="555">
        <f>GIS!O101*'GIS Heat Input'!$D39</f>
        <v>0</v>
      </c>
      <c r="J117" s="554">
        <f>(GIS!R101+GIS!T101)*'GIS Heat Input'!$D39</f>
        <v>0</v>
      </c>
      <c r="K117" s="552">
        <f>GIS!S101*'GIS Heat Input'!$D39</f>
        <v>0</v>
      </c>
      <c r="L117" s="551">
        <f>(GIS!V101+GIS!X101)*'GIS Heat Input'!$D39</f>
        <v>0</v>
      </c>
      <c r="M117" s="552">
        <f>GIS!W101*'GIS Heat Input'!$D39</f>
        <v>0</v>
      </c>
    </row>
    <row r="118" spans="1:13" x14ac:dyDescent="0.4">
      <c r="A118" s="121" t="s">
        <v>4040</v>
      </c>
      <c r="B118" s="551">
        <f>(GIS!B102+GIS!D102)*'GIS Heat Input'!$D40</f>
        <v>0</v>
      </c>
      <c r="C118" s="552">
        <f>GIS!C102*'GIS Heat Input'!$D40</f>
        <v>0</v>
      </c>
      <c r="D118" s="551">
        <f>(GIS!F102+GIS!H102)*'GIS Heat Input'!$D40</f>
        <v>0</v>
      </c>
      <c r="E118" s="552">
        <f>GIS!G102*'GIS Heat Input'!$D40</f>
        <v>0</v>
      </c>
      <c r="F118" s="550"/>
      <c r="G118" s="550"/>
      <c r="H118" s="554">
        <f>(GIS!N102+GIS!P102)*'GIS Heat Input'!$D40</f>
        <v>0</v>
      </c>
      <c r="I118" s="555">
        <f>GIS!O102*'GIS Heat Input'!$D40</f>
        <v>0</v>
      </c>
      <c r="J118" s="554">
        <f>(GIS!R102+GIS!T102)*'GIS Heat Input'!$D40</f>
        <v>0</v>
      </c>
      <c r="K118" s="552">
        <f>GIS!S102*'GIS Heat Input'!$D40</f>
        <v>0</v>
      </c>
      <c r="L118" s="551">
        <f>(GIS!V102+GIS!X102)*'GIS Heat Input'!$D40</f>
        <v>0</v>
      </c>
      <c r="M118" s="552">
        <f>GIS!W102*'GIS Heat Input'!$D40</f>
        <v>0</v>
      </c>
    </row>
    <row r="119" spans="1:13" x14ac:dyDescent="0.4">
      <c r="A119" s="121" t="s">
        <v>4041</v>
      </c>
      <c r="B119" s="551">
        <f>(GIS!B103+GIS!D103)*'GIS Heat Input'!$D41</f>
        <v>0</v>
      </c>
      <c r="C119" s="552">
        <f>GIS!C103*'GIS Heat Input'!$D41</f>
        <v>0</v>
      </c>
      <c r="D119" s="551">
        <f>(GIS!F103+GIS!H103)*'GIS Heat Input'!$D41</f>
        <v>0</v>
      </c>
      <c r="E119" s="552">
        <f>GIS!G103*'GIS Heat Input'!$D41</f>
        <v>0</v>
      </c>
      <c r="F119" s="550"/>
      <c r="G119" s="550"/>
      <c r="H119" s="554">
        <f>(GIS!N103+GIS!P103)*'GIS Heat Input'!$D41</f>
        <v>0</v>
      </c>
      <c r="I119" s="555">
        <f>GIS!O103*'GIS Heat Input'!$D41</f>
        <v>0</v>
      </c>
      <c r="J119" s="554">
        <f>(GIS!R103+GIS!T103)*'GIS Heat Input'!$D41</f>
        <v>0</v>
      </c>
      <c r="K119" s="552">
        <f>GIS!S103*'GIS Heat Input'!$D41</f>
        <v>0</v>
      </c>
      <c r="L119" s="551">
        <f>(GIS!V103+GIS!X103)*'GIS Heat Input'!$D41</f>
        <v>0</v>
      </c>
      <c r="M119" s="552">
        <f>GIS!W103*'GIS Heat Input'!$D41</f>
        <v>0</v>
      </c>
    </row>
    <row r="120" spans="1:13" x14ac:dyDescent="0.4">
      <c r="A120" s="122" t="s">
        <v>4042</v>
      </c>
      <c r="B120" s="551">
        <f>(GIS!B104+GIS!D104)*'GIS Heat Input'!$D42</f>
        <v>0</v>
      </c>
      <c r="C120" s="552">
        <f>GIS!C104*'GIS Heat Input'!$D42</f>
        <v>0</v>
      </c>
      <c r="D120" s="551">
        <f>(GIS!F104+GIS!H104)*'GIS Heat Input'!$D42</f>
        <v>0</v>
      </c>
      <c r="E120" s="552">
        <f>GIS!G104*'GIS Heat Input'!$D42</f>
        <v>0</v>
      </c>
      <c r="F120" s="550"/>
      <c r="G120" s="550"/>
      <c r="H120" s="554">
        <f>(GIS!N104+GIS!P104)*'GIS Heat Input'!$D42</f>
        <v>0</v>
      </c>
      <c r="I120" s="555">
        <f>GIS!O104*'GIS Heat Input'!$D42</f>
        <v>0</v>
      </c>
      <c r="J120" s="554">
        <f>(GIS!R104+GIS!T104)*'GIS Heat Input'!$D42</f>
        <v>0</v>
      </c>
      <c r="K120" s="552">
        <f>GIS!S104*'GIS Heat Input'!$D42</f>
        <v>0</v>
      </c>
      <c r="L120" s="551">
        <f>(GIS!V104+GIS!X104)*'GIS Heat Input'!$D42</f>
        <v>0</v>
      </c>
      <c r="M120" s="552">
        <f>GIS!W104*'GIS Heat Input'!$D42</f>
        <v>0</v>
      </c>
    </row>
    <row r="121" spans="1:13" x14ac:dyDescent="0.4">
      <c r="A121" s="121" t="s">
        <v>4043</v>
      </c>
      <c r="B121" s="551">
        <f>(GIS!B105+GIS!D105)*'GIS Heat Input'!$D43</f>
        <v>0</v>
      </c>
      <c r="C121" s="552">
        <f>GIS!C105*'GIS Heat Input'!$D43</f>
        <v>0</v>
      </c>
      <c r="D121" s="551">
        <f>(GIS!F105+GIS!H105)*'GIS Heat Input'!$D43</f>
        <v>0</v>
      </c>
      <c r="E121" s="552">
        <f>GIS!G105*'GIS Heat Input'!$D43</f>
        <v>0</v>
      </c>
      <c r="F121" s="550"/>
      <c r="G121" s="550"/>
      <c r="H121" s="554">
        <f>(GIS!N105+GIS!P105)*'GIS Heat Input'!$D43</f>
        <v>0</v>
      </c>
      <c r="I121" s="555">
        <f>GIS!O105*'GIS Heat Input'!$D43</f>
        <v>0</v>
      </c>
      <c r="J121" s="554">
        <f>(GIS!R105+GIS!T105)*'GIS Heat Input'!$D43</f>
        <v>0</v>
      </c>
      <c r="K121" s="552">
        <f>GIS!S105*'GIS Heat Input'!$D43</f>
        <v>0</v>
      </c>
      <c r="L121" s="551">
        <f>(GIS!V105+GIS!X105)*'GIS Heat Input'!$D43</f>
        <v>0</v>
      </c>
      <c r="M121" s="552">
        <f>GIS!W105*'GIS Heat Input'!$D43</f>
        <v>0</v>
      </c>
    </row>
    <row r="122" spans="1:13" x14ac:dyDescent="0.4">
      <c r="A122" s="121" t="s">
        <v>4044</v>
      </c>
      <c r="B122" s="551">
        <f>(GIS!B106+GIS!D106)*'GIS Heat Input'!$D44</f>
        <v>0</v>
      </c>
      <c r="C122" s="552">
        <f>GIS!C106*'GIS Heat Input'!$D44</f>
        <v>0</v>
      </c>
      <c r="D122" s="551">
        <f>(GIS!F106+GIS!H106)*'GIS Heat Input'!$D44</f>
        <v>0</v>
      </c>
      <c r="E122" s="552">
        <f>GIS!G106*'GIS Heat Input'!$D44</f>
        <v>0</v>
      </c>
      <c r="F122" s="550"/>
      <c r="G122" s="550"/>
      <c r="H122" s="554">
        <f>(GIS!N106+GIS!P106)*'GIS Heat Input'!$D44</f>
        <v>0</v>
      </c>
      <c r="I122" s="555">
        <f>GIS!O106*'GIS Heat Input'!$D44</f>
        <v>0</v>
      </c>
      <c r="J122" s="554">
        <f>(GIS!R106+GIS!T106)*'GIS Heat Input'!$D44</f>
        <v>0</v>
      </c>
      <c r="K122" s="552">
        <f>GIS!S106*'GIS Heat Input'!$D44</f>
        <v>0</v>
      </c>
      <c r="L122" s="551">
        <f>(GIS!V106+GIS!X106)*'GIS Heat Input'!$D44</f>
        <v>0</v>
      </c>
      <c r="M122" s="552">
        <f>GIS!W106*'GIS Heat Input'!$D44</f>
        <v>0</v>
      </c>
    </row>
    <row r="123" spans="1:13" x14ac:dyDescent="0.4">
      <c r="A123" s="320" t="s">
        <v>4045</v>
      </c>
      <c r="B123" s="551">
        <f>(GIS!B107+GIS!D107)*'GIS Heat Input'!$D45</f>
        <v>4126913.1870334679</v>
      </c>
      <c r="C123" s="552">
        <f>GIS!C107*'GIS Heat Input'!$D45</f>
        <v>73483.047045272324</v>
      </c>
      <c r="D123" s="551">
        <f>(GIS!F107+GIS!H107)*'GIS Heat Input'!$D45</f>
        <v>0</v>
      </c>
      <c r="E123" s="552">
        <f>GIS!G107*'GIS Heat Input'!$D45</f>
        <v>0</v>
      </c>
      <c r="F123" s="550"/>
      <c r="G123" s="550"/>
      <c r="H123" s="554">
        <f>(GIS!N107+GIS!P107)*'GIS Heat Input'!$D45</f>
        <v>0</v>
      </c>
      <c r="I123" s="555">
        <f>GIS!O107*'GIS Heat Input'!$D45</f>
        <v>0</v>
      </c>
      <c r="J123" s="554">
        <f>(GIS!R107+GIS!T107)*'GIS Heat Input'!$D45</f>
        <v>0</v>
      </c>
      <c r="K123" s="552">
        <f>GIS!S107*'GIS Heat Input'!$D45</f>
        <v>0</v>
      </c>
      <c r="L123" s="551">
        <f>(GIS!V107+GIS!X107)*'GIS Heat Input'!$D45</f>
        <v>0</v>
      </c>
      <c r="M123" s="552">
        <f>GIS!W107*'GIS Heat Input'!$D45</f>
        <v>0</v>
      </c>
    </row>
    <row r="124" spans="1:13" x14ac:dyDescent="0.4">
      <c r="A124" s="422" t="s">
        <v>11</v>
      </c>
      <c r="B124" s="321"/>
      <c r="C124" s="321"/>
      <c r="D124" s="321"/>
      <c r="E124" s="321"/>
      <c r="F124" s="319"/>
      <c r="I124" s="321"/>
      <c r="J124" s="321"/>
      <c r="K124" s="321"/>
      <c r="L124" s="321"/>
      <c r="M124" s="321"/>
    </row>
    <row r="126" spans="1:13" x14ac:dyDescent="0.4">
      <c r="A126" s="4" t="s">
        <v>4095</v>
      </c>
    </row>
    <row r="127" spans="1:13" x14ac:dyDescent="0.4">
      <c r="A127" s="322" t="s">
        <v>4080</v>
      </c>
      <c r="B127" s="323" t="s">
        <v>4081</v>
      </c>
      <c r="C127" s="323" t="s">
        <v>4082</v>
      </c>
      <c r="D127" s="323" t="s">
        <v>4083</v>
      </c>
      <c r="E127" s="323" t="s">
        <v>4084</v>
      </c>
      <c r="F127" s="323" t="s">
        <v>4085</v>
      </c>
      <c r="G127" s="323" t="s">
        <v>4086</v>
      </c>
      <c r="H127" s="323" t="s">
        <v>4087</v>
      </c>
      <c r="I127" s="323" t="s">
        <v>4088</v>
      </c>
      <c r="J127" s="323" t="s">
        <v>4089</v>
      </c>
      <c r="K127" s="323" t="s">
        <v>4090</v>
      </c>
      <c r="L127" s="323" t="s">
        <v>4091</v>
      </c>
      <c r="M127" s="323" t="s">
        <v>4092</v>
      </c>
    </row>
    <row r="128" spans="1:13" x14ac:dyDescent="0.4">
      <c r="A128" s="342" t="s">
        <v>4028</v>
      </c>
      <c r="B128" s="556">
        <f>GIS!B113*'GIS Heat Input'!$E28</f>
        <v>0</v>
      </c>
      <c r="C128" s="557">
        <f>GIS!C113*'GIS Heat Input'!$E28</f>
        <v>0</v>
      </c>
      <c r="D128" s="556">
        <f>GIS!E113*'GIS Heat Input'!$E28</f>
        <v>0</v>
      </c>
      <c r="E128" s="557">
        <f>GIS!F113*'GIS Heat Input'!$E28</f>
        <v>0</v>
      </c>
      <c r="F128" s="556">
        <f>GIS!H113*'GIS Heat Input'!$E28</f>
        <v>0</v>
      </c>
      <c r="G128" s="557">
        <f>GIS!I113*'GIS Heat Input'!$E28</f>
        <v>0</v>
      </c>
      <c r="H128" s="547"/>
      <c r="I128" s="558"/>
      <c r="J128" s="556">
        <f>GIS!N113*'GIS Heat Input'!$E28</f>
        <v>0</v>
      </c>
      <c r="K128" s="557">
        <f>GIS!O113*'GIS Heat Input'!$E28</f>
        <v>0</v>
      </c>
      <c r="L128" s="556">
        <f>GIS!Q113*'GIS Heat Input'!$E28</f>
        <v>0</v>
      </c>
      <c r="M128" s="552">
        <f>GIS!R113*'GIS Heat Input'!$E28</f>
        <v>0</v>
      </c>
    </row>
    <row r="129" spans="1:13" x14ac:dyDescent="0.4">
      <c r="A129" s="121" t="s">
        <v>4029</v>
      </c>
      <c r="B129" s="556">
        <f>GIS!B114*'GIS Heat Input'!$E29</f>
        <v>2421322.9461947428</v>
      </c>
      <c r="C129" s="557">
        <f>GIS!C114*'GIS Heat Input'!$E29</f>
        <v>0</v>
      </c>
      <c r="D129" s="556">
        <f>GIS!E114*'GIS Heat Input'!$E29</f>
        <v>7485.1353578229864</v>
      </c>
      <c r="E129" s="557">
        <f>GIS!F114*'GIS Heat Input'!$E29</f>
        <v>0</v>
      </c>
      <c r="F129" s="556">
        <f>GIS!H114*'GIS Heat Input'!$E29</f>
        <v>399.40445585221465</v>
      </c>
      <c r="G129" s="557">
        <f>GIS!I114*'GIS Heat Input'!$E29</f>
        <v>0</v>
      </c>
      <c r="H129" s="550"/>
      <c r="I129" s="558"/>
      <c r="J129" s="556">
        <f>GIS!N114*'GIS Heat Input'!$E29</f>
        <v>745702.91183370899</v>
      </c>
      <c r="K129" s="557">
        <f>GIS!O114*'GIS Heat Input'!$E29</f>
        <v>0</v>
      </c>
      <c r="L129" s="556">
        <f>GIS!Q114*'GIS Heat Input'!$E29</f>
        <v>0</v>
      </c>
      <c r="M129" s="552">
        <f>GIS!R114*'GIS Heat Input'!$E29</f>
        <v>0</v>
      </c>
    </row>
    <row r="130" spans="1:13" x14ac:dyDescent="0.4">
      <c r="A130" s="121" t="s">
        <v>4030</v>
      </c>
      <c r="B130" s="556">
        <f>GIS!B115*'GIS Heat Input'!$E30</f>
        <v>0</v>
      </c>
      <c r="C130" s="557">
        <f>GIS!C115*'GIS Heat Input'!$E30</f>
        <v>0</v>
      </c>
      <c r="D130" s="556">
        <f>GIS!E115*'GIS Heat Input'!$E30</f>
        <v>0</v>
      </c>
      <c r="E130" s="557">
        <f>GIS!F115*'GIS Heat Input'!$E30</f>
        <v>0</v>
      </c>
      <c r="F130" s="556">
        <f>GIS!H115*'GIS Heat Input'!$E30</f>
        <v>0</v>
      </c>
      <c r="G130" s="557">
        <f>GIS!I115*'GIS Heat Input'!$E30</f>
        <v>0</v>
      </c>
      <c r="H130" s="550"/>
      <c r="I130" s="558"/>
      <c r="J130" s="556">
        <f>GIS!N115*'GIS Heat Input'!$E30</f>
        <v>0</v>
      </c>
      <c r="K130" s="557">
        <f>GIS!O115*'GIS Heat Input'!$E30</f>
        <v>0</v>
      </c>
      <c r="L130" s="556">
        <f>GIS!Q115*'GIS Heat Input'!$E30</f>
        <v>0</v>
      </c>
      <c r="M130" s="552">
        <f>GIS!R115*'GIS Heat Input'!$E30</f>
        <v>0</v>
      </c>
    </row>
    <row r="131" spans="1:13" x14ac:dyDescent="0.4">
      <c r="A131" s="121" t="s">
        <v>4031</v>
      </c>
      <c r="B131" s="556">
        <f>GIS!B116*'GIS Heat Input'!$E31</f>
        <v>0</v>
      </c>
      <c r="C131" s="557">
        <f>GIS!C116*'GIS Heat Input'!$E31</f>
        <v>0</v>
      </c>
      <c r="D131" s="556">
        <f>GIS!E116*'GIS Heat Input'!$E31</f>
        <v>0</v>
      </c>
      <c r="E131" s="557">
        <f>GIS!F116*'GIS Heat Input'!$E31</f>
        <v>0</v>
      </c>
      <c r="F131" s="556">
        <f>GIS!H116*'GIS Heat Input'!$E31</f>
        <v>0</v>
      </c>
      <c r="G131" s="557">
        <f>GIS!I116*'GIS Heat Input'!$E31</f>
        <v>0</v>
      </c>
      <c r="H131" s="550"/>
      <c r="I131" s="558"/>
      <c r="J131" s="556">
        <f>GIS!N116*'GIS Heat Input'!$E31</f>
        <v>0</v>
      </c>
      <c r="K131" s="557">
        <f>GIS!O116*'GIS Heat Input'!$E31</f>
        <v>0</v>
      </c>
      <c r="L131" s="556">
        <f>GIS!Q116*'GIS Heat Input'!$E31</f>
        <v>0</v>
      </c>
      <c r="M131" s="552">
        <f>GIS!R116*'GIS Heat Input'!$E31</f>
        <v>0</v>
      </c>
    </row>
    <row r="132" spans="1:13" x14ac:dyDescent="0.4">
      <c r="A132" s="121" t="s">
        <v>4032</v>
      </c>
      <c r="B132" s="556">
        <f>GIS!B117*'GIS Heat Input'!$E32</f>
        <v>0</v>
      </c>
      <c r="C132" s="557">
        <f>GIS!C117*'GIS Heat Input'!$E32</f>
        <v>0</v>
      </c>
      <c r="D132" s="556">
        <f>GIS!E117*'GIS Heat Input'!$E32</f>
        <v>0</v>
      </c>
      <c r="E132" s="557">
        <f>GIS!F117*'GIS Heat Input'!$E32</f>
        <v>0</v>
      </c>
      <c r="F132" s="556">
        <f>GIS!H117*'GIS Heat Input'!$E32</f>
        <v>0</v>
      </c>
      <c r="G132" s="557">
        <f>GIS!I117*'GIS Heat Input'!$E32</f>
        <v>0</v>
      </c>
      <c r="H132" s="550"/>
      <c r="I132" s="558"/>
      <c r="J132" s="556">
        <f>GIS!N117*'GIS Heat Input'!$E32</f>
        <v>0</v>
      </c>
      <c r="K132" s="557">
        <f>GIS!O117*'GIS Heat Input'!$E32</f>
        <v>0</v>
      </c>
      <c r="L132" s="556">
        <f>GIS!Q117*'GIS Heat Input'!$E32</f>
        <v>0</v>
      </c>
      <c r="M132" s="552">
        <f>GIS!R117*'GIS Heat Input'!$E32</f>
        <v>0</v>
      </c>
    </row>
    <row r="133" spans="1:13" x14ac:dyDescent="0.4">
      <c r="A133" s="121" t="s">
        <v>4033</v>
      </c>
      <c r="B133" s="556">
        <f>GIS!B118*'GIS Heat Input'!$E33</f>
        <v>0</v>
      </c>
      <c r="C133" s="557">
        <f>GIS!C118*'GIS Heat Input'!$E33</f>
        <v>0</v>
      </c>
      <c r="D133" s="556">
        <f>GIS!E118*'GIS Heat Input'!$E33</f>
        <v>0</v>
      </c>
      <c r="E133" s="557">
        <f>GIS!F118*'GIS Heat Input'!$E33</f>
        <v>0</v>
      </c>
      <c r="F133" s="556">
        <f>GIS!H118*'GIS Heat Input'!$E33</f>
        <v>0</v>
      </c>
      <c r="G133" s="557">
        <f>GIS!I118*'GIS Heat Input'!$E33</f>
        <v>0</v>
      </c>
      <c r="H133" s="550"/>
      <c r="I133" s="558"/>
      <c r="J133" s="556">
        <f>GIS!N118*'GIS Heat Input'!$E33</f>
        <v>0</v>
      </c>
      <c r="K133" s="557">
        <f>GIS!O118*'GIS Heat Input'!$E33</f>
        <v>0</v>
      </c>
      <c r="L133" s="556">
        <f>GIS!Q118*'GIS Heat Input'!$E33</f>
        <v>0</v>
      </c>
      <c r="M133" s="552">
        <f>GIS!R118*'GIS Heat Input'!$E33</f>
        <v>0</v>
      </c>
    </row>
    <row r="134" spans="1:13" x14ac:dyDescent="0.4">
      <c r="A134" s="122" t="s">
        <v>4034</v>
      </c>
      <c r="B134" s="556">
        <f>GIS!B119*'GIS Heat Input'!$E34</f>
        <v>0</v>
      </c>
      <c r="C134" s="557">
        <f>GIS!C119*'GIS Heat Input'!$E34</f>
        <v>0</v>
      </c>
      <c r="D134" s="556">
        <f>GIS!E119*'GIS Heat Input'!$E34</f>
        <v>0</v>
      </c>
      <c r="E134" s="557">
        <f>GIS!F119*'GIS Heat Input'!$E34</f>
        <v>0</v>
      </c>
      <c r="F134" s="556">
        <f>GIS!H119*'GIS Heat Input'!$E34</f>
        <v>0</v>
      </c>
      <c r="G134" s="557">
        <f>GIS!I119*'GIS Heat Input'!$E34</f>
        <v>0</v>
      </c>
      <c r="H134" s="550"/>
      <c r="I134" s="558"/>
      <c r="J134" s="556">
        <f>GIS!N119*'GIS Heat Input'!$E34</f>
        <v>0</v>
      </c>
      <c r="K134" s="557">
        <f>GIS!O119*'GIS Heat Input'!$E34</f>
        <v>0</v>
      </c>
      <c r="L134" s="556">
        <f>GIS!Q119*'GIS Heat Input'!$E34</f>
        <v>0</v>
      </c>
      <c r="M134" s="552">
        <f>GIS!R119*'GIS Heat Input'!$E34</f>
        <v>0</v>
      </c>
    </row>
    <row r="135" spans="1:13" x14ac:dyDescent="0.4">
      <c r="A135" s="122" t="s">
        <v>4035</v>
      </c>
      <c r="B135" s="556">
        <f>GIS!B120*'GIS Heat Input'!$E35</f>
        <v>0</v>
      </c>
      <c r="C135" s="557">
        <f>GIS!C120*'GIS Heat Input'!$E35</f>
        <v>0</v>
      </c>
      <c r="D135" s="556">
        <f>GIS!E120*'GIS Heat Input'!$E35</f>
        <v>0</v>
      </c>
      <c r="E135" s="557">
        <f>GIS!F120*'GIS Heat Input'!$E35</f>
        <v>0</v>
      </c>
      <c r="F135" s="556">
        <f>GIS!H120*'GIS Heat Input'!$E35</f>
        <v>0</v>
      </c>
      <c r="G135" s="557">
        <f>GIS!I120*'GIS Heat Input'!$E35</f>
        <v>0</v>
      </c>
      <c r="H135" s="550"/>
      <c r="I135" s="558"/>
      <c r="J135" s="556">
        <f>GIS!N120*'GIS Heat Input'!$E35</f>
        <v>0</v>
      </c>
      <c r="K135" s="557">
        <f>GIS!O120*'GIS Heat Input'!$E35</f>
        <v>0</v>
      </c>
      <c r="L135" s="556">
        <f>GIS!Q120*'GIS Heat Input'!$E35</f>
        <v>0</v>
      </c>
      <c r="M135" s="552">
        <f>GIS!R120*'GIS Heat Input'!$E35</f>
        <v>0</v>
      </c>
    </row>
    <row r="136" spans="1:13" x14ac:dyDescent="0.4">
      <c r="A136" s="121" t="s">
        <v>4036</v>
      </c>
      <c r="B136" s="556">
        <f>GIS!B121*'GIS Heat Input'!$E36</f>
        <v>0</v>
      </c>
      <c r="C136" s="557">
        <f>GIS!C121*'GIS Heat Input'!$E36</f>
        <v>0</v>
      </c>
      <c r="D136" s="556">
        <f>GIS!E121*'GIS Heat Input'!$E36</f>
        <v>0</v>
      </c>
      <c r="E136" s="557">
        <f>GIS!F121*'GIS Heat Input'!$E36</f>
        <v>0</v>
      </c>
      <c r="F136" s="556">
        <f>GIS!H121*'GIS Heat Input'!$E36</f>
        <v>0</v>
      </c>
      <c r="G136" s="557">
        <f>GIS!I121*'GIS Heat Input'!$E36</f>
        <v>0</v>
      </c>
      <c r="H136" s="550"/>
      <c r="I136" s="558"/>
      <c r="J136" s="556">
        <f>GIS!N121*'GIS Heat Input'!$E36</f>
        <v>0</v>
      </c>
      <c r="K136" s="557">
        <f>GIS!O121*'GIS Heat Input'!$E36</f>
        <v>0</v>
      </c>
      <c r="L136" s="556">
        <f>GIS!Q121*'GIS Heat Input'!$E36</f>
        <v>0</v>
      </c>
      <c r="M136" s="552">
        <f>GIS!R121*'GIS Heat Input'!$E36</f>
        <v>0</v>
      </c>
    </row>
    <row r="137" spans="1:13" x14ac:dyDescent="0.4">
      <c r="A137" s="121" t="s">
        <v>4037</v>
      </c>
      <c r="B137" s="556">
        <f>GIS!B122*'GIS Heat Input'!$E37</f>
        <v>969014.01097126992</v>
      </c>
      <c r="C137" s="557">
        <f>GIS!C122*'GIS Heat Input'!$E37</f>
        <v>384502.52169082547</v>
      </c>
      <c r="D137" s="556">
        <f>GIS!E122*'GIS Heat Input'!$E37</f>
        <v>129929.39031334086</v>
      </c>
      <c r="E137" s="557">
        <f>GIS!F122*'GIS Heat Input'!$E37</f>
        <v>232161.97856088882</v>
      </c>
      <c r="F137" s="556">
        <f>GIS!H122*'GIS Heat Input'!$E37</f>
        <v>38658.425431820157</v>
      </c>
      <c r="G137" s="557">
        <f>GIS!I122*'GIS Heat Input'!$E37</f>
        <v>0</v>
      </c>
      <c r="H137" s="550"/>
      <c r="I137" s="558"/>
      <c r="J137" s="556">
        <f>GIS!N122*'GIS Heat Input'!$E37</f>
        <v>0</v>
      </c>
      <c r="K137" s="557">
        <f>GIS!O122*'GIS Heat Input'!$E37</f>
        <v>0</v>
      </c>
      <c r="L137" s="556">
        <f>GIS!Q122*'GIS Heat Input'!$E37</f>
        <v>0</v>
      </c>
      <c r="M137" s="552">
        <f>GIS!R122*'GIS Heat Input'!$E37</f>
        <v>0</v>
      </c>
    </row>
    <row r="138" spans="1:13" x14ac:dyDescent="0.4">
      <c r="A138" s="121" t="s">
        <v>4038</v>
      </c>
      <c r="B138" s="556">
        <f>GIS!B123*'GIS Heat Input'!$E38</f>
        <v>0</v>
      </c>
      <c r="C138" s="557">
        <f>GIS!C123*'GIS Heat Input'!$E38</f>
        <v>0</v>
      </c>
      <c r="D138" s="556">
        <f>GIS!E123*'GIS Heat Input'!$E38</f>
        <v>0</v>
      </c>
      <c r="E138" s="557">
        <f>GIS!F123*'GIS Heat Input'!$E38</f>
        <v>0</v>
      </c>
      <c r="F138" s="556">
        <f>GIS!H123*'GIS Heat Input'!$E38</f>
        <v>0</v>
      </c>
      <c r="G138" s="557">
        <f>GIS!I123*'GIS Heat Input'!$E38</f>
        <v>0</v>
      </c>
      <c r="H138" s="550"/>
      <c r="I138" s="558"/>
      <c r="J138" s="556">
        <f>GIS!N123*'GIS Heat Input'!$E38</f>
        <v>0</v>
      </c>
      <c r="K138" s="557">
        <f>GIS!O123*'GIS Heat Input'!$E38</f>
        <v>0</v>
      </c>
      <c r="L138" s="556">
        <f>GIS!Q123*'GIS Heat Input'!$E38</f>
        <v>0</v>
      </c>
      <c r="M138" s="552">
        <f>GIS!R123*'GIS Heat Input'!$E38</f>
        <v>0</v>
      </c>
    </row>
    <row r="139" spans="1:13" x14ac:dyDescent="0.4">
      <c r="A139" s="121" t="s">
        <v>4039</v>
      </c>
      <c r="B139" s="556">
        <f>GIS!B124*'GIS Heat Input'!$E39</f>
        <v>0</v>
      </c>
      <c r="C139" s="557">
        <f>GIS!C124*'GIS Heat Input'!$E39</f>
        <v>0</v>
      </c>
      <c r="D139" s="556">
        <f>GIS!E124*'GIS Heat Input'!$E39</f>
        <v>0</v>
      </c>
      <c r="E139" s="557">
        <f>GIS!F124*'GIS Heat Input'!$E39</f>
        <v>0</v>
      </c>
      <c r="F139" s="556">
        <f>GIS!H124*'GIS Heat Input'!$E39</f>
        <v>0</v>
      </c>
      <c r="G139" s="557">
        <f>GIS!I124*'GIS Heat Input'!$E39</f>
        <v>0</v>
      </c>
      <c r="H139" s="550"/>
      <c r="I139" s="558"/>
      <c r="J139" s="556">
        <f>GIS!N124*'GIS Heat Input'!$E39</f>
        <v>0</v>
      </c>
      <c r="K139" s="557">
        <f>GIS!O124*'GIS Heat Input'!$E39</f>
        <v>0</v>
      </c>
      <c r="L139" s="556">
        <f>GIS!Q124*'GIS Heat Input'!$E39</f>
        <v>0</v>
      </c>
      <c r="M139" s="552">
        <f>GIS!R124*'GIS Heat Input'!$E39</f>
        <v>0</v>
      </c>
    </row>
    <row r="140" spans="1:13" x14ac:dyDescent="0.4">
      <c r="A140" s="121" t="s">
        <v>4040</v>
      </c>
      <c r="B140" s="556">
        <f>GIS!B125*'GIS Heat Input'!$E40</f>
        <v>0</v>
      </c>
      <c r="C140" s="557">
        <f>GIS!C125*'GIS Heat Input'!$E40</f>
        <v>0</v>
      </c>
      <c r="D140" s="556">
        <f>GIS!E125*'GIS Heat Input'!$E40</f>
        <v>0</v>
      </c>
      <c r="E140" s="557">
        <f>GIS!F125*'GIS Heat Input'!$E40</f>
        <v>0</v>
      </c>
      <c r="F140" s="556">
        <f>GIS!H125*'GIS Heat Input'!$E40</f>
        <v>0</v>
      </c>
      <c r="G140" s="557">
        <f>GIS!I125*'GIS Heat Input'!$E40</f>
        <v>0</v>
      </c>
      <c r="H140" s="550"/>
      <c r="I140" s="558"/>
      <c r="J140" s="556">
        <f>GIS!N125*'GIS Heat Input'!$E40</f>
        <v>0</v>
      </c>
      <c r="K140" s="557">
        <f>GIS!O125*'GIS Heat Input'!$E40</f>
        <v>0</v>
      </c>
      <c r="L140" s="556">
        <f>GIS!Q125*'GIS Heat Input'!$E40</f>
        <v>0</v>
      </c>
      <c r="M140" s="552">
        <f>GIS!R125*'GIS Heat Input'!$E40</f>
        <v>0</v>
      </c>
    </row>
    <row r="141" spans="1:13" x14ac:dyDescent="0.4">
      <c r="A141" s="121" t="s">
        <v>4041</v>
      </c>
      <c r="B141" s="556">
        <f>GIS!B126*'GIS Heat Input'!$E41</f>
        <v>0</v>
      </c>
      <c r="C141" s="557">
        <f>GIS!C126*'GIS Heat Input'!$E41</f>
        <v>0</v>
      </c>
      <c r="D141" s="556">
        <f>GIS!E126*'GIS Heat Input'!$E41</f>
        <v>0</v>
      </c>
      <c r="E141" s="557">
        <f>GIS!F126*'GIS Heat Input'!$E41</f>
        <v>0</v>
      </c>
      <c r="F141" s="556">
        <f>GIS!H126*'GIS Heat Input'!$E41</f>
        <v>0</v>
      </c>
      <c r="G141" s="557">
        <f>GIS!I126*'GIS Heat Input'!$E41</f>
        <v>0</v>
      </c>
      <c r="H141" s="550"/>
      <c r="I141" s="558"/>
      <c r="J141" s="556">
        <f>GIS!N126*'GIS Heat Input'!$E41</f>
        <v>0</v>
      </c>
      <c r="K141" s="557">
        <f>GIS!O126*'GIS Heat Input'!$E41</f>
        <v>0</v>
      </c>
      <c r="L141" s="556">
        <f>GIS!Q126*'GIS Heat Input'!$E41</f>
        <v>0</v>
      </c>
      <c r="M141" s="552">
        <f>GIS!R126*'GIS Heat Input'!$E41</f>
        <v>0</v>
      </c>
    </row>
    <row r="142" spans="1:13" x14ac:dyDescent="0.4">
      <c r="A142" s="122" t="s">
        <v>4042</v>
      </c>
      <c r="B142" s="556">
        <f>GIS!B127*'GIS Heat Input'!$E42</f>
        <v>0</v>
      </c>
      <c r="C142" s="557">
        <f>GIS!C127*'GIS Heat Input'!$E42</f>
        <v>0</v>
      </c>
      <c r="D142" s="556">
        <f>GIS!E127*'GIS Heat Input'!$E42</f>
        <v>0</v>
      </c>
      <c r="E142" s="557">
        <f>GIS!F127*'GIS Heat Input'!$E42</f>
        <v>0</v>
      </c>
      <c r="F142" s="556">
        <f>GIS!H127*'GIS Heat Input'!$E42</f>
        <v>0</v>
      </c>
      <c r="G142" s="557">
        <f>GIS!I127*'GIS Heat Input'!$E42</f>
        <v>0</v>
      </c>
      <c r="H142" s="550"/>
      <c r="I142" s="558"/>
      <c r="J142" s="556">
        <f>GIS!N127*'GIS Heat Input'!$E42</f>
        <v>0</v>
      </c>
      <c r="K142" s="557">
        <f>GIS!O127*'GIS Heat Input'!$E42</f>
        <v>0</v>
      </c>
      <c r="L142" s="556">
        <f>GIS!Q127*'GIS Heat Input'!$E42</f>
        <v>0</v>
      </c>
      <c r="M142" s="552">
        <f>GIS!R127*'GIS Heat Input'!$E42</f>
        <v>0</v>
      </c>
    </row>
    <row r="143" spans="1:13" x14ac:dyDescent="0.4">
      <c r="A143" s="121" t="s">
        <v>4043</v>
      </c>
      <c r="B143" s="556">
        <f>GIS!B128*'GIS Heat Input'!$E43</f>
        <v>130828.76347206772</v>
      </c>
      <c r="C143" s="557">
        <f>GIS!C128*'GIS Heat Input'!$E43</f>
        <v>0</v>
      </c>
      <c r="D143" s="556">
        <f>GIS!E128*'GIS Heat Input'!$E43</f>
        <v>88349.302161777436</v>
      </c>
      <c r="E143" s="557">
        <f>GIS!F128*'GIS Heat Input'!$E43</f>
        <v>0</v>
      </c>
      <c r="F143" s="556">
        <f>GIS!H128*'GIS Heat Input'!$E43</f>
        <v>1640824.0374848933</v>
      </c>
      <c r="G143" s="557">
        <f>GIS!I128*'GIS Heat Input'!$E43</f>
        <v>0</v>
      </c>
      <c r="H143" s="550"/>
      <c r="I143" s="558"/>
      <c r="J143" s="556">
        <f>GIS!N128*'GIS Heat Input'!$E43</f>
        <v>0</v>
      </c>
      <c r="K143" s="557">
        <f>GIS!O128*'GIS Heat Input'!$E43</f>
        <v>0</v>
      </c>
      <c r="L143" s="556">
        <f>GIS!Q128*'GIS Heat Input'!$E43</f>
        <v>0</v>
      </c>
      <c r="M143" s="552">
        <f>GIS!R128*'GIS Heat Input'!$E43</f>
        <v>0</v>
      </c>
    </row>
    <row r="144" spans="1:13" x14ac:dyDescent="0.4">
      <c r="A144" s="121" t="s">
        <v>4044</v>
      </c>
      <c r="B144" s="556">
        <f>GIS!B129*'GIS Heat Input'!$E44</f>
        <v>0</v>
      </c>
      <c r="C144" s="557">
        <f>GIS!C129*'GIS Heat Input'!$E44</f>
        <v>0</v>
      </c>
      <c r="D144" s="556">
        <f>GIS!E129*'GIS Heat Input'!$E44</f>
        <v>0</v>
      </c>
      <c r="E144" s="557">
        <f>GIS!F129*'GIS Heat Input'!$E44</f>
        <v>0</v>
      </c>
      <c r="F144" s="556">
        <f>GIS!H129*'GIS Heat Input'!$E44</f>
        <v>0</v>
      </c>
      <c r="G144" s="557">
        <f>GIS!I129*'GIS Heat Input'!$E44</f>
        <v>0</v>
      </c>
      <c r="H144" s="550"/>
      <c r="I144" s="558"/>
      <c r="J144" s="556">
        <f>GIS!N129*'GIS Heat Input'!$E44</f>
        <v>0</v>
      </c>
      <c r="K144" s="557">
        <f>GIS!O129*'GIS Heat Input'!$E44</f>
        <v>0</v>
      </c>
      <c r="L144" s="556">
        <f>GIS!Q129*'GIS Heat Input'!$E44</f>
        <v>0</v>
      </c>
      <c r="M144" s="552">
        <f>GIS!R129*'GIS Heat Input'!$E44</f>
        <v>0</v>
      </c>
    </row>
    <row r="145" spans="1:13" x14ac:dyDescent="0.4">
      <c r="A145" s="320" t="s">
        <v>4045</v>
      </c>
      <c r="B145" s="556">
        <f>GIS!B130*'GIS Heat Input'!$E45</f>
        <v>280100.86561339576</v>
      </c>
      <c r="C145" s="557">
        <f>GIS!C130*'GIS Heat Input'!$E45</f>
        <v>0</v>
      </c>
      <c r="D145" s="556">
        <f>GIS!E130*'GIS Heat Input'!$E45</f>
        <v>0</v>
      </c>
      <c r="E145" s="557">
        <f>GIS!F130*'GIS Heat Input'!$E45</f>
        <v>0</v>
      </c>
      <c r="F145" s="556">
        <f>GIS!H130*'GIS Heat Input'!$E45</f>
        <v>122040.25039928782</v>
      </c>
      <c r="G145" s="557">
        <f>GIS!I130*'GIS Heat Input'!$E45</f>
        <v>0</v>
      </c>
      <c r="H145" s="550"/>
      <c r="I145" s="558"/>
      <c r="J145" s="556">
        <f>GIS!N130*'GIS Heat Input'!$E45</f>
        <v>0</v>
      </c>
      <c r="K145" s="557">
        <f>GIS!O130*'GIS Heat Input'!$E45</f>
        <v>0</v>
      </c>
      <c r="L145" s="556">
        <f>GIS!Q130*'GIS Heat Input'!$E45</f>
        <v>0</v>
      </c>
      <c r="M145" s="552">
        <f>GIS!R130*'GIS Heat Input'!$E45</f>
        <v>0</v>
      </c>
    </row>
    <row r="146" spans="1:13" x14ac:dyDescent="0.4">
      <c r="A146" s="422" t="s">
        <v>11</v>
      </c>
      <c r="H146" s="319"/>
    </row>
    <row r="148" spans="1:13" x14ac:dyDescent="0.4">
      <c r="A148" s="4" t="s">
        <v>4096</v>
      </c>
    </row>
    <row r="149" spans="1:13" x14ac:dyDescent="0.4">
      <c r="A149" s="322" t="s">
        <v>4080</v>
      </c>
      <c r="B149" s="323" t="s">
        <v>4081</v>
      </c>
      <c r="C149" s="323" t="s">
        <v>4082</v>
      </c>
      <c r="D149" s="323" t="s">
        <v>4083</v>
      </c>
      <c r="E149" s="323" t="s">
        <v>4084</v>
      </c>
      <c r="F149" s="323" t="s">
        <v>4085</v>
      </c>
      <c r="G149" s="323" t="s">
        <v>4086</v>
      </c>
      <c r="H149" s="323" t="s">
        <v>4087</v>
      </c>
      <c r="I149" s="323" t="s">
        <v>4088</v>
      </c>
      <c r="J149" s="323" t="s">
        <v>4089</v>
      </c>
      <c r="K149" s="323" t="s">
        <v>4090</v>
      </c>
      <c r="L149" s="323" t="s">
        <v>4091</v>
      </c>
      <c r="M149" s="323" t="s">
        <v>4092</v>
      </c>
    </row>
    <row r="150" spans="1:13" x14ac:dyDescent="0.4">
      <c r="A150" s="342" t="s">
        <v>4028</v>
      </c>
      <c r="B150" s="556">
        <f>GIS!B136*'GIS Heat Input'!$F28</f>
        <v>0</v>
      </c>
      <c r="C150" s="557">
        <f>GIS!C136*'GIS Heat Input'!$F28</f>
        <v>0</v>
      </c>
      <c r="D150" s="556">
        <f>GIS!E136*'GIS Heat Input'!$F28</f>
        <v>0</v>
      </c>
      <c r="E150" s="557">
        <f>GIS!F136*'GIS Heat Input'!$F28</f>
        <v>0</v>
      </c>
      <c r="F150" s="556">
        <f>GIS!H136*'GIS Heat Input'!$F28</f>
        <v>0</v>
      </c>
      <c r="G150" s="557">
        <f>GIS!I136*'GIS Heat Input'!$F28</f>
        <v>0</v>
      </c>
      <c r="H150" s="556">
        <f>GIS!K136*'GIS Heat Input'!$F28</f>
        <v>0</v>
      </c>
      <c r="I150" s="557">
        <f>GIS!L136*'GIS Heat Input'!$F28</f>
        <v>0</v>
      </c>
      <c r="J150" s="547"/>
      <c r="K150" s="558"/>
      <c r="L150" s="556">
        <f>GIS!Q136*'GIS Heat Input'!$F28</f>
        <v>0</v>
      </c>
      <c r="M150" s="552">
        <f>GIS!R136*'GIS Heat Input'!$F28</f>
        <v>0</v>
      </c>
    </row>
    <row r="151" spans="1:13" x14ac:dyDescent="0.4">
      <c r="A151" s="121" t="s">
        <v>4029</v>
      </c>
      <c r="B151" s="556">
        <f>GIS!B137*'GIS Heat Input'!$F29</f>
        <v>0</v>
      </c>
      <c r="C151" s="557">
        <f>GIS!C137*'GIS Heat Input'!$F29</f>
        <v>0</v>
      </c>
      <c r="D151" s="556">
        <f>GIS!E137*'GIS Heat Input'!$F29</f>
        <v>0</v>
      </c>
      <c r="E151" s="557">
        <f>GIS!F137*'GIS Heat Input'!$F29</f>
        <v>0</v>
      </c>
      <c r="F151" s="556">
        <f>GIS!H137*'GIS Heat Input'!$F29</f>
        <v>0</v>
      </c>
      <c r="G151" s="557">
        <f>GIS!I137*'GIS Heat Input'!$F29</f>
        <v>0</v>
      </c>
      <c r="H151" s="556">
        <f>GIS!K137*'GIS Heat Input'!$F29</f>
        <v>0</v>
      </c>
      <c r="I151" s="557">
        <f>GIS!L137*'GIS Heat Input'!$F29</f>
        <v>0</v>
      </c>
      <c r="J151" s="550"/>
      <c r="K151" s="558"/>
      <c r="L151" s="556">
        <f>GIS!Q137*'GIS Heat Input'!$F29</f>
        <v>0</v>
      </c>
      <c r="M151" s="552">
        <f>GIS!R137*'GIS Heat Input'!$F29</f>
        <v>0</v>
      </c>
    </row>
    <row r="152" spans="1:13" x14ac:dyDescent="0.4">
      <c r="A152" s="121" t="s">
        <v>4030</v>
      </c>
      <c r="B152" s="556">
        <f>GIS!B138*'GIS Heat Input'!$F30</f>
        <v>0</v>
      </c>
      <c r="C152" s="557">
        <f>GIS!C138*'GIS Heat Input'!$F30</f>
        <v>0</v>
      </c>
      <c r="D152" s="556">
        <f>GIS!E138*'GIS Heat Input'!$F30</f>
        <v>0</v>
      </c>
      <c r="E152" s="557">
        <f>GIS!F138*'GIS Heat Input'!$F30</f>
        <v>0</v>
      </c>
      <c r="F152" s="556">
        <f>GIS!H138*'GIS Heat Input'!$F30</f>
        <v>0</v>
      </c>
      <c r="G152" s="557">
        <f>GIS!I138*'GIS Heat Input'!$F30</f>
        <v>0</v>
      </c>
      <c r="H152" s="556">
        <f>GIS!K138*'GIS Heat Input'!$F30</f>
        <v>0</v>
      </c>
      <c r="I152" s="557">
        <f>GIS!L138*'GIS Heat Input'!$F30</f>
        <v>0</v>
      </c>
      <c r="J152" s="550"/>
      <c r="K152" s="558"/>
      <c r="L152" s="556">
        <f>GIS!Q138*'GIS Heat Input'!$F30</f>
        <v>0</v>
      </c>
      <c r="M152" s="552">
        <f>GIS!R138*'GIS Heat Input'!$F30</f>
        <v>0</v>
      </c>
    </row>
    <row r="153" spans="1:13" x14ac:dyDescent="0.4">
      <c r="A153" s="121" t="s">
        <v>4031</v>
      </c>
      <c r="B153" s="556">
        <f>GIS!B139*'GIS Heat Input'!$F31</f>
        <v>0</v>
      </c>
      <c r="C153" s="557">
        <f>GIS!C139*'GIS Heat Input'!$F31</f>
        <v>0</v>
      </c>
      <c r="D153" s="556">
        <f>GIS!E139*'GIS Heat Input'!$F31</f>
        <v>0</v>
      </c>
      <c r="E153" s="557">
        <f>GIS!F139*'GIS Heat Input'!$F31</f>
        <v>0</v>
      </c>
      <c r="F153" s="556">
        <f>GIS!H139*'GIS Heat Input'!$F31</f>
        <v>0</v>
      </c>
      <c r="G153" s="557">
        <f>GIS!I139*'GIS Heat Input'!$F31</f>
        <v>0</v>
      </c>
      <c r="H153" s="556">
        <f>GIS!K139*'GIS Heat Input'!$F31</f>
        <v>0</v>
      </c>
      <c r="I153" s="557">
        <f>GIS!L139*'GIS Heat Input'!$F31</f>
        <v>0</v>
      </c>
      <c r="J153" s="550"/>
      <c r="K153" s="558"/>
      <c r="L153" s="556">
        <f>GIS!Q139*'GIS Heat Input'!$F31</f>
        <v>0</v>
      </c>
      <c r="M153" s="552">
        <f>GIS!R139*'GIS Heat Input'!$F31</f>
        <v>0</v>
      </c>
    </row>
    <row r="154" spans="1:13" x14ac:dyDescent="0.4">
      <c r="A154" s="121" t="s">
        <v>4032</v>
      </c>
      <c r="B154" s="556">
        <f>GIS!B140*'GIS Heat Input'!$F32</f>
        <v>0</v>
      </c>
      <c r="C154" s="557">
        <f>GIS!C140*'GIS Heat Input'!$F32</f>
        <v>0</v>
      </c>
      <c r="D154" s="556">
        <f>GIS!E140*'GIS Heat Input'!$F32</f>
        <v>0</v>
      </c>
      <c r="E154" s="557">
        <f>GIS!F140*'GIS Heat Input'!$F32</f>
        <v>0</v>
      </c>
      <c r="F154" s="556">
        <f>GIS!H140*'GIS Heat Input'!$F32</f>
        <v>0</v>
      </c>
      <c r="G154" s="557">
        <f>GIS!I140*'GIS Heat Input'!$F32</f>
        <v>0</v>
      </c>
      <c r="H154" s="556">
        <f>GIS!K140*'GIS Heat Input'!$F32</f>
        <v>0</v>
      </c>
      <c r="I154" s="557">
        <f>GIS!L140*'GIS Heat Input'!$F32</f>
        <v>0</v>
      </c>
      <c r="J154" s="550"/>
      <c r="K154" s="558"/>
      <c r="L154" s="556">
        <f>GIS!Q140*'GIS Heat Input'!$F32</f>
        <v>0</v>
      </c>
      <c r="M154" s="552">
        <f>GIS!R140*'GIS Heat Input'!$F32</f>
        <v>0</v>
      </c>
    </row>
    <row r="155" spans="1:13" x14ac:dyDescent="0.4">
      <c r="A155" s="121" t="s">
        <v>4033</v>
      </c>
      <c r="B155" s="556">
        <f>GIS!B141*'GIS Heat Input'!$F33</f>
        <v>0</v>
      </c>
      <c r="C155" s="557">
        <f>GIS!C141*'GIS Heat Input'!$F33</f>
        <v>0</v>
      </c>
      <c r="D155" s="556">
        <f>GIS!E141*'GIS Heat Input'!$F33</f>
        <v>0</v>
      </c>
      <c r="E155" s="557">
        <f>GIS!F141*'GIS Heat Input'!$F33</f>
        <v>0</v>
      </c>
      <c r="F155" s="556">
        <f>GIS!H141*'GIS Heat Input'!$F33</f>
        <v>0</v>
      </c>
      <c r="G155" s="557">
        <f>GIS!I141*'GIS Heat Input'!$F33</f>
        <v>0</v>
      </c>
      <c r="H155" s="556">
        <f>GIS!K141*'GIS Heat Input'!$F33</f>
        <v>0</v>
      </c>
      <c r="I155" s="557">
        <f>GIS!L141*'GIS Heat Input'!$F33</f>
        <v>0</v>
      </c>
      <c r="J155" s="550"/>
      <c r="K155" s="558"/>
      <c r="L155" s="556">
        <f>GIS!Q141*'GIS Heat Input'!$F33</f>
        <v>0</v>
      </c>
      <c r="M155" s="552">
        <f>GIS!R141*'GIS Heat Input'!$F33</f>
        <v>0</v>
      </c>
    </row>
    <row r="156" spans="1:13" x14ac:dyDescent="0.4">
      <c r="A156" s="122" t="s">
        <v>4034</v>
      </c>
      <c r="B156" s="556">
        <f>GIS!B142*'GIS Heat Input'!$F34</f>
        <v>0</v>
      </c>
      <c r="C156" s="557">
        <f>GIS!C142*'GIS Heat Input'!$F34</f>
        <v>0</v>
      </c>
      <c r="D156" s="556">
        <f>GIS!E142*'GIS Heat Input'!$F34</f>
        <v>0</v>
      </c>
      <c r="E156" s="557">
        <f>GIS!F142*'GIS Heat Input'!$F34</f>
        <v>0</v>
      </c>
      <c r="F156" s="556">
        <f>GIS!H142*'GIS Heat Input'!$F34</f>
        <v>0</v>
      </c>
      <c r="G156" s="557">
        <f>GIS!I142*'GIS Heat Input'!$F34</f>
        <v>0</v>
      </c>
      <c r="H156" s="556">
        <f>GIS!K142*'GIS Heat Input'!$F34</f>
        <v>0</v>
      </c>
      <c r="I156" s="557">
        <f>GIS!L142*'GIS Heat Input'!$F34</f>
        <v>0</v>
      </c>
      <c r="J156" s="550"/>
      <c r="K156" s="558"/>
      <c r="L156" s="556">
        <f>GIS!Q142*'GIS Heat Input'!$F34</f>
        <v>0</v>
      </c>
      <c r="M156" s="552">
        <f>GIS!R142*'GIS Heat Input'!$F34</f>
        <v>0</v>
      </c>
    </row>
    <row r="157" spans="1:13" x14ac:dyDescent="0.4">
      <c r="A157" s="122" t="s">
        <v>4035</v>
      </c>
      <c r="B157" s="556">
        <f>GIS!B143*'GIS Heat Input'!$F35</f>
        <v>0</v>
      </c>
      <c r="C157" s="557">
        <f>GIS!C143*'GIS Heat Input'!$F35</f>
        <v>0</v>
      </c>
      <c r="D157" s="556">
        <f>GIS!E143*'GIS Heat Input'!$F35</f>
        <v>0</v>
      </c>
      <c r="E157" s="557">
        <f>GIS!F143*'GIS Heat Input'!$F35</f>
        <v>0</v>
      </c>
      <c r="F157" s="556">
        <f>GIS!H143*'GIS Heat Input'!$F35</f>
        <v>0</v>
      </c>
      <c r="G157" s="557">
        <f>GIS!I143*'GIS Heat Input'!$F35</f>
        <v>0</v>
      </c>
      <c r="H157" s="556">
        <f>GIS!K143*'GIS Heat Input'!$F35</f>
        <v>0</v>
      </c>
      <c r="I157" s="557">
        <f>GIS!L143*'GIS Heat Input'!$F35</f>
        <v>0</v>
      </c>
      <c r="J157" s="550"/>
      <c r="K157" s="558"/>
      <c r="L157" s="556">
        <f>GIS!Q143*'GIS Heat Input'!$F35</f>
        <v>0</v>
      </c>
      <c r="M157" s="552">
        <f>GIS!R143*'GIS Heat Input'!$F35</f>
        <v>0</v>
      </c>
    </row>
    <row r="158" spans="1:13" x14ac:dyDescent="0.4">
      <c r="A158" s="121" t="s">
        <v>4036</v>
      </c>
      <c r="B158" s="556">
        <f>GIS!B144*'GIS Heat Input'!$F36</f>
        <v>0</v>
      </c>
      <c r="C158" s="557">
        <f>GIS!C144*'GIS Heat Input'!$F36</f>
        <v>0</v>
      </c>
      <c r="D158" s="556">
        <f>GIS!E144*'GIS Heat Input'!$F36</f>
        <v>0</v>
      </c>
      <c r="E158" s="557">
        <f>GIS!F144*'GIS Heat Input'!$F36</f>
        <v>0</v>
      </c>
      <c r="F158" s="556">
        <f>GIS!H144*'GIS Heat Input'!$F36</f>
        <v>0</v>
      </c>
      <c r="G158" s="557">
        <f>GIS!I144*'GIS Heat Input'!$F36</f>
        <v>0</v>
      </c>
      <c r="H158" s="556">
        <f>GIS!K144*'GIS Heat Input'!$F36</f>
        <v>0</v>
      </c>
      <c r="I158" s="557">
        <f>GIS!L144*'GIS Heat Input'!$F36</f>
        <v>0</v>
      </c>
      <c r="J158" s="550"/>
      <c r="K158" s="558"/>
      <c r="L158" s="556">
        <f>GIS!Q144*'GIS Heat Input'!$F36</f>
        <v>0</v>
      </c>
      <c r="M158" s="552">
        <f>GIS!R144*'GIS Heat Input'!$F36</f>
        <v>0</v>
      </c>
    </row>
    <row r="159" spans="1:13" x14ac:dyDescent="0.4">
      <c r="A159" s="121" t="s">
        <v>4037</v>
      </c>
      <c r="B159" s="556">
        <f>GIS!B145*'GIS Heat Input'!$F37</f>
        <v>9892.3126091354061</v>
      </c>
      <c r="C159" s="557">
        <f>GIS!C145*'GIS Heat Input'!$F37</f>
        <v>0</v>
      </c>
      <c r="D159" s="556">
        <f>GIS!E145*'GIS Heat Input'!$F37</f>
        <v>5471.225975965549</v>
      </c>
      <c r="E159" s="557">
        <f>GIS!F145*'GIS Heat Input'!$F37</f>
        <v>0</v>
      </c>
      <c r="F159" s="556">
        <f>GIS!H145*'GIS Heat Input'!$F37</f>
        <v>0</v>
      </c>
      <c r="G159" s="557">
        <f>GIS!I145*'GIS Heat Input'!$F37</f>
        <v>0</v>
      </c>
      <c r="H159" s="556">
        <f>GIS!K145*'GIS Heat Input'!$F37</f>
        <v>0</v>
      </c>
      <c r="I159" s="557">
        <f>GIS!L145*'GIS Heat Input'!$F37</f>
        <v>0</v>
      </c>
      <c r="J159" s="550"/>
      <c r="K159" s="558"/>
      <c r="L159" s="556">
        <f>GIS!Q145*'GIS Heat Input'!$F37</f>
        <v>0</v>
      </c>
      <c r="M159" s="552">
        <f>GIS!R145*'GIS Heat Input'!$F37</f>
        <v>0</v>
      </c>
    </row>
    <row r="160" spans="1:13" x14ac:dyDescent="0.4">
      <c r="A160" s="121" t="s">
        <v>4038</v>
      </c>
      <c r="B160" s="556">
        <f>GIS!B146*'GIS Heat Input'!$F38</f>
        <v>0</v>
      </c>
      <c r="C160" s="557">
        <f>GIS!C146*'GIS Heat Input'!$F38</f>
        <v>0</v>
      </c>
      <c r="D160" s="556">
        <f>GIS!E146*'GIS Heat Input'!$F38</f>
        <v>0</v>
      </c>
      <c r="E160" s="557">
        <f>GIS!F146*'GIS Heat Input'!$F38</f>
        <v>0</v>
      </c>
      <c r="F160" s="556">
        <f>GIS!H146*'GIS Heat Input'!$F38</f>
        <v>0</v>
      </c>
      <c r="G160" s="557">
        <f>GIS!I146*'GIS Heat Input'!$F38</f>
        <v>0</v>
      </c>
      <c r="H160" s="556">
        <f>GIS!K146*'GIS Heat Input'!$F38</f>
        <v>0</v>
      </c>
      <c r="I160" s="557">
        <f>GIS!L146*'GIS Heat Input'!$F38</f>
        <v>0</v>
      </c>
      <c r="J160" s="550"/>
      <c r="K160" s="558"/>
      <c r="L160" s="556">
        <f>GIS!Q146*'GIS Heat Input'!$F38</f>
        <v>0</v>
      </c>
      <c r="M160" s="552">
        <f>GIS!R146*'GIS Heat Input'!$F38</f>
        <v>0</v>
      </c>
    </row>
    <row r="161" spans="1:13" x14ac:dyDescent="0.4">
      <c r="A161" s="121" t="s">
        <v>4039</v>
      </c>
      <c r="B161" s="556">
        <f>GIS!B147*'GIS Heat Input'!$F39</f>
        <v>0</v>
      </c>
      <c r="C161" s="557">
        <f>GIS!C147*'GIS Heat Input'!$F39</f>
        <v>0</v>
      </c>
      <c r="D161" s="556">
        <f>GIS!E147*'GIS Heat Input'!$F39</f>
        <v>0</v>
      </c>
      <c r="E161" s="557">
        <f>GIS!F147*'GIS Heat Input'!$F39</f>
        <v>0</v>
      </c>
      <c r="F161" s="556">
        <f>GIS!H147*'GIS Heat Input'!$F39</f>
        <v>0</v>
      </c>
      <c r="G161" s="557">
        <f>GIS!I147*'GIS Heat Input'!$F39</f>
        <v>0</v>
      </c>
      <c r="H161" s="556">
        <f>GIS!K147*'GIS Heat Input'!$F39</f>
        <v>0</v>
      </c>
      <c r="I161" s="557">
        <f>GIS!L147*'GIS Heat Input'!$F39</f>
        <v>0</v>
      </c>
      <c r="J161" s="550"/>
      <c r="K161" s="558"/>
      <c r="L161" s="556">
        <f>GIS!Q147*'GIS Heat Input'!$F39</f>
        <v>0</v>
      </c>
      <c r="M161" s="552">
        <f>GIS!R147*'GIS Heat Input'!$F39</f>
        <v>0</v>
      </c>
    </row>
    <row r="162" spans="1:13" x14ac:dyDescent="0.4">
      <c r="A162" s="121" t="s">
        <v>4040</v>
      </c>
      <c r="B162" s="556">
        <f>GIS!B148*'GIS Heat Input'!$F40</f>
        <v>0</v>
      </c>
      <c r="C162" s="557">
        <f>GIS!C148*'GIS Heat Input'!$F40</f>
        <v>0</v>
      </c>
      <c r="D162" s="556">
        <f>GIS!E148*'GIS Heat Input'!$F40</f>
        <v>0</v>
      </c>
      <c r="E162" s="557">
        <f>GIS!F148*'GIS Heat Input'!$F40</f>
        <v>0</v>
      </c>
      <c r="F162" s="556">
        <f>GIS!H148*'GIS Heat Input'!$F40</f>
        <v>0</v>
      </c>
      <c r="G162" s="557">
        <f>GIS!I148*'GIS Heat Input'!$F40</f>
        <v>0</v>
      </c>
      <c r="H162" s="556">
        <f>GIS!K148*'GIS Heat Input'!$F40</f>
        <v>0</v>
      </c>
      <c r="I162" s="557">
        <f>GIS!L148*'GIS Heat Input'!$F40</f>
        <v>0</v>
      </c>
      <c r="J162" s="550"/>
      <c r="K162" s="558"/>
      <c r="L162" s="556">
        <f>GIS!Q148*'GIS Heat Input'!$F40</f>
        <v>0</v>
      </c>
      <c r="M162" s="552">
        <f>GIS!R148*'GIS Heat Input'!$F40</f>
        <v>0</v>
      </c>
    </row>
    <row r="163" spans="1:13" x14ac:dyDescent="0.4">
      <c r="A163" s="121" t="s">
        <v>4041</v>
      </c>
      <c r="B163" s="556">
        <f>GIS!B149*'GIS Heat Input'!$F41</f>
        <v>0</v>
      </c>
      <c r="C163" s="557">
        <f>GIS!C149*'GIS Heat Input'!$F41</f>
        <v>0</v>
      </c>
      <c r="D163" s="556">
        <f>GIS!E149*'GIS Heat Input'!$F41</f>
        <v>0</v>
      </c>
      <c r="E163" s="557">
        <f>GIS!F149*'GIS Heat Input'!$F41</f>
        <v>0</v>
      </c>
      <c r="F163" s="556">
        <f>GIS!H149*'GIS Heat Input'!$F41</f>
        <v>0</v>
      </c>
      <c r="G163" s="557">
        <f>GIS!I149*'GIS Heat Input'!$F41</f>
        <v>0</v>
      </c>
      <c r="H163" s="556">
        <f>GIS!K149*'GIS Heat Input'!$F41</f>
        <v>0</v>
      </c>
      <c r="I163" s="557">
        <f>GIS!L149*'GIS Heat Input'!$F41</f>
        <v>0</v>
      </c>
      <c r="J163" s="550"/>
      <c r="K163" s="558"/>
      <c r="L163" s="556">
        <f>GIS!Q149*'GIS Heat Input'!$F41</f>
        <v>0</v>
      </c>
      <c r="M163" s="552">
        <f>GIS!R149*'GIS Heat Input'!$F41</f>
        <v>0</v>
      </c>
    </row>
    <row r="164" spans="1:13" x14ac:dyDescent="0.4">
      <c r="A164" s="122" t="s">
        <v>4042</v>
      </c>
      <c r="B164" s="556">
        <f>GIS!B150*'GIS Heat Input'!$F42</f>
        <v>0</v>
      </c>
      <c r="C164" s="557">
        <f>GIS!C150*'GIS Heat Input'!$F42</f>
        <v>0</v>
      </c>
      <c r="D164" s="556">
        <f>GIS!E150*'GIS Heat Input'!$F42</f>
        <v>0</v>
      </c>
      <c r="E164" s="557">
        <f>GIS!F150*'GIS Heat Input'!$F42</f>
        <v>0</v>
      </c>
      <c r="F164" s="556">
        <f>GIS!H150*'GIS Heat Input'!$F42</f>
        <v>0</v>
      </c>
      <c r="G164" s="557">
        <f>GIS!I150*'GIS Heat Input'!$F42</f>
        <v>0</v>
      </c>
      <c r="H164" s="556">
        <f>GIS!K150*'GIS Heat Input'!$F42</f>
        <v>0</v>
      </c>
      <c r="I164" s="557">
        <f>GIS!L150*'GIS Heat Input'!$F42</f>
        <v>0</v>
      </c>
      <c r="J164" s="550"/>
      <c r="K164" s="558"/>
      <c r="L164" s="556">
        <f>GIS!Q150*'GIS Heat Input'!$F42</f>
        <v>0</v>
      </c>
      <c r="M164" s="552">
        <f>GIS!R150*'GIS Heat Input'!$F42</f>
        <v>0</v>
      </c>
    </row>
    <row r="165" spans="1:13" x14ac:dyDescent="0.4">
      <c r="A165" s="121" t="s">
        <v>4043</v>
      </c>
      <c r="B165" s="556">
        <f>GIS!B151*'GIS Heat Input'!$F43</f>
        <v>0</v>
      </c>
      <c r="C165" s="557">
        <f>GIS!C151*'GIS Heat Input'!$F43</f>
        <v>0</v>
      </c>
      <c r="D165" s="556">
        <f>GIS!E151*'GIS Heat Input'!$F43</f>
        <v>0</v>
      </c>
      <c r="E165" s="557">
        <f>GIS!F151*'GIS Heat Input'!$F43</f>
        <v>0</v>
      </c>
      <c r="F165" s="556">
        <f>GIS!H151*'GIS Heat Input'!$F43</f>
        <v>0</v>
      </c>
      <c r="G165" s="557">
        <f>GIS!I151*'GIS Heat Input'!$F43</f>
        <v>0</v>
      </c>
      <c r="H165" s="556">
        <f>GIS!K151*'GIS Heat Input'!$F43</f>
        <v>0</v>
      </c>
      <c r="I165" s="557">
        <f>GIS!L151*'GIS Heat Input'!$F43</f>
        <v>0</v>
      </c>
      <c r="J165" s="550"/>
      <c r="K165" s="558"/>
      <c r="L165" s="556">
        <f>GIS!Q151*'GIS Heat Input'!$F43</f>
        <v>0</v>
      </c>
      <c r="M165" s="552">
        <f>GIS!R151*'GIS Heat Input'!$F43</f>
        <v>0</v>
      </c>
    </row>
    <row r="166" spans="1:13" x14ac:dyDescent="0.4">
      <c r="A166" s="121" t="s">
        <v>4044</v>
      </c>
      <c r="B166" s="556">
        <f>GIS!B152*'GIS Heat Input'!$F44</f>
        <v>0</v>
      </c>
      <c r="C166" s="557">
        <f>GIS!C152*'GIS Heat Input'!$F44</f>
        <v>0</v>
      </c>
      <c r="D166" s="556">
        <f>GIS!E152*'GIS Heat Input'!$F44</f>
        <v>0</v>
      </c>
      <c r="E166" s="557">
        <f>GIS!F152*'GIS Heat Input'!$F44</f>
        <v>0</v>
      </c>
      <c r="F166" s="556">
        <f>GIS!H152*'GIS Heat Input'!$F44</f>
        <v>0</v>
      </c>
      <c r="G166" s="557">
        <f>GIS!I152*'GIS Heat Input'!$F44</f>
        <v>0</v>
      </c>
      <c r="H166" s="556">
        <f>GIS!K152*'GIS Heat Input'!$F44</f>
        <v>0</v>
      </c>
      <c r="I166" s="557">
        <f>GIS!L152*'GIS Heat Input'!$F44</f>
        <v>0</v>
      </c>
      <c r="J166" s="550"/>
      <c r="K166" s="558"/>
      <c r="L166" s="556">
        <f>GIS!Q152*'GIS Heat Input'!$F44</f>
        <v>0</v>
      </c>
      <c r="M166" s="552">
        <f>GIS!R152*'GIS Heat Input'!$F44</f>
        <v>0</v>
      </c>
    </row>
    <row r="167" spans="1:13" x14ac:dyDescent="0.4">
      <c r="A167" s="320" t="s">
        <v>4045</v>
      </c>
      <c r="B167" s="556">
        <f>GIS!B153*'GIS Heat Input'!$F45</f>
        <v>0</v>
      </c>
      <c r="C167" s="557">
        <f>GIS!C153*'GIS Heat Input'!$F45</f>
        <v>0</v>
      </c>
      <c r="D167" s="556">
        <f>GIS!E153*'GIS Heat Input'!$F45</f>
        <v>0</v>
      </c>
      <c r="E167" s="557">
        <f>GIS!F153*'GIS Heat Input'!$F45</f>
        <v>0</v>
      </c>
      <c r="F167" s="556">
        <f>GIS!H153*'GIS Heat Input'!$F45</f>
        <v>0</v>
      </c>
      <c r="G167" s="557">
        <f>GIS!I153*'GIS Heat Input'!$F45</f>
        <v>0</v>
      </c>
      <c r="H167" s="556">
        <f>GIS!K153*'GIS Heat Input'!$F45</f>
        <v>0</v>
      </c>
      <c r="I167" s="557">
        <f>GIS!L153*'GIS Heat Input'!$F45</f>
        <v>0</v>
      </c>
      <c r="J167" s="550"/>
      <c r="K167" s="558"/>
      <c r="L167" s="556">
        <f>GIS!Q153*'GIS Heat Input'!$F45</f>
        <v>0</v>
      </c>
      <c r="M167" s="552">
        <f>GIS!R153*'GIS Heat Input'!$F45</f>
        <v>0</v>
      </c>
    </row>
    <row r="168" spans="1:13" x14ac:dyDescent="0.4">
      <c r="A168" s="422" t="s">
        <v>11</v>
      </c>
      <c r="B168" s="321"/>
      <c r="C168" s="321"/>
      <c r="D168" s="321"/>
      <c r="E168" s="321"/>
      <c r="I168" s="321"/>
      <c r="J168" s="321"/>
      <c r="K168" s="321"/>
      <c r="L168" s="321"/>
      <c r="M168" s="321"/>
    </row>
    <row r="169" spans="1:13" x14ac:dyDescent="0.4">
      <c r="D169" s="250"/>
      <c r="E169" s="319"/>
      <c r="F169" s="319"/>
      <c r="G169" s="319"/>
      <c r="K169" s="250"/>
      <c r="L169" s="319"/>
    </row>
    <row r="170" spans="1:13" x14ac:dyDescent="0.4">
      <c r="A170" s="4" t="s">
        <v>4097</v>
      </c>
    </row>
    <row r="171" spans="1:13" ht="16.5" thickBot="1" x14ac:dyDescent="0.45">
      <c r="A171" s="322" t="s">
        <v>4080</v>
      </c>
      <c r="B171" s="323" t="s">
        <v>4081</v>
      </c>
      <c r="C171" s="323" t="s">
        <v>4082</v>
      </c>
      <c r="D171" s="323" t="s">
        <v>4083</v>
      </c>
      <c r="E171" s="323" t="s">
        <v>4084</v>
      </c>
      <c r="F171" s="323" t="s">
        <v>4085</v>
      </c>
      <c r="G171" s="323" t="s">
        <v>4086</v>
      </c>
      <c r="H171" s="323" t="s">
        <v>4087</v>
      </c>
      <c r="I171" s="323" t="s">
        <v>4088</v>
      </c>
      <c r="J171" s="323" t="s">
        <v>4089</v>
      </c>
      <c r="K171" s="323" t="s">
        <v>4090</v>
      </c>
      <c r="L171" s="323" t="s">
        <v>4091</v>
      </c>
      <c r="M171" s="323" t="s">
        <v>4092</v>
      </c>
    </row>
    <row r="172" spans="1:13" x14ac:dyDescent="0.4">
      <c r="A172" s="342" t="s">
        <v>4028</v>
      </c>
      <c r="B172" s="551">
        <f>GIS!B159*'GIS Heat Input'!$G28</f>
        <v>0</v>
      </c>
      <c r="C172" s="552">
        <f>GIS!C159*'GIS Heat Input'!$G28</f>
        <v>0</v>
      </c>
      <c r="D172" s="551">
        <f>GIS!E159*'GIS Heat Input'!$G28</f>
        <v>0</v>
      </c>
      <c r="E172" s="552">
        <f>GIS!F159*'GIS Heat Input'!$G28</f>
        <v>0</v>
      </c>
      <c r="F172" s="551">
        <f>GIS!H159*'GIS Heat Input'!$G28</f>
        <v>0</v>
      </c>
      <c r="G172" s="552">
        <f>GIS!I159*'GIS Heat Input'!$G28</f>
        <v>0</v>
      </c>
      <c r="H172" s="551">
        <f>GIS!K159*'GIS Heat Input'!$G28</f>
        <v>0</v>
      </c>
      <c r="I172" s="552">
        <f>GIS!L159*'GIS Heat Input'!$G28</f>
        <v>0</v>
      </c>
      <c r="J172" s="551">
        <f>GIS!N159*'GIS Heat Input'!$G28</f>
        <v>0</v>
      </c>
      <c r="K172" s="552">
        <f>GIS!O159*'GIS Heat Input'!$G28</f>
        <v>0</v>
      </c>
      <c r="L172" s="547"/>
      <c r="M172" s="559"/>
    </row>
    <row r="173" spans="1:13" x14ac:dyDescent="0.4">
      <c r="A173" s="121" t="s">
        <v>4029</v>
      </c>
      <c r="B173" s="551">
        <f>GIS!B160*'GIS Heat Input'!$G29</f>
        <v>2171159.0805796622</v>
      </c>
      <c r="C173" s="552">
        <f>GIS!C160*'GIS Heat Input'!$G29</f>
        <v>0</v>
      </c>
      <c r="D173" s="551">
        <f>GIS!E160*'GIS Heat Input'!$G29</f>
        <v>0</v>
      </c>
      <c r="E173" s="552">
        <f>GIS!F160*'GIS Heat Input'!$G29</f>
        <v>0</v>
      </c>
      <c r="F173" s="551">
        <f>GIS!H160*'GIS Heat Input'!$G29</f>
        <v>0</v>
      </c>
      <c r="G173" s="552">
        <f>GIS!I160*'GIS Heat Input'!$G29</f>
        <v>0</v>
      </c>
      <c r="H173" s="551">
        <f>GIS!K160*'GIS Heat Input'!$G29</f>
        <v>0</v>
      </c>
      <c r="I173" s="552">
        <f>GIS!L160*'GIS Heat Input'!$G29</f>
        <v>0</v>
      </c>
      <c r="J173" s="551">
        <f>GIS!N160*'GIS Heat Input'!$G29</f>
        <v>0</v>
      </c>
      <c r="K173" s="552">
        <f>GIS!O160*'GIS Heat Input'!$G29</f>
        <v>10571.307385114313</v>
      </c>
      <c r="L173" s="550"/>
      <c r="M173" s="550"/>
    </row>
    <row r="174" spans="1:13" x14ac:dyDescent="0.4">
      <c r="A174" s="121" t="s">
        <v>4030</v>
      </c>
      <c r="B174" s="551">
        <f>GIS!B161*'GIS Heat Input'!$G30</f>
        <v>0</v>
      </c>
      <c r="C174" s="552">
        <f>GIS!C161*'GIS Heat Input'!$G30</f>
        <v>0</v>
      </c>
      <c r="D174" s="551">
        <f>GIS!E161*'GIS Heat Input'!$G30</f>
        <v>0</v>
      </c>
      <c r="E174" s="552">
        <f>GIS!F161*'GIS Heat Input'!$G30</f>
        <v>0</v>
      </c>
      <c r="F174" s="551">
        <f>GIS!H161*'GIS Heat Input'!$G30</f>
        <v>0</v>
      </c>
      <c r="G174" s="552">
        <f>GIS!I161*'GIS Heat Input'!$G30</f>
        <v>0</v>
      </c>
      <c r="H174" s="551">
        <f>GIS!K161*'GIS Heat Input'!$G30</f>
        <v>0</v>
      </c>
      <c r="I174" s="552">
        <f>GIS!L161*'GIS Heat Input'!$G30</f>
        <v>0</v>
      </c>
      <c r="J174" s="551">
        <f>GIS!N161*'GIS Heat Input'!$G30</f>
        <v>0</v>
      </c>
      <c r="K174" s="552">
        <f>GIS!O161*'GIS Heat Input'!$G30</f>
        <v>0</v>
      </c>
      <c r="L174" s="550"/>
      <c r="M174" s="550"/>
    </row>
    <row r="175" spans="1:13" x14ac:dyDescent="0.4">
      <c r="A175" s="121" t="s">
        <v>4031</v>
      </c>
      <c r="B175" s="551">
        <f>GIS!B162*'GIS Heat Input'!$G31</f>
        <v>0</v>
      </c>
      <c r="C175" s="552">
        <f>GIS!C162*'GIS Heat Input'!$G31</f>
        <v>0</v>
      </c>
      <c r="D175" s="551">
        <f>GIS!E162*'GIS Heat Input'!$G31</f>
        <v>0</v>
      </c>
      <c r="E175" s="552">
        <f>GIS!F162*'GIS Heat Input'!$G31</f>
        <v>0</v>
      </c>
      <c r="F175" s="551">
        <f>GIS!H162*'GIS Heat Input'!$G31</f>
        <v>0</v>
      </c>
      <c r="G175" s="552">
        <f>GIS!I162*'GIS Heat Input'!$G31</f>
        <v>0</v>
      </c>
      <c r="H175" s="551">
        <f>GIS!K162*'GIS Heat Input'!$G31</f>
        <v>0</v>
      </c>
      <c r="I175" s="552">
        <f>GIS!L162*'GIS Heat Input'!$G31</f>
        <v>0</v>
      </c>
      <c r="J175" s="551">
        <f>GIS!N162*'GIS Heat Input'!$G31</f>
        <v>0</v>
      </c>
      <c r="K175" s="552">
        <f>GIS!O162*'GIS Heat Input'!$G31</f>
        <v>0</v>
      </c>
      <c r="L175" s="550"/>
      <c r="M175" s="550"/>
    </row>
    <row r="176" spans="1:13" x14ac:dyDescent="0.4">
      <c r="A176" s="121" t="s">
        <v>4032</v>
      </c>
      <c r="B176" s="551">
        <f>GIS!B163*'GIS Heat Input'!$G32</f>
        <v>0</v>
      </c>
      <c r="C176" s="552">
        <f>GIS!C163*'GIS Heat Input'!$G32</f>
        <v>61347.452711987717</v>
      </c>
      <c r="D176" s="551">
        <f>GIS!E163*'GIS Heat Input'!$G32</f>
        <v>2889.1318405949401</v>
      </c>
      <c r="E176" s="552">
        <f>GIS!F163*'GIS Heat Input'!$G32</f>
        <v>17905.627576590414</v>
      </c>
      <c r="F176" s="551">
        <f>GIS!H163*'GIS Heat Input'!$G32</f>
        <v>0</v>
      </c>
      <c r="G176" s="552">
        <f>GIS!I163*'GIS Heat Input'!$G32</f>
        <v>0</v>
      </c>
      <c r="H176" s="551">
        <f>GIS!K163*'GIS Heat Input'!$G32</f>
        <v>0</v>
      </c>
      <c r="I176" s="552">
        <f>GIS!L163*'GIS Heat Input'!$G32</f>
        <v>47449.330591706414</v>
      </c>
      <c r="J176" s="551">
        <f>GIS!N163*'GIS Heat Input'!$G32</f>
        <v>0</v>
      </c>
      <c r="K176" s="552">
        <f>GIS!O163*'GIS Heat Input'!$G32</f>
        <v>1852.3063010265946</v>
      </c>
      <c r="L176" s="550"/>
      <c r="M176" s="550"/>
    </row>
    <row r="177" spans="1:13" x14ac:dyDescent="0.4">
      <c r="A177" s="121" t="s">
        <v>4033</v>
      </c>
      <c r="B177" s="551">
        <f>GIS!B164*'GIS Heat Input'!$G33</f>
        <v>0</v>
      </c>
      <c r="C177" s="552">
        <f>GIS!C164*'GIS Heat Input'!$G33</f>
        <v>0</v>
      </c>
      <c r="D177" s="551">
        <f>GIS!E164*'GIS Heat Input'!$G33</f>
        <v>0</v>
      </c>
      <c r="E177" s="552">
        <f>GIS!F164*'GIS Heat Input'!$G33</f>
        <v>0</v>
      </c>
      <c r="F177" s="551">
        <f>GIS!H164*'GIS Heat Input'!$G33</f>
        <v>0</v>
      </c>
      <c r="G177" s="552">
        <f>GIS!I164*'GIS Heat Input'!$G33</f>
        <v>0</v>
      </c>
      <c r="H177" s="551">
        <f>GIS!K164*'GIS Heat Input'!$G33</f>
        <v>0</v>
      </c>
      <c r="I177" s="552">
        <f>GIS!L164*'GIS Heat Input'!$G33</f>
        <v>0</v>
      </c>
      <c r="J177" s="551">
        <f>GIS!N164*'GIS Heat Input'!$G33</f>
        <v>0</v>
      </c>
      <c r="K177" s="552">
        <f>GIS!O164*'GIS Heat Input'!$G33</f>
        <v>0</v>
      </c>
      <c r="L177" s="550"/>
      <c r="M177" s="550"/>
    </row>
    <row r="178" spans="1:13" x14ac:dyDescent="0.4">
      <c r="A178" s="122" t="s">
        <v>4034</v>
      </c>
      <c r="B178" s="551">
        <f>GIS!B165*'GIS Heat Input'!$G34</f>
        <v>0</v>
      </c>
      <c r="C178" s="552">
        <f>GIS!C165*'GIS Heat Input'!$G34</f>
        <v>0</v>
      </c>
      <c r="D178" s="551">
        <f>GIS!E165*'GIS Heat Input'!$G34</f>
        <v>0</v>
      </c>
      <c r="E178" s="552">
        <f>GIS!F165*'GIS Heat Input'!$G34</f>
        <v>0</v>
      </c>
      <c r="F178" s="551">
        <f>GIS!H165*'GIS Heat Input'!$G34</f>
        <v>0</v>
      </c>
      <c r="G178" s="552">
        <f>GIS!I165*'GIS Heat Input'!$G34</f>
        <v>0</v>
      </c>
      <c r="H178" s="551">
        <f>GIS!K165*'GIS Heat Input'!$G34</f>
        <v>0</v>
      </c>
      <c r="I178" s="552">
        <f>GIS!L165*'GIS Heat Input'!$G34</f>
        <v>0</v>
      </c>
      <c r="J178" s="551">
        <f>GIS!N165*'GIS Heat Input'!$G34</f>
        <v>0</v>
      </c>
      <c r="K178" s="552">
        <f>GIS!O165*'GIS Heat Input'!$G34</f>
        <v>0</v>
      </c>
      <c r="L178" s="550"/>
      <c r="M178" s="550"/>
    </row>
    <row r="179" spans="1:13" x14ac:dyDescent="0.4">
      <c r="A179" s="122" t="s">
        <v>4035</v>
      </c>
      <c r="B179" s="551">
        <f>GIS!B166*'GIS Heat Input'!$G35</f>
        <v>0</v>
      </c>
      <c r="C179" s="552">
        <f>GIS!C166*'GIS Heat Input'!$G35</f>
        <v>0</v>
      </c>
      <c r="D179" s="551">
        <f>GIS!E166*'GIS Heat Input'!$G35</f>
        <v>0</v>
      </c>
      <c r="E179" s="552">
        <f>GIS!F166*'GIS Heat Input'!$G35</f>
        <v>0</v>
      </c>
      <c r="F179" s="551">
        <f>GIS!H166*'GIS Heat Input'!$G35</f>
        <v>0</v>
      </c>
      <c r="G179" s="552">
        <f>GIS!I166*'GIS Heat Input'!$G35</f>
        <v>0</v>
      </c>
      <c r="H179" s="551">
        <f>GIS!K166*'GIS Heat Input'!$G35</f>
        <v>0</v>
      </c>
      <c r="I179" s="552">
        <f>GIS!L166*'GIS Heat Input'!$G35</f>
        <v>0</v>
      </c>
      <c r="J179" s="551">
        <f>GIS!N166*'GIS Heat Input'!$G35</f>
        <v>0</v>
      </c>
      <c r="K179" s="552">
        <f>GIS!O166*'GIS Heat Input'!$G35</f>
        <v>0</v>
      </c>
      <c r="L179" s="550"/>
      <c r="M179" s="550"/>
    </row>
    <row r="180" spans="1:13" x14ac:dyDescent="0.4">
      <c r="A180" s="121" t="s">
        <v>4036</v>
      </c>
      <c r="B180" s="551">
        <f>GIS!B167*'GIS Heat Input'!$G36</f>
        <v>0</v>
      </c>
      <c r="C180" s="552">
        <f>GIS!C167*'GIS Heat Input'!$G36</f>
        <v>0</v>
      </c>
      <c r="D180" s="551">
        <f>GIS!E167*'GIS Heat Input'!$G36</f>
        <v>0</v>
      </c>
      <c r="E180" s="552">
        <f>GIS!F167*'GIS Heat Input'!$G36</f>
        <v>0</v>
      </c>
      <c r="F180" s="551">
        <f>GIS!H167*'GIS Heat Input'!$G36</f>
        <v>0</v>
      </c>
      <c r="G180" s="552">
        <f>GIS!I167*'GIS Heat Input'!$G36</f>
        <v>0</v>
      </c>
      <c r="H180" s="551">
        <f>GIS!K167*'GIS Heat Input'!$G36</f>
        <v>0</v>
      </c>
      <c r="I180" s="552">
        <f>GIS!L167*'GIS Heat Input'!$G36</f>
        <v>0</v>
      </c>
      <c r="J180" s="551">
        <f>GIS!N167*'GIS Heat Input'!$G36</f>
        <v>0</v>
      </c>
      <c r="K180" s="552">
        <f>GIS!O167*'GIS Heat Input'!$G36</f>
        <v>0</v>
      </c>
      <c r="L180" s="550"/>
      <c r="M180" s="550"/>
    </row>
    <row r="181" spans="1:13" x14ac:dyDescent="0.4">
      <c r="A181" s="121" t="s">
        <v>4037</v>
      </c>
      <c r="B181" s="551">
        <f>GIS!B168*'GIS Heat Input'!$G37</f>
        <v>236477.77109772858</v>
      </c>
      <c r="C181" s="552">
        <f>GIS!C168*'GIS Heat Input'!$G37</f>
        <v>0</v>
      </c>
      <c r="D181" s="551">
        <f>GIS!E168*'GIS Heat Input'!$G37</f>
        <v>0</v>
      </c>
      <c r="E181" s="552">
        <f>GIS!F168*'GIS Heat Input'!$G37</f>
        <v>0</v>
      </c>
      <c r="F181" s="551">
        <f>GIS!H168*'GIS Heat Input'!$G37</f>
        <v>0</v>
      </c>
      <c r="G181" s="552">
        <f>GIS!I168*'GIS Heat Input'!$G37</f>
        <v>0</v>
      </c>
      <c r="H181" s="551">
        <f>GIS!K168*'GIS Heat Input'!$G37</f>
        <v>0</v>
      </c>
      <c r="I181" s="552">
        <f>GIS!L168*'GIS Heat Input'!$G37</f>
        <v>0</v>
      </c>
      <c r="J181" s="551">
        <f>GIS!N168*'GIS Heat Input'!$G37</f>
        <v>18220.170156010023</v>
      </c>
      <c r="K181" s="552">
        <f>GIS!O168*'GIS Heat Input'!$G37</f>
        <v>321276.1205642228</v>
      </c>
      <c r="L181" s="550"/>
      <c r="M181" s="550"/>
    </row>
    <row r="182" spans="1:13" x14ac:dyDescent="0.4">
      <c r="A182" s="121" t="s">
        <v>4038</v>
      </c>
      <c r="B182" s="551">
        <f>GIS!B169*'GIS Heat Input'!$G38</f>
        <v>0</v>
      </c>
      <c r="C182" s="552">
        <f>GIS!C169*'GIS Heat Input'!$G38</f>
        <v>0</v>
      </c>
      <c r="D182" s="551">
        <f>GIS!E169*'GIS Heat Input'!$G38</f>
        <v>0</v>
      </c>
      <c r="E182" s="552">
        <f>GIS!F169*'GIS Heat Input'!$G38</f>
        <v>0</v>
      </c>
      <c r="F182" s="551">
        <f>GIS!H169*'GIS Heat Input'!$G38</f>
        <v>0</v>
      </c>
      <c r="G182" s="552">
        <f>GIS!I169*'GIS Heat Input'!$G38</f>
        <v>0</v>
      </c>
      <c r="H182" s="551">
        <f>GIS!K169*'GIS Heat Input'!$G38</f>
        <v>0</v>
      </c>
      <c r="I182" s="552">
        <f>GIS!L169*'GIS Heat Input'!$G38</f>
        <v>0</v>
      </c>
      <c r="J182" s="551">
        <f>GIS!N169*'GIS Heat Input'!$G38</f>
        <v>0</v>
      </c>
      <c r="K182" s="552">
        <f>GIS!O169*'GIS Heat Input'!$G38</f>
        <v>0</v>
      </c>
      <c r="L182" s="550"/>
      <c r="M182" s="550"/>
    </row>
    <row r="183" spans="1:13" x14ac:dyDescent="0.4">
      <c r="A183" s="121" t="s">
        <v>4039</v>
      </c>
      <c r="B183" s="551">
        <f>GIS!B170*'GIS Heat Input'!$G39</f>
        <v>0</v>
      </c>
      <c r="C183" s="552">
        <f>GIS!C170*'GIS Heat Input'!$G39</f>
        <v>0</v>
      </c>
      <c r="D183" s="551">
        <f>GIS!E170*'GIS Heat Input'!$G39</f>
        <v>0</v>
      </c>
      <c r="E183" s="552">
        <f>GIS!F170*'GIS Heat Input'!$G39</f>
        <v>0</v>
      </c>
      <c r="F183" s="551">
        <f>GIS!H170*'GIS Heat Input'!$G39</f>
        <v>0</v>
      </c>
      <c r="G183" s="552">
        <f>GIS!I170*'GIS Heat Input'!$G39</f>
        <v>0</v>
      </c>
      <c r="H183" s="551">
        <f>GIS!K170*'GIS Heat Input'!$G39</f>
        <v>0</v>
      </c>
      <c r="I183" s="552">
        <f>GIS!L170*'GIS Heat Input'!$G39</f>
        <v>0</v>
      </c>
      <c r="J183" s="551">
        <f>GIS!N170*'GIS Heat Input'!$G39</f>
        <v>0</v>
      </c>
      <c r="K183" s="552">
        <f>GIS!O170*'GIS Heat Input'!$G39</f>
        <v>0</v>
      </c>
      <c r="L183" s="550"/>
      <c r="M183" s="550"/>
    </row>
    <row r="184" spans="1:13" x14ac:dyDescent="0.4">
      <c r="A184" s="121" t="s">
        <v>4040</v>
      </c>
      <c r="B184" s="551">
        <f>GIS!B171*'GIS Heat Input'!$G40</f>
        <v>0</v>
      </c>
      <c r="C184" s="552">
        <f>GIS!C171*'GIS Heat Input'!$G40</f>
        <v>0</v>
      </c>
      <c r="D184" s="551">
        <f>GIS!E171*'GIS Heat Input'!$G40</f>
        <v>0</v>
      </c>
      <c r="E184" s="552">
        <f>GIS!F171*'GIS Heat Input'!$G40</f>
        <v>0</v>
      </c>
      <c r="F184" s="551">
        <f>GIS!H171*'GIS Heat Input'!$G40</f>
        <v>0</v>
      </c>
      <c r="G184" s="552">
        <f>GIS!I171*'GIS Heat Input'!$G40</f>
        <v>0</v>
      </c>
      <c r="H184" s="551">
        <f>GIS!K171*'GIS Heat Input'!$G40</f>
        <v>0</v>
      </c>
      <c r="I184" s="552">
        <f>GIS!L171*'GIS Heat Input'!$G40</f>
        <v>0</v>
      </c>
      <c r="J184" s="551">
        <f>GIS!N171*'GIS Heat Input'!$G40</f>
        <v>0</v>
      </c>
      <c r="K184" s="552">
        <f>GIS!O171*'GIS Heat Input'!$G40</f>
        <v>0</v>
      </c>
      <c r="L184" s="550"/>
      <c r="M184" s="550"/>
    </row>
    <row r="185" spans="1:13" x14ac:dyDescent="0.4">
      <c r="A185" s="121" t="s">
        <v>4041</v>
      </c>
      <c r="B185" s="551">
        <f>GIS!B172*'GIS Heat Input'!$G41</f>
        <v>0</v>
      </c>
      <c r="C185" s="552">
        <f>GIS!C172*'GIS Heat Input'!$G41</f>
        <v>0</v>
      </c>
      <c r="D185" s="551">
        <f>GIS!E172*'GIS Heat Input'!$G41</f>
        <v>0</v>
      </c>
      <c r="E185" s="552">
        <f>GIS!F172*'GIS Heat Input'!$G41</f>
        <v>0</v>
      </c>
      <c r="F185" s="551">
        <f>GIS!H172*'GIS Heat Input'!$G41</f>
        <v>0</v>
      </c>
      <c r="G185" s="552">
        <f>GIS!I172*'GIS Heat Input'!$G41</f>
        <v>0</v>
      </c>
      <c r="H185" s="551">
        <f>GIS!K172*'GIS Heat Input'!$G41</f>
        <v>0</v>
      </c>
      <c r="I185" s="552">
        <f>GIS!L172*'GIS Heat Input'!$G41</f>
        <v>0</v>
      </c>
      <c r="J185" s="551">
        <f>GIS!N172*'GIS Heat Input'!$G41</f>
        <v>0</v>
      </c>
      <c r="K185" s="552">
        <f>GIS!O172*'GIS Heat Input'!$G41</f>
        <v>0</v>
      </c>
      <c r="L185" s="550"/>
      <c r="M185" s="550"/>
    </row>
    <row r="186" spans="1:13" x14ac:dyDescent="0.4">
      <c r="A186" s="122" t="s">
        <v>4042</v>
      </c>
      <c r="B186" s="551">
        <f>GIS!B173*'GIS Heat Input'!$G42</f>
        <v>0</v>
      </c>
      <c r="C186" s="552">
        <f>GIS!C173*'GIS Heat Input'!$G42</f>
        <v>0</v>
      </c>
      <c r="D186" s="551">
        <f>GIS!E173*'GIS Heat Input'!$G42</f>
        <v>0</v>
      </c>
      <c r="E186" s="552">
        <f>GIS!F173*'GIS Heat Input'!$G42</f>
        <v>0</v>
      </c>
      <c r="F186" s="551">
        <f>GIS!H173*'GIS Heat Input'!$G42</f>
        <v>0</v>
      </c>
      <c r="G186" s="552">
        <f>GIS!I173*'GIS Heat Input'!$G42</f>
        <v>0</v>
      </c>
      <c r="H186" s="551">
        <f>GIS!K173*'GIS Heat Input'!$G42</f>
        <v>0</v>
      </c>
      <c r="I186" s="552">
        <f>GIS!L173*'GIS Heat Input'!$G42</f>
        <v>0</v>
      </c>
      <c r="J186" s="551">
        <f>GIS!N173*'GIS Heat Input'!$G42</f>
        <v>0</v>
      </c>
      <c r="K186" s="552">
        <f>GIS!O173*'GIS Heat Input'!$G42</f>
        <v>0</v>
      </c>
      <c r="L186" s="550"/>
      <c r="M186" s="550"/>
    </row>
    <row r="187" spans="1:13" x14ac:dyDescent="0.4">
      <c r="A187" s="121" t="s">
        <v>4043</v>
      </c>
      <c r="B187" s="551">
        <f>GIS!B174*'GIS Heat Input'!$G43</f>
        <v>0</v>
      </c>
      <c r="C187" s="552">
        <f>GIS!C174*'GIS Heat Input'!$G43</f>
        <v>0</v>
      </c>
      <c r="D187" s="551">
        <f>GIS!E174*'GIS Heat Input'!$G43</f>
        <v>0</v>
      </c>
      <c r="E187" s="552">
        <f>GIS!F174*'GIS Heat Input'!$G43</f>
        <v>0</v>
      </c>
      <c r="F187" s="551">
        <f>GIS!H174*'GIS Heat Input'!$G43</f>
        <v>0</v>
      </c>
      <c r="G187" s="552">
        <f>GIS!I174*'GIS Heat Input'!$G43</f>
        <v>0</v>
      </c>
      <c r="H187" s="551">
        <f>GIS!K174*'GIS Heat Input'!$G43</f>
        <v>0</v>
      </c>
      <c r="I187" s="552">
        <f>GIS!L174*'GIS Heat Input'!$G43</f>
        <v>0</v>
      </c>
      <c r="J187" s="551">
        <f>GIS!N174*'GIS Heat Input'!$G43</f>
        <v>0</v>
      </c>
      <c r="K187" s="552">
        <f>GIS!O174*'GIS Heat Input'!$G43</f>
        <v>0</v>
      </c>
      <c r="L187" s="550"/>
      <c r="M187" s="550"/>
    </row>
    <row r="188" spans="1:13" x14ac:dyDescent="0.4">
      <c r="A188" s="121" t="s">
        <v>4044</v>
      </c>
      <c r="B188" s="551">
        <f>GIS!B175*'GIS Heat Input'!$G44</f>
        <v>0</v>
      </c>
      <c r="C188" s="552">
        <f>GIS!C175*'GIS Heat Input'!$G44</f>
        <v>0</v>
      </c>
      <c r="D188" s="551">
        <f>GIS!E175*'GIS Heat Input'!$G44</f>
        <v>0</v>
      </c>
      <c r="E188" s="552">
        <f>GIS!F175*'GIS Heat Input'!$G44</f>
        <v>0</v>
      </c>
      <c r="F188" s="551">
        <f>GIS!H175*'GIS Heat Input'!$G44</f>
        <v>0</v>
      </c>
      <c r="G188" s="552">
        <f>GIS!I175*'GIS Heat Input'!$G44</f>
        <v>0</v>
      </c>
      <c r="H188" s="551">
        <f>GIS!K175*'GIS Heat Input'!$G44</f>
        <v>0</v>
      </c>
      <c r="I188" s="552">
        <f>GIS!L175*'GIS Heat Input'!$G44</f>
        <v>0</v>
      </c>
      <c r="J188" s="551">
        <f>GIS!N175*'GIS Heat Input'!$G44</f>
        <v>0</v>
      </c>
      <c r="K188" s="552">
        <f>GIS!O175*'GIS Heat Input'!$G44</f>
        <v>0</v>
      </c>
      <c r="L188" s="550"/>
      <c r="M188" s="550"/>
    </row>
    <row r="189" spans="1:13" x14ac:dyDescent="0.4">
      <c r="A189" s="320" t="s">
        <v>4045</v>
      </c>
      <c r="B189" s="551">
        <f>GIS!B176*'GIS Heat Input'!$G45</f>
        <v>2105703.020317181</v>
      </c>
      <c r="C189" s="552">
        <f>GIS!C176*'GIS Heat Input'!$G45</f>
        <v>0</v>
      </c>
      <c r="D189" s="551">
        <f>GIS!E176*'GIS Heat Input'!$G45</f>
        <v>0</v>
      </c>
      <c r="E189" s="552">
        <f>GIS!F176*'GIS Heat Input'!$G45</f>
        <v>0</v>
      </c>
      <c r="F189" s="551">
        <f>GIS!H176*'GIS Heat Input'!$G45</f>
        <v>0</v>
      </c>
      <c r="G189" s="552">
        <f>GIS!I176*'GIS Heat Input'!$G45</f>
        <v>0</v>
      </c>
      <c r="H189" s="551">
        <f>GIS!K176*'GIS Heat Input'!$G45</f>
        <v>175947.73381823255</v>
      </c>
      <c r="I189" s="552">
        <f>GIS!L176*'GIS Heat Input'!$G45</f>
        <v>0</v>
      </c>
      <c r="J189" s="551">
        <f>GIS!N176*'GIS Heat Input'!$G45</f>
        <v>0</v>
      </c>
      <c r="K189" s="552">
        <f>GIS!O176*'GIS Heat Input'!$G45</f>
        <v>0</v>
      </c>
      <c r="L189" s="550"/>
      <c r="M189" s="550"/>
    </row>
    <row r="190" spans="1:13" x14ac:dyDescent="0.4">
      <c r="A190" s="422" t="s">
        <v>11</v>
      </c>
      <c r="B190" s="321"/>
      <c r="C190" s="321"/>
      <c r="D190" s="321"/>
      <c r="E190" s="321"/>
      <c r="I190" s="321"/>
      <c r="J190" s="321"/>
      <c r="K190" s="321"/>
      <c r="L190" s="321"/>
      <c r="M190" s="321"/>
    </row>
    <row r="191" spans="1:13" x14ac:dyDescent="0.4">
      <c r="H191" s="4"/>
      <c r="I191" s="20"/>
      <c r="J191" s="20"/>
    </row>
    <row r="192" spans="1:13" x14ac:dyDescent="0.4">
      <c r="A192" s="4" t="s">
        <v>4098</v>
      </c>
    </row>
    <row r="193" spans="1:7" x14ac:dyDescent="0.4">
      <c r="A193" s="406" t="s">
        <v>4080</v>
      </c>
      <c r="B193" s="415" t="s">
        <v>4099</v>
      </c>
      <c r="C193" s="415" t="s">
        <v>4100</v>
      </c>
      <c r="D193" s="415" t="s">
        <v>4101</v>
      </c>
      <c r="E193" s="415" t="s">
        <v>4102</v>
      </c>
      <c r="F193" s="415" t="s">
        <v>4103</v>
      </c>
      <c r="G193" s="415" t="s">
        <v>4104</v>
      </c>
    </row>
    <row r="194" spans="1:7" x14ac:dyDescent="0.4">
      <c r="A194" s="342" t="s">
        <v>4028</v>
      </c>
      <c r="B194" s="560">
        <f>GIS!$B182*'GIS Heat Input'!$H28</f>
        <v>35349.425720628147</v>
      </c>
      <c r="C194" s="560">
        <f>GIS!$C182*'GIS Heat Input'!$H28</f>
        <v>76451.010829183462</v>
      </c>
      <c r="D194" s="560">
        <f>GIS!D182*'GIS Heat Input'!$H28</f>
        <v>0</v>
      </c>
      <c r="E194" s="560">
        <f>GIS!E182*'GIS Heat Input'!$H28</f>
        <v>0</v>
      </c>
      <c r="F194" s="560">
        <f>GIS!F182*'GIS Heat Input'!$H28</f>
        <v>0</v>
      </c>
      <c r="G194" s="560">
        <f>GIS!G182*'GIS Heat Input'!$H28</f>
        <v>0</v>
      </c>
    </row>
    <row r="195" spans="1:7" x14ac:dyDescent="0.4">
      <c r="A195" s="121" t="s">
        <v>4029</v>
      </c>
      <c r="B195" s="560">
        <f>GIS!$B183*'GIS Heat Input'!$H29</f>
        <v>0</v>
      </c>
      <c r="C195" s="560">
        <f>GIS!$C183*'GIS Heat Input'!$H29</f>
        <v>0</v>
      </c>
      <c r="D195" s="560">
        <f>GIS!D183*'GIS Heat Input'!$H29</f>
        <v>0</v>
      </c>
      <c r="E195" s="560">
        <f>GIS!E183*'GIS Heat Input'!$H29</f>
        <v>0</v>
      </c>
      <c r="F195" s="560">
        <f>GIS!F183*'GIS Heat Input'!$H29</f>
        <v>0</v>
      </c>
      <c r="G195" s="560">
        <f>GIS!G183*'GIS Heat Input'!$H29</f>
        <v>0</v>
      </c>
    </row>
    <row r="196" spans="1:7" x14ac:dyDescent="0.4">
      <c r="A196" s="121" t="s">
        <v>4030</v>
      </c>
      <c r="B196" s="560">
        <f>GIS!$B184*'GIS Heat Input'!$H30</f>
        <v>0</v>
      </c>
      <c r="C196" s="560">
        <f>GIS!$C184*'GIS Heat Input'!$H30</f>
        <v>0</v>
      </c>
      <c r="D196" s="560">
        <f>GIS!D184*'GIS Heat Input'!$H30</f>
        <v>0</v>
      </c>
      <c r="E196" s="560">
        <f>GIS!E184*'GIS Heat Input'!$H30</f>
        <v>0</v>
      </c>
      <c r="F196" s="560">
        <f>GIS!F184*'GIS Heat Input'!$H30</f>
        <v>0</v>
      </c>
      <c r="G196" s="560">
        <f>GIS!G184*'GIS Heat Input'!$H30</f>
        <v>0</v>
      </c>
    </row>
    <row r="197" spans="1:7" x14ac:dyDescent="0.4">
      <c r="A197" s="121" t="s">
        <v>4031</v>
      </c>
      <c r="B197" s="560">
        <f>GIS!$B185*'GIS Heat Input'!$H31</f>
        <v>0</v>
      </c>
      <c r="C197" s="560">
        <f>GIS!$C185*'GIS Heat Input'!$H31</f>
        <v>0</v>
      </c>
      <c r="D197" s="560">
        <f>GIS!D185*'GIS Heat Input'!$H31</f>
        <v>0</v>
      </c>
      <c r="E197" s="560">
        <f>GIS!E185*'GIS Heat Input'!$H31</f>
        <v>0</v>
      </c>
      <c r="F197" s="560">
        <f>GIS!F185*'GIS Heat Input'!$H31</f>
        <v>0</v>
      </c>
      <c r="G197" s="560">
        <f>GIS!G185*'GIS Heat Input'!$H31</f>
        <v>0</v>
      </c>
    </row>
    <row r="198" spans="1:7" x14ac:dyDescent="0.4">
      <c r="A198" s="121" t="s">
        <v>4032</v>
      </c>
      <c r="B198" s="560">
        <f>GIS!$B186*'GIS Heat Input'!$H32</f>
        <v>0</v>
      </c>
      <c r="C198" s="560">
        <f>GIS!$C186*'GIS Heat Input'!$H32</f>
        <v>0</v>
      </c>
      <c r="D198" s="560">
        <f>GIS!D186*'GIS Heat Input'!$H32</f>
        <v>0</v>
      </c>
      <c r="E198" s="560">
        <f>GIS!E186*'GIS Heat Input'!$H32</f>
        <v>0</v>
      </c>
      <c r="F198" s="560">
        <f>GIS!F186*'GIS Heat Input'!$H32</f>
        <v>0</v>
      </c>
      <c r="G198" s="560">
        <f>GIS!G186*'GIS Heat Input'!$H32</f>
        <v>0</v>
      </c>
    </row>
    <row r="199" spans="1:7" x14ac:dyDescent="0.4">
      <c r="A199" s="121" t="s">
        <v>4033</v>
      </c>
      <c r="B199" s="560">
        <f>GIS!$B187*'GIS Heat Input'!$H33</f>
        <v>0</v>
      </c>
      <c r="C199" s="560">
        <f>GIS!$C187*'GIS Heat Input'!$H33</f>
        <v>0</v>
      </c>
      <c r="D199" s="560">
        <f>GIS!D187*'GIS Heat Input'!$H33</f>
        <v>0</v>
      </c>
      <c r="E199" s="560">
        <f>GIS!E187*'GIS Heat Input'!$H33</f>
        <v>0</v>
      </c>
      <c r="F199" s="560">
        <f>GIS!F187*'GIS Heat Input'!$H33</f>
        <v>0</v>
      </c>
      <c r="G199" s="560">
        <f>GIS!G187*'GIS Heat Input'!$H33</f>
        <v>0</v>
      </c>
    </row>
    <row r="200" spans="1:7" x14ac:dyDescent="0.4">
      <c r="A200" s="122" t="s">
        <v>4034</v>
      </c>
      <c r="B200" s="560">
        <f>GIS!$B188*'GIS Heat Input'!$H34</f>
        <v>0</v>
      </c>
      <c r="C200" s="560">
        <f>GIS!$C188*'GIS Heat Input'!$H34</f>
        <v>0</v>
      </c>
      <c r="D200" s="560">
        <f>GIS!D188*'GIS Heat Input'!$H34</f>
        <v>0</v>
      </c>
      <c r="E200" s="560">
        <f>GIS!E188*'GIS Heat Input'!$H34</f>
        <v>0</v>
      </c>
      <c r="F200" s="560">
        <f>GIS!F188*'GIS Heat Input'!$H34</f>
        <v>0</v>
      </c>
      <c r="G200" s="560">
        <f>GIS!G188*'GIS Heat Input'!$H34</f>
        <v>0</v>
      </c>
    </row>
    <row r="201" spans="1:7" x14ac:dyDescent="0.4">
      <c r="A201" s="122" t="s">
        <v>4035</v>
      </c>
      <c r="B201" s="560">
        <f>GIS!$B189*'GIS Heat Input'!$H35</f>
        <v>0</v>
      </c>
      <c r="C201" s="560">
        <f>GIS!$C189*'GIS Heat Input'!$H35</f>
        <v>0</v>
      </c>
      <c r="D201" s="560">
        <f>GIS!D189*'GIS Heat Input'!$H35</f>
        <v>0</v>
      </c>
      <c r="E201" s="560">
        <f>GIS!E189*'GIS Heat Input'!$H35</f>
        <v>0</v>
      </c>
      <c r="F201" s="560">
        <f>GIS!F189*'GIS Heat Input'!$H35</f>
        <v>0</v>
      </c>
      <c r="G201" s="560">
        <f>GIS!G189*'GIS Heat Input'!$H35</f>
        <v>0</v>
      </c>
    </row>
    <row r="202" spans="1:7" x14ac:dyDescent="0.4">
      <c r="A202" s="121" t="s">
        <v>4036</v>
      </c>
      <c r="B202" s="560">
        <f>GIS!$B190*'GIS Heat Input'!$H36</f>
        <v>0</v>
      </c>
      <c r="C202" s="560">
        <f>GIS!$C190*'GIS Heat Input'!$H36</f>
        <v>0</v>
      </c>
      <c r="D202" s="560">
        <f>GIS!D190*'GIS Heat Input'!$H36</f>
        <v>0</v>
      </c>
      <c r="E202" s="560">
        <f>GIS!E190*'GIS Heat Input'!$H36</f>
        <v>0</v>
      </c>
      <c r="F202" s="560">
        <f>GIS!F190*'GIS Heat Input'!$H36</f>
        <v>0</v>
      </c>
      <c r="G202" s="560">
        <f>GIS!G190*'GIS Heat Input'!$H36</f>
        <v>0</v>
      </c>
    </row>
    <row r="203" spans="1:7" x14ac:dyDescent="0.4">
      <c r="A203" s="121" t="s">
        <v>4037</v>
      </c>
      <c r="B203" s="560">
        <f>GIS!$B191*'GIS Heat Input'!$H37</f>
        <v>3381696.7958593527</v>
      </c>
      <c r="C203" s="560">
        <f>GIS!$C191*'GIS Heat Input'!$H37</f>
        <v>1745448.0781756383</v>
      </c>
      <c r="D203" s="560">
        <f>GIS!D191*'GIS Heat Input'!$H37</f>
        <v>33699.403904170947</v>
      </c>
      <c r="E203" s="560">
        <f>GIS!E191*'GIS Heat Input'!$H37</f>
        <v>363818.35204397549</v>
      </c>
      <c r="F203" s="560">
        <f>GIS!F191*'GIS Heat Input'!$H37</f>
        <v>70160.302653940409</v>
      </c>
      <c r="G203" s="560">
        <f>GIS!G191*'GIS Heat Input'!$H37</f>
        <v>0</v>
      </c>
    </row>
    <row r="204" spans="1:7" x14ac:dyDescent="0.4">
      <c r="A204" s="121" t="s">
        <v>4038</v>
      </c>
      <c r="B204" s="560">
        <f>GIS!$B192*'GIS Heat Input'!$H38</f>
        <v>0</v>
      </c>
      <c r="C204" s="560">
        <f>GIS!$C192*'GIS Heat Input'!$H38</f>
        <v>0</v>
      </c>
      <c r="D204" s="560">
        <f>GIS!D192*'GIS Heat Input'!$H38</f>
        <v>0</v>
      </c>
      <c r="E204" s="560">
        <f>GIS!E192*'GIS Heat Input'!$H38</f>
        <v>0</v>
      </c>
      <c r="F204" s="560">
        <f>GIS!F192*'GIS Heat Input'!$H38</f>
        <v>0</v>
      </c>
      <c r="G204" s="560">
        <f>GIS!G192*'GIS Heat Input'!$H38</f>
        <v>0</v>
      </c>
    </row>
    <row r="205" spans="1:7" x14ac:dyDescent="0.4">
      <c r="A205" s="121" t="s">
        <v>4039</v>
      </c>
      <c r="B205" s="560">
        <f>GIS!$B193*'GIS Heat Input'!$H39</f>
        <v>0</v>
      </c>
      <c r="C205" s="560">
        <f>GIS!$C193*'GIS Heat Input'!$H39</f>
        <v>0</v>
      </c>
      <c r="D205" s="560">
        <f>GIS!D193*'GIS Heat Input'!$H39</f>
        <v>0</v>
      </c>
      <c r="E205" s="560">
        <f>GIS!E193*'GIS Heat Input'!$H39</f>
        <v>0</v>
      </c>
      <c r="F205" s="560">
        <f>GIS!F193*'GIS Heat Input'!$H39</f>
        <v>0</v>
      </c>
      <c r="G205" s="560">
        <f>GIS!G193*'GIS Heat Input'!$H39</f>
        <v>0</v>
      </c>
    </row>
    <row r="206" spans="1:7" x14ac:dyDescent="0.4">
      <c r="A206" s="121" t="s">
        <v>4040</v>
      </c>
      <c r="B206" s="560">
        <f>GIS!$B194*'GIS Heat Input'!$H40</f>
        <v>0</v>
      </c>
      <c r="C206" s="560">
        <f>GIS!$C194*'GIS Heat Input'!$H40</f>
        <v>0</v>
      </c>
      <c r="D206" s="560">
        <f>GIS!D194*'GIS Heat Input'!$H40</f>
        <v>0</v>
      </c>
      <c r="E206" s="560">
        <f>GIS!E194*'GIS Heat Input'!$H40</f>
        <v>0</v>
      </c>
      <c r="F206" s="560">
        <f>GIS!F194*'GIS Heat Input'!$H40</f>
        <v>0</v>
      </c>
      <c r="G206" s="560">
        <f>GIS!G194*'GIS Heat Input'!$H40</f>
        <v>0</v>
      </c>
    </row>
    <row r="207" spans="1:7" x14ac:dyDescent="0.4">
      <c r="A207" s="121" t="s">
        <v>4041</v>
      </c>
      <c r="B207" s="560">
        <f>GIS!$B195*'GIS Heat Input'!$H41</f>
        <v>0</v>
      </c>
      <c r="C207" s="560">
        <f>GIS!$C195*'GIS Heat Input'!$H41</f>
        <v>0</v>
      </c>
      <c r="D207" s="560">
        <f>GIS!D195*'GIS Heat Input'!$H41</f>
        <v>0</v>
      </c>
      <c r="E207" s="560">
        <f>GIS!E195*'GIS Heat Input'!$H41</f>
        <v>0</v>
      </c>
      <c r="F207" s="560">
        <f>GIS!F195*'GIS Heat Input'!$H41</f>
        <v>0</v>
      </c>
      <c r="G207" s="560">
        <f>GIS!G195*'GIS Heat Input'!$H41</f>
        <v>0</v>
      </c>
    </row>
    <row r="208" spans="1:7" x14ac:dyDescent="0.4">
      <c r="A208" s="122" t="s">
        <v>4042</v>
      </c>
      <c r="B208" s="560">
        <f>GIS!$B196*'GIS Heat Input'!$H42</f>
        <v>0</v>
      </c>
      <c r="C208" s="560">
        <f>GIS!$C196*'GIS Heat Input'!$H42</f>
        <v>0</v>
      </c>
      <c r="D208" s="560">
        <f>GIS!D196*'GIS Heat Input'!$H42</f>
        <v>0</v>
      </c>
      <c r="E208" s="560">
        <f>GIS!E196*'GIS Heat Input'!$H42</f>
        <v>0</v>
      </c>
      <c r="F208" s="560">
        <f>GIS!F196*'GIS Heat Input'!$H42</f>
        <v>0</v>
      </c>
      <c r="G208" s="560">
        <f>GIS!G196*'GIS Heat Input'!$H42</f>
        <v>0</v>
      </c>
    </row>
    <row r="209" spans="1:13" x14ac:dyDescent="0.4">
      <c r="A209" s="121" t="s">
        <v>4043</v>
      </c>
      <c r="B209" s="560">
        <f>GIS!$B197*'GIS Heat Input'!$H43</f>
        <v>0</v>
      </c>
      <c r="C209" s="560">
        <f>GIS!$C197*'GIS Heat Input'!$H43</f>
        <v>0</v>
      </c>
      <c r="D209" s="560">
        <f>GIS!D197*'GIS Heat Input'!$H43</f>
        <v>0</v>
      </c>
      <c r="E209" s="560">
        <f>GIS!E197*'GIS Heat Input'!$H43</f>
        <v>0</v>
      </c>
      <c r="F209" s="560">
        <f>GIS!F197*'GIS Heat Input'!$H43</f>
        <v>0</v>
      </c>
      <c r="G209" s="560">
        <f>GIS!G197*'GIS Heat Input'!$H43</f>
        <v>0</v>
      </c>
    </row>
    <row r="210" spans="1:13" x14ac:dyDescent="0.4">
      <c r="A210" s="121" t="s">
        <v>4044</v>
      </c>
      <c r="B210" s="560">
        <f>GIS!$B198*'GIS Heat Input'!$H44</f>
        <v>0</v>
      </c>
      <c r="C210" s="560">
        <f>GIS!$C198*'GIS Heat Input'!$H44</f>
        <v>0</v>
      </c>
      <c r="D210" s="560">
        <f>GIS!D198*'GIS Heat Input'!$H44</f>
        <v>0</v>
      </c>
      <c r="E210" s="560">
        <f>GIS!E198*'GIS Heat Input'!$H44</f>
        <v>0</v>
      </c>
      <c r="F210" s="560">
        <f>GIS!F198*'GIS Heat Input'!$H44</f>
        <v>0</v>
      </c>
      <c r="G210" s="560">
        <f>GIS!G198*'GIS Heat Input'!$H44</f>
        <v>0</v>
      </c>
    </row>
    <row r="211" spans="1:13" x14ac:dyDescent="0.4">
      <c r="A211" s="320" t="s">
        <v>4045</v>
      </c>
      <c r="B211" s="560">
        <f>GIS!$B199*'GIS Heat Input'!$H45</f>
        <v>0</v>
      </c>
      <c r="C211" s="560">
        <f>GIS!$C199*'GIS Heat Input'!$H45</f>
        <v>0</v>
      </c>
      <c r="D211" s="560">
        <f>GIS!D199*'GIS Heat Input'!$H45</f>
        <v>0</v>
      </c>
      <c r="E211" s="560">
        <f>GIS!E199*'GIS Heat Input'!$H45</f>
        <v>0</v>
      </c>
      <c r="F211" s="560">
        <f>GIS!F199*'GIS Heat Input'!$H45</f>
        <v>0</v>
      </c>
      <c r="G211" s="560">
        <f>GIS!G199*'GIS Heat Input'!$H45</f>
        <v>0</v>
      </c>
    </row>
    <row r="212" spans="1:13" x14ac:dyDescent="0.4">
      <c r="A212" s="458" t="s">
        <v>11</v>
      </c>
      <c r="B212" s="321"/>
      <c r="C212" s="321"/>
      <c r="D212" s="321">
        <f>GIS!D201*'GIS Heat Input'!$H47</f>
        <v>0</v>
      </c>
      <c r="E212" s="321">
        <f>GIS!E201*'GIS Heat Input'!$H47</f>
        <v>0</v>
      </c>
      <c r="F212" s="319">
        <f>GIS!F201*'GIS Heat Input'!$H47</f>
        <v>0</v>
      </c>
    </row>
    <row r="214" spans="1:13" s="4" customFormat="1" x14ac:dyDescent="0.4">
      <c r="A214" s="4" t="s">
        <v>4105</v>
      </c>
      <c r="B214" s="3"/>
      <c r="C214" s="3"/>
      <c r="D214" s="3"/>
      <c r="E214" s="3"/>
      <c r="F214" s="3"/>
      <c r="G214" s="3"/>
      <c r="H214" s="3"/>
      <c r="I214" s="3"/>
      <c r="J214" s="3"/>
      <c r="K214" s="3"/>
      <c r="L214" s="3"/>
      <c r="M214" s="3"/>
    </row>
    <row r="215" spans="1:13" x14ac:dyDescent="0.4">
      <c r="A215" s="406" t="s">
        <v>4080</v>
      </c>
      <c r="B215" s="415" t="s">
        <v>4099</v>
      </c>
      <c r="C215" s="415" t="s">
        <v>4100</v>
      </c>
      <c r="D215" s="415" t="s">
        <v>4101</v>
      </c>
      <c r="E215" s="415" t="s">
        <v>4102</v>
      </c>
      <c r="F215" s="415" t="s">
        <v>4103</v>
      </c>
      <c r="G215" s="415" t="s">
        <v>4104</v>
      </c>
    </row>
    <row r="216" spans="1:13" x14ac:dyDescent="0.4">
      <c r="A216" s="342" t="s">
        <v>4028</v>
      </c>
      <c r="B216" s="560">
        <f>GIS!$E206*'GIS Heat Input'!$I28</f>
        <v>0</v>
      </c>
      <c r="C216" s="560">
        <f>GIS!$I206*'GIS Heat Input'!$I28</f>
        <v>0</v>
      </c>
      <c r="D216" s="560">
        <f>GIS!M206*'GIS Heat Input'!$I28</f>
        <v>0</v>
      </c>
      <c r="E216" s="560">
        <f>GIS!Q206*'GIS Heat Input'!$I28</f>
        <v>0</v>
      </c>
      <c r="F216" s="560">
        <f>GIS!U206*'GIS Heat Input'!$I28</f>
        <v>0</v>
      </c>
      <c r="G216" s="560">
        <f>GIS!Y206*'GIS Heat Input'!$I28</f>
        <v>0</v>
      </c>
    </row>
    <row r="217" spans="1:13" x14ac:dyDescent="0.4">
      <c r="A217" s="121" t="s">
        <v>4029</v>
      </c>
      <c r="B217" s="560">
        <f>GIS!$E207*'GIS Heat Input'!$I29</f>
        <v>0</v>
      </c>
      <c r="C217" s="560">
        <f>GIS!$I207*'GIS Heat Input'!$I29</f>
        <v>0</v>
      </c>
      <c r="D217" s="560">
        <f>GIS!M207*'GIS Heat Input'!$I29</f>
        <v>0</v>
      </c>
      <c r="E217" s="560">
        <f>GIS!Q207*'GIS Heat Input'!$I29</f>
        <v>0</v>
      </c>
      <c r="F217" s="560">
        <f>GIS!U207*'GIS Heat Input'!$I29</f>
        <v>0</v>
      </c>
      <c r="G217" s="560">
        <f>GIS!Y207*'GIS Heat Input'!$I29</f>
        <v>0</v>
      </c>
    </row>
    <row r="218" spans="1:13" x14ac:dyDescent="0.4">
      <c r="A218" s="121" t="s">
        <v>4030</v>
      </c>
      <c r="B218" s="560">
        <f>GIS!$E208*'GIS Heat Input'!$I30</f>
        <v>0</v>
      </c>
      <c r="C218" s="560">
        <f>GIS!$I208*'GIS Heat Input'!$I30</f>
        <v>0</v>
      </c>
      <c r="D218" s="560">
        <f>GIS!M208*'GIS Heat Input'!$I30</f>
        <v>0</v>
      </c>
      <c r="E218" s="560">
        <f>GIS!Q208*'GIS Heat Input'!$I30</f>
        <v>0</v>
      </c>
      <c r="F218" s="560">
        <f>GIS!U208*'GIS Heat Input'!$I30</f>
        <v>0</v>
      </c>
      <c r="G218" s="560">
        <f>GIS!Y208*'GIS Heat Input'!$I30</f>
        <v>0</v>
      </c>
    </row>
    <row r="219" spans="1:13" x14ac:dyDescent="0.4">
      <c r="A219" s="121" t="s">
        <v>4031</v>
      </c>
      <c r="B219" s="560">
        <f>GIS!$E209*'GIS Heat Input'!$I31</f>
        <v>0</v>
      </c>
      <c r="C219" s="560">
        <f>GIS!$I209*'GIS Heat Input'!$I31</f>
        <v>0</v>
      </c>
      <c r="D219" s="560">
        <f>GIS!M209*'GIS Heat Input'!$I31</f>
        <v>0</v>
      </c>
      <c r="E219" s="560">
        <f>GIS!Q209*'GIS Heat Input'!$I31</f>
        <v>0</v>
      </c>
      <c r="F219" s="560">
        <f>GIS!U209*'GIS Heat Input'!$I31</f>
        <v>0</v>
      </c>
      <c r="G219" s="560">
        <f>GIS!Y209*'GIS Heat Input'!$I31</f>
        <v>0</v>
      </c>
    </row>
    <row r="220" spans="1:13" x14ac:dyDescent="0.4">
      <c r="A220" s="121" t="s">
        <v>4032</v>
      </c>
      <c r="B220" s="560">
        <f>GIS!$E210*'GIS Heat Input'!$I32</f>
        <v>0</v>
      </c>
      <c r="C220" s="560">
        <f>GIS!$I210*'GIS Heat Input'!$I32</f>
        <v>0</v>
      </c>
      <c r="D220" s="560">
        <f>GIS!M210*'GIS Heat Input'!$I32</f>
        <v>0</v>
      </c>
      <c r="E220" s="560">
        <f>GIS!Q210*'GIS Heat Input'!$I32</f>
        <v>0</v>
      </c>
      <c r="F220" s="560">
        <f>GIS!U210*'GIS Heat Input'!$I32</f>
        <v>0</v>
      </c>
      <c r="G220" s="560">
        <f>GIS!Y210*'GIS Heat Input'!$I32</f>
        <v>0</v>
      </c>
    </row>
    <row r="221" spans="1:13" x14ac:dyDescent="0.4">
      <c r="A221" s="121" t="s">
        <v>4033</v>
      </c>
      <c r="B221" s="560">
        <f>GIS!$E211*'GIS Heat Input'!$I33</f>
        <v>0</v>
      </c>
      <c r="C221" s="560">
        <f>GIS!$I211*'GIS Heat Input'!$I33</f>
        <v>0</v>
      </c>
      <c r="D221" s="560">
        <f>GIS!M211*'GIS Heat Input'!$I33</f>
        <v>0</v>
      </c>
      <c r="E221" s="560">
        <f>GIS!Q211*'GIS Heat Input'!$I33</f>
        <v>0</v>
      </c>
      <c r="F221" s="560">
        <f>GIS!U211*'GIS Heat Input'!$I33</f>
        <v>0</v>
      </c>
      <c r="G221" s="560">
        <f>GIS!Y211*'GIS Heat Input'!$I33</f>
        <v>0</v>
      </c>
    </row>
    <row r="222" spans="1:13" x14ac:dyDescent="0.4">
      <c r="A222" s="122" t="s">
        <v>4034</v>
      </c>
      <c r="B222" s="560">
        <f>GIS!$E212*'GIS Heat Input'!$I34</f>
        <v>0</v>
      </c>
      <c r="C222" s="560">
        <f>GIS!$I212*'GIS Heat Input'!$I34</f>
        <v>0</v>
      </c>
      <c r="D222" s="560">
        <f>GIS!M212*'GIS Heat Input'!$I34</f>
        <v>0</v>
      </c>
      <c r="E222" s="560">
        <f>GIS!Q212*'GIS Heat Input'!$I34</f>
        <v>0</v>
      </c>
      <c r="F222" s="560">
        <f>GIS!U212*'GIS Heat Input'!$I34</f>
        <v>0</v>
      </c>
      <c r="G222" s="560">
        <f>GIS!Y212*'GIS Heat Input'!$I34</f>
        <v>0</v>
      </c>
    </row>
    <row r="223" spans="1:13" x14ac:dyDescent="0.4">
      <c r="A223" s="122" t="s">
        <v>4035</v>
      </c>
      <c r="B223" s="560">
        <f>GIS!$E213*'GIS Heat Input'!$I35</f>
        <v>0</v>
      </c>
      <c r="C223" s="560">
        <f>GIS!$I213*'GIS Heat Input'!$I35</f>
        <v>0</v>
      </c>
      <c r="D223" s="560">
        <f>GIS!M213*'GIS Heat Input'!$I35</f>
        <v>0</v>
      </c>
      <c r="E223" s="560">
        <f>GIS!Q213*'GIS Heat Input'!$I35</f>
        <v>0</v>
      </c>
      <c r="F223" s="560">
        <f>GIS!U213*'GIS Heat Input'!$I35</f>
        <v>0</v>
      </c>
      <c r="G223" s="560">
        <f>GIS!Y213*'GIS Heat Input'!$I35</f>
        <v>0</v>
      </c>
    </row>
    <row r="224" spans="1:13" x14ac:dyDescent="0.4">
      <c r="A224" s="121" t="s">
        <v>4036</v>
      </c>
      <c r="B224" s="560">
        <f>GIS!$E214*'GIS Heat Input'!$I36</f>
        <v>0</v>
      </c>
      <c r="C224" s="560">
        <f>GIS!$I214*'GIS Heat Input'!$I36</f>
        <v>0</v>
      </c>
      <c r="D224" s="560">
        <f>GIS!M214*'GIS Heat Input'!$I36</f>
        <v>0</v>
      </c>
      <c r="E224" s="560">
        <f>GIS!Q214*'GIS Heat Input'!$I36</f>
        <v>0</v>
      </c>
      <c r="F224" s="560">
        <f>GIS!U214*'GIS Heat Input'!$I36</f>
        <v>0</v>
      </c>
      <c r="G224" s="560">
        <f>GIS!Y214*'GIS Heat Input'!$I36</f>
        <v>0</v>
      </c>
    </row>
    <row r="225" spans="1:13" x14ac:dyDescent="0.4">
      <c r="A225" s="121" t="s">
        <v>4037</v>
      </c>
      <c r="B225" s="560">
        <f>GIS!$E215*'GIS Heat Input'!$I37</f>
        <v>0</v>
      </c>
      <c r="C225" s="560">
        <f>GIS!$I215*'GIS Heat Input'!$I37</f>
        <v>0</v>
      </c>
      <c r="D225" s="560">
        <f>GIS!M215*'GIS Heat Input'!$I37</f>
        <v>0</v>
      </c>
      <c r="E225" s="560">
        <f>GIS!Q215*'GIS Heat Input'!$I37</f>
        <v>0</v>
      </c>
      <c r="F225" s="560">
        <f>GIS!U215*'GIS Heat Input'!$I37</f>
        <v>0</v>
      </c>
      <c r="G225" s="560">
        <f>GIS!Y215*'GIS Heat Input'!$I37</f>
        <v>0</v>
      </c>
    </row>
    <row r="226" spans="1:13" x14ac:dyDescent="0.4">
      <c r="A226" s="121" t="s">
        <v>4038</v>
      </c>
      <c r="B226" s="560">
        <f>GIS!$E216*'GIS Heat Input'!$I38</f>
        <v>0</v>
      </c>
      <c r="C226" s="560">
        <f>GIS!$I216*'GIS Heat Input'!$I38</f>
        <v>0</v>
      </c>
      <c r="D226" s="560">
        <f>GIS!M216*'GIS Heat Input'!$I38</f>
        <v>0</v>
      </c>
      <c r="E226" s="560">
        <f>GIS!Q216*'GIS Heat Input'!$I38</f>
        <v>0</v>
      </c>
      <c r="F226" s="560">
        <f>GIS!U216*'GIS Heat Input'!$I38</f>
        <v>0</v>
      </c>
      <c r="G226" s="560">
        <f>GIS!Y216*'GIS Heat Input'!$I38</f>
        <v>0</v>
      </c>
    </row>
    <row r="227" spans="1:13" x14ac:dyDescent="0.4">
      <c r="A227" s="121" t="s">
        <v>4039</v>
      </c>
      <c r="B227" s="560">
        <f>GIS!$E217*'GIS Heat Input'!$I39</f>
        <v>0</v>
      </c>
      <c r="C227" s="560">
        <f>GIS!$I217*'GIS Heat Input'!$I39</f>
        <v>0</v>
      </c>
      <c r="D227" s="560">
        <f>GIS!M217*'GIS Heat Input'!$I39</f>
        <v>0</v>
      </c>
      <c r="E227" s="560">
        <f>GIS!Q217*'GIS Heat Input'!$I39</f>
        <v>0</v>
      </c>
      <c r="F227" s="560">
        <f>GIS!U217*'GIS Heat Input'!$I39</f>
        <v>0</v>
      </c>
      <c r="G227" s="560">
        <f>GIS!Y217*'GIS Heat Input'!$I39</f>
        <v>0</v>
      </c>
    </row>
    <row r="228" spans="1:13" x14ac:dyDescent="0.4">
      <c r="A228" s="121" t="s">
        <v>4040</v>
      </c>
      <c r="B228" s="560">
        <f>GIS!$E218*'GIS Heat Input'!$I40</f>
        <v>0</v>
      </c>
      <c r="C228" s="560">
        <f>GIS!$I218*'GIS Heat Input'!$I40</f>
        <v>0</v>
      </c>
      <c r="D228" s="560">
        <f>GIS!M218*'GIS Heat Input'!$I40</f>
        <v>0</v>
      </c>
      <c r="E228" s="560">
        <f>GIS!Q218*'GIS Heat Input'!$I40</f>
        <v>0</v>
      </c>
      <c r="F228" s="560">
        <f>GIS!U218*'GIS Heat Input'!$I40</f>
        <v>0</v>
      </c>
      <c r="G228" s="560">
        <f>GIS!Y218*'GIS Heat Input'!$I40</f>
        <v>0</v>
      </c>
    </row>
    <row r="229" spans="1:13" x14ac:dyDescent="0.4">
      <c r="A229" s="121" t="s">
        <v>4041</v>
      </c>
      <c r="B229" s="560">
        <f>GIS!$E219*'GIS Heat Input'!$I41</f>
        <v>0</v>
      </c>
      <c r="C229" s="560">
        <f>GIS!$I219*'GIS Heat Input'!$I41</f>
        <v>0</v>
      </c>
      <c r="D229" s="560">
        <f>GIS!M219*'GIS Heat Input'!$I41</f>
        <v>0</v>
      </c>
      <c r="E229" s="560">
        <f>GIS!Q219*'GIS Heat Input'!$I41</f>
        <v>0</v>
      </c>
      <c r="F229" s="560">
        <f>GIS!U219*'GIS Heat Input'!$I41</f>
        <v>0</v>
      </c>
      <c r="G229" s="560">
        <f>GIS!Y219*'GIS Heat Input'!$I41</f>
        <v>0</v>
      </c>
    </row>
    <row r="230" spans="1:13" x14ac:dyDescent="0.4">
      <c r="A230" s="122" t="s">
        <v>4042</v>
      </c>
      <c r="B230" s="560">
        <f>GIS!$E220*'GIS Heat Input'!$I42</f>
        <v>0</v>
      </c>
      <c r="C230" s="560">
        <f>GIS!$I220*'GIS Heat Input'!$I42</f>
        <v>0</v>
      </c>
      <c r="D230" s="560">
        <f>GIS!M220*'GIS Heat Input'!$I42</f>
        <v>0</v>
      </c>
      <c r="E230" s="560">
        <f>GIS!Q220*'GIS Heat Input'!$I42</f>
        <v>0</v>
      </c>
      <c r="F230" s="560">
        <f>GIS!U220*'GIS Heat Input'!$I42</f>
        <v>0</v>
      </c>
      <c r="G230" s="560">
        <f>GIS!Y220*'GIS Heat Input'!$I42</f>
        <v>0</v>
      </c>
    </row>
    <row r="231" spans="1:13" x14ac:dyDescent="0.4">
      <c r="A231" s="121" t="s">
        <v>4043</v>
      </c>
      <c r="B231" s="560">
        <f>GIS!$E221*'GIS Heat Input'!$I43</f>
        <v>0</v>
      </c>
      <c r="C231" s="560">
        <f>GIS!$I221*'GIS Heat Input'!$I43</f>
        <v>0</v>
      </c>
      <c r="D231" s="560">
        <f>GIS!M221*'GIS Heat Input'!$I43</f>
        <v>0</v>
      </c>
      <c r="E231" s="560">
        <f>GIS!Q221*'GIS Heat Input'!$I43</f>
        <v>0</v>
      </c>
      <c r="F231" s="560">
        <f>GIS!U221*'GIS Heat Input'!$I43</f>
        <v>0</v>
      </c>
      <c r="G231" s="560">
        <f>GIS!Y221*'GIS Heat Input'!$I43</f>
        <v>0</v>
      </c>
    </row>
    <row r="232" spans="1:13" x14ac:dyDescent="0.4">
      <c r="A232" s="121" t="s">
        <v>4044</v>
      </c>
      <c r="B232" s="560">
        <f>GIS!$E222*'GIS Heat Input'!$I44</f>
        <v>0</v>
      </c>
      <c r="C232" s="560">
        <f>GIS!$I222*'GIS Heat Input'!$I44</f>
        <v>0</v>
      </c>
      <c r="D232" s="560">
        <f>GIS!M222*'GIS Heat Input'!$I44</f>
        <v>0</v>
      </c>
      <c r="E232" s="560">
        <f>GIS!Q222*'GIS Heat Input'!$I44</f>
        <v>0</v>
      </c>
      <c r="F232" s="560">
        <f>GIS!U222*'GIS Heat Input'!$I44</f>
        <v>0</v>
      </c>
      <c r="G232" s="560">
        <f>GIS!Y222*'GIS Heat Input'!$I44</f>
        <v>0</v>
      </c>
    </row>
    <row r="233" spans="1:13" x14ac:dyDescent="0.4">
      <c r="A233" s="320" t="s">
        <v>4045</v>
      </c>
      <c r="B233" s="560">
        <f>GIS!$E223*'GIS Heat Input'!$I45</f>
        <v>0</v>
      </c>
      <c r="C233" s="560">
        <f>GIS!$I223*'GIS Heat Input'!$I45</f>
        <v>0</v>
      </c>
      <c r="D233" s="560">
        <f>GIS!M223*'GIS Heat Input'!$I45</f>
        <v>0</v>
      </c>
      <c r="E233" s="560">
        <f>GIS!Q223*'GIS Heat Input'!$I45</f>
        <v>0</v>
      </c>
      <c r="F233" s="560">
        <f>GIS!U223*'GIS Heat Input'!$I45</f>
        <v>0</v>
      </c>
      <c r="G233" s="560">
        <f>GIS!Y223*'GIS Heat Input'!$I45</f>
        <v>0</v>
      </c>
    </row>
    <row r="234" spans="1:13" x14ac:dyDescent="0.4">
      <c r="A234" s="458" t="s">
        <v>11</v>
      </c>
      <c r="B234" s="321"/>
      <c r="C234" s="321"/>
      <c r="E234" s="321"/>
      <c r="F234" s="561"/>
    </row>
    <row r="235" spans="1:13" s="4" customFormat="1" x14ac:dyDescent="0.4">
      <c r="A235" s="3"/>
      <c r="B235" s="3"/>
      <c r="C235" s="412"/>
      <c r="D235" s="3"/>
      <c r="E235" s="47"/>
      <c r="F235" s="3"/>
      <c r="G235" s="3"/>
      <c r="H235" s="3"/>
      <c r="I235" s="3"/>
      <c r="J235" s="3"/>
      <c r="K235" s="3"/>
      <c r="L235" s="3"/>
      <c r="M235" s="319"/>
    </row>
    <row r="236" spans="1:13" x14ac:dyDescent="0.4">
      <c r="A236" s="4" t="s">
        <v>4106</v>
      </c>
    </row>
    <row r="237" spans="1:13" x14ac:dyDescent="0.4">
      <c r="A237" s="406" t="s">
        <v>4080</v>
      </c>
      <c r="B237" s="415" t="s">
        <v>4099</v>
      </c>
      <c r="C237" s="415" t="s">
        <v>4100</v>
      </c>
      <c r="D237" s="415" t="s">
        <v>4101</v>
      </c>
      <c r="E237" s="415" t="s">
        <v>4102</v>
      </c>
      <c r="F237" s="415" t="s">
        <v>4103</v>
      </c>
      <c r="G237" s="415" t="s">
        <v>4104</v>
      </c>
      <c r="M237" s="319"/>
    </row>
    <row r="238" spans="1:13" x14ac:dyDescent="0.4">
      <c r="A238" s="342" t="s">
        <v>4028</v>
      </c>
      <c r="B238" s="560">
        <f>GIS!$E230*'GIS Heat Input'!$J28</f>
        <v>0</v>
      </c>
      <c r="C238" s="560">
        <f>GIS!$I230*'GIS Heat Input'!$J28</f>
        <v>0</v>
      </c>
      <c r="D238" s="560">
        <f>GIS!ABJ230*'GIS Heat Input'!$J28</f>
        <v>0</v>
      </c>
      <c r="E238" s="560">
        <f>GIS!Q230*'GIS Heat Input'!$J28</f>
        <v>0</v>
      </c>
      <c r="F238" s="560">
        <f>GIS!U230*'GIS Heat Input'!$J28</f>
        <v>0</v>
      </c>
      <c r="G238" s="560">
        <f>GIS!Y230*'GIS Heat Input'!$J28</f>
        <v>0</v>
      </c>
    </row>
    <row r="239" spans="1:13" x14ac:dyDescent="0.4">
      <c r="A239" s="121" t="s">
        <v>4029</v>
      </c>
      <c r="B239" s="560">
        <f>GIS!$E231*'GIS Heat Input'!$J29</f>
        <v>940749.21815552283</v>
      </c>
      <c r="C239" s="560">
        <f>GIS!$I231*'GIS Heat Input'!$J29</f>
        <v>0</v>
      </c>
      <c r="D239" s="560">
        <f>GIS!M231*'GIS Heat Input'!$J29</f>
        <v>563799.44467428047</v>
      </c>
      <c r="E239" s="560">
        <f>GIS!Q231*'GIS Heat Input'!$J29</f>
        <v>0</v>
      </c>
      <c r="F239" s="560">
        <f>GIS!U231*'GIS Heat Input'!$J29</f>
        <v>0</v>
      </c>
      <c r="G239" s="560">
        <f>GIS!Y231*'GIS Heat Input'!$J29</f>
        <v>0</v>
      </c>
      <c r="M239" s="319"/>
    </row>
    <row r="240" spans="1:13" x14ac:dyDescent="0.4">
      <c r="A240" s="121" t="s">
        <v>4030</v>
      </c>
      <c r="B240" s="560">
        <f>GIS!$E232*'GIS Heat Input'!$J30</f>
        <v>0</v>
      </c>
      <c r="C240" s="560">
        <f>GIS!$I232*'GIS Heat Input'!$J30</f>
        <v>0</v>
      </c>
      <c r="D240" s="560">
        <f>GIS!M232*'GIS Heat Input'!$J30</f>
        <v>0</v>
      </c>
      <c r="E240" s="560">
        <f>GIS!Q232*'GIS Heat Input'!$J30</f>
        <v>0</v>
      </c>
      <c r="F240" s="560">
        <f>GIS!U232*'GIS Heat Input'!$J30</f>
        <v>0</v>
      </c>
      <c r="G240" s="560">
        <f>GIS!Y232*'GIS Heat Input'!$J30</f>
        <v>0</v>
      </c>
    </row>
    <row r="241" spans="1:13" x14ac:dyDescent="0.4">
      <c r="A241" s="121" t="s">
        <v>4031</v>
      </c>
      <c r="B241" s="560">
        <f>GIS!$E233*'GIS Heat Input'!$J31</f>
        <v>0</v>
      </c>
      <c r="C241" s="560">
        <f>GIS!$I233*'GIS Heat Input'!$J31</f>
        <v>0</v>
      </c>
      <c r="D241" s="560">
        <f>GIS!M233*'GIS Heat Input'!$J31</f>
        <v>0</v>
      </c>
      <c r="E241" s="560">
        <f>GIS!Q233*'GIS Heat Input'!$J31</f>
        <v>0</v>
      </c>
      <c r="F241" s="560">
        <f>GIS!U233*'GIS Heat Input'!$J31</f>
        <v>0</v>
      </c>
      <c r="G241" s="560">
        <f>GIS!Y233*'GIS Heat Input'!$J31</f>
        <v>0</v>
      </c>
      <c r="M241" s="319"/>
    </row>
    <row r="242" spans="1:13" x14ac:dyDescent="0.4">
      <c r="A242" s="121" t="s">
        <v>4032</v>
      </c>
      <c r="B242" s="560">
        <f>GIS!$E234*'GIS Heat Input'!$J32</f>
        <v>0</v>
      </c>
      <c r="C242" s="560">
        <f>GIS!$I234*'GIS Heat Input'!$J32</f>
        <v>0</v>
      </c>
      <c r="D242" s="560">
        <f>GIS!M234*'GIS Heat Input'!$J32</f>
        <v>0</v>
      </c>
      <c r="E242" s="560">
        <f>GIS!Q234*'GIS Heat Input'!$J32</f>
        <v>0</v>
      </c>
      <c r="F242" s="560">
        <f>GIS!U234*'GIS Heat Input'!$J32</f>
        <v>0</v>
      </c>
      <c r="G242" s="560">
        <f>GIS!Y234*'GIS Heat Input'!$J32</f>
        <v>0</v>
      </c>
    </row>
    <row r="243" spans="1:13" x14ac:dyDescent="0.4">
      <c r="A243" s="121" t="s">
        <v>4033</v>
      </c>
      <c r="B243" s="560">
        <f>GIS!$E235*'GIS Heat Input'!$J33</f>
        <v>0</v>
      </c>
      <c r="C243" s="560">
        <f>GIS!$I235*'GIS Heat Input'!$J33</f>
        <v>0</v>
      </c>
      <c r="D243" s="560">
        <f>GIS!M235*'GIS Heat Input'!$J33</f>
        <v>0</v>
      </c>
      <c r="E243" s="560">
        <f>GIS!Q235*'GIS Heat Input'!$J33</f>
        <v>0</v>
      </c>
      <c r="F243" s="560">
        <f>GIS!U235*'GIS Heat Input'!$J33</f>
        <v>0</v>
      </c>
      <c r="G243" s="560">
        <f>GIS!Y235*'GIS Heat Input'!$J33</f>
        <v>0</v>
      </c>
      <c r="M243" s="319"/>
    </row>
    <row r="244" spans="1:13" x14ac:dyDescent="0.4">
      <c r="A244" s="122" t="s">
        <v>4034</v>
      </c>
      <c r="B244" s="560">
        <f>GIS!$E236*'GIS Heat Input'!$J34</f>
        <v>0</v>
      </c>
      <c r="C244" s="560">
        <f>GIS!$I236*'GIS Heat Input'!$J34</f>
        <v>0</v>
      </c>
      <c r="D244" s="560">
        <f>GIS!M236*'GIS Heat Input'!$J34</f>
        <v>0</v>
      </c>
      <c r="E244" s="560">
        <f>GIS!Q236*'GIS Heat Input'!$J34</f>
        <v>0</v>
      </c>
      <c r="F244" s="560">
        <f>GIS!U236*'GIS Heat Input'!$J34</f>
        <v>0</v>
      </c>
      <c r="G244" s="560">
        <f>GIS!Y236*'GIS Heat Input'!$J34</f>
        <v>0</v>
      </c>
    </row>
    <row r="245" spans="1:13" x14ac:dyDescent="0.4">
      <c r="A245" s="122" t="s">
        <v>4035</v>
      </c>
      <c r="B245" s="560">
        <f>GIS!$E237*'GIS Heat Input'!$J35</f>
        <v>0</v>
      </c>
      <c r="C245" s="560">
        <f>GIS!$I237*'GIS Heat Input'!$J35</f>
        <v>0</v>
      </c>
      <c r="D245" s="560">
        <f>GIS!M237*'GIS Heat Input'!$J35</f>
        <v>0</v>
      </c>
      <c r="E245" s="560">
        <f>GIS!Q237*'GIS Heat Input'!$J35</f>
        <v>0</v>
      </c>
      <c r="F245" s="560">
        <f>GIS!U237*'GIS Heat Input'!$J35</f>
        <v>0</v>
      </c>
      <c r="G245" s="560">
        <f>GIS!Y237*'GIS Heat Input'!$J35</f>
        <v>0</v>
      </c>
      <c r="M245" s="319"/>
    </row>
    <row r="246" spans="1:13" x14ac:dyDescent="0.4">
      <c r="A246" s="121" t="s">
        <v>4036</v>
      </c>
      <c r="B246" s="560">
        <f>GIS!$E238*'GIS Heat Input'!$J36</f>
        <v>0</v>
      </c>
      <c r="C246" s="560">
        <f>GIS!$I238*'GIS Heat Input'!$J36</f>
        <v>0</v>
      </c>
      <c r="D246" s="560">
        <f>GIS!M238*'GIS Heat Input'!$J36</f>
        <v>0</v>
      </c>
      <c r="E246" s="560">
        <f>GIS!Q238*'GIS Heat Input'!$J36</f>
        <v>0</v>
      </c>
      <c r="F246" s="560">
        <f>GIS!U238*'GIS Heat Input'!$J36</f>
        <v>0</v>
      </c>
      <c r="G246" s="560">
        <f>GIS!Y238*'GIS Heat Input'!$J36</f>
        <v>0</v>
      </c>
    </row>
    <row r="247" spans="1:13" x14ac:dyDescent="0.4">
      <c r="A247" s="121" t="s">
        <v>4037</v>
      </c>
      <c r="B247" s="560">
        <f>GIS!$E239*'GIS Heat Input'!$J37</f>
        <v>371875.75053055561</v>
      </c>
      <c r="C247" s="560">
        <f>GIS!$I239*'GIS Heat Input'!$J37</f>
        <v>241386.31520339171</v>
      </c>
      <c r="D247" s="560">
        <f>GIS!M239*'GIS Heat Input'!$J37</f>
        <v>0</v>
      </c>
      <c r="E247" s="560">
        <f>GIS!Q239*'GIS Heat Input'!$J37</f>
        <v>0</v>
      </c>
      <c r="F247" s="560">
        <f>GIS!U239*'GIS Heat Input'!$J37</f>
        <v>0</v>
      </c>
      <c r="G247" s="560">
        <f>GIS!Y239*'GIS Heat Input'!$J37</f>
        <v>0</v>
      </c>
      <c r="M247" s="319"/>
    </row>
    <row r="248" spans="1:13" x14ac:dyDescent="0.4">
      <c r="A248" s="121" t="s">
        <v>4038</v>
      </c>
      <c r="B248" s="560">
        <f>GIS!$E240*'GIS Heat Input'!$J38</f>
        <v>0</v>
      </c>
      <c r="C248" s="560">
        <f>GIS!$I240*'GIS Heat Input'!$J38</f>
        <v>0</v>
      </c>
      <c r="D248" s="560">
        <f>GIS!M240*'GIS Heat Input'!$J38</f>
        <v>0</v>
      </c>
      <c r="E248" s="560">
        <f>GIS!Q240*'GIS Heat Input'!$J38</f>
        <v>0</v>
      </c>
      <c r="F248" s="560">
        <f>GIS!U240*'GIS Heat Input'!$J38</f>
        <v>0</v>
      </c>
      <c r="G248" s="560">
        <f>GIS!Y240*'GIS Heat Input'!$J38</f>
        <v>0</v>
      </c>
    </row>
    <row r="249" spans="1:13" x14ac:dyDescent="0.4">
      <c r="A249" s="121" t="s">
        <v>4039</v>
      </c>
      <c r="B249" s="560">
        <f>GIS!$E241*'GIS Heat Input'!$J39</f>
        <v>0</v>
      </c>
      <c r="C249" s="560">
        <f>GIS!$I241*'GIS Heat Input'!$J39</f>
        <v>0</v>
      </c>
      <c r="D249" s="560">
        <f>GIS!M241*'GIS Heat Input'!$J39</f>
        <v>0</v>
      </c>
      <c r="E249" s="560">
        <f>GIS!Q241*'GIS Heat Input'!$J39</f>
        <v>0</v>
      </c>
      <c r="F249" s="560">
        <f>GIS!U241*'GIS Heat Input'!$J39</f>
        <v>0</v>
      </c>
      <c r="G249" s="560">
        <f>GIS!Y241*'GIS Heat Input'!$J39</f>
        <v>0</v>
      </c>
      <c r="M249" s="319"/>
    </row>
    <row r="250" spans="1:13" x14ac:dyDescent="0.4">
      <c r="A250" s="121" t="s">
        <v>4040</v>
      </c>
      <c r="B250" s="560">
        <f>GIS!$E242*'GIS Heat Input'!$J40</f>
        <v>0</v>
      </c>
      <c r="C250" s="560">
        <f>GIS!$I242*'GIS Heat Input'!$J40</f>
        <v>0</v>
      </c>
      <c r="D250" s="560">
        <f>GIS!M242*'GIS Heat Input'!$J40</f>
        <v>0</v>
      </c>
      <c r="E250" s="560">
        <f>GIS!Q242*'GIS Heat Input'!$J40</f>
        <v>0</v>
      </c>
      <c r="F250" s="560">
        <f>GIS!U242*'GIS Heat Input'!$J40</f>
        <v>0</v>
      </c>
      <c r="G250" s="560">
        <f>GIS!Y242*'GIS Heat Input'!$J40</f>
        <v>0</v>
      </c>
    </row>
    <row r="251" spans="1:13" x14ac:dyDescent="0.4">
      <c r="A251" s="121" t="s">
        <v>4041</v>
      </c>
      <c r="B251" s="560">
        <f>GIS!$E243*'GIS Heat Input'!$J41</f>
        <v>0</v>
      </c>
      <c r="C251" s="560">
        <f>GIS!$I243*'GIS Heat Input'!$J41</f>
        <v>0</v>
      </c>
      <c r="D251" s="560">
        <f>GIS!M243*'GIS Heat Input'!$J41</f>
        <v>0</v>
      </c>
      <c r="E251" s="560">
        <f>GIS!Q243*'GIS Heat Input'!$J41</f>
        <v>0</v>
      </c>
      <c r="F251" s="560">
        <f>GIS!U243*'GIS Heat Input'!$J41</f>
        <v>0</v>
      </c>
      <c r="G251" s="560">
        <f>GIS!Y243*'GIS Heat Input'!$J41</f>
        <v>0</v>
      </c>
      <c r="M251" s="319"/>
    </row>
    <row r="252" spans="1:13" x14ac:dyDescent="0.4">
      <c r="A252" s="122" t="s">
        <v>4042</v>
      </c>
      <c r="B252" s="560">
        <f>GIS!$E244*'GIS Heat Input'!$J42</f>
        <v>0</v>
      </c>
      <c r="C252" s="560">
        <f>GIS!$I244*'GIS Heat Input'!$J42</f>
        <v>0</v>
      </c>
      <c r="D252" s="560">
        <f>GIS!M244*'GIS Heat Input'!$J42</f>
        <v>0</v>
      </c>
      <c r="E252" s="560">
        <f>GIS!Q244*'GIS Heat Input'!$J42</f>
        <v>0</v>
      </c>
      <c r="F252" s="560">
        <f>GIS!U244*'GIS Heat Input'!$J42</f>
        <v>0</v>
      </c>
      <c r="G252" s="560">
        <f>GIS!Y244*'GIS Heat Input'!$J42</f>
        <v>0</v>
      </c>
    </row>
    <row r="253" spans="1:13" x14ac:dyDescent="0.4">
      <c r="A253" s="121" t="s">
        <v>4043</v>
      </c>
      <c r="B253" s="560">
        <f>GIS!$E245*'GIS Heat Input'!$J43</f>
        <v>0</v>
      </c>
      <c r="C253" s="560">
        <f>GIS!$I245*'GIS Heat Input'!$J43</f>
        <v>0</v>
      </c>
      <c r="D253" s="560">
        <f>GIS!M245*'GIS Heat Input'!$J43</f>
        <v>0</v>
      </c>
      <c r="E253" s="560">
        <f>GIS!Q245*'GIS Heat Input'!$J43</f>
        <v>0</v>
      </c>
      <c r="F253" s="560">
        <f>GIS!U245*'GIS Heat Input'!$J43</f>
        <v>0</v>
      </c>
      <c r="G253" s="560">
        <f>GIS!Y245*'GIS Heat Input'!$J43</f>
        <v>0</v>
      </c>
      <c r="M253" s="319"/>
    </row>
    <row r="254" spans="1:13" x14ac:dyDescent="0.4">
      <c r="A254" s="121" t="s">
        <v>4044</v>
      </c>
      <c r="B254" s="560">
        <f>GIS!$E246*'GIS Heat Input'!$J44</f>
        <v>0</v>
      </c>
      <c r="C254" s="560">
        <f>GIS!$I246*'GIS Heat Input'!$J44</f>
        <v>0</v>
      </c>
      <c r="D254" s="560">
        <f>GIS!M246*'GIS Heat Input'!$J44</f>
        <v>0</v>
      </c>
      <c r="E254" s="560">
        <f>GIS!Q246*'GIS Heat Input'!$J44</f>
        <v>0</v>
      </c>
      <c r="F254" s="560">
        <f>GIS!U246*'GIS Heat Input'!$J44</f>
        <v>0</v>
      </c>
      <c r="G254" s="560">
        <f>GIS!Y246*'GIS Heat Input'!$J44</f>
        <v>0</v>
      </c>
    </row>
    <row r="255" spans="1:13" x14ac:dyDescent="0.4">
      <c r="A255" s="320" t="s">
        <v>4045</v>
      </c>
      <c r="B255" s="560">
        <f>GIS!$E247*'GIS Heat Input'!$J45</f>
        <v>0</v>
      </c>
      <c r="C255" s="560">
        <f>GIS!$I247*'GIS Heat Input'!$J45</f>
        <v>0</v>
      </c>
      <c r="D255" s="560">
        <f>GIS!M247*'GIS Heat Input'!$J45</f>
        <v>0</v>
      </c>
      <c r="E255" s="560">
        <f>GIS!Q247*'GIS Heat Input'!$J45</f>
        <v>0</v>
      </c>
      <c r="F255" s="560">
        <f>GIS!U247*'GIS Heat Input'!$J45</f>
        <v>0</v>
      </c>
      <c r="G255" s="560">
        <f>GIS!Y247*'GIS Heat Input'!$J45</f>
        <v>0</v>
      </c>
      <c r="M255" s="319"/>
    </row>
    <row r="256" spans="1:13" x14ac:dyDescent="0.4">
      <c r="A256" s="422" t="s">
        <v>11</v>
      </c>
      <c r="C256" s="319">
        <f>GIS!$I248*'GIS Heat Input'!$J46</f>
        <v>0</v>
      </c>
      <c r="E256" s="319">
        <f>GIS!Q248*'GIS Heat Input'!$J46</f>
        <v>0</v>
      </c>
      <c r="F256" s="319">
        <f>GIS!U248*'GIS Heat Input'!$J46</f>
        <v>0</v>
      </c>
      <c r="G256" s="319">
        <f>GIS!Y248*'GIS Heat Input'!$J46</f>
        <v>0</v>
      </c>
    </row>
    <row r="257" spans="1:13" x14ac:dyDescent="0.4">
      <c r="M257" s="319"/>
    </row>
    <row r="258" spans="1:13" x14ac:dyDescent="0.4">
      <c r="A258" s="4" t="s">
        <v>4052</v>
      </c>
    </row>
    <row r="259" spans="1:13" x14ac:dyDescent="0.4">
      <c r="A259" s="3" t="s">
        <v>4510</v>
      </c>
    </row>
    <row r="260" spans="1:13" x14ac:dyDescent="0.4">
      <c r="A260" s="3" t="s">
        <v>4053</v>
      </c>
    </row>
    <row r="261" spans="1:13" x14ac:dyDescent="0.4">
      <c r="A261" s="639" t="s">
        <v>4511</v>
      </c>
    </row>
    <row r="262" spans="1:13" x14ac:dyDescent="0.4">
      <c r="A262" s="3" t="s">
        <v>4512</v>
      </c>
    </row>
    <row r="263" spans="1:13" x14ac:dyDescent="0.4">
      <c r="A263" s="3" t="s">
        <v>4513</v>
      </c>
    </row>
    <row r="264" spans="1:13" x14ac:dyDescent="0.4">
      <c r="A264" s="3" t="s">
        <v>4107</v>
      </c>
    </row>
    <row r="265" spans="1:13" x14ac:dyDescent="0.4">
      <c r="A265" s="3" t="s">
        <v>4514</v>
      </c>
    </row>
    <row r="266" spans="1:13" x14ac:dyDescent="0.4">
      <c r="A266" s="3" t="s">
        <v>4515</v>
      </c>
    </row>
    <row r="267" spans="1:13" x14ac:dyDescent="0.4">
      <c r="G267" s="34"/>
    </row>
    <row r="268" spans="1:13" x14ac:dyDescent="0.4">
      <c r="A268" s="4" t="s">
        <v>4108</v>
      </c>
      <c r="G268" s="34"/>
    </row>
    <row r="269" spans="1:13" ht="80" x14ac:dyDescent="0.4">
      <c r="A269" s="311" t="s">
        <v>4109</v>
      </c>
      <c r="B269" s="312" t="s">
        <v>4110</v>
      </c>
      <c r="C269" s="312" t="s">
        <v>4111</v>
      </c>
      <c r="D269" s="312" t="s">
        <v>4112</v>
      </c>
      <c r="E269" s="312" t="s">
        <v>4113</v>
      </c>
      <c r="F269" s="312" t="s">
        <v>4114</v>
      </c>
      <c r="G269" s="313" t="s">
        <v>4115</v>
      </c>
      <c r="H269" s="314"/>
    </row>
    <row r="270" spans="1:13" x14ac:dyDescent="0.4">
      <c r="A270" s="317" t="s">
        <v>3996</v>
      </c>
      <c r="B270" s="315" cm="1">
        <f t="array" ref="B270">SUM(VLOOKUP('GIS Heat Input'!A65,'GIS Heat Input'!A62:M79,{4},FALSE)+VLOOKUP('GIS Heat Input'!A109,'GIS Heat Input'!A106:M123,{4},FALSE)+VLOOKUP('GIS Heat Input'!A131,'GIS Heat Input'!A128:M145,{4},FALSE)+VLOOKUP('GIS Heat Input'!A153,'GIS Heat Input'!A150:M167,{4},FALSE)+VLOOKUP('GIS Heat Input'!A175,'GIS Heat Input'!A172:M189,{4},FALSE)+VLOOKUP('GIS Heat Input'!A75,'GIS Heat Input'!A62:M79,{4},FALSE)+VLOOKUP('GIS Heat Input'!A119,'GIS Heat Input'!A106:M123,{4},FALSE)+VLOOKUP('GIS Heat Input'!A141,'GIS Heat Input'!A128:M145,{4},FALSE)+VLOOKUP('GIS Heat Input'!A163,'GIS Heat Input'!A150:M167,{4},FALSE)+VLOOKUP('GIS Heat Input'!A185,'GIS Heat Input'!A172:M189,{4},FALSE))</f>
        <v>0</v>
      </c>
      <c r="C270" s="315">
        <f t="array" ref="C270">SUM(VLOOKUP('GIS Heat Input'!A197,'GIS Heat Input'!A194:G211,{3},FALSE)+VLOOKUP('GIS Heat Input'!A219,'GIS Heat Input'!A216:G233,{3},FALSE)+VLOOKUP('GIS Heat Input'!A241,'GIS Heat Input'!A238:G255,{3},FALSE)+VLOOKUP('GIS Heat Input'!A207,'GIS Heat Input'!A194:G211,{3},FALSE)+VLOOKUP('GIS Heat Input'!A229,'GIS Heat Input'!A216:G233,{3},FALSE)+VLOOKUP('GIS Heat Input'!A251,'GIS Heat Input'!A238:G255,{3},FALSE))</f>
        <v>0</v>
      </c>
      <c r="D270" s="315" cm="1">
        <f t="array" ref="D270">SUM(VLOOKUP('GIS Heat Input'!A65,'GIS Heat Input'!A62:M79,{5},FALSE)+VLOOKUP('GIS Heat Input'!A109,'GIS Heat Input'!A106:M123,{5},FALSE)+VLOOKUP('GIS Heat Input'!A131,'GIS Heat Input'!A128:M145,{5},FALSE)+VLOOKUP('GIS Heat Input'!A153,'GIS Heat Input'!A150:M167,{5},FALSE)+VLOOKUP('GIS Heat Input'!A175,'GIS Heat Input'!A172:M189,{5},FALSE)+VLOOKUP('GIS Heat Input'!A75,'GIS Heat Input'!A62:M79,{5},FALSE)+VLOOKUP('GIS Heat Input'!A119,'GIS Heat Input'!A106:M123,{5},FALSE)+VLOOKUP('GIS Heat Input'!A141,'GIS Heat Input'!A128:M145,{5},FALSE)+VLOOKUP('GIS Heat Input'!A163,'GIS Heat Input'!A150:M167,{5},FALSE)+VLOOKUP('GIS Heat Input'!A185,'GIS Heat Input'!A172:M189,{5},FALSE))</f>
        <v>0</v>
      </c>
      <c r="E270" s="315">
        <f t="array" ref="E270">SUM(VLOOKUP('GIS Heat Input'!A87,'GIS Heat Input'!A84:M101, {2,4,6,8,10,12}, FALSE)+VLOOKUP('GIS Heat Input'!A97,'GIS Heat Input'!A84:M101, {2,4,6,8,10,12}, FALSE))</f>
        <v>0</v>
      </c>
      <c r="F270" s="316"/>
      <c r="G270" s="315">
        <f t="shared" ref="G270:G276" si="2">B270+C270+D270-E270</f>
        <v>0</v>
      </c>
      <c r="H270" s="315"/>
    </row>
    <row r="271" spans="1:13" x14ac:dyDescent="0.4">
      <c r="A271" s="317" t="s">
        <v>270</v>
      </c>
      <c r="B271" s="315">
        <f t="array" ref="B271">SUM(VLOOKUP('GIS Heat Input'!A73,'GIS Heat Input'!A62:M79,{4},FALSE)+VLOOKUP('GIS Heat Input'!A117,'GIS Heat Input'!A106:M123,{4},FALSE)+VLOOKUP('GIS Heat Input'!A139,'GIS Heat Input'!A128:M145,{4},FALSE)+VLOOKUP('GIS Heat Input'!A161,'GIS Heat Input'!A150:M167,{4},FALSE)+VLOOKUP('GIS Heat Input'!A183,'GIS Heat Input'!A172:M189,{4},FALSE))</f>
        <v>0</v>
      </c>
      <c r="C271" s="315">
        <f t="array" ref="C271">SUM(VLOOKUP('GIS Heat Input'!A205,'GIS Heat Input'!A194:G211,{3},FALSE)+VLOOKUP('GIS Heat Input'!A227,'GIS Heat Input'!A216:G233,{3},FALSE)+VLOOKUP('GIS Heat Input'!A249,'GIS Heat Input'!A238:M255,{3},FALSE))</f>
        <v>0</v>
      </c>
      <c r="D271" s="315">
        <f t="array" ref="D271">SUM(VLOOKUP('GIS Heat Input'!A73,'GIS Heat Input'!A62:M79,{5},FALSE)+VLOOKUP('GIS Heat Input'!A117,'GIS Heat Input'!A106:M123,{5},FALSE)+VLOOKUP('GIS Heat Input'!A139,'GIS Heat Input'!A128:M145,{5},FALSE)+VLOOKUP('GIS Heat Input'!A161,'GIS Heat Input'!A150:M167,{5},FALSE)+VLOOKUP('GIS Heat Input'!A183,'GIS Heat Input'!A172:M189,{5},FALSE))</f>
        <v>0</v>
      </c>
      <c r="E271" s="315">
        <f t="array" ref="E271">SUM(VLOOKUP('GIS Heat Input'!A95,'GIS Heat Input'!A84:M101, {2,4,6,8,10,12}, FALSE))</f>
        <v>2250834.0956091867</v>
      </c>
      <c r="F271" s="316"/>
      <c r="G271" s="315">
        <f t="shared" si="2"/>
        <v>-2250834.0956091867</v>
      </c>
      <c r="H271" s="315"/>
    </row>
    <row r="272" spans="1:13" x14ac:dyDescent="0.4">
      <c r="A272" s="317" t="s">
        <v>4116</v>
      </c>
      <c r="B272" s="315">
        <f t="array" ref="B272">SUM(VLOOKUP('GIS Heat Input'!A72,'GIS Heat Input'!A62:M79,{4},FALSE)+VLOOKUP('GIS Heat Input'!A116,'GIS Heat Input'!A106:M123,{4},FALSE)+VLOOKUP('GIS Heat Input'!A138,'GIS Heat Input'!A128:M145,{4},FALSE)+VLOOKUP('GIS Heat Input'!A160,'GIS Heat Input'!A150:M167,{4},FALSE)+VLOOKUP('GIS Heat Input'!A182,'GIS Heat Input'!A172:M189,{4},FALSE)+VLOOKUP('GIS Heat Input'!A77,'GIS Heat Input'!A62:M79,{4},FALSE)+VLOOKUP('GIS Heat Input'!A121,'GIS Heat Input'!A106:M123,{4},FALSE)+VLOOKUP('GIS Heat Input'!A143,'GIS Heat Input'!A128:M145,{4},FALSE)+VLOOKUP('GIS Heat Input'!A165,'GIS Heat Input'!A150:M167,{4},FALSE)+VLOOKUP('GIS Heat Input'!A187,'GIS Heat Input'!A172:M189,{4},FALSE))*F272</f>
        <v>48592.513984472149</v>
      </c>
      <c r="C272" s="315">
        <f t="array" ref="C272">SUM(VLOOKUP('GIS Heat Input'!A204,'GIS Heat Input'!A194:G211,{3},FALSE)+VLOOKUP('GIS Heat Input'!A226,'GIS Heat Input'!A216:G233,{3},FALSE)+VLOOKUP('GIS Heat Input'!A248,'GIS Heat Input'!A238:G255,{3},FALSE)+VLOOKUP('GIS Heat Input'!A209,'GIS Heat Input'!A194:G211,{3},FALSE)+VLOOKUP('GIS Heat Input'!A231,'GIS Heat Input'!A217:G233,{3},FALSE)+VLOOKUP(A253,'GIS Heat Input'!A238:G255,{3},FALSE))*F272</f>
        <v>0</v>
      </c>
      <c r="D272" s="315">
        <f t="array" ref="D272">SUM(VLOOKUP('GIS Heat Input'!A72,'GIS Heat Input'!A62:M79,{5},FALSE)+VLOOKUP('GIS Heat Input'!A116,'GIS Heat Input'!A106:M123,{5},FALSE)+VLOOKUP('GIS Heat Input'!A138,'GIS Heat Input'!A128:M145,{5},FALSE)+VLOOKUP('GIS Heat Input'!A160,'GIS Heat Input'!A150:M167,{5},FALSE)+VLOOKUP('GIS Heat Input'!A182,'GIS Heat Input'!A172:M189,{5},FALSE)+VLOOKUP('GIS Heat Input'!A77,'GIS Heat Input'!A62:M79,{5},FALSE)+VLOOKUP('GIS Heat Input'!A121,'GIS Heat Input'!A106:M123,{5},FALSE)+VLOOKUP('GIS Heat Input'!A143,'GIS Heat Input'!A128:M145,{5},FALSE)+VLOOKUP('GIS Heat Input'!A165,'GIS Heat Input'!A150:M167,{5},FALSE)+VLOOKUP('GIS Heat Input'!A187,'GIS Heat Input'!A172:M189,{5},FALSE))*F272</f>
        <v>0</v>
      </c>
      <c r="E272" s="315">
        <f t="array" ref="E272">SUM(VLOOKUP('GIS Heat Input'!A94,'GIS Heat Input'!A84:M101, {2,4,6,8,10,12}, FALSE)+VLOOKUP('GIS Heat Input'!A99,'GIS Heat Input'!A84:M101, {2,4,6,8,10,12},FALSE))*F272</f>
        <v>46955.911666493397</v>
      </c>
      <c r="F272" s="29">
        <f>MSNprcnt</f>
        <v>0.55000450253125743</v>
      </c>
      <c r="G272" s="315">
        <f t="shared" si="2"/>
        <v>1636.6023179787517</v>
      </c>
      <c r="H272" s="315"/>
    </row>
    <row r="273" spans="1:8" x14ac:dyDescent="0.4">
      <c r="A273" s="317" t="s">
        <v>251</v>
      </c>
      <c r="B273" s="315">
        <f t="array" ref="B273">SUM(VLOOKUP('GIS Heat Input'!A71,'GIS Heat Input'!A62:M79,{4},FALSE)+VLOOKUP('GIS Heat Input'!A115,'GIS Heat Input'!A106:M123,{4},FALSE)+VLOOKUP('GIS Heat Input'!A137,'GIS Heat Input'!A128:M145,{4},FALSE)+VLOOKUP('GIS Heat Input'!A159,'GIS Heat Input'!A150:M167,{4},FALSE)+VLOOKUP('GIS Heat Input'!A181,'GIS Heat Input'!A172:M189,{4},FALSE))</f>
        <v>201614.78626159354</v>
      </c>
      <c r="C273" s="315">
        <f t="array" ref="C273">SUM(VLOOKUP('GIS Heat Input'!A203,'GIS Heat Input'!A194:G211,{3},FALSE)+VLOOKUP('GIS Heat Input'!A225,'GIS Heat Input'!A216:G233,{3},FALSE)+VLOOKUP('GIS Heat Input'!A247,'GIS Heat Input'!A238:G255,{3},FALSE))</f>
        <v>1986834.3933790301</v>
      </c>
      <c r="D273" s="315">
        <f t="array" ref="D273">SUM(VLOOKUP('GIS Heat Input'!A71,'GIS Heat Input'!A62:M79,{5},FALSE)+VLOOKUP('GIS Heat Input'!A115,'GIS Heat Input'!A106:M123,{5},FALSE)+VLOOKUP('GIS Heat Input'!A137,'GIS Heat Input'!A128:M145,{5},FALSE)+VLOOKUP('GIS Heat Input'!A159,'GIS Heat Input'!A150:M167,{5},FALSE)+VLOOKUP('GIS Heat Input'!A181,'GIS Heat Input'!A172:M189,{5},FALSE))</f>
        <v>232161.97856088882</v>
      </c>
      <c r="E273" s="315">
        <f t="array" ref="E273">SUM(VLOOKUP('GIS Heat Input'!A93,'GIS Heat Input'!A84:M101, {2,4,6,8,10,12}, FALSE))</f>
        <v>562676.08797897364</v>
      </c>
      <c r="F273" s="316"/>
      <c r="G273" s="315">
        <f t="shared" si="2"/>
        <v>1857935.0702225389</v>
      </c>
      <c r="H273" s="315"/>
    </row>
    <row r="274" spans="1:8" x14ac:dyDescent="0.4">
      <c r="A274" s="317" t="s">
        <v>4117</v>
      </c>
      <c r="B274" s="315">
        <f t="array" ref="B274">SUM(VLOOKUP('GIS Heat Input'!A72,'GIS Heat Input'!A62:M79,{4},FALSE)+VLOOKUP('GIS Heat Input'!A116,'GIS Heat Input'!A106:M123,{4},FALSE)+VLOOKUP('GIS Heat Input'!A138,'GIS Heat Input'!A128:M145,{4},FALSE)+VLOOKUP('GIS Heat Input'!A160,'GIS Heat Input'!A150:M167,{4},FALSE)+VLOOKUP('GIS Heat Input'!A182,'GIS Heat Input'!A172:M189,{4},FALSE)+VLOOKUP('GIS Heat Input'!A77,'GIS Heat Input'!A62:M79,{4},FALSE)+VLOOKUP('GIS Heat Input'!A121,'GIS Heat Input'!A106:M123,{4},FALSE)+VLOOKUP('GIS Heat Input'!A143,'GIS Heat Input'!A128:M145,{4},FALSE)+VLOOKUP('GIS Heat Input'!A165,'GIS Heat Input'!A150:M167,{4},FALSE)+VLOOKUP('GIS Heat Input'!A187,'GIS Heat Input'!A172:M189,{4},FALSE))*F274</f>
        <v>39756.788177305287</v>
      </c>
      <c r="C274" s="315">
        <f t="array" ref="C274">SUM(VLOOKUP('GIS Heat Input'!A204,'GIS Heat Input'!A194:G211,{3},FALSE)+VLOOKUP('GIS Heat Input'!A226,'GIS Heat Input'!A216:G233,{3},FALSE)+VLOOKUP('GIS Heat Input'!A248,'GIS Heat Input'!A238:G255,{3},FALSE)+VLOOKUP('GIS Heat Input'!A209,'GIS Heat Input'!A194:G211,{3},FALSE)+VLOOKUP('GIS Heat Input'!A231,'GIS Heat Input'!A216:G233,{3},FALSE)+VLOOKUP('GIS Heat Input'!A253,'GIS Heat Input'!A238:G255,{3},FALSE))*F274</f>
        <v>0</v>
      </c>
      <c r="D274" s="315">
        <f t="array" ref="D274">SUM(VLOOKUP('GIS Heat Input'!A72,'GIS Heat Input'!A62:M79,{5},FALSE)+VLOOKUP('GIS Heat Input'!A116,'GIS Heat Input'!A106:M123,{5},FALSE)+VLOOKUP('GIS Heat Input'!A138,'GIS Heat Input'!A128:M145,{5},FALSE)+VLOOKUP('GIS Heat Input'!A160,'GIS Heat Input'!A150:M167,{5},FALSE)+VLOOKUP('GIS Heat Input'!A182,'GIS Heat Input'!A172:M189,{5},FALSE)+VLOOKUP('GIS Heat Input'!A77,'GIS Heat Input'!A62:M79,{5},FALSE)+VLOOKUP('GIS Heat Input'!A121,'GIS Heat Input'!A106:M123,{5},FALSE)+VLOOKUP('GIS Heat Input'!A143,'GIS Heat Input'!A128:M145,{5},FALSE)+VLOOKUP('GIS Heat Input'!A165,'GIS Heat Input'!A150:M167,{5},FALSE)+VLOOKUP('GIS Heat Input'!A187,'GIS Heat Input'!A172:M189,{5},FALSE))*F274</f>
        <v>0</v>
      </c>
      <c r="E274" s="315">
        <f t="array" ref="E274">SUM(VLOOKUP('GIS Heat Input'!A94,'GIS Heat Input'!A84:M101, {2,4,6,8,10,12}, FALSE)+VLOOKUP('GIS Heat Input'!A99,'GIS Heat Input'!A84:M101, {2,4,6,8,10,12},FALSE))*F274</f>
        <v>38417.774276786375</v>
      </c>
      <c r="F274" s="29">
        <f>MSBprcnt</f>
        <v>0.44999549746874251</v>
      </c>
      <c r="G274" s="315">
        <f t="shared" si="2"/>
        <v>1339.0139005189121</v>
      </c>
      <c r="H274" s="315"/>
    </row>
    <row r="275" spans="1:8" x14ac:dyDescent="0.4">
      <c r="A275" s="317" t="s">
        <v>4118</v>
      </c>
      <c r="B275" s="315">
        <f t="array" ref="B275">SUM(VLOOKUP('GIS Heat Input'!A63,'GIS Heat Input'!A62:M79,{4},FALSE)+VLOOKUP('GIS Heat Input'!A107,'GIS Heat Input'!A106:M123,{4},FALSE)+VLOOKUP('GIS Heat Input'!A129,'GIS Heat Input'!A128:M145,{4},FALSE)+VLOOKUP('GIS Heat Input'!A151,'GIS Heat Input'!A150:M167,{4},FALSE)+VLOOKUP('GIS Heat Input'!A173,'GIS Heat Input'!A172:M189,{4},FALSE)+VLOOKUP('GIS Heat Input'!A79,'GIS Heat Input'!A62:M79,{4},FALSE)+VLOOKUP('GIS Heat Input'!A123,'GIS Heat Input'!A106:M123,{4},FALSE)+VLOOKUP('GIS Heat Input'!A145,'GIS Heat Input'!A128:M145,{4},FALSE)+VLOOKUP('GIS Heat Input'!A167,'GIS Heat Input'!A150:M167,{4},FALSE)+VLOOKUP('GIS Heat Input'!A189,'GIS Heat Input'!A172:M189,{4},FALSE))</f>
        <v>12249.050069848905</v>
      </c>
      <c r="C275" s="315">
        <f t="array" ref="C275">SUM(VLOOKUP('GIS Heat Input'!A195,'GIS Heat Input'!A194:G211,{3},FALSE)+VLOOKUP('GIS Heat Input'!A217,'GIS Heat Input'!A216:G233,{3},FALSE)+VLOOKUP('GIS Heat Input'!A239,'GIS Heat Input'!A238:G255,{3},FALSE)+VLOOKUP('GIS Heat Input'!A211,'GIS Heat Input'!A194:G211,{3},FALSE)+VLOOKUP('GIS Heat Input'!A233,'GIS Heat Input'!A216:G233,{3},FALSE)+VLOOKUP('GIS Heat Input'!A255,'GIS Heat Input'!A238:G255,{3},FALSE))</f>
        <v>0</v>
      </c>
      <c r="D275" s="315">
        <f t="array" ref="D275">SUM(VLOOKUP('GIS Heat Input'!A63,'GIS Heat Input'!A62:M79,{5},FALSE)+VLOOKUP('GIS Heat Input'!A107,'GIS Heat Input'!A106:M123,{5},FALSE)+VLOOKUP('GIS Heat Input'!A129,'GIS Heat Input'!A128:M145,{5},FALSE)+VLOOKUP('GIS Heat Input'!A151,'GIS Heat Input'!A150:M167,{5},FALSE)+VLOOKUP('GIS Heat Input'!A173,'GIS Heat Input'!A172:M189,{5},FALSE)+VLOOKUP('GIS Heat Input'!A79,'GIS Heat Input'!A62:M79,{5},FALSE)+VLOOKUP('GIS Heat Input'!A123,'GIS Heat Input'!A106:M123,{5},FALSE)+VLOOKUP('GIS Heat Input'!A145,'GIS Heat Input'!A128:M145,{5},FALSE)+VLOOKUP('GIS Heat Input'!A167,'GIS Heat Input'!A150:M167,{5},FALSE)+VLOOKUP('GIS Heat Input'!A189,'GIS Heat Input'!A172:M189,{5},FALSE))</f>
        <v>0</v>
      </c>
      <c r="E275" s="315">
        <f t="array" ref="E275">SUM(VLOOKUP('GIS Heat Input'!A85,'GIS Heat Input'!A84:M101, {2,4,6,8,10,12}, FALSE)+VLOOKUP('GIS Heat Input'!A101,'GIS Heat Input'!A84:M101, {2,4,6,8,10,12},FALSE))</f>
        <v>1186896.9666064626</v>
      </c>
      <c r="F275" s="316"/>
      <c r="G275" s="315">
        <f t="shared" si="2"/>
        <v>-1174647.9165366136</v>
      </c>
      <c r="H275" s="315"/>
    </row>
    <row r="276" spans="1:8" x14ac:dyDescent="0.4">
      <c r="A276" s="317" t="s">
        <v>3975</v>
      </c>
      <c r="B276" s="315">
        <f t="array" ref="B276">SUM(VLOOKUP('GIS Heat Input'!A62,'GIS Heat Input'!A62:M79,{4},FALSE)+VLOOKUP('GIS Heat Input'!A106,'GIS Heat Input'!A106:M123,{4},FALSE)+VLOOKUP('GIS Heat Input'!A128,'GIS Heat Input'!A128:M145,{4},FALSE)+VLOOKUP('GIS Heat Input'!A150,'GIS Heat Input'!A150:M167,{4},FALSE)+VLOOKUP('GIS Heat Input'!A172,'GIS Heat Input'!A172:M189,{4},FALSE)+VLOOKUP('GIS Heat Input'!A66,'GIS Heat Input'!A62:M79,{4},FALSE)+VLOOKUP('GIS Heat Input'!A110,'GIS Heat Input'!A106:M123,{4},FALSE)+VLOOKUP('GIS Heat Input'!A132,'GIS Heat Input'!A128:M145,{4},FALSE)+VLOOKUP('GIS Heat Input'!A154,'GIS Heat Input'!A150:M167,{4},FALSE)+VLOOKUP('GIS Heat Input'!A176,'GIS Heat Input'!A18:M172,{4},FALSE))</f>
        <v>41997.474053143502</v>
      </c>
      <c r="C276" s="315">
        <f t="array" ref="C276">SUM(VLOOKUP('GIS Heat Input'!A194,'GIS Heat Input'!A194:G211,{3},FALSE)+VLOOKUP('GIS Heat Input'!A216,'GIS Heat Input'!A216:G233,{3},FALSE)+VLOOKUP('GIS Heat Input'!A238,'GIS Heat Input'!A238:G255,{3},FALSE)+VLOOKUP('GIS Heat Input'!A198,'GIS Heat Input'!A194:G211,{3},FALSE)+VLOOKUP('GIS Heat Input'!A220,'GIS Heat Input'!A216:G233,{3},FALSE)+VLOOKUP('GIS Heat Input'!A242,'GIS Heat Input'!A238:G255,{3},FALSE))</f>
        <v>76451.010829183462</v>
      </c>
      <c r="D276" s="315">
        <f t="array" ref="D276">SUM(VLOOKUP('GIS Heat Input'!A62,'GIS Heat Input'!A62:M79,{5},FALSE)+VLOOKUP('GIS Heat Input'!A106,'GIS Heat Input'!A106:M123,{5},FALSE)+VLOOKUP('GIS Heat Input'!A128,'GIS Heat Input'!A128:M145,{5},FALSE)+VLOOKUP('GIS Heat Input'!A150,'GIS Heat Input'!A150:M167,{5},FALSE)+VLOOKUP('GIS Heat Input'!A172,'GIS Heat Input'!A172:M189,{5},FALSE)+VLOOKUP('GIS Heat Input'!A66,'GIS Heat Input'!A62:M79,{5},FALSE)+VLOOKUP('GIS Heat Input'!A110,'GIS Heat Input'!A106:M123,{5},FALSE)+VLOOKUP('GIS Heat Input'!A132,'GIS Heat Input'!A128:M145,{5},FALSE)+VLOOKUP('GIS Heat Input'!A154,'GIS Heat Input'!A150:M167,{5},FALSE)+VLOOKUP('GIS Heat Input'!A176,'GIS Heat Input'!A172:M189,{5},FALSE))</f>
        <v>55366.232289429099</v>
      </c>
      <c r="E276" s="315">
        <f t="array" ref="E276">SUM(VLOOKUP('GIS Heat Input'!A84,'GIS Heat Input'!A84:M101, {2,4,6,8,10,12}, FALSE)+VLOOKUP('GIS Heat Input'!A88,'GIS Heat Input'!A84:M101, {2,4,6,8,10,12}, FALSE))</f>
        <v>0</v>
      </c>
      <c r="F276" s="316"/>
      <c r="G276" s="315">
        <f t="shared" si="2"/>
        <v>173814.71717175609</v>
      </c>
      <c r="H276" s="315"/>
    </row>
    <row r="277" spans="1:8" x14ac:dyDescent="0.4">
      <c r="A277" s="317" t="s">
        <v>11</v>
      </c>
      <c r="B277" s="314"/>
      <c r="C277" s="318"/>
      <c r="D277" s="315"/>
      <c r="E277" s="315"/>
      <c r="F277" s="316"/>
      <c r="G277" s="315"/>
      <c r="H277" s="315"/>
    </row>
    <row r="278" spans="1:8" x14ac:dyDescent="0.4">
      <c r="A278" s="8"/>
    </row>
    <row r="279" spans="1:8" x14ac:dyDescent="0.4">
      <c r="A279" s="4" t="s">
        <v>4119</v>
      </c>
    </row>
    <row r="280" spans="1:8" ht="80" x14ac:dyDescent="0.4">
      <c r="A280" s="311" t="s">
        <v>4109</v>
      </c>
      <c r="B280" s="312" t="s">
        <v>4110</v>
      </c>
      <c r="C280" s="312" t="s">
        <v>4111</v>
      </c>
      <c r="D280" s="312" t="s">
        <v>4112</v>
      </c>
      <c r="E280" s="312" t="s">
        <v>4113</v>
      </c>
      <c r="F280" s="312" t="s">
        <v>4114</v>
      </c>
      <c r="G280" s="313" t="s">
        <v>4115</v>
      </c>
      <c r="H280" s="312"/>
    </row>
    <row r="281" spans="1:8" x14ac:dyDescent="0.4">
      <c r="A281" s="317" t="s">
        <v>3996</v>
      </c>
      <c r="B281" s="315">
        <f t="array" ref="B281">SUM(VLOOKUP('GIS Heat Input'!A87,'GIS Heat Input'!A84:M101,{2},FALSE)+VLOOKUP('GIS Heat Input'!A109,'GIS Heat Input'!A106:M123,{2},FALSE)+VLOOKUP('GIS Heat Input'!A131,'GIS Heat Input'!A128:M145,{2},FALSE)+VLOOKUP('GIS Heat Input'!A153,'GIS Heat Input'!A150:M167,{2},FALSE)+VLOOKUP('GIS Heat Input'!A175,'GIS Heat Input'!A172:M189,{2},FALSE)+VLOOKUP('GIS Heat Input'!A97,'GIS Heat Input'!A84:M101,{2},FALSE)+VLOOKUP('GIS Heat Input'!A119,'GIS Heat Input'!A106:M123,{2},FALSE)+VLOOKUP('GIS Heat Input'!A141,'GIS Heat Input'!A128:M145,{2},FALSE)+VLOOKUP('GIS Heat Input'!A163,'GIS Heat Input'!A150:M167,{2},FALSE)+VLOOKUP('GIS Heat Input'!A185,'GIS Heat Input'!A172:M189,{2},FALSE))</f>
        <v>0</v>
      </c>
      <c r="C281" s="315">
        <f t="array" ref="C281">SUM(VLOOKUP('GIS Heat Input'!A197,'GIS Heat Input'!A194:G211,{2},FALSE)+VLOOKUP('GIS Heat Input'!A219,'GIS Heat Input'!A216:G233,{2},FALSE)+VLOOKUP('GIS Heat Input'!A241,'GIS Heat Input'!A238:G255,{2},FALSE)+VLOOKUP('GIS Heat Input'!A207,'GIS Heat Input'!A194:G211,{2},FALSE)+VLOOKUP('GIS Heat Input'!A229,'GIS Heat Input'!A216:G233,{2},FALSE)+VLOOKUP('GIS Heat Input'!A251,'GIS Heat Input'!A238:G255,{2},FALSE))</f>
        <v>0</v>
      </c>
      <c r="D281" s="315">
        <f t="array" ref="D281">SUM(VLOOKUP('GIS Heat Input'!A87,'GIS Heat Input'!A84:M101,{3},FALSE)+VLOOKUP('GIS Heat Input'!A109,'GIS Heat Input'!A106:M123,{3},FALSE)+VLOOKUP('GIS Heat Input'!A131,'GIS Heat Input'!A128:M145,{3},FALSE)+VLOOKUP('GIS Heat Input'!A153,'GIS Heat Input'!A150:M167,{3},FALSE)+VLOOKUP('GIS Heat Input'!A175,'GIS Heat Input'!A172:M189,{3},FALSE)+VLOOKUP('GIS Heat Input'!A97,'GIS Heat Input'!A84:M101,{3},FALSE)+VLOOKUP('GIS Heat Input'!A119,'GIS Heat Input'!A106:M123,{3},FALSE)+VLOOKUP('GIS Heat Input'!A141,'GIS Heat Input'!A128:M145,{3},FALSE)+VLOOKUP('GIS Heat Input'!A163,'GIS Heat Input'!A150:M167,{3},FALSE)+VLOOKUP('GIS Heat Input'!A185,'GIS Heat Input'!A172:M189,{3},FALSE))</f>
        <v>0</v>
      </c>
      <c r="E281" s="315">
        <f t="array" ref="E281">SUM(VLOOKUP('GIS Heat Input'!A65,'GIS Heat Input'!A62:M79, {2,4,6,8,10,12}, FALSE)+VLOOKUP('GIS Heat Input'!A75,'GIS Heat Input'!A62:M79, {2,4,6,8,10,12}, FALSE))</f>
        <v>0</v>
      </c>
      <c r="F281" s="316"/>
      <c r="G281" s="315">
        <f t="shared" ref="G281:G287" si="3">B281+C281+D281-E281</f>
        <v>0</v>
      </c>
      <c r="H281" s="315"/>
    </row>
    <row r="282" spans="1:8" x14ac:dyDescent="0.4">
      <c r="A282" s="317" t="s">
        <v>270</v>
      </c>
      <c r="B282" s="315">
        <f t="array" ref="B282">SUM(VLOOKUP('GIS Heat Input'!A95,'GIS Heat Input'!A84:M101,{2},FALSE)+VLOOKUP('GIS Heat Input'!A117,'GIS Heat Input'!A106:M123,{2},FALSE)+VLOOKUP('GIS Heat Input'!A139,'GIS Heat Input'!A128:M145,{2},FALSE)+VLOOKUP('GIS Heat Input'!A161,'GIS Heat Input'!A150:M167,{2},FALSE)+VLOOKUP('GIS Heat Input'!A183,'GIS Heat Input'!A172:M189,{2},FALSE))</f>
        <v>0</v>
      </c>
      <c r="C282" s="315">
        <f t="array" ref="C282">SUM(VLOOKUP('GIS Heat Input'!A205,'GIS Heat Input'!A194:G211,{2},FALSE)+VLOOKUP('GIS Heat Input'!A227,'GIS Heat Input'!A216:G233,{2},FALSE)+VLOOKUP('GIS Heat Input'!A249,'GIS Heat Input'!A238:G255,{2},FALSE))</f>
        <v>0</v>
      </c>
      <c r="D282" s="315">
        <f t="array" ref="D282">SUM(VLOOKUP('GIS Heat Input'!A95,'GIS Heat Input'!A84:M101,{3},FALSE)+VLOOKUP('GIS Heat Input'!A117,'GIS Heat Input'!A106:M123,{3},FALSE)+VLOOKUP('GIS Heat Input'!A139,'GIS Heat Input'!A128:M145,{3},FALSE)+VLOOKUP('GIS Heat Input'!A161,'GIS Heat Input'!A150:M167,{3},FALSE)+VLOOKUP('GIS Heat Input'!A183,'GIS Heat Input'!A172:M189,{3},FALSE))</f>
        <v>0</v>
      </c>
      <c r="E282" s="315">
        <f t="array" ref="E282">SUM(VLOOKUP('GIS Heat Input'!A73,'GIS Heat Input'!A62:M79, {2,4,6,8,10,12}, FALSE))</f>
        <v>0</v>
      </c>
      <c r="G282" s="315">
        <f t="shared" si="3"/>
        <v>0</v>
      </c>
      <c r="H282" s="315"/>
    </row>
    <row r="283" spans="1:8" x14ac:dyDescent="0.4">
      <c r="A283" s="317" t="s">
        <v>4116</v>
      </c>
      <c r="B283" s="315">
        <f t="array" ref="B283">SUM(VLOOKUP('GIS Heat Input'!A94,'GIS Heat Input'!A84:M101,{2},FALSE)+VLOOKUP('GIS Heat Input'!A116,'GIS Heat Input'!A106:M123,{2},FALSE)+VLOOKUP('GIS Heat Input'!A138,'GIS Heat Input'!A128:M145,{2},FALSE)+VLOOKUP('GIS Heat Input'!A160,'GIS Heat Input'!A150:M167,{2},FALSE)+VLOOKUP('GIS Heat Input'!A182,'GIS Heat Input'!A172:M189,{2},FALSE)+VLOOKUP('GIS Heat Input'!A99,'GIS Heat Input'!A84:M101,{2},FALSE)+VLOOKUP('GIS Heat Input'!A121,'GIS Heat Input'!A106:M123,{2},FALSE)+VLOOKUP('GIS Heat Input'!A143,'GIS Heat Input'!A128:M145,{2},FALSE)+VLOOKUP('GIS Heat Input'!A165,'GIS Heat Input'!A150:M167,{2},FALSE)+VLOOKUP('GIS Heat Input'!A187,'GIS Heat Input'!A172:M189,{2},FALSE))*F283</f>
        <v>71956.408970234144</v>
      </c>
      <c r="C283" s="315">
        <f t="array" ref="C283">SUM(VLOOKUP('GIS Heat Input'!A204,'GIS Heat Input'!A194:G211,{2},FALSE)+VLOOKUP('GIS Heat Input'!A226,'GIS Heat Input'!A216:G233,{2},FALSE)+VLOOKUP('GIS Heat Input'!A248,'GIS Heat Input'!A238:G255,{2},FALSE)+VLOOKUP('GIS Heat Input'!A209,'GIS Heat Input'!A194:G211,{2},FALSE)+VLOOKUP('GIS Heat Input'!A231,'GIS Heat Input'!A216:G233,{2},FALSE)+VLOOKUP('GIS Heat Input'!A253,'GIS Heat Input'!A238:G255,{2},FALSE))*F283</f>
        <v>0</v>
      </c>
      <c r="D283" s="315">
        <f t="array" ref="D283">SUM(VLOOKUP('GIS Heat Input'!A94,'GIS Heat Input'!A84:M101,{3},FALSE)+VLOOKUP('GIS Heat Input'!A116,'GIS Heat Input'!A106:M123,{3},FALSE)+VLOOKUP('GIS Heat Input'!A138,'GIS Heat Input'!A128:M145,{3},FALSE)+VLOOKUP('GIS Heat Input'!A160,'GIS Heat Input'!A150:M1164,{3},FALSE)+VLOOKUP('GIS Heat Input'!A182,'GIS Heat Input'!A172:M189,{3},FALSE)+VLOOKUP('GIS Heat Input'!A99,'GIS Heat Input'!A84:M101,{3},FALSE)+VLOOKUP('GIS Heat Input'!A121,'GIS Heat Input'!A106:M123,{3},FALSE)+VLOOKUP('GIS Heat Input'!A143,'GIS Heat Input'!A128:M145,{3},FALSE)+VLOOKUP('GIS Heat Input'!A165,'GIS Heat Input'!A150:M167,{3},FALSE)+VLOOKUP('GIS Heat Input'!A187,'GIS Heat Input'!A172:M189,{3},FALSE))*F283</f>
        <v>0</v>
      </c>
      <c r="E283" s="315">
        <f t="array" ref="E283">SUM(VLOOKUP('GIS Heat Input'!A72,'GIS Heat Input'!A62:M79, {2,4,6,8,10,12}, FALSE)+VLOOKUP('GIS Heat Input'!A77,'GIS Heat Input'!A62:M79, {2,4,6,8,10,12}, FALSE))*F283</f>
        <v>0</v>
      </c>
      <c r="F283" s="29">
        <f>'EIA Form 923'!B$3092</f>
        <v>0.55000450253125743</v>
      </c>
      <c r="G283" s="315">
        <f t="shared" si="3"/>
        <v>71956.408970234144</v>
      </c>
      <c r="H283" s="315"/>
    </row>
    <row r="284" spans="1:8" x14ac:dyDescent="0.4">
      <c r="A284" s="317" t="s">
        <v>251</v>
      </c>
      <c r="B284" s="315">
        <f t="array" ref="B284">SUM(VLOOKUP('GIS Heat Input'!A93,'GIS Heat Input'!A84:M101,{2},FALSE)+VLOOKUP('GIS Heat Input'!A115,'GIS Heat Input'!A106:M123,{2},FALSE)+VLOOKUP('GIS Heat Input'!A137,'GIS Heat Input'!A128:M145,{2},FALSE)+VLOOKUP('GIS Heat Input'!A159,'GIS Heat Input'!A150:M167,{2},FALSE)+VLOOKUP('GIS Heat Input'!A181,'GIS Heat Input'!A172:M189,{2},FALSE))</f>
        <v>1748914.8065174294</v>
      </c>
      <c r="C284" s="315">
        <f t="array" ref="C284">SUM(VLOOKUP('GIS Heat Input'!A203,'GIS Heat Input'!A194:G211,{2},FALSE)+VLOOKUP('GIS Heat Input'!A225,'GIS Heat Input'!A216:G233,{2},FALSE)+VLOOKUP('GIS Heat Input'!A247,'GIS Heat Input'!A238:G255,{2},FALSE))</f>
        <v>3753572.5463899085</v>
      </c>
      <c r="D284" s="315">
        <f t="array" ref="D284">SUM(VLOOKUP('GIS Heat Input'!A93,'GIS Heat Input'!A84:M101,{3},FALSE)+VLOOKUP('GIS Heat Input'!A115,'GIS Heat Input'!A106:M123,{3},FALSE)+VLOOKUP('GIS Heat Input'!A137,'GIS Heat Input'!A128:M145,{3},FALSE)+VLOOKUP('GIS Heat Input'!A159,'GIS Heat Input'!A150:M167,{3},FALSE)+VLOOKUP('GIS Heat Input'!A181,'GIS Heat Input'!A172:M189,{3},FALSE))</f>
        <v>425844.52247051336</v>
      </c>
      <c r="E284" s="315">
        <f t="array" ref="E284">SUM(VLOOKUP('GIS Heat Input'!A71,'GIS Heat Input'!A62:M79, {2,4,6,8,10,12}, FALSE))</f>
        <v>15968.098201058201</v>
      </c>
      <c r="F284" s="29"/>
      <c r="G284" s="315">
        <f t="shared" si="3"/>
        <v>5912363.7771767937</v>
      </c>
      <c r="H284" s="315"/>
    </row>
    <row r="285" spans="1:8" x14ac:dyDescent="0.4">
      <c r="A285" s="317" t="s">
        <v>4117</v>
      </c>
      <c r="B285" s="315">
        <f t="array" ref="B285">SUM(VLOOKUP('GIS Heat Input'!A94,'GIS Heat Input'!A84:M101,{2},FALSE)+VLOOKUP('GIS Heat Input'!A116,'GIS Heat Input'!A106:M123,{2},FALSE)+VLOOKUP('GIS Heat Input'!A138,'GIS Heat Input'!A128:M145,{2},FALSE)+VLOOKUP('GIS Heat Input'!A160,'GIS Heat Input'!A150:M167,{2},FALSE)+VLOOKUP('GIS Heat Input'!A182,'GIS Heat Input'!A172:M189,{2},FALSE)+VLOOKUP('GIS Heat Input'!A99,'GIS Heat Input'!A84:M101,{2},FALSE)+VLOOKUP('GIS Heat Input'!A121,'GIS Heat Input'!A106:M123,{2},FALSE)+VLOOKUP('GIS Heat Input'!A143,'GIS Heat Input'!A128:M145,{2},FALSE)+VLOOKUP('GIS Heat Input'!A165,'GIS Heat Input'!A150:M167,{2},FALSE)+VLOOKUP('GIS Heat Input'!A187,'GIS Heat Input'!A172:M189,{2},FALSE))*F285</f>
        <v>58872.354501833564</v>
      </c>
      <c r="C285" s="315">
        <f t="array" ref="C285">SUM(VLOOKUP('GIS Heat Input'!A204,'GIS Heat Input'!A194:G211,{2},FALSE)+VLOOKUP('GIS Heat Input'!A226,'GIS Heat Input'!A216:G233,{2},FALSE)+VLOOKUP('GIS Heat Input'!A248,'GIS Heat Input'!A238:G255,{2},FALSE)+VLOOKUP('GIS Heat Input'!A209,'GIS Heat Input'!A194:G211,{2},FALSE)+VLOOKUP('GIS Heat Input'!A231,'GIS Heat Input'!A216:G233,{2},FALSE)+VLOOKUP('GIS Heat Input'!A253,'GIS Heat Input'!A238:G255,{2},FALSE))*F285</f>
        <v>0</v>
      </c>
      <c r="D285" s="315">
        <f t="array" ref="D285">SUM(VLOOKUP('GIS Heat Input'!A94,'GIS Heat Input'!A84:M101,{3},FALSE)+VLOOKUP('GIS Heat Input'!A116,'GIS Heat Input'!A106:M123,{3},FALSE)+VLOOKUP('GIS Heat Input'!A138,'GIS Heat Input'!A128:M145,{3},FALSE)+VLOOKUP('GIS Heat Input'!A160,'GIS Heat Input'!A150:M167,{3},FALSE)+VLOOKUP('GIS Heat Input'!A182,'GIS Heat Input'!A172:M189,{3},FALSE)+VLOOKUP('GIS Heat Input'!A99,'GIS Heat Input'!A84:M101,{3},FALSE)+VLOOKUP('GIS Heat Input'!A121,'GIS Heat Input'!A106:M123,{3},FALSE)+VLOOKUP('GIS Heat Input'!A143,'GIS Heat Input'!A128:M145,{3},FALSE)+VLOOKUP('GIS Heat Input'!A165,'GIS Heat Input'!A150:M167,{3},FALSE)+VLOOKUP('GIS Heat Input'!A187,'GIS Heat Input'!A172:M189,{3},FALSE))*F285</f>
        <v>0</v>
      </c>
      <c r="E285" s="315">
        <f t="array" ref="E285">SUM(VLOOKUP('GIS Heat Input'!A72,'GIS Heat Input'!A62:M79,{2,4,6,8,10,12},FALSE)+VLOOKUP('GIS Heat Input'!A77,'GIS Heat Input'!A62:M79,{2,4,6,8,10,12},FALSE))*F285</f>
        <v>0</v>
      </c>
      <c r="F285" s="29">
        <f>1-F283</f>
        <v>0.44999549746874257</v>
      </c>
      <c r="G285" s="315">
        <f t="shared" si="3"/>
        <v>58872.354501833564</v>
      </c>
      <c r="H285" s="315"/>
    </row>
    <row r="286" spans="1:8" x14ac:dyDescent="0.4">
      <c r="A286" s="317" t="s">
        <v>4118</v>
      </c>
      <c r="B286" s="315">
        <f t="array" ref="B286">SUM(VLOOKUP('GIS Heat Input'!A85,'GIS Heat Input'!A84:M101,{2},FALSE)+VLOOKUP('GIS Heat Input'!A107,'GIS Heat Input'!A106:M123,{2},FALSE)+VLOOKUP('GIS Heat Input'!A129,'GIS Heat Input'!A128:M145,{2},FALSE)+VLOOKUP('GIS Heat Input'!A151,'GIS Heat Input'!A150:M167,{2},FALSE)+VLOOKUP('GIS Heat Input'!A173,'GIS Heat Input'!A172:M189,{2},FALSE)+VLOOKUP('GIS Heat Input'!A101,'GIS Heat Input'!A84:M101,{2},FALSE)+VLOOKUP('GIS Heat Input'!A123,'GIS Heat Input'!A106:M123,{2},FALSE)+VLOOKUP('GIS Heat Input'!A145,'GIS Heat Input'!A128:M145,{2},FALSE)+VLOOKUP('GIS Heat Input'!A167,'GIS Heat Input'!A150:M167,{2},FALSE)+VLOOKUP('GIS Heat Input'!A189,'GIS Heat Input'!A172:M189,{2},FALSE))</f>
        <v>12292096.066344909</v>
      </c>
      <c r="C286" s="315">
        <f t="array" ref="C286">SUM(VLOOKUP('GIS Heat Input'!A195,'GIS Heat Input'!A194:G211,{2},FALSE)+VLOOKUP('GIS Heat Input'!A217,'GIS Heat Input'!A216:G233,{2},FALSE)+VLOOKUP('GIS Heat Input'!A239,'GIS Heat Input'!A238:G255,{2},FALSE)+VLOOKUP('GIS Heat Input'!A211,'GIS Heat Input'!A194:G211,{2},FALSE)+VLOOKUP('GIS Heat Input'!A233,'GIS Heat Input'!A216:G233,{2},FALSE)+VLOOKUP('GIS Heat Input'!A253,'GIS Heat Input'!A238:G255,{2},FALSE))</f>
        <v>940749.21815552283</v>
      </c>
      <c r="D286" s="315">
        <f t="array" ref="D286">SUM(VLOOKUP('GIS Heat Input'!A85,'GIS Heat Input'!A84:M101,{3},FALSE)+VLOOKUP('GIS Heat Input'!A107,'GIS Heat Input'!A106:M123,{3},FALSE)+VLOOKUP('GIS Heat Input'!A129,'GIS Heat Input'!A128:M145,{3},FALSE)+VLOOKUP('GIS Heat Input'!A151,'GIS Heat Input'!A150:M167,{3},FALSE)+VLOOKUP('GIS Heat Input'!A173,'GIS Heat Input'!A172:M189,{3},FALSE)+VLOOKUP('GIS Heat Input'!A101,'GIS Heat Input'!A84:M101,{3},FALSE)+VLOOKUP('GIS Heat Input'!A123,'GIS Heat Input'!A106:M123,{3},FALSE)+VLOOKUP('GIS Heat Input'!A145,'GIS Heat Input'!A128:M145,{3},FALSE)+VLOOKUP('GIS Heat Input'!A167,'GIS Heat Input'!A150:M167,{3},FALSE)+VLOOKUP('GIS Heat Input'!A189,'GIS Heat Input'!A172:M189,{3},FALSE))</f>
        <v>73483.047045272324</v>
      </c>
      <c r="E286" s="315">
        <f t="array" ref="E286">SUM(VLOOKUP('GIS Heat Input'!A63,'GIS Heat Input'!A62:M79, {2,4,6,8,10,12}, FALSE)+VLOOKUP('GIS Heat Input'!A79,'GIS Heat Input'!A62:M79, {2,4,6,8,10,12},FALSE))</f>
        <v>1211161.1294493587</v>
      </c>
      <c r="G286" s="315">
        <f t="shared" si="3"/>
        <v>12095167.202096345</v>
      </c>
      <c r="H286" s="315"/>
    </row>
    <row r="287" spans="1:8" x14ac:dyDescent="0.4">
      <c r="A287" s="317" t="s">
        <v>3975</v>
      </c>
      <c r="B287" s="315">
        <f t="array" ref="B287">SUM(VLOOKUP('GIS Heat Input'!A84,'GIS Heat Input'!A84:M101,{2},FALSE)+VLOOKUP('GIS Heat Input'!A106,'GIS Heat Input'!A106:M123,{2},FALSE)+VLOOKUP('GIS Heat Input'!A128,'GIS Heat Input'!A128:M145,{2},FALSE)+VLOOKUP('GIS Heat Input'!A150,'GIS Heat Input'!A150:M167,{2},FALSE)+VLOOKUP('GIS Heat Input'!A172,'GIS Heat Input'!A172:M189,{2},FALSE)+VLOOKUP('GIS Heat Input'!A88,'GIS Heat Input'!A84:M101,{2},FALSE)+VLOOKUP('GIS Heat Input'!A110,'GIS Heat Input'!A106:M123,{2},FALSE)+VLOOKUP('GIS Heat Input'!A132,'GIS Heat Input'!A128:M145,{2},FALSE)+VLOOKUP('GIS Heat Input'!A154,'GIS Heat Input'!A150:M167,{2},FALSE)+VLOOKUP('GIS Heat Input'!A176,'GIS Heat Input'!A172:M189,{2},FALSE))</f>
        <v>0</v>
      </c>
      <c r="C287" s="315">
        <f t="array" ref="C287">SUM(VLOOKUP('GIS Heat Input'!A194,'GIS Heat Input'!A194:G211,{2},FALSE)+VLOOKUP('GIS Heat Input'!A216,'GIS Heat Input'!A216:G233,{2},FALSE)+VLOOKUP('GIS Heat Input'!A238,'GIS Heat Input'!A238:G255,{2},FALSE)+VLOOKUP('GIS Heat Input'!A198,'GIS Heat Input'!A194:G211,{2},FALSE)+VLOOKUP('GIS Heat Input'!A220,'GIS Heat Input'!A216:G233,{2},FALSE)+VLOOKUP('GIS Heat Input'!A242,'GIS Heat Input'!A238:G255,{2},FALSE))</f>
        <v>35349.425720628147</v>
      </c>
      <c r="D287" s="315">
        <f t="array" ref="D287">SUM(VLOOKUP('GIS Heat Input'!A84,'GIS Heat Input'!A84:M101,{3},FALSE)+VLOOKUP('GIS Heat Input'!A106,'GIS Heat Input'!A106:M123,{3},FALSE)+VLOOKUP('GIS Heat Input'!A128,'GIS Heat Input'!A128:M145,{3},FALSE)+VLOOKUP('GIS Heat Input'!A150,'GIS Heat Input'!A150:M167,{3},FALSE)+VLOOKUP('GIS Heat Input'!A172,'GIS Heat Input'!A172:M189,{3},FALSE)+VLOOKUP('GIS Heat Input'!A88,'GIS Heat Input'!A84:M101,{3},FALSE)+VLOOKUP('GIS Heat Input'!A110,'GIS Heat Input'!A106:M123,{3},FALSE)+VLOOKUP('GIS Heat Input'!A132,'GIS Heat Input'!A128:M145,{3},FALSE)+VLOOKUP('GIS Heat Input'!A154,'GIS Heat Input'!A150:M167,{3},FALSE)+VLOOKUP('GIS Heat Input'!A176,'GIS Heat Input'!A172:M189,{3},FALSE))</f>
        <v>61347.452711987717</v>
      </c>
      <c r="E287" s="315">
        <f t="array" ref="E287">SUM(VLOOKUP('GIS Heat Input'!A62,'GIS Heat Input'!A62:M79, {2,4,6,8,10,12}, FALSE)+VLOOKUP('GIS Heat Input'!A66,'GIS Heat Input'!A62:M79, {2,4,6,8,10,12}, FALSE))</f>
        <v>0</v>
      </c>
      <c r="G287" s="315">
        <f t="shared" si="3"/>
        <v>96696.878432615864</v>
      </c>
      <c r="H287" s="315"/>
    </row>
    <row r="288" spans="1:8" x14ac:dyDescent="0.4">
      <c r="A288" s="317" t="s">
        <v>11</v>
      </c>
      <c r="D288" s="319"/>
      <c r="G288" s="319"/>
      <c r="H288" s="315"/>
    </row>
    <row r="289" spans="1:8" x14ac:dyDescent="0.4">
      <c r="A289" s="8"/>
    </row>
    <row r="290" spans="1:8" x14ac:dyDescent="0.4">
      <c r="A290" s="4" t="s">
        <v>4120</v>
      </c>
    </row>
    <row r="291" spans="1:8" ht="80" x14ac:dyDescent="0.4">
      <c r="A291" s="311" t="s">
        <v>4109</v>
      </c>
      <c r="B291" s="312" t="s">
        <v>4110</v>
      </c>
      <c r="C291" s="312" t="s">
        <v>4111</v>
      </c>
      <c r="D291" s="312" t="s">
        <v>4112</v>
      </c>
      <c r="E291" s="312" t="s">
        <v>4113</v>
      </c>
      <c r="F291" s="312" t="s">
        <v>4114</v>
      </c>
      <c r="G291" s="312" t="s">
        <v>4115</v>
      </c>
      <c r="H291" s="312"/>
    </row>
    <row r="292" spans="1:8" x14ac:dyDescent="0.4">
      <c r="A292" s="317" t="s">
        <v>3996</v>
      </c>
      <c r="B292" s="315">
        <f t="array" ref="B292">SUM(VLOOKUP('GIS Heat Input'!A65,'GIS Heat Input'!$A$62:$M$79,{6},FALSE)+VLOOKUP('GIS Heat Input'!A87,'GIS Heat Input'!$A$84:$M$101,{6},FALSE)+VLOOKUP('GIS Heat Input'!A131,'GIS Heat Input'!$A$128:$M$145,{6},FALSE)+VLOOKUP('GIS Heat Input'!A153,'GIS Heat Input'!$A$150:$M$167,{6},FALSE)+VLOOKUP('GIS Heat Input'!A175,'GIS Heat Input'!$A$172:$M$189,{6},FALSE)+VLOOKUP('GIS Heat Input'!A75,'GIS Heat Input'!$A$62:$M$79,{6},FALSE)+VLOOKUP('GIS Heat Input'!A97,'GIS Heat Input'!$A$84:$M$101,{6},FALSE)+VLOOKUP('GIS Heat Input'!A141,'GIS Heat Input'!$A$128:$M$145,{6},FALSE)+VLOOKUP('GIS Heat Input'!A163,'GIS Heat Input'!$A$150:$M$167,{6},FALSE)+VLOOKUP('GIS Heat Input'!A185,'GIS Heat Input'!$A$172:$M$189,{6},FALSE))</f>
        <v>0</v>
      </c>
      <c r="C292" s="315">
        <f t="array" ref="C292">SUM(VLOOKUP('GIS Heat Input'!A197,'GIS Heat Input'!$A$194:$G$211,{4},FALSE)+VLOOKUP('GIS Heat Input'!A219,'GIS Heat Input'!$A$216:$G$233,{4},FALSE)+VLOOKUP('GIS Heat Input'!A241,'GIS Heat Input'!$A$238:$G$255,{4},FALSE)+VLOOKUP('GIS Heat Input'!A207,'GIS Heat Input'!$A$194:$G$211,{4},FALSE)+VLOOKUP('GIS Heat Input'!A229,'GIS Heat Input'!$A$216:$G$233,{4},FALSE)+VLOOKUP('GIS Heat Input'!A251,'GIS Heat Input'!$A$238:$G$255,{4},FALSE))</f>
        <v>0</v>
      </c>
      <c r="D292" s="315">
        <f t="array" ref="D292">SUM(VLOOKUP('GIS Heat Input'!A65,'GIS Heat Input'!$A$62:$M$79,{7},FALSE)+VLOOKUP('GIS Heat Input'!A87,'GIS Heat Input'!$A$84:$M$101,{7},FALSE)+VLOOKUP('GIS Heat Input'!A131,'GIS Heat Input'!$A$128:$M$145,{7},FALSE)+VLOOKUP('GIS Heat Input'!A153,'GIS Heat Input'!$A$150:$M$167,{7},FALSE)+VLOOKUP('GIS Heat Input'!A175,'GIS Heat Input'!$A$172:$M$189,{7},FALSE)+VLOOKUP('GIS Heat Input'!A75,'GIS Heat Input'!$A$62:$M$79,{7},FALSE)+VLOOKUP('GIS Heat Input'!A97,'GIS Heat Input'!$A$84:$M$101,{7},FALSE)+VLOOKUP('GIS Heat Input'!A141,'GIS Heat Input'!$A$128:$M$145,{7},FALSE)+VLOOKUP('GIS Heat Input'!A163,'GIS Heat Input'!$A$150:$M$167,{7},FALSE)+VLOOKUP('GIS Heat Input'!A185,'GIS Heat Input'!$A$172:$M$189,{7},FALSE))</f>
        <v>0</v>
      </c>
      <c r="E292" s="315">
        <f t="array" ref="E292">SUM(VLOOKUP('GIS Heat Input'!A109,'GIS Heat Input'!$A$106:$M$123, {2,4,6,8,10,12}, FALSE)+VLOOKUP('GIS Heat Input'!A119,'GIS Heat Input'!$A$106:$M$123, {2,4,6,8,10,12}, FALSE))</f>
        <v>0</v>
      </c>
      <c r="F292" s="316"/>
      <c r="G292" s="315">
        <f t="shared" ref="G292:G298" si="4">B292+C292+D292-E292</f>
        <v>0</v>
      </c>
      <c r="H292" s="315"/>
    </row>
    <row r="293" spans="1:8" x14ac:dyDescent="0.4">
      <c r="A293" s="317" t="s">
        <v>270</v>
      </c>
      <c r="B293" s="315">
        <f t="array" ref="B293">SUM(VLOOKUP('GIS Heat Input'!A73,'GIS Heat Input'!$A$62:$M$79,{6},FALSE)+VLOOKUP('GIS Heat Input'!A95,'GIS Heat Input'!$A$84:$M$101,{6},FALSE)+VLOOKUP('GIS Heat Input'!A139,'GIS Heat Input'!$A$128:$M$145,{6},FALSE)+VLOOKUP('GIS Heat Input'!A161,'GIS Heat Input'!$A$150:$M$167,{6},FALSE)+VLOOKUP('GIS Heat Input'!A183,'GIS Heat Input'!$A$172:$M$189,{6},FALSE))</f>
        <v>2250834.0956091867</v>
      </c>
      <c r="C293" s="315">
        <f t="array" ref="C293">SUM(VLOOKUP('GIS Heat Input'!A205,'GIS Heat Input'!$A$194:$G$211,{4},FALSE)+VLOOKUP('GIS Heat Input'!A227,'GIS Heat Input'!$A$216:$G$233,{4},FALSE)+VLOOKUP('GIS Heat Input'!A249,'GIS Heat Input'!$A$239:$G$255,{4},FALSE))</f>
        <v>0</v>
      </c>
      <c r="D293" s="315">
        <f t="array" ref="D293">SUM(VLOOKUP('GIS Heat Input'!A73,'GIS Heat Input'!$A$62:$M$79,{7},FALSE)+VLOOKUP('GIS Heat Input'!A95,'GIS Heat Input'!$A$84:$M$101,{7},FALSE)+VLOOKUP('GIS Heat Input'!A139,'GIS Heat Input'!$A$128:$M$145,{7},FALSE)+VLOOKUP('GIS Heat Input'!A161,'GIS Heat Input'!$A$150:$M$167,{7},FALSE)+VLOOKUP('GIS Heat Input'!A183,'GIS Heat Input'!$A$172:$M$189,{7},FALSE))</f>
        <v>0</v>
      </c>
      <c r="E293" s="315">
        <f t="array" ref="E293">SUM(VLOOKUP('GIS Heat Input'!A117,'GIS Heat Input'!$A$106:$M$123, {2,4,6,8,10,12}, FALSE))</f>
        <v>0</v>
      </c>
      <c r="G293" s="315">
        <f t="shared" si="4"/>
        <v>2250834.0956091867</v>
      </c>
      <c r="H293" s="315"/>
    </row>
    <row r="294" spans="1:8" x14ac:dyDescent="0.4">
      <c r="A294" s="317" t="s">
        <v>4116</v>
      </c>
      <c r="B294" s="315">
        <f t="array" ref="B294">SUM(VLOOKUP('GIS Heat Input'!A72,'GIS Heat Input'!$A$63:$M$80,{6},FALSE)+VLOOKUP('GIS Heat Input'!A95,'GIS Heat Input'!$A$85:$M$102,{6},FALSE)+VLOOKUP('GIS Heat Input'!A139,'GIS Heat Input'!$A$129:$M$468,{6},FALSE)+VLOOKUP('GIS Heat Input'!A160,'GIS Heat Input'!$A$151:$M$168,{6},FALSE)+VLOOKUP('GIS Heat Input'!A182,'GIS Heat Input'!$A$173:$M$190,{6},FALSE)+VLOOKUP('GIS Heat Input'!A77,'GIS Heat Input'!$A$63:$M$80,{6},FALSE)+VLOOKUP('GIS Heat Input'!A99,'GIS Heat Input'!$A$85:$M$102,{6},FALSE)+VLOOKUP('GIS Heat Input'!A143,'GIS Heat Input'!$A$129:$M$468,{6},FALSE)+VLOOKUP('GIS Heat Input'!A165,'GIS Heat Input'!$A$151:$M$168,{6},FALSE)+VLOOKUP('GIS Heat Input'!A187,'GIS Heat Input'!$A$173:$M$190,{6},FALSE))*F294</f>
        <v>2176167.7772624032</v>
      </c>
      <c r="C294" s="315">
        <f t="array" ref="C294">SUM(VLOOKUP('GIS Heat Input'!A204,'GIS Heat Input'!$A$195:$M$211,{6},FALSE)+VLOOKUP('GIS Heat Input'!A226,'GIS Heat Input'!$A$217:$M$233,{6},FALSE)+VLOOKUP('GIS Heat Input'!A248,'GIS Heat Input'!$A$239:$M$255,{6},FALSE)+VLOOKUP('GIS Heat Input'!A209,'GIS Heat Input'!$A$195:$M$211,{6},FALSE)+VLOOKUP('GIS Heat Input'!A231,'GIS Heat Input'!$A$217:$M$233,{6},FALSE)+VLOOKUP('GIS Heat Input'!A253,'GIS Heat Input'!$A$239:$M$255,{6},FALSE))*F294</f>
        <v>0</v>
      </c>
      <c r="D294" s="315">
        <f t="array" ref="D294">SUM(VLOOKUP('GIS Heat Input'!A72,'GIS Heat Input'!$A$63:$M$80,{7},FALSE)+VLOOKUP('GIS Heat Input'!A94,'GIS Heat Input'!$A$85:$M$102,{7},FALSE)+VLOOKUP('GIS Heat Input'!A138,'GIS Heat Input'!$A$129:$M$468,{7},FALSE)+VLOOKUP('GIS Heat Input'!A160,'GIS Heat Input'!$A$151:$M$168,{7},FALSE)+VLOOKUP('GIS Heat Input'!A182,'GIS Heat Input'!$A$173:$M$190,{7},FALSE)+VLOOKUP('GIS Heat Input'!A77,'GIS Heat Input'!$A$63:$M$80,{7},FALSE)+VLOOKUP('GIS Heat Input'!A99,'GIS Heat Input'!$A$85:$M$102,{7},FALSE)+VLOOKUP('GIS Heat Input'!A143,'GIS Heat Input'!$A$129:$M$468,{7},FALSE)+VLOOKUP('GIS Heat Input'!A165,'GIS Heat Input'!$A$151:$M$168,{7},FALSE)+VLOOKUP('GIS Heat Input'!A187,'GIS Heat Input'!$A$173:$M$190,{7},FALSE))*F294</f>
        <v>0</v>
      </c>
      <c r="E294" s="315">
        <f t="array" ref="E294">SUM(VLOOKUP('GIS Heat Input'!A116,'GIS Heat Input'!$A$107:$M$124, {2,4,6,8,10,12}, FALSE)+VLOOKUP('GIS Heat Input'!A121,'GIS Heat Input'!$A$107:$M$124, {2,4,6,8,10,12}, FALSE))*F294</f>
        <v>0</v>
      </c>
      <c r="F294" s="29">
        <f>'EIA Form 923'!B$3092</f>
        <v>0.55000450253125743</v>
      </c>
      <c r="G294" s="315">
        <f t="shared" si="4"/>
        <v>2176167.7772624032</v>
      </c>
      <c r="H294" s="315"/>
    </row>
    <row r="295" spans="1:8" x14ac:dyDescent="0.4">
      <c r="A295" s="317" t="s">
        <v>251</v>
      </c>
      <c r="B295" s="315">
        <f t="array" ref="B295">SUM(VLOOKUP('GIS Heat Input'!A71,'GIS Heat Input'!$A$63:$M$80,{6},FALSE)+VLOOKUP('GIS Heat Input'!A93,'GIS Heat Input'!$A$85:$M$102,{6},FALSE)+VLOOKUP('GIS Heat Input'!A137,'GIS Heat Input'!$A$129:$M$468,{6},FALSE)+VLOOKUP('GIS Heat Input'!A159,'GIS Heat Input'!$A$151:$M$168,{6},FALSE)+VLOOKUP('GIS Heat Input'!A181,'GIS Heat Input'!$A$173:$M$190,{6},FALSE))</f>
        <v>38658.425431820157</v>
      </c>
      <c r="C295" s="315" cm="1">
        <f t="array" ref="C295">SUM(VLOOKUP('GIS Heat Input'!A203,'GIS Heat Input'!$A$194:$G$211,{4},FALSE)+VLOOKUP('GIS Heat Input'!A225,'GIS Heat Input'!$A$216:$G$233,{4},FALSE)+VLOOKUP('GIS Heat Input'!A247,'GIS Heat Input'!$A$238:$G$255,{4},FALSE))</f>
        <v>33699.403904170947</v>
      </c>
      <c r="D295" s="315">
        <f t="array" ref="D295">SUM(VLOOKUP('GIS Heat Input'!A71,'GIS Heat Input'!$A$63:$M$80,{7},FALSE)+VLOOKUP('GIS Heat Input'!A93,'GIS Heat Input'!$A$85:$M$102,{7},FALSE)+VLOOKUP('GIS Heat Input'!A137,'GIS Heat Input'!$A$129:$M$468,{7},FALSE)+VLOOKUP('GIS Heat Input'!A159,'GIS Heat Input'!$A$151:$M$168,{7},FALSE)+VLOOKUP('GIS Heat Input'!A181,'GIS Heat Input'!$A$173:$M$190,{7},FALSE))</f>
        <v>0</v>
      </c>
      <c r="E295" s="315">
        <f t="array" ref="E295">SUM(VLOOKUP('GIS Heat Input'!A115,'GIS Heat Input'!$A$107:$M$124, {2,4,6,8,10,12}, FALSE))</f>
        <v>204727.78894745422</v>
      </c>
      <c r="F295" s="29"/>
      <c r="G295" s="315">
        <f t="shared" si="4"/>
        <v>-132369.95961146313</v>
      </c>
      <c r="H295" s="315"/>
    </row>
    <row r="296" spans="1:8" x14ac:dyDescent="0.4">
      <c r="A296" s="317" t="s">
        <v>4117</v>
      </c>
      <c r="B296" s="315">
        <f t="array" ref="B296">SUM(VLOOKUP('GIS Heat Input'!A72,'GIS Heat Input'!$A$62:$M$79,{6},FALSE)+VLOOKUP('GIS Heat Input'!A94,'GIS Heat Input'!$A$84:$M$101,{6},FALSE)+VLOOKUP('GIS Heat Input'!A138,'GIS Heat Input'!$A$128:$M$145,{6},FALSE)+VLOOKUP('GIS Heat Input'!A160,'GIS Heat Input'!$A$150:$M$167,{6},FALSE)+VLOOKUP('GIS Heat Input'!A182,'GIS Heat Input'!$A$172:$M$189,{6},FALSE)+VLOOKUP('GIS Heat Input'!A77,'GIS Heat Input'!$A$62:$M$79,{6},FALSE)+VLOOKUP('GIS Heat Input'!A99,'GIS Heat Input'!$A$84:$M$101,{6},FALSE)+VLOOKUP('GIS Heat Input'!A143,'GIS Heat Input'!$A$128:$M$145,{6},FALSE)+VLOOKUP('GIS Heat Input'!A165,'GIS Heat Input'!$A$150:$M$167,{6},FALSE)+VLOOKUP('GIS Heat Input'!A187,'GIS Heat Input'!$A$172:$M$189,{6},FALSE))*F296</f>
        <v>767603.30940762395</v>
      </c>
      <c r="C296" s="315">
        <f t="array" ref="C296">SUM(VLOOKUP('GIS Heat Input'!A204,'GIS Heat Input'!$A$194:$G$211,{4},FALSE)+VLOOKUP('GIS Heat Input'!A226,'GIS Heat Input'!$A$216:$G$233,{4},FALSE)+VLOOKUP('GIS Heat Input'!A248,'GIS Heat Input'!$A$238:$G$255,{4},FALSE)+VLOOKUP('GIS Heat Input'!A209,'GIS Heat Input'!$A$194:$G$211,{4},FALSE)+VLOOKUP('GIS Heat Input'!A231,'GIS Heat Input'!$A$216:$G$233,{4},FALSE)+VLOOKUP('GIS Heat Input'!A253,'GIS Heat Input'!$A$238:$G$255,{4},FALSE))*F296</f>
        <v>0</v>
      </c>
      <c r="D296" s="315">
        <f t="array" ref="D296">SUM(VLOOKUP('GIS Heat Input'!A72,'GIS Heat Input'!$A$62:$M$79,{7},FALSE)+VLOOKUP('GIS Heat Input'!A94,'GIS Heat Input'!$A$84:$M$101,{7},FALSE)+VLOOKUP('GIS Heat Input'!A138,'GIS Heat Input'!$A$128:$M$145,{7},FALSE)+VLOOKUP('GIS Heat Input'!A160,'GIS Heat Input'!$A$150:$M$167,{7},FALSE)+VLOOKUP('GIS Heat Input'!A182,'GIS Heat Input'!$A$172:$M$189,{7},FALSE)+VLOOKUP('GIS Heat Input'!A77,'GIS Heat Input'!$A$62:$M$79,{7},FALSE)+VLOOKUP('GIS Heat Input'!A99,'GIS Heat Input'!$A$84:$M$101,{7},FALSE)+VLOOKUP('GIS Heat Input'!A143,'GIS Heat Input'!$A$128:$M$145,{7},FALSE)+VLOOKUP('GIS Heat Input'!A165,'GIS Heat Input'!$A$150:$M$167,{7},FALSE)+VLOOKUP('GIS Heat Input'!A187,'GIS Heat Input'!$A$172:$M$189,{7},FALSE))*F296</f>
        <v>0</v>
      </c>
      <c r="E296" s="315">
        <f t="array" ref="E296">SUM(VLOOKUP('GIS Heat Input'!A116,'GIS Heat Input'!$A$106:$M$123, {2,4,6,8,10,12}, FALSE)+VLOOKUP('GIS Heat Input'!A121,'GIS Heat Input'!$A$106:$M$123, {2,4,6,8,10,12}, FALSE))*F296</f>
        <v>0</v>
      </c>
      <c r="F296" s="29">
        <f>1-F294</f>
        <v>0.44999549746874257</v>
      </c>
      <c r="G296" s="315">
        <f t="shared" si="4"/>
        <v>767603.30940762395</v>
      </c>
      <c r="H296" s="315"/>
    </row>
    <row r="297" spans="1:8" x14ac:dyDescent="0.4">
      <c r="A297" s="317" t="s">
        <v>4118</v>
      </c>
      <c r="B297" s="315">
        <f t="array" ref="B297">SUM(VLOOKUP('GIS Heat Input'!A63,'GIS Heat Input'!$A$62:$M$79,{6},FALSE)+VLOOKUP('GIS Heat Input'!A85,'GIS Heat Input'!$A$84:$M$101,{6},FALSE)+VLOOKUP('GIS Heat Input'!A129,'GIS Heat Input'!$A$128:$M$145,{6},FALSE)+VLOOKUP('GIS Heat Input'!A151,'GIS Heat Input'!$A$150:$M$167,{6},FALSE)+VLOOKUP('GIS Heat Input'!A173,'GIS Heat Input'!$A$172:$M$189,{6},FALSE)+VLOOKUP('GIS Heat Input'!A79,'GIS Heat Input'!$A$62:$M$79,{6},FALSE)+VLOOKUP('GIS Heat Input'!A101,'GIS Heat Input'!$A$84:$M$101,{6},FALSE)+VLOOKUP('GIS Heat Input'!A145,'GIS Heat Input'!$A$128:$M$145,{6},FALSE)+VLOOKUP('GIS Heat Input'!A167,'GIS Heat Input'!$A$150:$M$167,{6},FALSE)+VLOOKUP('GIS Heat Input'!A189,'GIS Heat Input'!$A$172:$M$189,{6},FALSE))</f>
        <v>1333600.7843044987</v>
      </c>
      <c r="C297" s="315">
        <f t="array" ref="C297">SUM(VLOOKUP('GIS Heat Input'!A195,'GIS Heat Input'!$A$194:$G$211,{4},FALSE)+VLOOKUP('GIS Heat Input'!A217,'GIS Heat Input'!$A$216:$G$233,{4},FALSE)+VLOOKUP('GIS Heat Input'!A239,'GIS Heat Input'!$A$238:$G$255,{4},FALSE)+VLOOKUP('GIS Heat Input'!A211,'GIS Heat Input'!$A$194:$G$211,{4},FALSE)+VLOOKUP('GIS Heat Input'!A233,'GIS Heat Input'!$A$216:$G$233,{4},FALSE)+VLOOKUP('GIS Heat Input'!A255,'GIS Heat Input'!$A$238:$G$255,{4},FALSE))</f>
        <v>563799.44467428047</v>
      </c>
      <c r="D297" s="315">
        <f t="array" ref="D297">SUM(VLOOKUP('GIS Heat Input'!A63,'GIS Heat Input'!$A$62:$M$79,{7},FALSE)+VLOOKUP('GIS Heat Input'!A85,'GIS Heat Input'!$A$84:$M$101,{7},FALSE)+VLOOKUP('GIS Heat Input'!A129,'GIS Heat Input'!$A$128:$M$145,{7},FALSE)+VLOOKUP('GIS Heat Input'!A151,'GIS Heat Input'!$A$150:$M$167,{7},FALSE)+VLOOKUP('GIS Heat Input'!A173,'GIS Heat Input'!$A$172:$M$189,{7},FALSE)+VLOOKUP('GIS Heat Input'!A79,'GIS Heat Input'!$A$62:$M$79,{7},FALSE)+VLOOKUP('GIS Heat Input'!A101,'GIS Heat Input'!$A$84:$M$101,{7},FALSE)+VLOOKUP('GIS Heat Input'!A145,'GIS Heat Input'!$A$128:$M$145,{7},FALSE)+VLOOKUP('GIS Heat Input'!A167,'GIS Heat Input'!$A$150:$M$167,{7},FALSE)+VLOOKUP('GIS Heat Input'!A189,'GIS Heat Input'!$A$172:$M$189,{7},FALSE))</f>
        <v>0</v>
      </c>
      <c r="E297" s="315">
        <f t="array" ref="E297">SUM(VLOOKUP('GIS Heat Input'!A107,'GIS Heat Input'!$A$106:$M$123, {2,4,6,8,10,12}, FALSE)+VLOOKUP('GIS Heat Input'!A123,'GIS Heat Input'!$A$106:$M$123, {2,4,6,8,10,12}, FALSE))</f>
        <v>5969724.9545324463</v>
      </c>
      <c r="G297" s="315">
        <f t="shared" si="4"/>
        <v>-4072324.7255536672</v>
      </c>
      <c r="H297" s="315"/>
    </row>
    <row r="298" spans="1:8" x14ac:dyDescent="0.4">
      <c r="A298" s="317" t="s">
        <v>3975</v>
      </c>
      <c r="B298" s="315">
        <f t="array" ref="B298">SUM(VLOOKUP('GIS Heat Input'!A62,'GIS Heat Input'!$A$62:$M$79,{6},FALSE)+VLOOKUP('GIS Heat Input'!A84,'GIS Heat Input'!$A$84:$M$101,{6},FALSE)+VLOOKUP('GIS Heat Input'!A128,'GIS Heat Input'!$A$128:$M$145,{6},FALSE)+VLOOKUP('GIS Heat Input'!A150,'GIS Heat Input'!$A$150:$M$167,{6},FALSE)+VLOOKUP('GIS Heat Input'!A172,'GIS Heat Input'!$A$172:$M$189,{6},FALSE)+VLOOKUP('GIS Heat Input'!A66,'GIS Heat Input'!$A$62:$M$79,{6},FALSE)+VLOOKUP('GIS Heat Input'!A88,'GIS Heat Input'!$A$84:$M$101,{6},FALSE)+VLOOKUP('GIS Heat Input'!A132,'GIS Heat Input'!$A$128:$M$145,{6},FALSE)+VLOOKUP('GIS Heat Input'!A154,'GIS Heat Input'!$A$150:$M$167,{6},FALSE)+VLOOKUP('GIS Heat Input'!A173,'GIS Heat Input'!$A$172:$M$189,{6},FALSE))</f>
        <v>0</v>
      </c>
      <c r="C298" s="315">
        <f t="array" ref="C298">SUM(VLOOKUP('GIS Heat Input'!A194,'GIS Heat Input'!$A$194:$G$211,{4},FALSE)+VLOOKUP('GIS Heat Input'!A216,'GIS Heat Input'!$A$216:$G$233,{4},FALSE)+VLOOKUP('GIS Heat Input'!A238,'GIS Heat Input'!$A$238:$G$255,{4},FALSE)+VLOOKUP('GIS Heat Input'!A198,'GIS Heat Input'!$A$194:$G$211,{4},FALSE)+VLOOKUP('GIS Heat Input'!A220,'GIS Heat Input'!$A$216:$G$233,{4},FALSE)+VLOOKUP('GIS Heat Input'!A242,'GIS Heat Input'!$A$238:$G$255,{4},FALSE))</f>
        <v>0</v>
      </c>
      <c r="D298" s="315">
        <f t="array" ref="D298">SUM(VLOOKUP('GIS Heat Input'!A62,'GIS Heat Input'!$A$62:$M$79,{7},FALSE)+VLOOKUP('GIS Heat Input'!A84,'GIS Heat Input'!$A$84:$M$101,{7},FALSE)+VLOOKUP('GIS Heat Input'!A128,'GIS Heat Input'!$A$128:$M$145,{7},FALSE)+VLOOKUP('GIS Heat Input'!A150,'GIS Heat Input'!$A$150:$M$167,{7},FALSE)+VLOOKUP('GIS Heat Input'!A172,'GIS Heat Input'!$A$172:$M$189,{7},FALSE)+VLOOKUP('GIS Heat Input'!A66,'GIS Heat Input'!$A$62:$M$79,{7},FALSE)+VLOOKUP('GIS Heat Input'!A88,'GIS Heat Input'!$A$84:$M$101,{7},FALSE)+VLOOKUP('GIS Heat Input'!A132,'GIS Heat Input'!$A$128:$M$145,{7},FALSE)+VLOOKUP('GIS Heat Input'!A154,'GIS Heat Input'!$A$150:$M$167,{7},FALSE)+VLOOKUP('GIS Heat Input'!A176,'GIS Heat Input'!$A$172:$M$189,{7},FALSE))</f>
        <v>0</v>
      </c>
      <c r="E298" s="315">
        <f t="array" ref="E298">SUM(VLOOKUP('GIS Heat Input'!A106,'GIS Heat Input'!$A$106:$M$123, {2,4,6,8,10,12}, FALSE)+VLOOKUP('GIS Heat Input'!A110,'GIS Heat Input'!$A$106:$M$123, {2,4,6,8,10,12}, FALSE))</f>
        <v>152550.48008476879</v>
      </c>
      <c r="G298" s="315">
        <f t="shared" si="4"/>
        <v>-152550.48008476879</v>
      </c>
      <c r="H298" s="315"/>
    </row>
    <row r="299" spans="1:8" x14ac:dyDescent="0.4">
      <c r="A299" s="317" t="s">
        <v>11</v>
      </c>
      <c r="D299" s="319"/>
      <c r="F299" s="29"/>
      <c r="G299" s="319"/>
      <c r="H299" s="315"/>
    </row>
    <row r="300" spans="1:8" x14ac:dyDescent="0.4">
      <c r="A300" s="8"/>
    </row>
    <row r="301" spans="1:8" x14ac:dyDescent="0.4">
      <c r="A301" s="4" t="s">
        <v>4121</v>
      </c>
    </row>
    <row r="302" spans="1:8" ht="80" x14ac:dyDescent="0.4">
      <c r="A302" s="311" t="s">
        <v>4109</v>
      </c>
      <c r="B302" s="312" t="s">
        <v>4110</v>
      </c>
      <c r="C302" s="312" t="s">
        <v>4111</v>
      </c>
      <c r="D302" s="312" t="s">
        <v>4112</v>
      </c>
      <c r="E302" s="312" t="s">
        <v>4113</v>
      </c>
      <c r="F302" s="312" t="s">
        <v>4114</v>
      </c>
      <c r="G302" s="312" t="s">
        <v>4115</v>
      </c>
      <c r="H302" s="312"/>
    </row>
    <row r="303" spans="1:8" x14ac:dyDescent="0.4">
      <c r="A303" s="317" t="s">
        <v>3996</v>
      </c>
      <c r="B303" s="315">
        <f t="array" ref="B303">SUM(VLOOKUP('GIS Heat Input'!A65,'GIS Heat Input'!$A$62:$M$79,{8},FALSE)+VLOOKUP('GIS Heat Input'!A87,'GIS Heat Input'!$A$84:$M$101,{8},FALSE)+VLOOKUP('GIS Heat Input'!A109,'GIS Heat Input'!$A$106:$M$123,{8},FALSE)+VLOOKUP('GIS Heat Input'!A153,'GIS Heat Input'!$A$150:$M$167,{8},FALSE)+VLOOKUP('GIS Heat Input'!A175,'GIS Heat Input'!$A$172:$M$189,{8},FALSE)+VLOOKUP('GIS Heat Input'!A75,'GIS Heat Input'!$A$62:$M$79,{8},FALSE)+VLOOKUP('GIS Heat Input'!A97,'GIS Heat Input'!$A$84:$M$101,{8},FALSE)+VLOOKUP('GIS Heat Input'!A119,'GIS Heat Input'!$A$106:$M$123,{8},FALSE)+VLOOKUP('GIS Heat Input'!A163,'GIS Heat Input'!$A$150:$M$167,{8},FALSE)+VLOOKUP('GIS Heat Input'!A185,'GIS Heat Input'!$A$172:$M$189,{8},FALSE))</f>
        <v>0</v>
      </c>
      <c r="C303" s="315">
        <f t="array" ref="C303">SUM(VLOOKUP('GIS Heat Input'!A197,'GIS Heat Input'!$A$194:$G$211,{5},FALSE)+VLOOKUP('GIS Heat Input'!A219,'GIS Heat Input'!$A$216:$G$233,{5},FALSE)+VLOOKUP('GIS Heat Input'!A241,'GIS Heat Input'!$A$238:$G$255,{5},FALSE)+VLOOKUP('GIS Heat Input'!A207,'GIS Heat Input'!$A$194:$G$211,{5},FALSE)+VLOOKUP('GIS Heat Input'!A229,'GIS Heat Input'!$A$216:$G$233,{5},FALSE)+VLOOKUP('GIS Heat Input'!A251,'GIS Heat Input'!$A$238:$G$255,{5},FALSE))</f>
        <v>0</v>
      </c>
      <c r="D303" s="315">
        <f t="array" ref="D303">SUM(VLOOKUP('GIS Heat Input'!A65,'GIS Heat Input'!$A$62:$M$79,{9},FALSE)+VLOOKUP('GIS Heat Input'!A87,'GIS Heat Input'!$A$84:$M$101,{9},FALSE)+VLOOKUP('GIS Heat Input'!A109,'GIS Heat Input'!$A$106:$M$123,{9},FALSE)+VLOOKUP('GIS Heat Input'!A153,'GIS Heat Input'!$A$150:$M$167,{9},FALSE)+VLOOKUP('GIS Heat Input'!A175,'GIS Heat Input'!$A$172:$M$189,{9},FALSE)+VLOOKUP('GIS Heat Input'!A75,'GIS Heat Input'!$A$62:$M$79,{9},FALSE)+VLOOKUP('GIS Heat Input'!A97,'GIS Heat Input'!$A$84:$M$101,{9},FALSE)+VLOOKUP('GIS Heat Input'!A119,'GIS Heat Input'!$A$106:$M$123,{9},FALSE)+VLOOKUP('GIS Heat Input'!A163,'GIS Heat Input'!$A$150:$M$167,{9},FALSE)+VLOOKUP('GIS Heat Input'!A185,'GIS Heat Input'!$A$172:$M$189,{9},FALSE))</f>
        <v>0</v>
      </c>
      <c r="E303" s="315">
        <f t="array" ref="E303">SUM(VLOOKUP('GIS Heat Input'!A131,'GIS Heat Input'!$A$128:$M$145, {2,4,6,8,10,12}, FALSE)+VLOOKUP('GIS Heat Input'!A141,'GIS Heat Input'!$A$128:$M$145, {2,4,6,8,10,12}, FALSE))</f>
        <v>0</v>
      </c>
      <c r="F303" s="316"/>
      <c r="G303" s="315">
        <f t="shared" ref="G303:G309" si="5">B303+C303+D303-E303</f>
        <v>0</v>
      </c>
      <c r="H303" s="315"/>
    </row>
    <row r="304" spans="1:8" x14ac:dyDescent="0.4">
      <c r="A304" s="317" t="s">
        <v>270</v>
      </c>
      <c r="B304" s="315">
        <f t="array" ref="B304">SUM(VLOOKUP('GIS Heat Input'!A73,'GIS Heat Input'!$A$62:$M$79,{8},FALSE)+VLOOKUP('GIS Heat Input'!A95,'GIS Heat Input'!$A$84:$M$101,{8},FALSE)+VLOOKUP('GIS Heat Input'!A117,'GIS Heat Input'!$A$106:$M$123,{8},FALSE)+VLOOKUP('GIS Heat Input'!A161,'GIS Heat Input'!$A$150:$M$167,{8},FALSE)+VLOOKUP('GIS Heat Input'!A183,'GIS Heat Input'!$A$172:$M$189,{8},FALSE))</f>
        <v>0</v>
      </c>
      <c r="C304" s="315">
        <f t="array" ref="C304">SUM(VLOOKUP('GIS Heat Input'!A205,'GIS Heat Input'!$A$194:$G$211,{5},FALSE)+VLOOKUP('GIS Heat Input'!A227,'GIS Heat Input'!$A$216:$G$233,{5},FALSE)+VLOOKUP('GIS Heat Input'!A249,'GIS Heat Input'!$A$238:$G$255,{5},FALSE))</f>
        <v>0</v>
      </c>
      <c r="D304" s="315">
        <f t="array" ref="D304">SUM(VLOOKUP('GIS Heat Input'!A73,'GIS Heat Input'!$A$62:$M$79,{9},FALSE)+VLOOKUP('GIS Heat Input'!A95,'GIS Heat Input'!$A$84:$M$101,{9},FALSE)+VLOOKUP('GIS Heat Input'!A117,'GIS Heat Input'!$A$106:$M$123,{9},FALSE)+VLOOKUP('GIS Heat Input'!A161,'GIS Heat Input'!$A$150:$M$167,{9},FALSE)+VLOOKUP('GIS Heat Input'!A183,'GIS Heat Input'!$A$172:$M$189,{9},FALSE))</f>
        <v>0</v>
      </c>
      <c r="E304" s="315">
        <f t="array" ref="E304">SUM(VLOOKUP('GIS Heat Input'!A139,'GIS Heat Input'!$A$128:$M$145, {2,4,6,8,10,12}, FALSE))</f>
        <v>0</v>
      </c>
      <c r="G304" s="315">
        <f t="shared" si="5"/>
        <v>0</v>
      </c>
      <c r="H304" s="315"/>
    </row>
    <row r="305" spans="1:8" x14ac:dyDescent="0.4">
      <c r="A305" s="317" t="s">
        <v>4116</v>
      </c>
      <c r="B305" s="315">
        <f t="array" ref="B305">SUM(VLOOKUP('GIS Heat Input'!A72,'GIS Heat Input'!$A$62:$M$79,{8},FALSE)+VLOOKUP('GIS Heat Input'!A94,'GIS Heat Input'!$A$84:$M$101,{8},FALSE)+VLOOKUP('GIS Heat Input'!A116,'GIS Heat Input'!$A$106:$M$123,{8},FALSE)+VLOOKUP('GIS Heat Input'!A160,'GIS Heat Input'!$A$150:$M$167,{8},FALSE)+VLOOKUP('GIS Heat Input'!A182,'GIS Heat Input'!$A$172:$M$189,{8},FALSE)+VLOOKUP('GIS Heat Input'!A77,'GIS Heat Input'!$A$62:$M$79,{8},FALSE)+VLOOKUP('GIS Heat Input'!A99,'GIS Heat Input'!$A$84:$M$101,{8},FALSE)+VLOOKUP('GIS Heat Input'!A121,'GIS Heat Input'!$A$106:$M$123,{8},FALSE)+VLOOKUP('GIS Heat Input'!A165,'GIS Heat Input'!$A$150:$M$167,{8},FALSE)+VLOOKUP('GIS Heat Input'!A187,'GIS Heat Input'!$A$172:$M$189,{8},FALSE))*F305</f>
        <v>0</v>
      </c>
      <c r="C305" s="315">
        <f t="array" ref="C305">SUM(VLOOKUP('GIS Heat Input'!A204,'GIS Heat Input'!$A$194:$G$211,{5},FALSE)+VLOOKUP('GIS Heat Input'!A226,'GIS Heat Input'!$A$216:$G$233,{5},FALSE)+VLOOKUP('GIS Heat Input'!A248,'GIS Heat Input'!$A$238:$G$255,{5},FALSE)+VLOOKUP('GIS Heat Input'!A209,'GIS Heat Input'!$A$194:$G$211,{5},FALSE)+VLOOKUP('GIS Heat Input'!A231,'GIS Heat Input'!$A$216:$G$233,{5},FALSE)+VLOOKUP('GIS Heat Input'!A253,'GIS Heat Input'!$A$240:$G$255,{5},FALSE))*F305</f>
        <v>0</v>
      </c>
      <c r="D305" s="315">
        <f t="array" ref="D305">SUM(VLOOKUP('GIS Heat Input'!A72,'GIS Heat Input'!$A$62:$M$79,{9},FALSE)+VLOOKUP('GIS Heat Input'!A94,'GIS Heat Input'!$A$84:$M$101,{9},FALSE)+VLOOKUP('GIS Heat Input'!A116,'GIS Heat Input'!$A$106:$M$123,{9},FALSE)+VLOOKUP('GIS Heat Input'!A160,'GIS Heat Input'!$A$150:$M$167,{9},FALSE)+VLOOKUP('GIS Heat Input'!A182,'GIS Heat Input'!$A$172:$M$189,{9},FALSE)+VLOOKUP('GIS Heat Input'!A77,'GIS Heat Input'!$A$62:$M$79,{9},FALSE)+VLOOKUP('GIS Heat Input'!A99,'GIS Heat Input'!$A$84:$M$101,{9},FALSE)+VLOOKUP('GIS Heat Input'!A121,'GIS Heat Input'!$A$106:$M$123,{9},FALSE)+VLOOKUP('GIS Heat Input'!A165,'GIS Heat Input'!$A$150:$M$167,{9},FALSE)+VLOOKUP('GIS Heat Input'!A187,'GIS Heat Input'!$A$172:$M$189,{9},FALSE))*F305</f>
        <v>0</v>
      </c>
      <c r="E305" s="315">
        <f t="array" ref="E305">SUM(VLOOKUP('GIS Heat Input'!A138,'GIS Heat Input'!$A$128:$M$145, {2,4,6,8,10,12}, FALSE)+VLOOKUP('GIS Heat Input'!A143,'GIS Heat Input'!$A$128:$M$145, {2,4,6,8,10,12}, FALSE))*F305</f>
        <v>1023009.5314329144</v>
      </c>
      <c r="F305" s="29">
        <f>'EIA Form 923'!B$3092</f>
        <v>0.55000450253125743</v>
      </c>
      <c r="G305" s="315">
        <f t="shared" si="5"/>
        <v>-1023009.5314329144</v>
      </c>
      <c r="H305" s="315"/>
    </row>
    <row r="306" spans="1:8" x14ac:dyDescent="0.4">
      <c r="A306" s="317" t="s">
        <v>251</v>
      </c>
      <c r="B306" s="315">
        <f t="array" ref="B306">SUM(VLOOKUP('GIS Heat Input'!A71,'GIS Heat Input'!$A$62:$M$79,{8},FALSE)+VLOOKUP('GIS Heat Input'!A93,'GIS Heat Input'!$A$84:$M$101,{8},FALSE)+VLOOKUP('GIS Heat Input'!A115,'GIS Heat Input'!$A$106:$M$123,{8},FALSE)+VLOOKUP('GIS Heat Input'!A159,'GIS Heat Input'!$A$150:$M$167,{8},FALSE)+VLOOKUP('GIS Heat Input'!A181,'GIS Heat Input'!$A$172:$M$189,{8},FALSE))</f>
        <v>73873.025763247017</v>
      </c>
      <c r="C306" s="315">
        <f t="array" ref="C306">SUM(VLOOKUP('GIS Heat Input'!A203,'GIS Heat Input'!$A$194:$G$211,{5},FALSE)+VLOOKUP('GIS Heat Input'!A225,'GIS Heat Input'!$A$216:$G$233,{5},FALSE)+VLOOKUP('GIS Heat Input'!A247,'GIS Heat Input'!$A$238:$G$255,{5},FALSE))</f>
        <v>363818.35204397549</v>
      </c>
      <c r="D306" s="315">
        <f t="array" ref="D306">SUM(VLOOKUP('GIS Heat Input'!A71,'GIS Heat Input'!$A$62:$M$79,{9},FALSE)+VLOOKUP('GIS Heat Input'!A93,'GIS Heat Input'!$A$84:$M$101,{9},FALSE)+VLOOKUP('GIS Heat Input'!A115,'GIS Heat Input'!$A$106:$M$123,{9},FALSE)+VLOOKUP('GIS Heat Input'!A159,'GIS Heat Input'!$A$150:$M$167,{9},FALSE)+VLOOKUP('GIS Heat Input'!A181,'GIS Heat Input'!$A$172:$M$189,{9},FALSE))</f>
        <v>20062.327745570241</v>
      </c>
      <c r="E306" s="315">
        <f t="array" ref="E306">SUM(VLOOKUP('GIS Heat Input'!A137,'GIS Heat Input'!$A$128:$M$145, {2,4,6,8,10,12}, FALSE))</f>
        <v>1137601.826716431</v>
      </c>
      <c r="F306" s="29"/>
      <c r="G306" s="315">
        <f t="shared" si="5"/>
        <v>-679848.12116363819</v>
      </c>
      <c r="H306" s="315"/>
    </row>
    <row r="307" spans="1:8" x14ac:dyDescent="0.4">
      <c r="A307" s="317" t="s">
        <v>4117</v>
      </c>
      <c r="B307" s="315">
        <f t="array" ref="B307">SUM(VLOOKUP('GIS Heat Input'!A72,'GIS Heat Input'!$A$62:$M$79,{8},FALSE)+VLOOKUP('GIS Heat Input'!A94,'GIS Heat Input'!$A$84:$M$101,{8},FALSE)+VLOOKUP('GIS Heat Input'!A116,'GIS Heat Input'!$A$106:$M$123,{8},FALSE)+VLOOKUP('GIS Heat Input'!A160,'GIS Heat Input'!$A$150:$M$167,{8},FALSE)+VLOOKUP('GIS Heat Input'!A182,'GIS Heat Input'!$A$172:$M$189,{8},FALSE)+VLOOKUP('GIS Heat Input'!A77,'GIS Heat Input'!$A$62:$M$79,{8},FALSE)+VLOOKUP('GIS Heat Input'!A99,'GIS Heat Input'!$A$84:$M$101,{8},FALSE)+VLOOKUP('GIS Heat Input'!A121,'GIS Heat Input'!$A$106:$M$123,{8},FALSE)+VLOOKUP('GIS Heat Input'!A165,'GIS Heat Input'!$A$150:$M$167,{8},FALSE)+VLOOKUP('GIS Heat Input'!A187,'GIS Heat Input'!$A$172:$M$189,{8},FALSE))*F307</f>
        <v>0</v>
      </c>
      <c r="C307" s="315">
        <f t="array" ref="C307">SUM(VLOOKUP('GIS Heat Input'!A204,'GIS Heat Input'!$A$194:$G$211,{5},FALSE)+VLOOKUP('GIS Heat Input'!A226,'GIS Heat Input'!$A$216:$G$233,{5},FALSE)+VLOOKUP('GIS Heat Input'!A248,'GIS Heat Input'!$A$238:$G$255,{5},FALSE)+VLOOKUP('GIS Heat Input'!A209,'GIS Heat Input'!$A$194:$G$211,{5},FALSE)+VLOOKUP('GIS Heat Input'!A231,'GIS Heat Input'!$A$216:$G$233,{5},FALSE)+VLOOKUP('GIS Heat Input'!A253,'GIS Heat Input'!$A$238:$G$255,{5},FALSE))*F307</f>
        <v>0</v>
      </c>
      <c r="D307" s="315">
        <f t="array" ref="D307">SUM(VLOOKUP('GIS Heat Input'!A72,'GIS Heat Input'!$A$62:$M$79,{9},FALSE)+VLOOKUP('GIS Heat Input'!A94,'GIS Heat Input'!$A$84:$M$101,{9},FALSE)+VLOOKUP('GIS Heat Input'!A116,'GIS Heat Input'!$A$106:$M$123,{9},FALSE)+VLOOKUP('GIS Heat Input'!A160,'GIS Heat Input'!$A$150:$M$167,{9},FALSE)+VLOOKUP('GIS Heat Input'!A182,'GIS Heat Input'!$A$172:$M$189,{9},FALSE)+VLOOKUP('GIS Heat Input'!A77,'GIS Heat Input'!$A$62:$M$79,{9},FALSE)+VLOOKUP('GIS Heat Input'!A99,'GIS Heat Input'!$A$84:$M$101,{9},FALSE)+VLOOKUP('GIS Heat Input'!A121,'GIS Heat Input'!$A$106:$M$123,{9},FALSE)+VLOOKUP('GIS Heat Input'!A165,'GIS Heat Input'!$A$150:$M$167,{9},FALSE)+VLOOKUP('GIS Heat Input'!A187,'GIS Heat Input'!$A$172:$M$189,{9},FALSE))*F307</f>
        <v>0</v>
      </c>
      <c r="E307" s="315">
        <f t="array" ref="E307">SUM(VLOOKUP('GIS Heat Input'!A138,'GIS Heat Input'!$A$128:$M$145, {2,4,6,8,10,12}, FALSE)+VLOOKUP('GIS Heat Input'!A143,'GIS Heat Input'!$A$128:$M$145, {2,4,6,8,10,12}, FALSE))*F307</f>
        <v>836992.57168582419</v>
      </c>
      <c r="F307" s="29">
        <f>1-F305</f>
        <v>0.44999549746874257</v>
      </c>
      <c r="G307" s="315">
        <f t="shared" si="5"/>
        <v>-836992.57168582419</v>
      </c>
      <c r="H307" s="315"/>
    </row>
    <row r="308" spans="1:8" x14ac:dyDescent="0.4">
      <c r="A308" s="317" t="s">
        <v>4118</v>
      </c>
      <c r="B308" s="315">
        <f t="array" ref="B308">SUM(VLOOKUP('GIS Heat Input'!A63,'GIS Heat Input'!$A$62:$M$79,{8},FALSE)+VLOOKUP('GIS Heat Input'!A85,'GIS Heat Input'!$A$84:$M$101,{8},FALSE)+VLOOKUP('GIS Heat Input'!A107,'GIS Heat Input'!$A$106:$M$123,{8},FALSE)+VLOOKUP('GIS Heat Input'!A151,'GIS Heat Input'!$A$150:$M$167,{8},FALSE)+VLOOKUP('GIS Heat Input'!A173,'GIS Heat Input'!$A$172:$M$189,{8},FALSE)+VLOOKUP('GIS Heat Input'!A79,'GIS Heat Input'!$A$62:$M$79,{8},FALSE)+VLOOKUP('GIS Heat Input'!A101,'GIS Heat Input'!$A$84:$M$101,{8},FALSE)+VLOOKUP('GIS Heat Input'!A123,'GIS Heat Input'!$A$106:$M$123,{8},FALSE)+VLOOKUP('GIS Heat Input'!A167,'GIS Heat Input'!$A$150:$M$167,{8},FALSE)+VLOOKUP('GIS Heat Input'!A189,'GIS Heat Input'!$A$172:$M$189,{8},FALSE))</f>
        <v>175947.73381823255</v>
      </c>
      <c r="C308" s="315">
        <f t="array" ref="C308">SUM(VLOOKUP('GIS Heat Input'!A195,'GIS Heat Input'!$A$194:$G$211,{5},FALSE)+VLOOKUP('GIS Heat Input'!A217,'GIS Heat Input'!$A$216:$G$233,{5},FALSE)+VLOOKUP('GIS Heat Input'!A239,'GIS Heat Input'!$A$238:$G$255,{5},FALSE)+VLOOKUP('GIS Heat Input'!A211,'GIS Heat Input'!$A$194:$G$211,{5},FALSE)+VLOOKUP('GIS Heat Input'!A233,'GIS Heat Input'!$A$216:$G$233,{5},FALSE)+VLOOKUP('GIS Heat Input'!A255,'GIS Heat Input'!$A$239:$M$255,{8},FALSE))</f>
        <v>0</v>
      </c>
      <c r="D308" s="315">
        <f t="array" ref="D308">SUM(VLOOKUP('GIS Heat Input'!A63,'GIS Heat Input'!$A$62:$M$79,{9},FALSE)+VLOOKUP('GIS Heat Input'!A85,'GIS Heat Input'!$A$84:$M$101,{9},FALSE)+VLOOKUP('GIS Heat Input'!A107,'GIS Heat Input'!$A$106:$M$123,{9},FALSE)+VLOOKUP('GIS Heat Input'!A151,'GIS Heat Input'!$A$150:$M$167,{9},FALSE)+VLOOKUP('GIS Heat Input'!A173,'GIS Heat Input'!$A$172:$M$189,{9},FALSE)+VLOOKUP('GIS Heat Input'!A79,'GIS Heat Input'!$A$62:$M$79,{9},FALSE)+VLOOKUP('GIS Heat Input'!A101,'GIS Heat Input'!$A$84:$M$101,{9},FALSE)+VLOOKUP('GIS Heat Input'!A123,'GIS Heat Input'!$A$106:$M$123,{9},FALSE)+VLOOKUP('GIS Heat Input'!A167,'GIS Heat Input'!$A$150:$M$167,{9},FALSE)+VLOOKUP('GIS Heat Input'!A189,'GIS Heat Input'!$A$172:$M$189,{9},FALSE))</f>
        <v>0</v>
      </c>
      <c r="E308" s="315">
        <f t="array" ref="E308">SUM(VLOOKUP('GIS Heat Input'!A129,'GIS Heat Input'!$A$128:$M$145, {2,4,6,8,10,12}, FALSE)+VLOOKUP('GIS Heat Input'!A145,'GIS Heat Input'!$A$128:$M$145, {2,4,6,8,10,12}, FALSE))</f>
        <v>3577051.5138548105</v>
      </c>
      <c r="G308" s="315">
        <f t="shared" si="5"/>
        <v>-3401103.780036578</v>
      </c>
      <c r="H308" s="315"/>
    </row>
    <row r="309" spans="1:8" x14ac:dyDescent="0.4">
      <c r="A309" s="317" t="s">
        <v>3975</v>
      </c>
      <c r="B309" s="315">
        <f t="array" ref="B309">SUM(VLOOKUP('GIS Heat Input'!A62,'GIS Heat Input'!$A$62:$M$79,{8},FALSE)+VLOOKUP('GIS Heat Input'!A84,'GIS Heat Input'!$A$84:$M$101,{8},FALSE)+VLOOKUP('GIS Heat Input'!A106,'GIS Heat Input'!$A$106:$M$123,{8},FALSE)+VLOOKUP('GIS Heat Input'!A150,'GIS Heat Input'!$A$150:$M$167,{8},FALSE)+VLOOKUP('GIS Heat Input'!A172,'GIS Heat Input'!$A$172:$M$189,{8},FALSE)+VLOOKUP('GIS Heat Input'!A66,'GIS Heat Input'!$A$62:$M$79,{8},FALSE)+VLOOKUP('GIS Heat Input'!A88,'GIS Heat Input'!$A$84:$M$103,{8},FALSE)+VLOOKUP('GIS Heat Input'!A110,'GIS Heat Input'!$A$106:$M$123,{8},FALSE)+VLOOKUP('GIS Heat Input'!A154,'GIS Heat Input'!$A$150:$M$167,{8},FALSE)+VLOOKUP('GIS Heat Input'!A176,'GIS Heat Input'!$A$172:$M$189,{8},FALSE))</f>
        <v>0</v>
      </c>
      <c r="C309" s="315">
        <f t="array" ref="C309">SUM(VLOOKUP('GIS Heat Input'!A194,'GIS Heat Input'!$A$194:$G$211,{5},FALSE)+VLOOKUP('GIS Heat Input'!A216,'GIS Heat Input'!$A$216:$G$233,{5},FALSE)+VLOOKUP('GIS Heat Input'!A238,'GIS Heat Input'!$A$238:$G$255,{5},FALSE)+VLOOKUP('GIS Heat Input'!A198,'GIS Heat Input'!$A$194:$G$211,{5},FALSE)+VLOOKUP('GIS Heat Input'!A220,'GIS Heat Input'!$A$216:$G$233,{5},FALSE)+VLOOKUP('GIS Heat Input'!A242,'GIS Heat Input'!$A$239:$M$255,{8},FALSE))</f>
        <v>0</v>
      </c>
      <c r="D309" s="315">
        <f t="array" ref="D309">SUM(VLOOKUP('GIS Heat Input'!A62,'GIS Heat Input'!$A$62:$M$79,{9},FALSE)+VLOOKUP('GIS Heat Input'!A84,'GIS Heat Input'!$A$84:$M$101,{9},FALSE)+VLOOKUP('GIS Heat Input'!A106,'GIS Heat Input'!$A$106:$M$123,{9},FALSE)+VLOOKUP('GIS Heat Input'!A150,'GIS Heat Input'!$A$150:$M$167,{9},FALSE)+VLOOKUP('GIS Heat Input'!A172,'GIS Heat Input'!$A$172:$M$189,{9},FALSE)+VLOOKUP('GIS Heat Input'!A66,'GIS Heat Input'!$A$62:$M$79,{9},FALSE)+VLOOKUP('GIS Heat Input'!A88,'GIS Heat Input'!$A$84:$M$101,{9},FALSE)+VLOOKUP('GIS Heat Input'!A110,'GIS Heat Input'!$A$106:$M$123,{9},FALSE)+VLOOKUP('GIS Heat Input'!A154,'GIS Heat Input'!$A$150:$M$167,{9},FALSE)+VLOOKUP('GIS Heat Input'!A176,'GIS Heat Input'!$A$172:$M$189,{9},FALSE))</f>
        <v>47449.330591706414</v>
      </c>
      <c r="E309" s="315">
        <f t="array" ref="E309">SUM(VLOOKUP('GIS Heat Input'!A128,'GIS Heat Input'!$A$128:$M$145, {2,4,6,8,10,12}, FALSE)+VLOOKUP('GIS Heat Input'!A132,'GIS Heat Input'!$A$128:$M$145, {2,4,6,8,10,12}, FALSE))</f>
        <v>0</v>
      </c>
      <c r="G309" s="315">
        <f t="shared" si="5"/>
        <v>47449.330591706414</v>
      </c>
      <c r="H309" s="315"/>
    </row>
    <row r="310" spans="1:8" x14ac:dyDescent="0.4">
      <c r="A310" s="317" t="s">
        <v>11</v>
      </c>
      <c r="B310" s="315"/>
      <c r="C310" s="315"/>
      <c r="D310" s="315"/>
      <c r="E310" s="315"/>
      <c r="F310" s="29"/>
      <c r="G310" s="315"/>
      <c r="H310" s="315"/>
    </row>
    <row r="312" spans="1:8" x14ac:dyDescent="0.4">
      <c r="A312" s="4" t="s">
        <v>4122</v>
      </c>
    </row>
    <row r="313" spans="1:8" ht="80" x14ac:dyDescent="0.4">
      <c r="A313" s="311" t="s">
        <v>4109</v>
      </c>
      <c r="B313" s="312" t="s">
        <v>4110</v>
      </c>
      <c r="C313" s="312" t="s">
        <v>4111</v>
      </c>
      <c r="D313" s="312" t="s">
        <v>4112</v>
      </c>
      <c r="E313" s="312" t="s">
        <v>4113</v>
      </c>
      <c r="F313" s="312" t="s">
        <v>4114</v>
      </c>
      <c r="G313" s="312" t="s">
        <v>4115</v>
      </c>
      <c r="H313" s="312"/>
    </row>
    <row r="314" spans="1:8" x14ac:dyDescent="0.4">
      <c r="A314" s="317" t="s">
        <v>3996</v>
      </c>
      <c r="B314" s="315">
        <f t="array" ref="B314">SUM(VLOOKUP('GIS Heat Input'!A65,'GIS Heat Input'!$A$62:$M$79,{10},FALSE)+VLOOKUP('GIS Heat Input'!A87,'GIS Heat Input'!$A$84:$M$101,{10},FALSE)+VLOOKUP('GIS Heat Input'!A109,'GIS Heat Input'!$A$106:$M$123,{10},FALSE)+VLOOKUP('GIS Heat Input'!A131,'GIS Heat Input'!$A$128:$M$145,{10},FALSE)+VLOOKUP('GIS Heat Input'!A175,'GIS Heat Input'!$A$172:$M$189,{10},FALSE)+VLOOKUP('GIS Heat Input'!A75,'GIS Heat Input'!$A$62:$M$79,{10},FALSE)+VLOOKUP('GIS Heat Input'!A97,'GIS Heat Input'!$A$84:$M$101,{10},FALSE)+VLOOKUP('GIS Heat Input'!A119,'GIS Heat Input'!$A$106:$M$123,{10},FALSE)+VLOOKUP('GIS Heat Input'!A141,'GIS Heat Input'!$A$128:$M$145,{10},FALSE)+VLOOKUP('GIS Heat Input'!A185,'GIS Heat Input'!$A$172:$M$189,{10},FALSE))</f>
        <v>0</v>
      </c>
      <c r="C314" s="315">
        <f t="array" ref="C314">SUM(VLOOKUP('GIS Heat Input'!A197,'GIS Heat Input'!$A$195:$G$211,{6},FALSE)+VLOOKUP('GIS Heat Input'!A219,'GIS Heat Input'!$A$216:$G$233,{6},FALSE)+VLOOKUP('GIS Heat Input'!A241,'GIS Heat Input'!$A$238:$G$255,{6},FALSE)+VLOOKUP('GIS Heat Input'!A207,'GIS Heat Input'!$A$194:$G$211,{6},FALSE)+VLOOKUP('GIS Heat Input'!A229,'GIS Heat Input'!$A$216:$G$233,{6},FALSE)+VLOOKUP('GIS Heat Input'!A251,'GIS Heat Input'!$A$238:$G$255,{6},FALSE))</f>
        <v>0</v>
      </c>
      <c r="D314" s="315">
        <f t="array" ref="D314">SUM(VLOOKUP('GIS Heat Input'!A65,'GIS Heat Input'!$A$62:$M$79,{11},FALSE)+VLOOKUP('GIS Heat Input'!A87,'GIS Heat Input'!$A$84:$M$101,{11},FALSE)+VLOOKUP('GIS Heat Input'!A109,'GIS Heat Input'!$A$106:$M$123,{11},FALSE)+VLOOKUP('GIS Heat Input'!A131,'GIS Heat Input'!$A$128:$M$145,{11},FALSE)+VLOOKUP('GIS Heat Input'!A175,'GIS Heat Input'!$A$172:$M$189,{11},FALSE)+VLOOKUP('GIS Heat Input'!A75,'GIS Heat Input'!$A$62:$M$79,{11},FALSE)+VLOOKUP('GIS Heat Input'!A97,'GIS Heat Input'!$A$84:$M$101,{11},FALSE)+VLOOKUP('GIS Heat Input'!A119,'GIS Heat Input'!$A$106:$M$123,{11},FALSE)+VLOOKUP('GIS Heat Input'!A141,'GIS Heat Input'!$A$128:$M$145,{11},FALSE)+VLOOKUP('GIS Heat Input'!A185,'GIS Heat Input'!$A$172:$M$189,{11},FALSE))</f>
        <v>0</v>
      </c>
      <c r="E314" s="315" cm="1">
        <f t="array" ref="E314">SUM(VLOOKUP('GIS Heat Input'!A153,'GIS Heat Input'!$A$150:$M$167, {2,4,6,8,10,12}, FALSE)+VLOOKUP('GIS Heat Input'!A163,'GIS Heat Input'!$A$150:$M$167, {2,4,6,8,10,12}, FALSE))</f>
        <v>0</v>
      </c>
      <c r="F314" s="316"/>
      <c r="G314" s="315">
        <f t="shared" ref="G314:G320" si="6">B314+C314+D314-E314</f>
        <v>0</v>
      </c>
      <c r="H314" s="315"/>
    </row>
    <row r="315" spans="1:8" x14ac:dyDescent="0.4">
      <c r="A315" s="317" t="s">
        <v>270</v>
      </c>
      <c r="B315" s="315">
        <f t="array" ref="B315">SUM(VLOOKUP('GIS Heat Input'!A73,'GIS Heat Input'!$A$62:$M$79,{10},FALSE)+VLOOKUP('GIS Heat Input'!A95,'GIS Heat Input'!$A$84:$M$101,{10},FALSE)+VLOOKUP('GIS Heat Input'!A117,'GIS Heat Input'!$A$106:$M$123,{10},FALSE)+VLOOKUP('GIS Heat Input'!A139,'GIS Heat Input'!$A$128:$M$145,{10},FALSE)+VLOOKUP('GIS Heat Input'!A183,'GIS Heat Input'!$A$172:$M$189,{10},FALSE))</f>
        <v>0</v>
      </c>
      <c r="C315" s="315">
        <f t="array" ref="C315">SUM(VLOOKUP('GIS Heat Input'!A205,'GIS Heat Input'!$A$194:$G$211,{6},FALSE)+VLOOKUP('GIS Heat Input'!A227,'GIS Heat Input'!$A$216:$G$233,{6},FALSE)+VLOOKUP('GIS Heat Input'!A249,'GIS Heat Input'!$A$238:$G$255,{6},FALSE))</f>
        <v>0</v>
      </c>
      <c r="D315" s="315">
        <f t="array" ref="D315">SUM(VLOOKUP('GIS Heat Input'!A73,'GIS Heat Input'!$A$62:$M$79,{11},FALSE)+VLOOKUP('GIS Heat Input'!A95,'GIS Heat Input'!$A$81:$M$102,{11},FALSE)+VLOOKUP('GIS Heat Input'!A117,'GIS Heat Input'!$A$106:$M$123,{11},FALSE)+VLOOKUP('GIS Heat Input'!A139,'GIS Heat Input'!$A$128:$M$145,{11},FALSE)+VLOOKUP('GIS Heat Input'!A183,'GIS Heat Input'!$A$172:$M$189,{11},FALSE))</f>
        <v>0</v>
      </c>
      <c r="E315" s="315">
        <f t="array" ref="E315">SUM(VLOOKUP('GIS Heat Input'!A161,'GIS Heat Input'!$A$150:$M$167, {2,4,6,8,10,12}, FALSE))</f>
        <v>0</v>
      </c>
      <c r="G315" s="315">
        <f t="shared" si="6"/>
        <v>0</v>
      </c>
      <c r="H315" s="315"/>
    </row>
    <row r="316" spans="1:8" x14ac:dyDescent="0.4">
      <c r="A316" s="317" t="s">
        <v>4116</v>
      </c>
      <c r="B316" s="315">
        <f t="array" ref="B316">SUM(VLOOKUP('GIS Heat Input'!A72,'GIS Heat Input'!$A$62:$M$79,{10},FALSE)+VLOOKUP('GIS Heat Input'!A94,'GIS Heat Input'!$A$84:$M$101,{10},FALSE)+VLOOKUP('GIS Heat Input'!A116,'GIS Heat Input'!$A$106:$M$123,{10},FALSE)+VLOOKUP('GIS Heat Input'!A138,'GIS Heat Input'!$A$128:$M$145,{10},FALSE)+VLOOKUP('GIS Heat Input'!A182,'GIS Heat Input'!$A$172:$M$189,{10},FALSE)+VLOOKUP('GIS Heat Input'!A77,'GIS Heat Input'!$A$62:$M$79,{10},FALSE)+VLOOKUP('GIS Heat Input'!A99,'GIS Heat Input'!$A$84:$M$101,{10},FALSE)+VLOOKUP('GIS Heat Input'!A121,'GIS Heat Input'!$A$106:$M$123,{10},FALSE)+VLOOKUP('GIS Heat Input'!A143,'GIS Heat Input'!$A$128:$M$145,{10},FALSE)+VLOOKUP('GIS Heat Input'!A187,'GIS Heat Input'!$A$172:$M$189,{10},FALSE))*F316</f>
        <v>11217.62991822143</v>
      </c>
      <c r="C316" s="315">
        <f t="array" ref="C316">SUM(VLOOKUP('GIS Heat Input'!A204,'GIS Heat Input'!$A$195:$G$211,{6},FALSE)+VLOOKUP('GIS Heat Input'!A226,'GIS Heat Input'!$A$216:$G$233,{6},FALSE)+VLOOKUP('GIS Heat Input'!A254,'GIS Heat Input'!$A$238:$G$255,{6},FALSE)+VLOOKUP('GIS Heat Input'!A209,'GIS Heat Input'!$A$194:$G$211,{6},FALSE)+VLOOKUP('GIS Heat Input'!A231,'GIS Heat Input'!$A$216:$G$233,{6},FALSE)+VLOOKUP('GIS Heat Input'!A253,'GIS Heat Input'!$A$239:$M$255,{10},FALSE))*F316</f>
        <v>0</v>
      </c>
      <c r="D316" s="315">
        <f t="array" ref="D316">SUM(VLOOKUP('GIS Heat Input'!A72,'GIS Heat Input'!$A$62:$M$79,{11},FALSE)+VLOOKUP('GIS Heat Input'!A94,'GIS Heat Input'!$A$84:$M$101,{11},FALSE)+VLOOKUP('GIS Heat Input'!A116,'GIS Heat Input'!$A$106:$M$123,{11},FALSE)+VLOOKUP('GIS Heat Input'!A138,'GIS Heat Input'!$A$128:$M$145,{11},FALSE)+VLOOKUP('GIS Heat Input'!A182,'GIS Heat Input'!$A$172:$M$189,{11},FALSE)+VLOOKUP('GIS Heat Input'!A77,'GIS Heat Input'!$A$62:$M$79,{11},FALSE)+VLOOKUP('GIS Heat Input'!A99,'GIS Heat Input'!$A$84:$M$101,{11},FALSE)+VLOOKUP('GIS Heat Input'!A121,'GIS Heat Input'!$A$106:$M$123,{11},FALSE)+VLOOKUP('GIS Heat Input'!A143,'GIS Heat Input'!$A$128:$M$145,{11},FALSE)+VLOOKUP('GIS Heat Input'!A187,'GIS Heat Input'!$A$172:$M$189,{11},FALSE))*F316</f>
        <v>0</v>
      </c>
      <c r="E316" s="315">
        <f t="array" ref="E316">SUM(VLOOKUP('GIS Heat Input'!A160,'GIS Heat Input'!$A$157:$M$168, {2,4,6,8,10,12}, FALSE)+VLOOKUP('GIS Heat Input'!A165,'GIS Heat Input'!$A$150:$M$167, {2,4,6,8,10,12}, FALSE))*F316</f>
        <v>0</v>
      </c>
      <c r="F316" s="29">
        <f>'EIA Form 923'!B$3092</f>
        <v>0.55000450253125743</v>
      </c>
      <c r="G316" s="315">
        <f t="shared" si="6"/>
        <v>11217.62991822143</v>
      </c>
      <c r="H316" s="315"/>
    </row>
    <row r="317" spans="1:8" x14ac:dyDescent="0.4">
      <c r="A317" s="317" t="s">
        <v>251</v>
      </c>
      <c r="B317" s="315">
        <f t="array" ref="B317">SUM(VLOOKUP('GIS Heat Input'!A71,'GIS Heat Input'!$A$62:$M$79,{10},FALSE)+VLOOKUP('GIS Heat Input'!A93,'GIS Heat Input'!$A$84:$M$101,{10},FALSE)+VLOOKUP('GIS Heat Input'!A115,'GIS Heat Input'!$A$106:$M$123,{10},FALSE)+VLOOKUP('GIS Heat Input'!A137,'GIS Heat Input'!$A$128:$M$145,{10},FALSE)+VLOOKUP('GIS Heat Input'!A181,'GIS Heat Input'!$A$172:$M$189,{10},FALSE))</f>
        <v>127974.23770866619</v>
      </c>
      <c r="C317" s="315">
        <f t="array" ref="C317">SUM(VLOOKUP('GIS Heat Input'!A203,'GIS Heat Input'!$A$194:$G$211,{6},FALSE)+VLOOKUP('GIS Heat Input'!A225,'GIS Heat Input'!$A$216:$G$233,{6},FALSE)+VLOOKUP('GIS Heat Input'!A247,'GIS Heat Input'!$A$238:$G$255,{6},FALSE))</f>
        <v>70160.302653940409</v>
      </c>
      <c r="D317" s="315">
        <f t="array" ref="D317">SUM(VLOOKUP('GIS Heat Input'!A71,'GIS Heat Input'!$A$62:$M$79,{11},FALSE)+VLOOKUP('GIS Heat Input'!A93,'GIS Heat Input'!$A$84:$M$101,{11},FALSE)+VLOOKUP('GIS Heat Input'!A115,'GIS Heat Input'!$A$106:$M$123,{11},FALSE)+VLOOKUP('GIS Heat Input'!A137,'GIS Heat Input'!$A$128:$M$145,{11},FALSE)+VLOOKUP('GIS Heat Input'!A181,'GIS Heat Input'!$A$172:$M$189,{11},FALSE))</f>
        <v>321276.1205642228</v>
      </c>
      <c r="E317" s="315">
        <f t="array" ref="E317">SUM(VLOOKUP('GIS Heat Input'!A159,'GIS Heat Input'!$A$150:$M$167, {2,4,6,8,10,12}, FALSE))</f>
        <v>15363.538585100956</v>
      </c>
      <c r="F317" s="29"/>
      <c r="G317" s="315">
        <f t="shared" si="6"/>
        <v>504047.12234172842</v>
      </c>
      <c r="H317" s="315"/>
    </row>
    <row r="318" spans="1:8" x14ac:dyDescent="0.4">
      <c r="A318" s="317" t="s">
        <v>4117</v>
      </c>
      <c r="B318" s="315">
        <f t="array" ref="B318">SUM(VLOOKUP('GIS Heat Input'!A72,'GIS Heat Input'!$A$62:$M$79,{10},FALSE)+VLOOKUP('GIS Heat Input'!A94,'GIS Heat Input'!$A$84:$M$101,{10},FALSE)+VLOOKUP('GIS Heat Input'!A116,'GIS Heat Input'!$A$106:$M$123,{10},FALSE)+VLOOKUP('GIS Heat Input'!A138,'GIS Heat Input'!$A$128:$M$145,{10},FALSE)+VLOOKUP('GIS Heat Input'!A182,'GIS Heat Input'!$A$172:$M$189,{10},FALSE)+VLOOKUP('GIS Heat Input'!A77,'GIS Heat Input'!$A$62:$M$79,{10},FALSE)+VLOOKUP('GIS Heat Input'!A99,'GIS Heat Input'!$A$84:$M$101,{10},FALSE)+VLOOKUP('GIS Heat Input'!A121,'GIS Heat Input'!$A$106:$M$123,{10},FALSE)+VLOOKUP('GIS Heat Input'!A143,'GIS Heat Input'!$A$128:$M$145,{10},FALSE)+VLOOKUP('GIS Heat Input'!A187,'GIS Heat Input'!$A$172:$M$189,{10},FALSE))*F318</f>
        <v>9177.8938758477252</v>
      </c>
      <c r="C318" s="315">
        <f t="array" ref="C318">SUM(VLOOKUP('GIS Heat Input'!A204,'GIS Heat Input'!$A$194:$G$211,{6},FALSE)+VLOOKUP('GIS Heat Input'!A226,'GIS Heat Input'!$A$216:$G$233,{6},FALSE)+VLOOKUP('GIS Heat Input'!A248,'GIS Heat Input'!$A$238:$G$255,{6},FALSE)+VLOOKUP('GIS Heat Input'!A209,'GIS Heat Input'!$A$194:$G$211,{6},FALSE)+VLOOKUP('GIS Heat Input'!A231,'GIS Heat Input'!$A$216:$G$233,{6},FALSE)+VLOOKUP('GIS Heat Input'!A253,'GIS Heat Input'!$A$238:$G$255,{6},FALSE))*F318</f>
        <v>0</v>
      </c>
      <c r="D318" s="315">
        <f t="array" ref="D318">SUM(VLOOKUP('GIS Heat Input'!A72,'GIS Heat Input'!$A$62:$M$79,{11},FALSE)+VLOOKUP('GIS Heat Input'!A94,'GIS Heat Input'!$A$84:$M$101,{11},FALSE)+VLOOKUP('GIS Heat Input'!A116,'GIS Heat Input'!$A$106:$M$123,{11},FALSE)+VLOOKUP('GIS Heat Input'!A138,'GIS Heat Input'!$A$128:$M$145,{11},FALSE)+VLOOKUP('GIS Heat Input'!A182,'GIS Heat Input'!$A$172:$M$189,{11},FALSE)+VLOOKUP('GIS Heat Input'!A77,'GIS Heat Input'!$A$62:$M$79,{11},FALSE)+VLOOKUP('GIS Heat Input'!A99,'GIS Heat Input'!$A$84:$M$101,{11},FALSE)+VLOOKUP('GIS Heat Input'!A121,'GIS Heat Input'!$A$106:$M$123,{11},FALSE)+VLOOKUP('GIS Heat Input'!A143,'GIS Heat Input'!$A$128:$M$145,{11},FALSE)+VLOOKUP('GIS Heat Input'!A187,'GIS Heat Input'!$A$172:$M$189,{11},FALSE))*F318</f>
        <v>0</v>
      </c>
      <c r="E318" s="315">
        <f t="array" ref="E318">SUM(VLOOKUP('GIS Heat Input'!A160,'GIS Heat Input'!$A$150:$M$167, {2,4,6,8,10,12}, FALSE)+VLOOKUP('GIS Heat Input'!A165,'GIS Heat Input'!$A$150:$M$167, {2,4,6,8,10,12}, FALSE))*F318</f>
        <v>0</v>
      </c>
      <c r="F318" s="29">
        <f>1-F316</f>
        <v>0.44999549746874257</v>
      </c>
      <c r="G318" s="315">
        <f t="shared" si="6"/>
        <v>9177.8938758477252</v>
      </c>
      <c r="H318" s="315"/>
    </row>
    <row r="319" spans="1:8" x14ac:dyDescent="0.4">
      <c r="A319" s="317" t="s">
        <v>4118</v>
      </c>
      <c r="B319" s="315">
        <f t="array" ref="B319">SUM(VLOOKUP('GIS Heat Input'!A63,'GIS Heat Input'!$A$62:$M$79,{10},FALSE)+VLOOKUP('GIS Heat Input'!A85,'GIS Heat Input'!$A$84:$M$101,{10},FALSE)+VLOOKUP('GIS Heat Input'!A107,'GIS Heat Input'!$A$106:$M$123,{10},FALSE)+VLOOKUP('GIS Heat Input'!A129,'GIS Heat Input'!$A$128:$M$145,{10},FALSE)+VLOOKUP('GIS Heat Input'!A173,'GIS Heat Input'!$A$172:$M$189,{10},FALSE)+VLOOKUP('GIS Heat Input'!A79,'GIS Heat Input'!$A$62:$M$79,{10},FALSE)+VLOOKUP('GIS Heat Input'!A101,'GIS Heat Input'!$A$84:$M$101,{10},FALSE)+VLOOKUP('GIS Heat Input'!A123,'GIS Heat Input'!$A$106:$M$123,{10},FALSE)+VLOOKUP('GIS Heat Input'!A145,'GIS Heat Input'!$A$128:$M$145,{10},FALSE)+VLOOKUP('GIS Heat Input'!A189,'GIS Heat Input'!$A$172:$M$189,{10},FALSE))</f>
        <v>2583750.7646206613</v>
      </c>
      <c r="C319" s="315">
        <f t="array" ref="C319">SUM(VLOOKUP('GIS Heat Input'!A195,'GIS Heat Input'!$A$194:$G$211,{6},FALSE)+VLOOKUP('GIS Heat Input'!A217,'GIS Heat Input'!$A$216:$G$233,{6},FALSE)+VLOOKUP('GIS Heat Input'!A239,'GIS Heat Input'!$A$238:$G$255,{6},FALSE)+VLOOKUP('GIS Heat Input'!A211,'GIS Heat Input'!$A$194:$G$211,{6},FALSE)+VLOOKUP('GIS Heat Input'!A233,'GIS Heat Input'!$A$216:$G$233,{6},FALSE)+VLOOKUP('GIS Heat Input'!A255,'GIS Heat Input'!$A$238:$G$255,{6},FALSE))</f>
        <v>0</v>
      </c>
      <c r="D319" s="315">
        <f t="array" ref="D319">SUM(VLOOKUP('GIS Heat Input'!A63,'GIS Heat Input'!$A$62:$M$79,{11},FALSE)+VLOOKUP('GIS Heat Input'!A85,'GIS Heat Input'!$A$84:$M$101,{11},FALSE)+VLOOKUP('GIS Heat Input'!A107,'GIS Heat Input'!$A$106:$M$123,{11},FALSE)+VLOOKUP('GIS Heat Input'!A129,'GIS Heat Input'!$A$128:$M$145,{11},FALSE)+VLOOKUP('GIS Heat Input'!A173,'GIS Heat Input'!$A$172:$M$189,{11},FALSE)+VLOOKUP('GIS Heat Input'!A79,'GIS Heat Input'!$A$62:$M$79,{11},FALSE)+VLOOKUP('GIS Heat Input'!A101,'GIS Heat Input'!$A$84:$M$101,{11},FALSE)+VLOOKUP('GIS Heat Input'!A123,'GIS Heat Input'!$A$106:$M$123,{11},FALSE)+VLOOKUP('GIS Heat Input'!A145,'GIS Heat Input'!$A$128:$M$145,{11},FALSE)+VLOOKUP('GIS Heat Input'!A179,'GIS Heat Input'!$A$172:$M$189,{11},FALSE))</f>
        <v>10571.307385114313</v>
      </c>
      <c r="E319" s="315">
        <f t="array" ref="E319">SUM(VLOOKUP('GIS Heat Input'!A151,'GIS Heat Input'!$A$150:$M$167, {2,4,6,8,10,12}, FALSE)+VLOOKUP('GIS Heat Input'!A167,'GIS Heat Input'!$A$150:$M$167, {2,4,6,8,10,12}, FALSE))</f>
        <v>0</v>
      </c>
      <c r="G319" s="315">
        <f t="shared" si="6"/>
        <v>2594322.0720057758</v>
      </c>
      <c r="H319" s="315"/>
    </row>
    <row r="320" spans="1:8" x14ac:dyDescent="0.4">
      <c r="A320" s="317" t="s">
        <v>3975</v>
      </c>
      <c r="B320" s="315">
        <f t="array" ref="B320">SUM(VLOOKUP('GIS Heat Input'!A62,'GIS Heat Input'!$A$62:$M$79,{10},FALSE)+VLOOKUP('GIS Heat Input'!A84,'GIS Heat Input'!$A$84:$M$101,{10},FALSE)+VLOOKUP('GIS Heat Input'!A106,'GIS Heat Input'!$A$106:$M$123,{10},FALSE)+VLOOKUP('GIS Heat Input'!A128,'GIS Heat Input'!$A$128:$M$145,{10},FALSE)+VLOOKUP('GIS Heat Input'!A172,'GIS Heat Input'!$A$172:$M$189,{10},FALSE)+VLOOKUP('GIS Heat Input'!A66,'GIS Heat Input'!$A$62:$M$79,{10},FALSE)+VLOOKUP('GIS Heat Input'!A88,'GIS Heat Input'!$A$84:$M$101,{10},FALSE)+VLOOKUP('GIS Heat Input'!A110,'GIS Heat Input'!$A$106:$M$123,{10},FALSE)+VLOOKUP('GIS Heat Input'!A132,'GIS Heat Input'!$A$128:$M$145,{10},FALSE)+VLOOKUP('GIS Heat Input'!A176,'GIS Heat Input'!$A$172:$M$189,{10},FALSE))</f>
        <v>110564.31695919143</v>
      </c>
      <c r="C320" s="315">
        <f t="array" ref="C320">SUM(VLOOKUP('GIS Heat Input'!A194,'GIS Heat Input'!$A$194:$G$211,{6},FALSE)+VLOOKUP('GIS Heat Input'!A216,'GIS Heat Input'!$A$216:$G$233,{6},FALSE)+VLOOKUP('GIS Heat Input'!A238,'GIS Heat Input'!$A$238:$G$255,{6},FALSE)+VLOOKUP('GIS Heat Input'!A198,'GIS Heat Input'!$A$194:$G$211,{6},FALSE)+VLOOKUP('GIS Heat Input'!A220,'GIS Heat Input'!$A$216:$G$233,{6},FALSE)+VLOOKUP('GIS Heat Input'!A242,'GIS Heat Input'!$A$238:$G$255,{6},FALSE))</f>
        <v>0</v>
      </c>
      <c r="D320" s="315">
        <f t="array" ref="D320">SUM(VLOOKUP('GIS Heat Input'!A62,'GIS Heat Input'!$A$62:$M$79,{11},FALSE)+VLOOKUP('GIS Heat Input'!A84,'GIS Heat Input'!$A$84:$M$101,{11},FALSE)+VLOOKUP('GIS Heat Input'!A106,'GIS Heat Input'!$A$106:$M$123,{11},FALSE)+VLOOKUP('GIS Heat Input'!A128,'GIS Heat Input'!$A$128:$M$145,{11},FALSE)+VLOOKUP('GIS Heat Input'!A172,'GIS Heat Input'!$A$172:$M$189,{11},FALSE)+VLOOKUP('GIS Heat Input'!A66,'GIS Heat Input'!$A$62:$M$79,{11},FALSE)+VLOOKUP('GIS Heat Input'!A88,'GIS Heat Input'!$A$84:$M$101,{11},FALSE)+VLOOKUP('GIS Heat Input'!A110,'GIS Heat Input'!$A$106:$M$123,{11},FALSE)+VLOOKUP('GIS Heat Input'!A132,'GIS Heat Input'!$A$128:$M$145,{11},FALSE)+VLOOKUP('GIS Heat Input'!A176,'GIS Heat Input'!$A$172:$M$189,{11},FALSE))</f>
        <v>1852.3063010265946</v>
      </c>
      <c r="E320" s="315">
        <f t="array" ref="E320">SUM(VLOOKUP('GIS Heat Input'!A150,'GIS Heat Input'!$A$150:$M$167, {2,4,6,8,10,12}, FALSE)+VLOOKUP('GIS Heat Input'!A154,'GIS Heat Input'!$A$150:$M$167, {2,4,6,8,10,12}, FALSE))</f>
        <v>0</v>
      </c>
      <c r="G320" s="315">
        <f t="shared" si="6"/>
        <v>112416.62326021802</v>
      </c>
      <c r="H320" s="315"/>
    </row>
    <row r="321" spans="1:8" x14ac:dyDescent="0.4">
      <c r="A321" s="317" t="s">
        <v>11</v>
      </c>
      <c r="B321" s="315"/>
      <c r="C321" s="315"/>
      <c r="D321" s="315"/>
      <c r="E321" s="315"/>
      <c r="F321" s="29"/>
      <c r="G321" s="315"/>
      <c r="H321" s="315"/>
    </row>
    <row r="323" spans="1:8" x14ac:dyDescent="0.4">
      <c r="A323" s="4" t="s">
        <v>4123</v>
      </c>
    </row>
    <row r="324" spans="1:8" ht="80" x14ac:dyDescent="0.4">
      <c r="A324" s="311" t="s">
        <v>4109</v>
      </c>
      <c r="B324" s="312" t="s">
        <v>4110</v>
      </c>
      <c r="C324" s="312" t="s">
        <v>4111</v>
      </c>
      <c r="D324" s="312" t="s">
        <v>4112</v>
      </c>
      <c r="E324" s="312" t="s">
        <v>4113</v>
      </c>
      <c r="F324" s="312" t="s">
        <v>4114</v>
      </c>
      <c r="G324" s="312" t="s">
        <v>4115</v>
      </c>
      <c r="H324" s="312"/>
    </row>
    <row r="325" spans="1:8" x14ac:dyDescent="0.4">
      <c r="A325" s="317" t="s">
        <v>3996</v>
      </c>
      <c r="B325" s="315">
        <f t="array" ref="B325">SUM(VLOOKUP('GIS Heat Input'!A65,'GIS Heat Input'!$A$62:$M$79,{12},FALSE)+VLOOKUP('GIS Heat Input'!A87,'GIS Heat Input'!$A$84:$M$101,{12},FALSE)+VLOOKUP('GIS Heat Input'!A109,'GIS Heat Input'!$A$106:$M$123,{12},FALSE)+VLOOKUP('GIS Heat Input'!A131,'GIS Heat Input'!$A$128:$M$145,{12},FALSE)+VLOOKUP('GIS Heat Input'!A153,'GIS Heat Input'!$A$150:$M$167,{12},FALSE)+VLOOKUP('GIS Heat Input'!A75,'GIS Heat Input'!$A$62:$M$79,{12},FALSE)+VLOOKUP('GIS Heat Input'!A97,'GIS Heat Input'!$A$84:$M$101,{12},FALSE)+VLOOKUP('GIS Heat Input'!A119,'GIS Heat Input'!$A$106:$M$123,{12},FALSE)+VLOOKUP('GIS Heat Input'!A141,'GIS Heat Input'!$A$128:$M$145,{12},FALSE)+VLOOKUP('GIS Heat Input'!A163,'GIS Heat Input'!$A$150:$M$167,{12},FALSE))</f>
        <v>0</v>
      </c>
      <c r="C325" s="315">
        <f t="array" ref="C325">SUM(VLOOKUP('GIS Heat Input'!A197,'GIS Heat Input'!$A$194:$G$211,{7},FALSE)+VLOOKUP('GIS Heat Input'!A219,'GIS Heat Input'!$A$216:$G$233,{7},FALSE)+VLOOKUP('GIS Heat Input'!A241,'GIS Heat Input'!$A$238:$G$255,{7},FALSE)+VLOOKUP('GIS Heat Input'!A207,'GIS Heat Input'!$A$194:$G$211,{7},FALSE)+VLOOKUP('GIS Heat Input'!A229,'GIS Heat Input'!$A$216:$G$233,{7},FALSE)+VLOOKUP('GIS Heat Input'!A251,'GIS Heat Input'!$A$238:$G$255,{7},FALSE))</f>
        <v>0</v>
      </c>
      <c r="D325" s="315">
        <f t="array" ref="D325">SUM(VLOOKUP('GIS Heat Input'!A65,'GIS Heat Input'!$A$62:$M$79,{13},FALSE)+VLOOKUP('GIS Heat Input'!A87,'GIS Heat Input'!$A$84:$M$101,{13},FALSE)+VLOOKUP('GIS Heat Input'!A109,'GIS Heat Input'!$A$106:$M$123,{13},FALSE)+VLOOKUP('GIS Heat Input'!A131,'GIS Heat Input'!$A$128:$M$145,{13},FALSE)+VLOOKUP('GIS Heat Input'!A153,'GIS Heat Input'!$A$150:$M$167,{13},FALSE)+VLOOKUP('GIS Heat Input'!A75,'GIS Heat Input'!$A$62:$M$79,{13},FALSE)+VLOOKUP('GIS Heat Input'!A97,'GIS Heat Input'!$A$84:$M$101,{13},FALSE)+VLOOKUP('GIS Heat Input'!A119,'GIS Heat Input'!$A$106:$M$123,{13},FALSE)+VLOOKUP('GIS Heat Input'!A141,'GIS Heat Input'!$A$128:$M$145,{13},FALSE)+VLOOKUP('GIS Heat Input'!A163,'GIS Heat Input'!$A$150:$M$167,{13},FALSE))</f>
        <v>0</v>
      </c>
      <c r="E325" s="315">
        <f t="array" ref="E325">SUM(VLOOKUP('GIS Heat Input'!A175,'GIS Heat Input'!$A$172:$M$189, {2,4,6,8,10,12}, FALSE)+VLOOKUP('GIS Heat Input'!A185,'GIS Heat Input'!$A$172:$M$189, {2,4,6,8,10,12}, FALSE))</f>
        <v>0</v>
      </c>
      <c r="F325" s="316"/>
      <c r="G325" s="315">
        <f t="shared" ref="G325:G331" si="7">B325+C325+D325-E325</f>
        <v>0</v>
      </c>
      <c r="H325" s="315"/>
    </row>
    <row r="326" spans="1:8" x14ac:dyDescent="0.4">
      <c r="A326" s="317" t="s">
        <v>270</v>
      </c>
      <c r="B326" s="315">
        <f t="array" ref="B326">SUM(VLOOKUP('GIS Heat Input'!A73,'GIS Heat Input'!$A$62:$M$79,{12},FALSE)+VLOOKUP('GIS Heat Input'!A95,'GIS Heat Input'!$A$84:$M$101,{12},FALSE)+VLOOKUP('GIS Heat Input'!A117,'GIS Heat Input'!$A$106:$M$123,{12},FALSE)+VLOOKUP('GIS Heat Input'!A139,'GIS Heat Input'!$A$128:$M$145,{12},FALSE)+VLOOKUP('GIS Heat Input'!A161,'GIS Heat Input'!$A$150:$M$167,{12},FALSE))</f>
        <v>0</v>
      </c>
      <c r="C326" s="315">
        <f t="array" ref="C326">SUM(VLOOKUP('GIS Heat Input'!A205,'GIS Heat Input'!$A$194:$G$211,{7},FALSE)+VLOOKUP('GIS Heat Input'!A227,'GIS Heat Input'!$A$216:$G$233,{7},FALSE)+VLOOKUP('GIS Heat Input'!A249,'GIS Heat Input'!$A$238:$G$255,{7},FALSE))</f>
        <v>0</v>
      </c>
      <c r="D326" s="315">
        <f t="array" ref="D326">SUM(VLOOKUP('GIS Heat Input'!A73,'GIS Heat Input'!$A$62:$M$79,{13},FALSE)+VLOOKUP('GIS Heat Input'!A95,'GIS Heat Input'!$A$84:$M$101,{13},FALSE)+VLOOKUP('GIS Heat Input'!A117,'GIS Heat Input'!$A$106:$M$123,{13},FALSE)+VLOOKUP('GIS Heat Input'!A139,'GIS Heat Input'!$A$128:$M$145,{13},FALSE)+VLOOKUP('GIS Heat Input'!A161,'GIS Heat Input'!$A$150:$M$167,{13},FALSE))</f>
        <v>0</v>
      </c>
      <c r="E326" s="315">
        <f t="array" ref="E326">SUM(VLOOKUP('GIS Heat Input'!A183,'GIS Heat Input'!$A$172:$M$189, {2,4,6,8,10,12}, FALSE))</f>
        <v>0</v>
      </c>
      <c r="G326" s="315">
        <f t="shared" si="7"/>
        <v>0</v>
      </c>
      <c r="H326" s="315"/>
    </row>
    <row r="327" spans="1:8" x14ac:dyDescent="0.4">
      <c r="A327" s="317" t="s">
        <v>4116</v>
      </c>
      <c r="B327" s="315">
        <f t="array" ref="B327">SUM(VLOOKUP('GIS Heat Input'!A72,'GIS Heat Input'!$A$62:$M$79,{12},FALSE)+VLOOKUP('GIS Heat Input'!A94,'GIS Heat Input'!$A$84:$M$101,{12},FALSE)+VLOOKUP('GIS Heat Input'!A116,'GIS Heat Input'!$A$106:$M$123,{12},FALSE)+VLOOKUP('GIS Heat Input'!A138,'GIS Heat Input'!$A$128:$M$145,{12},FALSE)+VLOOKUP('GIS Heat Input'!A160,'GIS Heat Input'!$A$150:$M$167,{12},FALSE)+VLOOKUP('GIS Heat Input'!A77,'GIS Heat Input'!$A$62:$M$79,{12},FALSE)+VLOOKUP('GIS Heat Input'!A99,'GIS Heat Input'!$A$101:$M$861,{12},FALSE)+VLOOKUP('GIS Heat Input'!A121,'GIS Heat Input'!$A$106:$M$123,{12},FALSE)+VLOOKUP('GIS Heat Input'!A143,'GIS Heat Input'!$A$128:$M$145,{12},FALSE)+VLOOKUP('GIS Heat Input'!A165,'GIS Heat Input'!$A$150:$M$167,{12},FALSE))*F327</f>
        <v>0</v>
      </c>
      <c r="C327" s="315">
        <f t="array" ref="C327">SUM(VLOOKUP('GIS Heat Input'!A204,'GIS Heat Input'!$A$194:$G$211,{7},FALSE)+VLOOKUP('GIS Heat Input'!A226,'GIS Heat Input'!$A$216:$G$233,{7},FALSE)+VLOOKUP('GIS Heat Input'!A248,'GIS Heat Input'!$A$238:$G$255,{7},FALSE)+VLOOKUP('GIS Heat Input'!A209,'GIS Heat Input'!$A$194:$G$211,{7},FALSE)+VLOOKUP('GIS Heat Input'!A231,'GIS Heat Input'!$A$216:$G$233,{7},FALSE)+VLOOKUP('GIS Heat Input'!A253,'GIS Heat Input'!$A$238:$G$255,{7},FALSE))*F327</f>
        <v>0</v>
      </c>
      <c r="D327" s="315">
        <f t="array" ref="D327">SUM(VLOOKUP('GIS Heat Input'!A72,'GIS Heat Input'!$A$62:$M$79,{13},FALSE)+VLOOKUP('GIS Heat Input'!A94,'GIS Heat Input'!$A$84:$M$101,{13},FALSE)+VLOOKUP('GIS Heat Input'!A116,'GIS Heat Input'!$A$106:$M$123,{13},FALSE)+VLOOKUP('GIS Heat Input'!A138,'GIS Heat Input'!$A$128:$M$145,{13},FALSE)+VLOOKUP('GIS Heat Input'!A160,'GIS Heat Input'!$A$150:$M$167,{13},FALSE)+VLOOKUP('GIS Heat Input'!A77,'GIS Heat Input'!$A$62:$M$79,{13},FALSE)+VLOOKUP('GIS Heat Input'!A99,'GIS Heat Input'!$A$84:$M$101,{13},FALSE)+VLOOKUP('GIS Heat Input'!A121,'GIS Heat Input'!$A$106:$M$123,{13},FALSE)+VLOOKUP('GIS Heat Input'!A143,'GIS Heat Input'!$A$128:$M$145,{13},FALSE)+VLOOKUP('GIS Heat Input'!A165,'GIS Heat Input'!$A$150:$M$167,{13},FALSE))*F327</f>
        <v>0</v>
      </c>
      <c r="E327" s="315">
        <f t="array" ref="E327">SUM(VLOOKUP('GIS Heat Input'!A182,'GIS Heat Input'!$A$172:$M$189, {2,4,6,8,10,12}, FALSE)+VLOOKUP('GIS Heat Input'!A187,'GIS Heat Input'!$A$172:$M$189, {2,4,6,8,10,12}, FALSE))*F327</f>
        <v>0</v>
      </c>
      <c r="F327" s="29">
        <f>'EIA Form 923'!B$3092</f>
        <v>0.55000450253125743</v>
      </c>
      <c r="G327" s="315">
        <f t="shared" si="7"/>
        <v>0</v>
      </c>
      <c r="H327" s="315"/>
    </row>
    <row r="328" spans="1:8" x14ac:dyDescent="0.4">
      <c r="A328" s="317" t="s">
        <v>251</v>
      </c>
      <c r="B328" s="315">
        <f t="array" ref="B328">SUM(VLOOKUP('GIS Heat Input'!A71,'GIS Heat Input'!$A$62:$M$79,{12},FALSE)+VLOOKUP('GIS Heat Input'!A93,'GIS Heat Input'!$A$84:$M$101,{12},FALSE)+VLOOKUP('GIS Heat Input'!A115,'GIS Heat Input'!$A$106:$M$123,{12},FALSE)+VLOOKUP('GIS Heat Input'!A137,'GIS Heat Input'!$A$128:$M$145,{12},FALSE)+VLOOKUP('GIS Heat Input'!A159,'GIS Heat Input'!$A$150:$M$167,{12},FALSE))</f>
        <v>0</v>
      </c>
      <c r="C328" s="315">
        <f t="array" ref="C328">SUM(VLOOKUP('GIS Heat Input'!A203,'GIS Heat Input'!$A$194:$G$211,{7},FALSE)+VLOOKUP('GIS Heat Input'!A225,'GIS Heat Input'!$A$216:$G$233,{7},FALSE)+VLOOKUP('GIS Heat Input'!A247,'GIS Heat Input'!$A$238:$G$255,{7},FALSE))</f>
        <v>0</v>
      </c>
      <c r="D328" s="315">
        <f t="array" ref="D328">SUM(VLOOKUP('GIS Heat Input'!A71,'GIS Heat Input'!$A$62:$M$79,{13},FALSE)+VLOOKUP('GIS Heat Input'!A93,'GIS Heat Input'!$A$84:$M$101,{13},FALSE)+VLOOKUP('GIS Heat Input'!A115,'GIS Heat Input'!$A$106:$M$123,{13},FALSE)+VLOOKUP('GIS Heat Input'!A137,'GIS Heat Input'!$A$128:$M$145,{13},FALSE)+VLOOKUP('GIS Heat Input'!A159,'GIS Heat Input'!$A$150:$M$167,{13},FALSE))</f>
        <v>0</v>
      </c>
      <c r="E328" s="315">
        <f t="array" ref="E328">SUM(VLOOKUP('GIS Heat Input'!A181,'GIS Heat Input'!$A$172:$M$189, {2,4,6,8,10,12}, FALSE))</f>
        <v>254697.94125373859</v>
      </c>
      <c r="F328" s="29"/>
      <c r="G328" s="315">
        <f t="shared" si="7"/>
        <v>-254697.94125373859</v>
      </c>
      <c r="H328" s="315"/>
    </row>
    <row r="329" spans="1:8" x14ac:dyDescent="0.4">
      <c r="A329" s="317" t="s">
        <v>4117</v>
      </c>
      <c r="B329" s="315">
        <f t="array" ref="B329">SUM(VLOOKUP('GIS Heat Input'!A72,'GIS Heat Input'!$A$62:$M$79,{12},FALSE)+VLOOKUP('GIS Heat Input'!A94,'GIS Heat Input'!$A$84:$M$101,{12},FALSE)+VLOOKUP('GIS Heat Input'!A116,'GIS Heat Input'!$A$106:$M$123,{12},FALSE)+VLOOKUP('GIS Heat Input'!A138,'GIS Heat Input'!$A$128:$M$145,{12},FALSE)+VLOOKUP('GIS Heat Input'!A160,'GIS Heat Input'!$A$150:$M$167,{12},FALSE)+VLOOKUP('GIS Heat Input'!A77,'GIS Heat Input'!$A$62:$M$79,{12},FALSE)+VLOOKUP('GIS Heat Input'!A99,'GIS Heat Input'!$A$84:$M$101,{12},FALSE)+VLOOKUP('GIS Heat Input'!A121,'GIS Heat Input'!$A$106:$M$123,{12},FALSE)+VLOOKUP('GIS Heat Input'!A143,'GIS Heat Input'!$A$128:$M$145,{12},FALSE)+VLOOKUP('GIS Heat Input'!A165,'GIS Heat Input'!$A$150:$M$167,{12},FALSE))*F329</f>
        <v>0</v>
      </c>
      <c r="C329" s="315">
        <f t="array" ref="C329">SUM(VLOOKUP('GIS Heat Input'!A204,'GIS Heat Input'!$A$194:$G$211,{7},FALSE)+VLOOKUP('GIS Heat Input'!A226,'GIS Heat Input'!$A$216:$G$233,{7},FALSE)+VLOOKUP('GIS Heat Input'!A248,'GIS Heat Input'!$A$238:$G$255,{7},FALSE)+VLOOKUP('GIS Heat Input'!A209,'GIS Heat Input'!$A$194:$G$211,{7},FALSE)+VLOOKUP('GIS Heat Input'!A231,'GIS Heat Input'!$A$216:$G$233,{7},FALSE)+VLOOKUP('GIS Heat Input'!A253,'GIS Heat Input'!$A$238:$G$255,{7},FALSE))*F329</f>
        <v>0</v>
      </c>
      <c r="D329" s="315">
        <f t="array" ref="D329">SUM(VLOOKUP('GIS Heat Input'!A72,'GIS Heat Input'!$A$62:$M$79,{13},FALSE)+VLOOKUP('GIS Heat Input'!A94,'GIS Heat Input'!$A$84:$M$101,{13},FALSE)+VLOOKUP('GIS Heat Input'!A116,'GIS Heat Input'!$A$106:$M$123,{13},FALSE)+VLOOKUP('GIS Heat Input'!A138,'GIS Heat Input'!$A$128:$M$145,{13},FALSE)+VLOOKUP('GIS Heat Input'!A160,'GIS Heat Input'!$A$150:$M$167,{13},FALSE)+VLOOKUP('GIS Heat Input'!A77,'GIS Heat Input'!$A$62:$M$79,{13},FALSE)+VLOOKUP('GIS Heat Input'!A99,'GIS Heat Input'!$A$84:$M$101,{13},FALSE)+VLOOKUP('GIS Heat Input'!A121,'GIS Heat Input'!$A$106:$M$123,{13},FALSE)+VLOOKUP('GIS Heat Input'!A143,'GIS Heat Input'!$A$128:$M$145,{13},FALSE)+VLOOKUP('GIS Heat Input'!A165,'GIS Heat Input'!$A$150:$M$167,{13},FALSE))*F329</f>
        <v>0</v>
      </c>
      <c r="E329" s="315">
        <f t="array" ref="E329">SUM(VLOOKUP('GIS Heat Input'!A182,'GIS Heat Input'!$A$172:$M$189, {2,4,6,8,10,12}, FALSE)+VLOOKUP('GIS Heat Input'!A187,'GIS Heat Input'!$A$172:$M$189, {2,4,6,8,10,12}, FALSE))*F329</f>
        <v>0</v>
      </c>
      <c r="F329" s="29">
        <f>1-F327</f>
        <v>0.44999549746874257</v>
      </c>
      <c r="G329" s="315">
        <f t="shared" si="7"/>
        <v>0</v>
      </c>
      <c r="H329" s="315"/>
    </row>
    <row r="330" spans="1:8" x14ac:dyDescent="0.4">
      <c r="A330" s="317" t="s">
        <v>4118</v>
      </c>
      <c r="B330" s="315">
        <f t="array" ref="B330">SUM(VLOOKUP('GIS Heat Input'!A63,'GIS Heat Input'!$A$62:$M$79,{12},FALSE)+VLOOKUP('GIS Heat Input'!A85,'GIS Heat Input'!$A$84:$M$101,{12},FALSE)+VLOOKUP('GIS Heat Input'!A107,'GIS Heat Input'!$A$106:$M$123,{12},FALSE)+VLOOKUP('GIS Heat Input'!A129,'GIS Heat Input'!$A$128:$M$145,{12},FALSE)+VLOOKUP('GIS Heat Input'!A151,'GIS Heat Input'!$A$150:$M$167,{12},FALSE)+VLOOKUP('GIS Heat Input'!A79,'GIS Heat Input'!$A$62:$M$79,{12},FALSE)+VLOOKUP('GIS Heat Input'!A101,'GIS Heat Input'!$A$84:$M$101,{12},FALSE)+VLOOKUP('GIS Heat Input'!A123,'GIS Heat Input'!$A$106:$M$123,{12},FALSE)+VLOOKUP('GIS Heat Input'!A145,'GIS Heat Input'!$A$128:$M$145,{12},FALSE)+VLOOKUP('GIS Heat Input'!A167,'GIS Heat Input'!$A$150:$M$167,{12},FALSE))</f>
        <v>0</v>
      </c>
      <c r="C330" s="315">
        <f t="array" ref="C330">SUM(VLOOKUP('GIS Heat Input'!A195,'GIS Heat Input'!$A$194:$G$211,{7},FALSE)+VLOOKUP('GIS Heat Input'!A217,'GIS Heat Input'!$A$216:$G$233,{7},FALSE)+VLOOKUP('GIS Heat Input'!A239,'GIS Heat Input'!$A$238:$G$255,{7},FALSE)+VLOOKUP('GIS Heat Input'!A211,'GIS Heat Input'!$A$194:$G$211,{7},FALSE)+VLOOKUP('GIS Heat Input'!A233,'GIS Heat Input'!$A$216:$G$233,{7},FALSE)+VLOOKUP('GIS Heat Input'!A255,'GIS Heat Input'!$A$238:$G$255,{7},FALSE))</f>
        <v>0</v>
      </c>
      <c r="D330" s="315">
        <f t="array" ref="D330">SUM(VLOOKUP('GIS Heat Input'!A63,'GIS Heat Input'!$A$62:$M$79,{13},FALSE)+VLOOKUP('GIS Heat Input'!A85,'GIS Heat Input'!$A$84:$M$101,{13},FALSE)+VLOOKUP('GIS Heat Input'!A107,'GIS Heat Input'!$A$106:$M$123,{13},FALSE)+VLOOKUP('GIS Heat Input'!A129,'GIS Heat Input'!$A$128:$M$145,{13},FALSE)+VLOOKUP('GIS Heat Input'!A151,'GIS Heat Input'!$A$150:$M$167,{13},FALSE)+VLOOKUP('GIS Heat Input'!A79,'GIS Heat Input'!$A$62:$M$79,{13},FALSE)+VLOOKUP('GIS Heat Input'!A101,'GIS Heat Input'!$A$84:$M$101,{13},FALSE)+VLOOKUP('GIS Heat Input'!A123,'GIS Heat Input'!$A$106:$M$123,{13},FALSE)+VLOOKUP('GIS Heat Input'!A145,'GIS Heat Input'!$A$128:$M$145,{13},FALSE)+VLOOKUP('GIS Heat Input'!A167,'GIS Heat Input'!$A$150:$M$167,{13},FALSE))</f>
        <v>0</v>
      </c>
      <c r="E330" s="315">
        <f t="array" ref="E330">SUM(VLOOKUP('GIS Heat Input'!A173,'GIS Heat Input'!$A$172:$M$189, {2,4,6,8,10,12}, FALSE)+VLOOKUP('GIS Heat Input'!A189,'GIS Heat Input'!$A$172:$M$189, {2,4,6,8,10,12}, FALSE))</f>
        <v>4452809.8347150758</v>
      </c>
      <c r="G330" s="315">
        <f t="shared" si="7"/>
        <v>-4452809.8347150758</v>
      </c>
      <c r="H330" s="315"/>
    </row>
    <row r="331" spans="1:8" x14ac:dyDescent="0.4">
      <c r="A331" s="317" t="s">
        <v>3975</v>
      </c>
      <c r="B331" s="315">
        <f t="array" ref="B331">SUM(VLOOKUP('GIS Heat Input'!A62,'GIS Heat Input'!$A$62:$M$79,{12},FALSE)+VLOOKUP('GIS Heat Input'!A84,'GIS Heat Input'!$A$84:$M$101,{12},FALSE)+VLOOKUP('GIS Heat Input'!A106,'GIS Heat Input'!$A$106:$M$123,{12},FALSE)+VLOOKUP('GIS Heat Input'!A128,'GIS Heat Input'!$A$128:$M$145,{12},FALSE)+VLOOKUP('GIS Heat Input'!A150,'GIS Heat Input'!$A$150:$M$167,{12},FALSE)+VLOOKUP('GIS Heat Input'!A66,'GIS Heat Input'!$A$62:$M$79,{12},FALSE)+VLOOKUP('GIS Heat Input'!A88,'GIS Heat Input'!$A$84:$M$101,{12},FALSE)+VLOOKUP('GIS Heat Input'!A110,'GIS Heat Input'!$A$106:$M$123,{12},FALSE)+VLOOKUP('GIS Heat Input'!A132,'GIS Heat Input'!$A$128:$M$145,{12},FALSE)+VLOOKUP('GIS Heat Input'!A154,'GIS Heat Input'!$A$150:$M$167,{12},FALSE))</f>
        <v>0</v>
      </c>
      <c r="C331" s="315">
        <f t="array" ref="C331">SUM(VLOOKUP('GIS Heat Input'!A194,'GIS Heat Input'!$A$194:$G$211,{7},FALSE)+VLOOKUP('GIS Heat Input'!A216,'GIS Heat Input'!$A$216:$G$233,{7},FALSE)+VLOOKUP('GIS Heat Input'!A238,'GIS Heat Input'!$A$238:$G$255,{7},FALSE)+VLOOKUP('GIS Heat Input'!A198,'GIS Heat Input'!$A$194:$G$211,{7},FALSE)+VLOOKUP('GIS Heat Input'!A220,'GIS Heat Input'!$A$216:$G$233,{7},FALSE)+VLOOKUP('GIS Heat Input'!A242,'GIS Heat Input'!$A$238:$G$255,{7},FALSE))</f>
        <v>0</v>
      </c>
      <c r="D331" s="315">
        <f t="array" ref="D331">SUM(VLOOKUP('GIS Heat Input'!A62,'GIS Heat Input'!$A$62:$M$79,{13},FALSE)+VLOOKUP('GIS Heat Input'!A84,'GIS Heat Input'!$A$84:$M$101,{13},FALSE)+VLOOKUP('GIS Heat Input'!A106,'GIS Heat Input'!$A$106:$M$125,{13},FALSE)+VLOOKUP('GIS Heat Input'!A128,'GIS Heat Input'!$A$128:$M$145,{13},FALSE)+VLOOKUP('GIS Heat Input'!A150,'GIS Heat Input'!$A$150:$M$167,{13},FALSE)+VLOOKUP('GIS Heat Input'!A66,'GIS Heat Input'!$A$62:$M$79,{13},FALSE)+VLOOKUP('GIS Heat Input'!A88,'GIS Heat Input'!$A$84:$M$101,{13},FALSE)+VLOOKUP('GIS Heat Input'!A110,'GIS Heat Input'!$A$106:$M$123,{13},FALSE)+VLOOKUP('GIS Heat Input'!A132,'GIS Heat Input'!$A$128:$M$145,{13},FALSE)+VLOOKUP('GIS Heat Input'!A154,'GIS Heat Input'!$A$150:$M$167,{13},FALSE))</f>
        <v>0</v>
      </c>
      <c r="E331" s="315">
        <f t="array" ref="E331">SUM(VLOOKUP('GIS Heat Input'!A172,'GIS Heat Input'!$A$172:$M$189, {2,4,6,8,10,12}, FALSE)+VLOOKUP('GIS Heat Input'!A176,'GIS Heat Input'!$A$172:$M$189, {2,4,6,8,10,12}, FALSE))</f>
        <v>2889.1318405949401</v>
      </c>
      <c r="G331" s="315">
        <f t="shared" si="7"/>
        <v>-2889.1318405949401</v>
      </c>
      <c r="H331" s="315"/>
    </row>
    <row r="332" spans="1:8" x14ac:dyDescent="0.4">
      <c r="A332" s="317" t="s">
        <v>11</v>
      </c>
      <c r="B332" s="315"/>
      <c r="C332" s="315"/>
      <c r="D332" s="315"/>
      <c r="E332" s="315"/>
      <c r="F332" s="29"/>
      <c r="G332" s="315"/>
      <c r="H332" s="315"/>
    </row>
    <row r="333" spans="1:8" x14ac:dyDescent="0.4">
      <c r="C333" s="315"/>
    </row>
    <row r="334" spans="1:8" x14ac:dyDescent="0.4">
      <c r="A334" s="4" t="s">
        <v>4124</v>
      </c>
    </row>
    <row r="335" spans="1:8" ht="80" x14ac:dyDescent="0.4">
      <c r="A335" s="311" t="s">
        <v>4109</v>
      </c>
      <c r="B335" s="312" t="s">
        <v>4125</v>
      </c>
      <c r="C335" s="312" t="s">
        <v>4114</v>
      </c>
      <c r="D335" s="312" t="s">
        <v>4115</v>
      </c>
      <c r="E335" s="312"/>
      <c r="F335" s="312"/>
      <c r="G335" s="312"/>
      <c r="H335" s="312"/>
    </row>
    <row r="336" spans="1:8" x14ac:dyDescent="0.4">
      <c r="A336" s="317" t="s">
        <v>3996</v>
      </c>
      <c r="B336" s="399">
        <f t="array" ref="B336">SUM(VLOOKUP('GIS Heat Input'!A197,'GIS Heat Input'!A194:G211, {2,3,4,5,6,7}, FALSE)+VLOOKUP('GIS Heat Input'!A207,'GIS Heat Input'!A194:G211, {2,3,4,5,6,7}, FALSE))</f>
        <v>0</v>
      </c>
      <c r="C336" s="8"/>
      <c r="D336" s="399">
        <f>-B336</f>
        <v>0</v>
      </c>
      <c r="E336" s="315"/>
      <c r="H336" s="315"/>
    </row>
    <row r="337" spans="1:8" x14ac:dyDescent="0.4">
      <c r="A337" s="317" t="s">
        <v>270</v>
      </c>
      <c r="B337" s="399">
        <f t="array" ref="B337">SUM(VLOOKUP('GIS Heat Input'!A205,'GIS Heat Input'!A194:G211, {2,3,4,5,6,7}, FALSE))</f>
        <v>0</v>
      </c>
      <c r="C337" s="8"/>
      <c r="D337" s="399">
        <f t="shared" ref="D337:D342" si="8">-B337</f>
        <v>0</v>
      </c>
      <c r="E337" s="315"/>
      <c r="H337" s="315"/>
    </row>
    <row r="338" spans="1:8" x14ac:dyDescent="0.4">
      <c r="A338" s="317" t="s">
        <v>4116</v>
      </c>
      <c r="B338" s="399">
        <f t="array" ref="B338">SUM(VLOOKUP('GIS Heat Input'!A204,'GIS Heat Input'!A194:G211, {2,3,4,5,6,7}, FALSE)+VLOOKUP('GIS Heat Input'!A209,'GIS Heat Input'!A194:G211, {2,3,4,5,6,7},FALSE))*C338</f>
        <v>0</v>
      </c>
      <c r="C338" s="400">
        <f t="array" ref="C338">'EIA Form 923'!B3092</f>
        <v>0.55000450253125743</v>
      </c>
      <c r="D338" s="399">
        <f t="shared" si="8"/>
        <v>0</v>
      </c>
      <c r="E338" s="315"/>
      <c r="H338" s="315"/>
    </row>
    <row r="339" spans="1:8" x14ac:dyDescent="0.4">
      <c r="A339" s="317" t="s">
        <v>251</v>
      </c>
      <c r="B339" s="399">
        <f t="array" ref="B339">SUM(VLOOKUP('GIS Heat Input'!A203,'GIS Heat Input'!A194:G211, {2,3,4,5,6,7}, FALSE))</f>
        <v>5594822.9326370778</v>
      </c>
      <c r="C339" s="400"/>
      <c r="D339" s="399">
        <f t="shared" si="8"/>
        <v>-5594822.9326370778</v>
      </c>
      <c r="E339" s="315"/>
      <c r="H339" s="315"/>
    </row>
    <row r="340" spans="1:8" x14ac:dyDescent="0.4">
      <c r="A340" s="317" t="s">
        <v>4117</v>
      </c>
      <c r="B340" s="399">
        <f t="array" ref="B340">SUM(VLOOKUP('GIS Heat Input'!A204,'GIS Heat Input'!A194:G211, {2,3,4,5,6,7}, FALSE)+VLOOKUP('GIS Heat Input'!A209,'GIS Heat Input'!A194:G211, {2,3,4,5,6,7},FALSE))*C340</f>
        <v>0</v>
      </c>
      <c r="C340" s="400">
        <f>1-C338</f>
        <v>0.44999549746874257</v>
      </c>
      <c r="D340" s="399">
        <f t="shared" si="8"/>
        <v>0</v>
      </c>
      <c r="E340" s="315"/>
      <c r="H340" s="315"/>
    </row>
    <row r="341" spans="1:8" x14ac:dyDescent="0.4">
      <c r="A341" s="317" t="s">
        <v>4118</v>
      </c>
      <c r="B341" s="399" cm="1">
        <f t="array" ref="B341">SUM(VLOOKUP('GIS Heat Input'!A195,'GIS Heat Input'!A194:G211, {2,3,4,5,6,7}, FALSE)+VLOOKUP('GIS Heat Input'!A211,'GIS Heat Input'!A194:G211, {2,3,4,5,6,7},FALSE))</f>
        <v>0</v>
      </c>
      <c r="C341" s="8"/>
      <c r="D341" s="399">
        <f t="shared" si="8"/>
        <v>0</v>
      </c>
      <c r="E341" s="315"/>
      <c r="H341" s="315"/>
    </row>
    <row r="342" spans="1:8" x14ac:dyDescent="0.4">
      <c r="A342" s="317" t="s">
        <v>3975</v>
      </c>
      <c r="B342" s="399">
        <f t="array" ref="B342">SUM(VLOOKUP('GIS Heat Input'!A194,'GIS Heat Input'!A194:G211,{2,3,4,5,6,7},FALSE)+VLOOKUP('GIS Heat Input'!A198,'GIS Heat Input'!A194:G211,{2,3,4,5,6,7},FALSE))</f>
        <v>111800.43654981161</v>
      </c>
      <c r="C342" s="8"/>
      <c r="D342" s="399">
        <f t="shared" si="8"/>
        <v>-111800.43654981161</v>
      </c>
      <c r="E342" s="315"/>
      <c r="H342" s="315"/>
    </row>
    <row r="343" spans="1:8" x14ac:dyDescent="0.4">
      <c r="A343" s="317" t="s">
        <v>11</v>
      </c>
      <c r="B343" s="8"/>
      <c r="C343" s="8"/>
      <c r="D343" s="8"/>
      <c r="E343" s="315"/>
      <c r="H343" s="315"/>
    </row>
    <row r="344" spans="1:8" x14ac:dyDescent="0.4">
      <c r="E344" s="315"/>
    </row>
    <row r="345" spans="1:8" x14ac:dyDescent="0.4">
      <c r="A345" s="4" t="s">
        <v>4126</v>
      </c>
    </row>
    <row r="346" spans="1:8" ht="80" x14ac:dyDescent="0.4">
      <c r="A346" s="311" t="s">
        <v>4109</v>
      </c>
      <c r="B346" s="312" t="s">
        <v>4127</v>
      </c>
      <c r="C346" s="312" t="s">
        <v>4114</v>
      </c>
      <c r="D346" s="312" t="s">
        <v>4115</v>
      </c>
      <c r="E346" s="312"/>
      <c r="F346" s="312"/>
      <c r="G346" s="312" t="s">
        <v>4128</v>
      </c>
      <c r="H346" s="312"/>
    </row>
    <row r="347" spans="1:8" x14ac:dyDescent="0.4">
      <c r="A347" s="317" t="s">
        <v>3996</v>
      </c>
      <c r="B347" s="399">
        <f t="array" ref="B347">SUM(VLOOKUP('GIS Heat Input'!A219,'GIS Heat Input'!A216:G233, {2,3,4,5,6,7}, FALSE)+VLOOKUP('GIS Heat Input'!A229,'GIS Heat Input'!A216:G233, {2,3,4,5,6,7}, FALSE))</f>
        <v>0</v>
      </c>
      <c r="C347" s="8"/>
      <c r="D347" s="399">
        <f>-B347</f>
        <v>0</v>
      </c>
      <c r="H347" s="315"/>
    </row>
    <row r="348" spans="1:8" x14ac:dyDescent="0.4">
      <c r="A348" s="317" t="s">
        <v>270</v>
      </c>
      <c r="B348" s="399">
        <f t="array" ref="B348">SUM(VLOOKUP('GIS Heat Input'!A227,'GIS Heat Input'!A216:G233, {2,3,4,5,6,7}, FALSE))</f>
        <v>0</v>
      </c>
      <c r="C348" s="8"/>
      <c r="D348" s="399">
        <f t="shared" ref="D348:D353" si="9">-B348</f>
        <v>0</v>
      </c>
      <c r="H348" s="315"/>
    </row>
    <row r="349" spans="1:8" x14ac:dyDescent="0.4">
      <c r="A349" s="317" t="s">
        <v>4116</v>
      </c>
      <c r="B349" s="399">
        <f t="array" ref="B349">SUM(VLOOKUP('GIS Heat Input'!A226,'GIS Heat Input'!A216:G233,{2,3,4,5,6,7},FALSE)+VLOOKUP('GIS Heat Input'!A231,'GIS Heat Input'!A216:G233,{2,3,4,5,6,7},FALSE))*C349</f>
        <v>0</v>
      </c>
      <c r="C349" s="400">
        <f t="array" ref="C349">'EIA Form 923'!B3092</f>
        <v>0.55000450253125743</v>
      </c>
      <c r="D349" s="399">
        <f t="shared" si="9"/>
        <v>0</v>
      </c>
      <c r="H349" s="315"/>
    </row>
    <row r="350" spans="1:8" x14ac:dyDescent="0.4">
      <c r="A350" s="317" t="s">
        <v>251</v>
      </c>
      <c r="B350" s="399">
        <f t="array" ref="B350">SUM(VLOOKUP('GIS Heat Input'!A225,'GIS Heat Input'!A216:G233, {2,3,4,5,6,7}, FALSE))</f>
        <v>0</v>
      </c>
      <c r="C350" s="400"/>
      <c r="D350" s="399">
        <f t="shared" si="9"/>
        <v>0</v>
      </c>
      <c r="H350" s="315"/>
    </row>
    <row r="351" spans="1:8" x14ac:dyDescent="0.4">
      <c r="A351" s="317" t="s">
        <v>4117</v>
      </c>
      <c r="B351" s="399">
        <f t="array" ref="B351">SUM(VLOOKUP('GIS Heat Input'!A226,'GIS Heat Input'!A216:G233, {2,3,4,5,6,7}, FALSE)+VLOOKUP('GIS Heat Input'!A231,'GIS Heat Input'!A216:G233, {2,3,4,5,6,7},FALSE))*C351</f>
        <v>0</v>
      </c>
      <c r="C351" s="400">
        <f>1-C349</f>
        <v>0.44999549746874257</v>
      </c>
      <c r="D351" s="399">
        <f t="shared" si="9"/>
        <v>0</v>
      </c>
      <c r="H351" s="315"/>
    </row>
    <row r="352" spans="1:8" x14ac:dyDescent="0.4">
      <c r="A352" s="317" t="s">
        <v>4118</v>
      </c>
      <c r="B352" s="399">
        <f t="array" ref="B352">SUM(VLOOKUP('GIS Heat Input'!A217,'GIS Heat Input'!A216:G233, {2,3,4,5,6,7}, FALSE)+VLOOKUP('GIS Heat Input'!A233,'GIS Heat Input'!A216:G233, {2,3,4,5,6,7},FALSE))</f>
        <v>0</v>
      </c>
      <c r="C352" s="8"/>
      <c r="D352" s="399">
        <f t="shared" si="9"/>
        <v>0</v>
      </c>
      <c r="H352" s="315"/>
    </row>
    <row r="353" spans="1:8" x14ac:dyDescent="0.4">
      <c r="A353" s="317" t="s">
        <v>3975</v>
      </c>
      <c r="B353" s="399">
        <f t="array" ref="B353">SUM(VLOOKUP('GIS Heat Input'!A216,'GIS Heat Input'!A216:G233, {2,3,4,5,6,7}, FALSE)+VLOOKUP('GIS Heat Input'!A220,'GIS Heat Input'!A216:G233, {2,3,4,5,6,7}, FALSE))</f>
        <v>0</v>
      </c>
      <c r="C353" s="8"/>
      <c r="D353" s="399">
        <f t="shared" si="9"/>
        <v>0</v>
      </c>
      <c r="H353" s="315"/>
    </row>
    <row r="354" spans="1:8" x14ac:dyDescent="0.4">
      <c r="A354" s="317" t="s">
        <v>11</v>
      </c>
      <c r="B354" s="8"/>
      <c r="C354" s="8"/>
      <c r="D354" s="8"/>
      <c r="H354" s="315"/>
    </row>
    <row r="356" spans="1:8" x14ac:dyDescent="0.4">
      <c r="A356" s="4" t="s">
        <v>4129</v>
      </c>
    </row>
    <row r="357" spans="1:8" ht="80" x14ac:dyDescent="0.4">
      <c r="A357" s="311" t="s">
        <v>4109</v>
      </c>
      <c r="B357" s="312" t="s">
        <v>4127</v>
      </c>
      <c r="C357" s="312" t="s">
        <v>4114</v>
      </c>
      <c r="D357" s="312" t="s">
        <v>4115</v>
      </c>
      <c r="E357" s="312"/>
      <c r="F357" s="312"/>
      <c r="G357" s="312"/>
      <c r="H357" s="312"/>
    </row>
    <row r="358" spans="1:8" x14ac:dyDescent="0.4">
      <c r="A358" s="317" t="s">
        <v>3996</v>
      </c>
      <c r="B358" s="399">
        <f t="array" ref="B358">SUM(VLOOKUP('GIS Heat Input'!A241,'GIS Heat Input'!A238:G255,{2,3,4,5,6,7},FALSE)+VLOOKUP('GIS Heat Input'!A251,'GIS Heat Input'!A238:G255,{2,3,4,5,6,7},FALSE))</f>
        <v>0</v>
      </c>
      <c r="C358" s="8"/>
      <c r="D358" s="399">
        <f>-B358</f>
        <v>0</v>
      </c>
      <c r="H358" s="315"/>
    </row>
    <row r="359" spans="1:8" x14ac:dyDescent="0.4">
      <c r="A359" s="317" t="s">
        <v>270</v>
      </c>
      <c r="B359" s="399">
        <f t="array" ref="B359">SUM(VLOOKUP('GIS Heat Input'!A249,'GIS Heat Input'!A238:G255, {2,3,4,5,6,7}, FALSE))</f>
        <v>0</v>
      </c>
      <c r="C359" s="8"/>
      <c r="D359" s="399">
        <f t="shared" ref="D359:D364" si="10">-B359</f>
        <v>0</v>
      </c>
      <c r="H359" s="315"/>
    </row>
    <row r="360" spans="1:8" x14ac:dyDescent="0.4">
      <c r="A360" s="317" t="s">
        <v>4116</v>
      </c>
      <c r="B360" s="399">
        <f t="array" ref="B360">SUM(VLOOKUP('GIS Heat Input'!A248,'GIS Heat Input'!A238:G255, {2,3,4,5,6,7}, FALSE)+VLOOKUP('GIS Heat Input'!A253,'GIS Heat Input'!A238:G255, {2,3,4,5,6,7},FALSE))*C360</f>
        <v>0</v>
      </c>
      <c r="C360" s="400">
        <f t="array" ref="C360">'EIA Form 923'!B3092</f>
        <v>0.55000450253125743</v>
      </c>
      <c r="D360" s="399">
        <f t="shared" si="10"/>
        <v>0</v>
      </c>
      <c r="H360" s="315"/>
    </row>
    <row r="361" spans="1:8" x14ac:dyDescent="0.4">
      <c r="A361" s="317" t="s">
        <v>251</v>
      </c>
      <c r="B361" s="399">
        <f t="array" ref="B361">SUM(VLOOKUP('GIS Heat Input'!A247,'GIS Heat Input'!A238:G255, {2,3,4,5,6,7}, FALSE))</f>
        <v>613262.06573394733</v>
      </c>
      <c r="C361" s="400"/>
      <c r="D361" s="399">
        <f t="shared" si="10"/>
        <v>-613262.06573394733</v>
      </c>
      <c r="H361" s="315"/>
    </row>
    <row r="362" spans="1:8" x14ac:dyDescent="0.4">
      <c r="A362" s="317" t="s">
        <v>4117</v>
      </c>
      <c r="B362" s="399">
        <f t="array" ref="B362">SUM(VLOOKUP('GIS Heat Input'!A248,'GIS Heat Input'!A238:G255, {2,3,4,5,6,7}, FALSE)+VLOOKUP('GIS Heat Input'!A253,'GIS Heat Input'!A238:G255, {2,3,4,5,6,7},FALSE))*C362</f>
        <v>0</v>
      </c>
      <c r="C362" s="400">
        <f>1-C360</f>
        <v>0.44999549746874257</v>
      </c>
      <c r="D362" s="399">
        <f t="shared" si="10"/>
        <v>0</v>
      </c>
      <c r="H362" s="315"/>
    </row>
    <row r="363" spans="1:8" x14ac:dyDescent="0.4">
      <c r="A363" s="317" t="s">
        <v>4118</v>
      </c>
      <c r="B363" s="399">
        <f t="array" ref="B363">SUM(VLOOKUP('GIS Heat Input'!A239,'GIS Heat Input'!A238:G255, {2,3,4,5,6,7}, FALSE)+VLOOKUP('GIS Heat Input'!A255,'GIS Heat Input'!A238:G255, {2,3,4,5,6,7}, FALSE))</f>
        <v>1504548.6628298033</v>
      </c>
      <c r="C363" s="400"/>
      <c r="D363" s="399">
        <f t="shared" si="10"/>
        <v>-1504548.6628298033</v>
      </c>
      <c r="H363" s="315"/>
    </row>
    <row r="364" spans="1:8" x14ac:dyDescent="0.4">
      <c r="A364" s="317" t="s">
        <v>3975</v>
      </c>
      <c r="B364" s="399">
        <f t="array" ref="B364">SUM(VLOOKUP('GIS Heat Input'!A238,'GIS Heat Input'!A238:G255, {2,3,4,5,6,7}, FALSE)+VLOOKUP('GIS Heat Input'!A242,'GIS Heat Input'!A238:G255, {2,3,4,5,6,7}, FALSE))</f>
        <v>0</v>
      </c>
      <c r="C364" s="8"/>
      <c r="D364" s="399">
        <f t="shared" si="10"/>
        <v>0</v>
      </c>
      <c r="H364" s="315"/>
    </row>
    <row r="365" spans="1:8" x14ac:dyDescent="0.4">
      <c r="A365" s="317" t="s">
        <v>11</v>
      </c>
      <c r="B365" s="8"/>
      <c r="C365" s="8"/>
      <c r="D365" s="8"/>
      <c r="H365" s="315"/>
    </row>
    <row r="367" spans="1:8" x14ac:dyDescent="0.4">
      <c r="A367" s="155" t="s">
        <v>150</v>
      </c>
    </row>
  </sheetData>
  <hyperlinks>
    <hyperlink ref="A16" location="'GIS Heat Input'!A258" display="CONSOLIDATED GIS CERTIFICATE HEAT INPUT (MMBTU) TABLES FOR STATES AND PROVINCES" xr:uid="{7D4E3B0F-7D80-4732-9B82-51024A062FBF}"/>
    <hyperlink ref="A6" location="'GIS Heat Input'!A20" display="HEAT RATE TABLE: " xr:uid="{7A912567-F151-4AB1-8888-136103D16DAB}"/>
    <hyperlink ref="A7" location="'GIS Heat Input'!A49" display="MMBTU TABLES: " xr:uid="{47B1B1C8-D9F1-4F42-A1B2-45B2273EA47E}"/>
  </hyperlinks>
  <pageMargins left="0.7" right="0.7" top="0.75" bottom="0.75" header="0.3" footer="0.3"/>
  <pageSetup scale="75" fitToHeight="0" orientation="landscape"/>
  <rowBreaks count="3" manualBreakCount="3">
    <brk id="287" max="16383" man="1"/>
    <brk id="320" max="16383" man="1"/>
    <brk id="353" max="16383" man="1"/>
  </rowBreaks>
  <tableParts count="19">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48B8951B32C44A8ABF1C6EE626DEA0" ma:contentTypeVersion="14" ma:contentTypeDescription="Create a new document." ma:contentTypeScope="" ma:versionID="1650441cba533cdd87d71197d4d38a1f">
  <xsd:schema xmlns:xsd="http://www.w3.org/2001/XMLSchema" xmlns:xs="http://www.w3.org/2001/XMLSchema" xmlns:p="http://schemas.microsoft.com/office/2006/metadata/properties" xmlns:ns2="97c241f7-0c18-4008-861b-5a676167a037" xmlns:ns3="7b83dbe2-6fd2-449a-a932-0d75829bf641" targetNamespace="http://schemas.microsoft.com/office/2006/metadata/properties" ma:root="true" ma:fieldsID="bf484b502aa0631730d63a6fcc4c17d9" ns2:_="" ns3:_="">
    <xsd:import namespace="97c241f7-0c18-4008-861b-5a676167a037"/>
    <xsd:import namespace="7b83dbe2-6fd2-449a-a932-0d75829bf64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c241f7-0c18-4008-861b-5a676167a0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83dbe2-6fd2-449a-a932-0d75829bf64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e1eecbb-5736-4a27-a3d9-8cd4d931ca33}" ma:internalName="TaxCatchAll" ma:showField="CatchAllData" ma:web="7b83dbe2-6fd2-449a-a932-0d75829bf6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7c241f7-0c18-4008-861b-5a676167a037">
      <Terms xmlns="http://schemas.microsoft.com/office/infopath/2007/PartnerControls"/>
    </lcf76f155ced4ddcb4097134ff3c332f>
    <TaxCatchAll xmlns="7b83dbe2-6fd2-449a-a932-0d75829bf64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BBB0C3-CC4A-47F3-B490-0BCB878596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c241f7-0c18-4008-861b-5a676167a037"/>
    <ds:schemaRef ds:uri="7b83dbe2-6fd2-449a-a932-0d75829bf6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90E0BC-B6BB-4E2C-8E8A-3B80750A153C}">
  <ds:schemaRefs>
    <ds:schemaRef ds:uri="http://schemas.microsoft.com/office/2006/metadata/properties"/>
    <ds:schemaRef ds:uri="http://schemas.microsoft.com/office/infopath/2007/PartnerControls"/>
    <ds:schemaRef ds:uri="97c241f7-0c18-4008-861b-5a676167a037"/>
    <ds:schemaRef ds:uri="7b83dbe2-6fd2-449a-a932-0d75829bf641"/>
  </ds:schemaRefs>
</ds:datastoreItem>
</file>

<file path=customXml/itemProps3.xml><?xml version="1.0" encoding="utf-8"?>
<ds:datastoreItem xmlns:ds="http://schemas.openxmlformats.org/officeDocument/2006/customXml" ds:itemID="{C55FEC8C-2460-424A-AF2F-8FB5F85F0C55}">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Contents</vt:lpstr>
      <vt:lpstr>Emission Factors</vt:lpstr>
      <vt:lpstr>State and Province Summary</vt:lpstr>
      <vt:lpstr>Generation Load Imports</vt:lpstr>
      <vt:lpstr>EIA and EPA CO2e</vt:lpstr>
      <vt:lpstr>EIA Form 923</vt:lpstr>
      <vt:lpstr>EPA Part 75</vt:lpstr>
      <vt:lpstr>GIS CO2e</vt:lpstr>
      <vt:lpstr>GIS Heat Input</vt:lpstr>
      <vt:lpstr>GIS</vt:lpstr>
      <vt:lpstr>GWPs and Fuel EFs</vt:lpstr>
      <vt:lpstr>MSBprcnt</vt:lpstr>
      <vt:lpstr>MSNprcnt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Richardson, Sue Ann (DEP)</dc:creator>
  <cp:keywords/>
  <dc:description/>
  <cp:lastModifiedBy>Richardson, Sue Ann (DEP)</cp:lastModifiedBy>
  <cp:revision/>
  <dcterms:created xsi:type="dcterms:W3CDTF">2010-01-22T15:38:48Z</dcterms:created>
  <dcterms:modified xsi:type="dcterms:W3CDTF">2026-06-05T15:32:45Z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-1354738597</vt:i4>
  </property>
  <property fmtid="{D5CDD505-2E9C-101B-9397-08002B2CF9AE}" pid="3" name="_NewReviewCycle">
    <vt:lpwstr/>
  </property>
  <property fmtid="{D5CDD505-2E9C-101B-9397-08002B2CF9AE}" pid="4" name="_EmailSubject">
    <vt:lpwstr>getting ready to post updated GHG Inventory</vt:lpwstr>
  </property>
  <property fmtid="{D5CDD505-2E9C-101B-9397-08002B2CF9AE}" pid="5" name="_AuthorEmail">
    <vt:lpwstr>Sharon.Weber@MassMail.State.MA.US</vt:lpwstr>
  </property>
  <property fmtid="{D5CDD505-2E9C-101B-9397-08002B2CF9AE}" pid="6" name="_AuthorEmailDisplayName">
    <vt:lpwstr>Weber, Sharon (DEP)</vt:lpwstr>
  </property>
  <property fmtid="{D5CDD505-2E9C-101B-9397-08002B2CF9AE}" pid="7" name="_PreviousAdHocReviewCycleID">
    <vt:i4>961112467</vt:i4>
  </property>
  <property fmtid="{D5CDD505-2E9C-101B-9397-08002B2CF9AE}" pid="8" name="_ReviewingToolsShownOnce">
    <vt:lpwstr/>
  </property>
  <property fmtid="{D5CDD505-2E9C-101B-9397-08002B2CF9AE}" pid="9" name="WorkbookGuid">
    <vt:lpwstr>d90edfcd-199e-4180-a526-533230d6161b</vt:lpwstr>
  </property>
  <property fmtid="{D5CDD505-2E9C-101B-9397-08002B2CF9AE}" pid="10" name="ContentTypeId">
    <vt:lpwstr>0x0101003F48B8951B32C44A8ABF1C6EE626DEA0</vt:lpwstr>
  </property>
  <property fmtid="{D5CDD505-2E9C-101B-9397-08002B2CF9AE}" pid="11" name="ComplianceAssetId">
    <vt:lpwstr/>
  </property>
  <property fmtid="{D5CDD505-2E9C-101B-9397-08002B2CF9AE}" pid="12" name="_ExtendedDescription">
    <vt:lpwstr/>
  </property>
  <property fmtid="{D5CDD505-2E9C-101B-9397-08002B2CF9AE}" pid="13" name="TriggerFlowInfo">
    <vt:lpwstr/>
  </property>
  <property fmtid="{D5CDD505-2E9C-101B-9397-08002B2CF9AE}" pid="14" name="MediaServiceImageTags">
    <vt:lpwstr/>
  </property>
</Properties>
</file>