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W:\Tm-AltTech\SMART\Guidelines\Current Versions\"/>
    </mc:Choice>
  </mc:AlternateContent>
  <xr:revisionPtr revIDLastSave="0" documentId="13_ncr:1_{9EF09E7C-8BE0-4D24-B7B3-5D1A286E0468}" xr6:coauthVersionLast="41" xr6:coauthVersionMax="44" xr10:uidLastSave="{00000000-0000-0000-0000-000000000000}"/>
  <bookViews>
    <workbookView xWindow="-110" yWindow="-110" windowWidth="19420" windowHeight="10420" xr2:uid="{00000000-000D-0000-FFFF-FFFF00000000}"/>
  </bookViews>
  <sheets>
    <sheet name="Guideline Summary" sheetId="5" r:id="rId1"/>
    <sheet name="Capacity Block Sizes" sheetId="3" r:id="rId2"/>
    <sheet name="BTM Base Compensation Rates" sheetId="6" r:id="rId3"/>
    <sheet name="Stand. Base Compensation Rates" sheetId="1" r:id="rId4"/>
    <sheet name="Compensation Rate Adders" sheetId="4"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 r="G17" i="1"/>
  <c r="H17" i="1"/>
  <c r="F18" i="1"/>
  <c r="G18" i="1" s="1"/>
  <c r="H18" i="1" s="1"/>
  <c r="F19" i="1"/>
  <c r="G19" i="1"/>
  <c r="H19" i="1" s="1"/>
  <c r="F20" i="1"/>
  <c r="G20" i="1"/>
  <c r="H20" i="1" s="1"/>
  <c r="F21" i="1"/>
  <c r="G21" i="1"/>
  <c r="H21" i="1" s="1"/>
  <c r="G16" i="1"/>
  <c r="H16" i="1"/>
  <c r="H17" i="6"/>
  <c r="H18" i="6"/>
  <c r="H19" i="6"/>
  <c r="H20" i="6"/>
  <c r="H21" i="6"/>
  <c r="H16" i="6"/>
  <c r="G17" i="6"/>
  <c r="G18" i="6"/>
  <c r="G19" i="6"/>
  <c r="G20" i="6"/>
  <c r="G21" i="6"/>
  <c r="G16" i="6"/>
  <c r="I9" i="6" l="1"/>
  <c r="I8" i="6"/>
  <c r="I7" i="6"/>
  <c r="I6" i="6"/>
  <c r="I5" i="6"/>
  <c r="I4" i="6"/>
  <c r="F14" i="3" l="1"/>
  <c r="J50" i="3"/>
  <c r="I50" i="3"/>
  <c r="H50" i="3"/>
  <c r="H55" i="3" s="1"/>
  <c r="G50" i="3"/>
  <c r="F50" i="3"/>
  <c r="J55" i="3"/>
  <c r="I55" i="3"/>
  <c r="G55" i="3"/>
  <c r="F55" i="3"/>
  <c r="E55" i="3"/>
  <c r="D55" i="3"/>
  <c r="F46" i="3"/>
  <c r="F37" i="3"/>
  <c r="E37" i="3"/>
  <c r="C37" i="3"/>
  <c r="F32" i="3"/>
  <c r="I28" i="3"/>
  <c r="H28" i="3"/>
  <c r="G28" i="3"/>
  <c r="F28" i="3"/>
  <c r="E28" i="3"/>
  <c r="D28" i="3"/>
  <c r="F23" i="3"/>
  <c r="J15" i="3"/>
  <c r="I19" i="3"/>
  <c r="H19" i="3"/>
  <c r="G19" i="3"/>
  <c r="D19" i="3"/>
  <c r="E19" i="3"/>
  <c r="F19" i="3"/>
  <c r="C19" i="3"/>
  <c r="F5" i="3" l="1"/>
  <c r="B14" i="3"/>
  <c r="E14" i="3"/>
  <c r="J23" i="3" l="1"/>
  <c r="J32" i="3" s="1"/>
  <c r="J41" i="3" s="1"/>
  <c r="K50" i="3" s="1"/>
  <c r="J25" i="3"/>
  <c r="J34" i="3" s="1"/>
  <c r="J43" i="3" s="1"/>
  <c r="K52" i="3" s="1"/>
  <c r="E16" i="1" l="1"/>
  <c r="D15" i="4"/>
  <c r="E15" i="4" s="1"/>
  <c r="F15" i="4" s="1"/>
  <c r="G15" i="4" s="1"/>
  <c r="H15" i="4" s="1"/>
  <c r="I15" i="4" s="1"/>
  <c r="J15" i="4" s="1"/>
  <c r="K15" i="4" s="1"/>
  <c r="L15" i="4" s="1"/>
  <c r="M15" i="4" s="1"/>
  <c r="N15" i="4" s="1"/>
  <c r="O15" i="4" s="1"/>
  <c r="P15" i="4" s="1"/>
  <c r="F33" i="6" l="1"/>
  <c r="G33" i="6" s="1"/>
  <c r="H33" i="6" s="1"/>
  <c r="I33" i="6" s="1"/>
  <c r="J33" i="6" s="1"/>
  <c r="K33" i="6" s="1"/>
  <c r="L33" i="6" s="1"/>
  <c r="M33" i="6" s="1"/>
  <c r="N33" i="6" s="1"/>
  <c r="O33" i="6" s="1"/>
  <c r="P33" i="6" s="1"/>
  <c r="Q33" i="6" s="1"/>
  <c r="R33" i="6" s="1"/>
  <c r="S33" i="6" s="1"/>
  <c r="T33" i="6" s="1"/>
  <c r="E32" i="6"/>
  <c r="F32" i="6" s="1"/>
  <c r="G32" i="6" s="1"/>
  <c r="H32" i="6" s="1"/>
  <c r="I32" i="6" s="1"/>
  <c r="J32" i="6" s="1"/>
  <c r="K32" i="6" s="1"/>
  <c r="L32" i="6" s="1"/>
  <c r="M32" i="6" s="1"/>
  <c r="N32" i="6" s="1"/>
  <c r="O32" i="6" s="1"/>
  <c r="P32" i="6" s="1"/>
  <c r="Q32" i="6" s="1"/>
  <c r="R32" i="6" s="1"/>
  <c r="S32" i="6" s="1"/>
  <c r="T32" i="6" s="1"/>
  <c r="E31" i="6"/>
  <c r="F31" i="6" s="1"/>
  <c r="G31" i="6" s="1"/>
  <c r="H31" i="6" s="1"/>
  <c r="I31" i="6" s="1"/>
  <c r="J31" i="6" s="1"/>
  <c r="K31" i="6" s="1"/>
  <c r="L31" i="6" s="1"/>
  <c r="M31" i="6" s="1"/>
  <c r="N31" i="6" s="1"/>
  <c r="O31" i="6" s="1"/>
  <c r="P31" i="6" s="1"/>
  <c r="Q31" i="6" s="1"/>
  <c r="R31" i="6" s="1"/>
  <c r="S31" i="6" s="1"/>
  <c r="T31" i="6" s="1"/>
  <c r="E30" i="6"/>
  <c r="F30" i="6" s="1"/>
  <c r="G30" i="6" s="1"/>
  <c r="H30" i="6" s="1"/>
  <c r="I30" i="6" s="1"/>
  <c r="J30" i="6" s="1"/>
  <c r="K30" i="6" s="1"/>
  <c r="L30" i="6" s="1"/>
  <c r="M30" i="6" s="1"/>
  <c r="N30" i="6" s="1"/>
  <c r="O30" i="6" s="1"/>
  <c r="P30" i="6" s="1"/>
  <c r="Q30" i="6" s="1"/>
  <c r="R30" i="6" s="1"/>
  <c r="S30" i="6" s="1"/>
  <c r="T30" i="6" s="1"/>
  <c r="E29" i="6"/>
  <c r="F29" i="6" s="1"/>
  <c r="G29" i="6" s="1"/>
  <c r="H29" i="6" s="1"/>
  <c r="I29" i="6" s="1"/>
  <c r="J29" i="6" s="1"/>
  <c r="K29" i="6" s="1"/>
  <c r="L29" i="6" s="1"/>
  <c r="M29" i="6" s="1"/>
  <c r="N29" i="6" s="1"/>
  <c r="O29" i="6" s="1"/>
  <c r="P29" i="6" s="1"/>
  <c r="Q29" i="6" s="1"/>
  <c r="R29" i="6" s="1"/>
  <c r="S29" i="6" s="1"/>
  <c r="T29" i="6" s="1"/>
  <c r="E28" i="6"/>
  <c r="F28" i="6" s="1"/>
  <c r="G28" i="6" s="1"/>
  <c r="H28" i="6" s="1"/>
  <c r="I28" i="6" s="1"/>
  <c r="J28" i="6" s="1"/>
  <c r="K28" i="6" s="1"/>
  <c r="L28" i="6" s="1"/>
  <c r="M28" i="6" s="1"/>
  <c r="N28" i="6" s="1"/>
  <c r="O28" i="6" s="1"/>
  <c r="P28" i="6" s="1"/>
  <c r="Q28" i="6" s="1"/>
  <c r="R28" i="6" s="1"/>
  <c r="S28" i="6" s="1"/>
  <c r="T28" i="6" s="1"/>
  <c r="G27" i="6"/>
  <c r="H27" i="6" s="1"/>
  <c r="I27" i="6" s="1"/>
  <c r="J27" i="6" s="1"/>
  <c r="K27" i="6" s="1"/>
  <c r="L27" i="6" s="1"/>
  <c r="M27" i="6" s="1"/>
  <c r="N27" i="6" s="1"/>
  <c r="O27" i="6" s="1"/>
  <c r="P27" i="6" s="1"/>
  <c r="Q27" i="6" s="1"/>
  <c r="R27" i="6" s="1"/>
  <c r="S27" i="6" s="1"/>
  <c r="T27" i="6" s="1"/>
  <c r="F27" i="6"/>
  <c r="E26" i="6"/>
  <c r="F26" i="6" s="1"/>
  <c r="G26" i="6" s="1"/>
  <c r="H26" i="6" s="1"/>
  <c r="I26" i="6" s="1"/>
  <c r="J26" i="6" s="1"/>
  <c r="K26" i="6" s="1"/>
  <c r="L26" i="6" s="1"/>
  <c r="M26" i="6" s="1"/>
  <c r="N26" i="6" s="1"/>
  <c r="O26" i="6" s="1"/>
  <c r="P26" i="6" s="1"/>
  <c r="Q26" i="6" s="1"/>
  <c r="R26" i="6" s="1"/>
  <c r="S26" i="6" s="1"/>
  <c r="T26" i="6" s="1"/>
  <c r="E25" i="6"/>
  <c r="F25" i="6" s="1"/>
  <c r="G25" i="6" s="1"/>
  <c r="H25" i="6" s="1"/>
  <c r="I25" i="6" s="1"/>
  <c r="J25" i="6" s="1"/>
  <c r="K25" i="6" s="1"/>
  <c r="L25" i="6" s="1"/>
  <c r="M25" i="6" s="1"/>
  <c r="N25" i="6" s="1"/>
  <c r="O25" i="6" s="1"/>
  <c r="P25" i="6" s="1"/>
  <c r="Q25" i="6" s="1"/>
  <c r="R25" i="6" s="1"/>
  <c r="S25" i="6" s="1"/>
  <c r="T25" i="6" s="1"/>
  <c r="E24" i="6"/>
  <c r="F24" i="6" s="1"/>
  <c r="G24" i="6" s="1"/>
  <c r="H24" i="6" s="1"/>
  <c r="I24" i="6" s="1"/>
  <c r="J24" i="6" s="1"/>
  <c r="K24" i="6" s="1"/>
  <c r="L24" i="6" s="1"/>
  <c r="M24" i="6" s="1"/>
  <c r="N24" i="6" s="1"/>
  <c r="O24" i="6" s="1"/>
  <c r="P24" i="6" s="1"/>
  <c r="Q24" i="6" s="1"/>
  <c r="R24" i="6" s="1"/>
  <c r="S24" i="6" s="1"/>
  <c r="T24" i="6" s="1"/>
  <c r="F23" i="6"/>
  <c r="G23" i="6" s="1"/>
  <c r="H23" i="6" s="1"/>
  <c r="I23" i="6" s="1"/>
  <c r="J23" i="6" s="1"/>
  <c r="K23" i="6" s="1"/>
  <c r="L23" i="6" s="1"/>
  <c r="M23" i="6" s="1"/>
  <c r="N23" i="6" s="1"/>
  <c r="O23" i="6" s="1"/>
  <c r="P23" i="6" s="1"/>
  <c r="Q23" i="6" s="1"/>
  <c r="R23" i="6" s="1"/>
  <c r="S23" i="6" s="1"/>
  <c r="T23" i="6" s="1"/>
  <c r="E23" i="6"/>
  <c r="E22" i="6"/>
  <c r="F22" i="6" s="1"/>
  <c r="G22" i="6" s="1"/>
  <c r="H22" i="6" s="1"/>
  <c r="I22" i="6" s="1"/>
  <c r="J22" i="6" s="1"/>
  <c r="K22" i="6" s="1"/>
  <c r="L22" i="6" s="1"/>
  <c r="M22" i="6" s="1"/>
  <c r="N22" i="6" s="1"/>
  <c r="O22" i="6" s="1"/>
  <c r="P22" i="6" s="1"/>
  <c r="Q22" i="6" s="1"/>
  <c r="R22" i="6" s="1"/>
  <c r="S22" i="6" s="1"/>
  <c r="T22" i="6" s="1"/>
  <c r="F21" i="6"/>
  <c r="E20" i="6"/>
  <c r="F20" i="6" s="1"/>
  <c r="E19" i="6"/>
  <c r="F19" i="6" s="1"/>
  <c r="E18" i="6"/>
  <c r="F18" i="6" s="1"/>
  <c r="E17" i="6"/>
  <c r="F17" i="6" s="1"/>
  <c r="E16" i="6"/>
  <c r="F16" i="6" s="1"/>
  <c r="F15" i="6"/>
  <c r="G15" i="6" s="1"/>
  <c r="H15" i="6" s="1"/>
  <c r="I15" i="6" s="1"/>
  <c r="J15" i="6" s="1"/>
  <c r="K15" i="6" s="1"/>
  <c r="L15" i="6" s="1"/>
  <c r="M15" i="6" s="1"/>
  <c r="N15" i="6" s="1"/>
  <c r="O15" i="6" s="1"/>
  <c r="P15" i="6" s="1"/>
  <c r="Q15" i="6" s="1"/>
  <c r="R15" i="6" s="1"/>
  <c r="S15" i="6" s="1"/>
  <c r="T15" i="6" s="1"/>
  <c r="E14" i="6"/>
  <c r="F14" i="6" s="1"/>
  <c r="G14" i="6" s="1"/>
  <c r="H14" i="6" s="1"/>
  <c r="I14" i="6" s="1"/>
  <c r="J14" i="6" s="1"/>
  <c r="K14" i="6" s="1"/>
  <c r="L14" i="6" s="1"/>
  <c r="M14" i="6" s="1"/>
  <c r="N14" i="6" s="1"/>
  <c r="O14" i="6" s="1"/>
  <c r="P14" i="6" s="1"/>
  <c r="Q14" i="6" s="1"/>
  <c r="R14" i="6" s="1"/>
  <c r="S14" i="6" s="1"/>
  <c r="T14" i="6" s="1"/>
  <c r="G13" i="6"/>
  <c r="H13" i="6" s="1"/>
  <c r="I13" i="6" s="1"/>
  <c r="J13" i="6" s="1"/>
  <c r="K13" i="6" s="1"/>
  <c r="L13" i="6" s="1"/>
  <c r="M13" i="6" s="1"/>
  <c r="N13" i="6" s="1"/>
  <c r="O13" i="6" s="1"/>
  <c r="P13" i="6" s="1"/>
  <c r="Q13" i="6" s="1"/>
  <c r="R13" i="6" s="1"/>
  <c r="S13" i="6" s="1"/>
  <c r="T13" i="6" s="1"/>
  <c r="E13" i="6"/>
  <c r="F13" i="6" s="1"/>
  <c r="E12" i="6"/>
  <c r="F12" i="6" s="1"/>
  <c r="G12" i="6" s="1"/>
  <c r="H12" i="6" s="1"/>
  <c r="I12" i="6" s="1"/>
  <c r="J12" i="6" s="1"/>
  <c r="K12" i="6" s="1"/>
  <c r="L12" i="6" s="1"/>
  <c r="M12" i="6" s="1"/>
  <c r="N12" i="6" s="1"/>
  <c r="O12" i="6" s="1"/>
  <c r="P12" i="6" s="1"/>
  <c r="Q12" i="6" s="1"/>
  <c r="R12" i="6" s="1"/>
  <c r="S12" i="6" s="1"/>
  <c r="T12" i="6" s="1"/>
  <c r="E11" i="6"/>
  <c r="F11" i="6" s="1"/>
  <c r="G11" i="6" s="1"/>
  <c r="H11" i="6" s="1"/>
  <c r="I11" i="6" s="1"/>
  <c r="J11" i="6" s="1"/>
  <c r="K11" i="6" s="1"/>
  <c r="L11" i="6" s="1"/>
  <c r="M11" i="6" s="1"/>
  <c r="N11" i="6" s="1"/>
  <c r="O11" i="6" s="1"/>
  <c r="P11" i="6" s="1"/>
  <c r="Q11" i="6" s="1"/>
  <c r="R11" i="6" s="1"/>
  <c r="S11" i="6" s="1"/>
  <c r="T11" i="6" s="1"/>
  <c r="E10" i="6"/>
  <c r="F10" i="6" s="1"/>
  <c r="G10" i="6" s="1"/>
  <c r="H10" i="6" s="1"/>
  <c r="I10" i="6" s="1"/>
  <c r="J10" i="6" s="1"/>
  <c r="K10" i="6" s="1"/>
  <c r="L10" i="6" s="1"/>
  <c r="M10" i="6" s="1"/>
  <c r="N10" i="6" s="1"/>
  <c r="O10" i="6" s="1"/>
  <c r="P10" i="6" s="1"/>
  <c r="Q10" i="6" s="1"/>
  <c r="R10" i="6" s="1"/>
  <c r="S10" i="6" s="1"/>
  <c r="T10" i="6" s="1"/>
  <c r="F9" i="6"/>
  <c r="G9" i="6" s="1"/>
  <c r="H9" i="6" s="1"/>
  <c r="J9" i="6" s="1"/>
  <c r="K9" i="6" s="1"/>
  <c r="L9" i="6" s="1"/>
  <c r="E8" i="6"/>
  <c r="F8" i="6" s="1"/>
  <c r="G8" i="6" s="1"/>
  <c r="H8" i="6" s="1"/>
  <c r="J8" i="6" s="1"/>
  <c r="K8" i="6" s="1"/>
  <c r="L8" i="6" s="1"/>
  <c r="F7" i="6"/>
  <c r="G7" i="6" s="1"/>
  <c r="H7" i="6" s="1"/>
  <c r="J7" i="6" s="1"/>
  <c r="K7" i="6" s="1"/>
  <c r="L7" i="6" s="1"/>
  <c r="E7" i="6"/>
  <c r="E6" i="6"/>
  <c r="F6" i="6" s="1"/>
  <c r="G6" i="6" s="1"/>
  <c r="H6" i="6" s="1"/>
  <c r="J6" i="6" s="1"/>
  <c r="K6" i="6" s="1"/>
  <c r="L6" i="6" s="1"/>
  <c r="E5" i="6"/>
  <c r="F5" i="6" s="1"/>
  <c r="G5" i="6" s="1"/>
  <c r="H5" i="6" s="1"/>
  <c r="J5" i="6" s="1"/>
  <c r="K5" i="6" s="1"/>
  <c r="L5" i="6" s="1"/>
  <c r="E4" i="6"/>
  <c r="F4" i="6" s="1"/>
  <c r="G4" i="6" s="1"/>
  <c r="H4" i="6" s="1"/>
  <c r="J4" i="6" s="1"/>
  <c r="K4" i="6" s="1"/>
  <c r="L4" i="6" s="1"/>
  <c r="E8" i="3" l="1"/>
  <c r="E10" i="3" s="1"/>
  <c r="F7" i="3" l="1"/>
  <c r="F10" i="3"/>
  <c r="F6" i="3"/>
  <c r="J33" i="3" s="1"/>
  <c r="F8" i="3"/>
  <c r="J17" i="3" s="1"/>
  <c r="F41" i="3" l="1"/>
  <c r="I14" i="3"/>
  <c r="H14" i="3"/>
  <c r="G14" i="3"/>
  <c r="J35" i="3"/>
  <c r="K15" i="3"/>
  <c r="L15" i="3" s="1"/>
  <c r="J42" i="3"/>
  <c r="J24" i="3"/>
  <c r="K17" i="3"/>
  <c r="J44" i="3"/>
  <c r="J26" i="3"/>
  <c r="K53" i="3" s="1"/>
  <c r="J19" i="3"/>
  <c r="G5" i="3"/>
  <c r="G7" i="3"/>
  <c r="G8" i="3"/>
  <c r="G6" i="3"/>
  <c r="G41" i="3" l="1"/>
  <c r="G32" i="3"/>
  <c r="G23" i="3"/>
  <c r="H41" i="3"/>
  <c r="H32" i="3"/>
  <c r="H23" i="3"/>
  <c r="I41" i="3"/>
  <c r="I32" i="3"/>
  <c r="I23" i="3"/>
  <c r="K51" i="3"/>
  <c r="K33" i="3"/>
  <c r="L42" i="3"/>
  <c r="M15" i="3"/>
  <c r="M33" i="3" s="1"/>
  <c r="L17" i="3"/>
  <c r="K44" i="3"/>
  <c r="K35" i="3"/>
  <c r="K26" i="3"/>
  <c r="K24" i="3"/>
  <c r="K42" i="3"/>
  <c r="L24" i="3"/>
  <c r="L33" i="3"/>
  <c r="N15" i="3"/>
  <c r="J37" i="3" l="1"/>
  <c r="R32" i="3"/>
  <c r="J46" i="3"/>
  <c r="R41" i="3"/>
  <c r="J28" i="3"/>
  <c r="L53" i="3"/>
  <c r="M51" i="3"/>
  <c r="M24" i="3"/>
  <c r="L51" i="3"/>
  <c r="M42" i="3"/>
  <c r="M17" i="3"/>
  <c r="L44" i="3"/>
  <c r="L35" i="3"/>
  <c r="L26" i="3"/>
  <c r="N42" i="3"/>
  <c r="K46" i="3"/>
  <c r="K37" i="3"/>
  <c r="K19" i="3"/>
  <c r="K28" i="3"/>
  <c r="N24" i="3"/>
  <c r="N33" i="3"/>
  <c r="O15" i="3"/>
  <c r="K55" i="3" l="1"/>
  <c r="N51" i="3"/>
  <c r="M53" i="3"/>
  <c r="O42" i="3"/>
  <c r="N17" i="3"/>
  <c r="M44" i="3"/>
  <c r="M35" i="3"/>
  <c r="M26" i="3"/>
  <c r="L55" i="3"/>
  <c r="O51" i="3"/>
  <c r="L37" i="3"/>
  <c r="L46" i="3"/>
  <c r="L28" i="3"/>
  <c r="L19" i="3"/>
  <c r="O33" i="3"/>
  <c r="O24" i="3"/>
  <c r="P15" i="3"/>
  <c r="N53" i="3" l="1"/>
  <c r="P42" i="3"/>
  <c r="O17" i="3"/>
  <c r="N44" i="3"/>
  <c r="N46" i="3" s="1"/>
  <c r="N26" i="3"/>
  <c r="N28" i="3" s="1"/>
  <c r="N35" i="3"/>
  <c r="N37" i="3" s="1"/>
  <c r="M46" i="3"/>
  <c r="M19" i="3"/>
  <c r="M28" i="3"/>
  <c r="M37" i="3"/>
  <c r="P51" i="3"/>
  <c r="P33" i="3"/>
  <c r="P24" i="3"/>
  <c r="Q15" i="3"/>
  <c r="N19" i="3" l="1"/>
  <c r="Q51" i="3"/>
  <c r="M55" i="3"/>
  <c r="O53" i="3"/>
  <c r="O55" i="3" s="1"/>
  <c r="N55" i="3"/>
  <c r="P17" i="3"/>
  <c r="O44" i="3"/>
  <c r="O46" i="3" s="1"/>
  <c r="O35" i="3"/>
  <c r="O37" i="3" s="1"/>
  <c r="O26" i="3"/>
  <c r="O28" i="3" s="1"/>
  <c r="O19" i="3"/>
  <c r="Q42" i="3"/>
  <c r="R42" i="3" s="1"/>
  <c r="Q33" i="3"/>
  <c r="R33" i="3" s="1"/>
  <c r="Q24" i="3"/>
  <c r="R51" i="3" s="1"/>
  <c r="P53" i="3" l="1"/>
  <c r="P55" i="3" s="1"/>
  <c r="Q17" i="3"/>
  <c r="P44" i="3"/>
  <c r="P46" i="3" s="1"/>
  <c r="P35" i="3"/>
  <c r="P37" i="3" s="1"/>
  <c r="P26" i="3"/>
  <c r="P28" i="3" s="1"/>
  <c r="P19" i="3"/>
  <c r="G10" i="3"/>
  <c r="Q53" i="3" l="1"/>
  <c r="Q55" i="3" s="1"/>
  <c r="Q44" i="3"/>
  <c r="Q46" i="3" s="1"/>
  <c r="Q26" i="3"/>
  <c r="Q28" i="3" s="1"/>
  <c r="Q35" i="3"/>
  <c r="Q37" i="3" s="1"/>
  <c r="Q19" i="3"/>
  <c r="B10" i="3"/>
  <c r="R53" i="3" l="1"/>
  <c r="C5" i="3"/>
  <c r="C6" i="3"/>
  <c r="C7" i="3"/>
  <c r="C8" i="3"/>
  <c r="B17" i="3" s="1"/>
  <c r="C9" i="3"/>
  <c r="B18" i="3" s="1"/>
  <c r="B55" i="3"/>
  <c r="F9" i="1"/>
  <c r="G9" i="1" s="1"/>
  <c r="H9" i="1" s="1"/>
  <c r="I9" i="1" s="1"/>
  <c r="J9" i="1" s="1"/>
  <c r="K9" i="1" s="1"/>
  <c r="L9" i="1" s="1"/>
  <c r="E8" i="1"/>
  <c r="F8" i="1" s="1"/>
  <c r="G8" i="1" s="1"/>
  <c r="H8" i="1" s="1"/>
  <c r="I8" i="1" s="1"/>
  <c r="J8" i="1" s="1"/>
  <c r="K8" i="1" s="1"/>
  <c r="L8" i="1" s="1"/>
  <c r="E7" i="1"/>
  <c r="F7" i="1" s="1"/>
  <c r="G7" i="1" s="1"/>
  <c r="H7" i="1" s="1"/>
  <c r="I7" i="1" s="1"/>
  <c r="J7" i="1" s="1"/>
  <c r="K7" i="1" s="1"/>
  <c r="L7" i="1" s="1"/>
  <c r="E6" i="1"/>
  <c r="F6" i="1" s="1"/>
  <c r="G6" i="1" s="1"/>
  <c r="H6" i="1" s="1"/>
  <c r="I6" i="1" s="1"/>
  <c r="J6" i="1" s="1"/>
  <c r="K6" i="1" s="1"/>
  <c r="L6" i="1" s="1"/>
  <c r="E5" i="1"/>
  <c r="F5" i="1" s="1"/>
  <c r="G5" i="1" s="1"/>
  <c r="H5" i="1" s="1"/>
  <c r="I5" i="1" s="1"/>
  <c r="J5" i="1" s="1"/>
  <c r="K5" i="1" s="1"/>
  <c r="L5" i="1" s="1"/>
  <c r="E4" i="1"/>
  <c r="F4" i="1" s="1"/>
  <c r="G4" i="1" s="1"/>
  <c r="H4" i="1" s="1"/>
  <c r="I4" i="1" s="1"/>
  <c r="J4" i="1" s="1"/>
  <c r="K4" i="1" s="1"/>
  <c r="L4" i="1" s="1"/>
  <c r="R55" i="3" l="1"/>
  <c r="B16" i="3"/>
  <c r="D7" i="3"/>
  <c r="H7" i="3" s="1"/>
  <c r="B15" i="3"/>
  <c r="D6" i="3"/>
  <c r="H6" i="3" s="1"/>
  <c r="D5" i="3"/>
  <c r="H5" i="3" s="1"/>
  <c r="B23" i="3"/>
  <c r="C10" i="3"/>
  <c r="D19" i="4"/>
  <c r="E19" i="4" s="1"/>
  <c r="F19" i="4" s="1"/>
  <c r="G19" i="4" s="1"/>
  <c r="H19" i="4" s="1"/>
  <c r="I19" i="4" s="1"/>
  <c r="J19" i="4" s="1"/>
  <c r="K19" i="4" s="1"/>
  <c r="L19" i="4" s="1"/>
  <c r="M19" i="4" s="1"/>
  <c r="N19" i="4" s="1"/>
  <c r="O19" i="4" s="1"/>
  <c r="P19" i="4" s="1"/>
  <c r="D11" i="4"/>
  <c r="E11" i="4" s="1"/>
  <c r="F11" i="4" s="1"/>
  <c r="G11" i="4" s="1"/>
  <c r="H11" i="4" s="1"/>
  <c r="I11" i="4" s="1"/>
  <c r="J11" i="4" s="1"/>
  <c r="K11" i="4" s="1"/>
  <c r="L11" i="4" s="1"/>
  <c r="M11" i="4" s="1"/>
  <c r="N11" i="4" s="1"/>
  <c r="O11" i="4" s="1"/>
  <c r="P11" i="4" s="1"/>
  <c r="D12" i="4"/>
  <c r="E12" i="4" s="1"/>
  <c r="F12" i="4" s="1"/>
  <c r="D13" i="4"/>
  <c r="E13" i="4" s="1"/>
  <c r="F13" i="4" s="1"/>
  <c r="G13" i="4" s="1"/>
  <c r="H13" i="4" s="1"/>
  <c r="I13" i="4" s="1"/>
  <c r="J13" i="4" s="1"/>
  <c r="K13" i="4" s="1"/>
  <c r="L13" i="4" s="1"/>
  <c r="M13" i="4" s="1"/>
  <c r="N13" i="4" s="1"/>
  <c r="O13" i="4" s="1"/>
  <c r="P13" i="4" s="1"/>
  <c r="D16" i="4"/>
  <c r="E16" i="4" s="1"/>
  <c r="F16" i="4" s="1"/>
  <c r="G16" i="4" s="1"/>
  <c r="H16" i="4" s="1"/>
  <c r="I16" i="4" s="1"/>
  <c r="J16" i="4" s="1"/>
  <c r="K16" i="4" s="1"/>
  <c r="L16" i="4" s="1"/>
  <c r="M16" i="4" s="1"/>
  <c r="N16" i="4" s="1"/>
  <c r="O16" i="4" s="1"/>
  <c r="P16" i="4" s="1"/>
  <c r="E28" i="1"/>
  <c r="E29" i="1"/>
  <c r="E30" i="1"/>
  <c r="E31" i="1"/>
  <c r="E32" i="1"/>
  <c r="E22" i="1"/>
  <c r="E23" i="1"/>
  <c r="E24" i="1"/>
  <c r="E25" i="1"/>
  <c r="E26" i="1"/>
  <c r="E17" i="1"/>
  <c r="E18" i="1"/>
  <c r="E19" i="1"/>
  <c r="E20" i="1"/>
  <c r="E10" i="1"/>
  <c r="E11" i="1"/>
  <c r="E12" i="1"/>
  <c r="E13" i="1"/>
  <c r="E14" i="1"/>
  <c r="C50" i="3" l="1"/>
  <c r="G12" i="4"/>
  <c r="H12" i="4" s="1"/>
  <c r="I12" i="4" s="1"/>
  <c r="J12" i="4" s="1"/>
  <c r="K12" i="4" s="1"/>
  <c r="L12" i="4" s="1"/>
  <c r="M12" i="4" s="1"/>
  <c r="N12" i="4" s="1"/>
  <c r="O12" i="4" s="1"/>
  <c r="P12" i="4" s="1"/>
  <c r="B19" i="3"/>
  <c r="B24" i="3"/>
  <c r="B27" i="3"/>
  <c r="B26" i="3"/>
  <c r="B25" i="3"/>
  <c r="F16" i="1"/>
  <c r="C54" i="3" l="1"/>
  <c r="C51" i="3"/>
  <c r="C52" i="3"/>
  <c r="C53" i="3"/>
  <c r="C14" i="3"/>
  <c r="C15" i="3"/>
  <c r="C17" i="3"/>
  <c r="C18" i="3"/>
  <c r="C16" i="3"/>
  <c r="R16" i="3" s="1"/>
  <c r="F33" i="1"/>
  <c r="G33" i="1" s="1"/>
  <c r="H33" i="1" s="1"/>
  <c r="I33" i="1" s="1"/>
  <c r="J33" i="1" s="1"/>
  <c r="K33" i="1" s="1"/>
  <c r="L33" i="1" s="1"/>
  <c r="M33" i="1" s="1"/>
  <c r="N33" i="1" s="1"/>
  <c r="O33" i="1" s="1"/>
  <c r="P33" i="1" s="1"/>
  <c r="Q33" i="1" s="1"/>
  <c r="R33" i="1" s="1"/>
  <c r="S33" i="1" s="1"/>
  <c r="T33" i="1" s="1"/>
  <c r="F32" i="1"/>
  <c r="G32" i="1" s="1"/>
  <c r="H32" i="1" s="1"/>
  <c r="I32" i="1" s="1"/>
  <c r="J32" i="1" s="1"/>
  <c r="K32" i="1" s="1"/>
  <c r="L32" i="1" s="1"/>
  <c r="M32" i="1" s="1"/>
  <c r="N32" i="1" s="1"/>
  <c r="O32" i="1" s="1"/>
  <c r="P32" i="1" s="1"/>
  <c r="Q32" i="1" s="1"/>
  <c r="R32" i="1" s="1"/>
  <c r="S32" i="1" s="1"/>
  <c r="T32" i="1" s="1"/>
  <c r="F31" i="1"/>
  <c r="G31" i="1" s="1"/>
  <c r="H31" i="1" s="1"/>
  <c r="I31" i="1" s="1"/>
  <c r="J31" i="1" s="1"/>
  <c r="K31" i="1" s="1"/>
  <c r="L31" i="1" s="1"/>
  <c r="M31" i="1" s="1"/>
  <c r="N31" i="1" s="1"/>
  <c r="O31" i="1" s="1"/>
  <c r="P31" i="1" s="1"/>
  <c r="Q31" i="1" s="1"/>
  <c r="R31" i="1" s="1"/>
  <c r="S31" i="1" s="1"/>
  <c r="T31" i="1" s="1"/>
  <c r="F30" i="1"/>
  <c r="G30" i="1" s="1"/>
  <c r="H30" i="1" s="1"/>
  <c r="I30" i="1" s="1"/>
  <c r="J30" i="1" s="1"/>
  <c r="K30" i="1" s="1"/>
  <c r="L30" i="1" s="1"/>
  <c r="M30" i="1" s="1"/>
  <c r="N30" i="1" s="1"/>
  <c r="O30" i="1" s="1"/>
  <c r="P30" i="1" s="1"/>
  <c r="Q30" i="1" s="1"/>
  <c r="R30" i="1" s="1"/>
  <c r="S30" i="1" s="1"/>
  <c r="T30" i="1" s="1"/>
  <c r="F29" i="1"/>
  <c r="G29" i="1" s="1"/>
  <c r="H29" i="1" s="1"/>
  <c r="I29" i="1" s="1"/>
  <c r="J29" i="1" s="1"/>
  <c r="K29" i="1" s="1"/>
  <c r="L29" i="1" s="1"/>
  <c r="M29" i="1" s="1"/>
  <c r="N29" i="1" s="1"/>
  <c r="O29" i="1" s="1"/>
  <c r="P29" i="1" s="1"/>
  <c r="Q29" i="1" s="1"/>
  <c r="R29" i="1" s="1"/>
  <c r="S29" i="1" s="1"/>
  <c r="T29" i="1" s="1"/>
  <c r="F28" i="1"/>
  <c r="G28" i="1" s="1"/>
  <c r="H28" i="1" s="1"/>
  <c r="I28" i="1" s="1"/>
  <c r="J28" i="1" s="1"/>
  <c r="K28" i="1" s="1"/>
  <c r="L28" i="1" s="1"/>
  <c r="M28" i="1" s="1"/>
  <c r="N28" i="1" s="1"/>
  <c r="O28" i="1" s="1"/>
  <c r="P28" i="1" s="1"/>
  <c r="Q28" i="1" s="1"/>
  <c r="R28" i="1" s="1"/>
  <c r="S28" i="1" s="1"/>
  <c r="T28" i="1" s="1"/>
  <c r="F23" i="1"/>
  <c r="G23" i="1" s="1"/>
  <c r="H23" i="1" s="1"/>
  <c r="I23" i="1" s="1"/>
  <c r="J23" i="1" s="1"/>
  <c r="K23" i="1" s="1"/>
  <c r="L23" i="1" s="1"/>
  <c r="M23" i="1" s="1"/>
  <c r="N23" i="1" s="1"/>
  <c r="O23" i="1" s="1"/>
  <c r="P23" i="1" s="1"/>
  <c r="Q23" i="1" s="1"/>
  <c r="R23" i="1" s="1"/>
  <c r="S23" i="1" s="1"/>
  <c r="T23" i="1" s="1"/>
  <c r="F24" i="1"/>
  <c r="G24" i="1" s="1"/>
  <c r="H24" i="1" s="1"/>
  <c r="I24" i="1" s="1"/>
  <c r="J24" i="1" s="1"/>
  <c r="K24" i="1" s="1"/>
  <c r="L24" i="1" s="1"/>
  <c r="M24" i="1" s="1"/>
  <c r="N24" i="1" s="1"/>
  <c r="O24" i="1" s="1"/>
  <c r="P24" i="1" s="1"/>
  <c r="Q24" i="1" s="1"/>
  <c r="R24" i="1" s="1"/>
  <c r="S24" i="1" s="1"/>
  <c r="T24" i="1" s="1"/>
  <c r="F25" i="1"/>
  <c r="G25" i="1" s="1"/>
  <c r="H25" i="1" s="1"/>
  <c r="I25" i="1" s="1"/>
  <c r="J25" i="1" s="1"/>
  <c r="K25" i="1" s="1"/>
  <c r="L25" i="1" s="1"/>
  <c r="M25" i="1" s="1"/>
  <c r="N25" i="1" s="1"/>
  <c r="O25" i="1" s="1"/>
  <c r="P25" i="1" s="1"/>
  <c r="Q25" i="1" s="1"/>
  <c r="R25" i="1" s="1"/>
  <c r="S25" i="1" s="1"/>
  <c r="T25" i="1" s="1"/>
  <c r="F26" i="1"/>
  <c r="G26" i="1" s="1"/>
  <c r="H26" i="1" s="1"/>
  <c r="I26" i="1" s="1"/>
  <c r="J26" i="1" s="1"/>
  <c r="K26" i="1" s="1"/>
  <c r="L26" i="1" s="1"/>
  <c r="M26" i="1" s="1"/>
  <c r="N26" i="1" s="1"/>
  <c r="O26" i="1" s="1"/>
  <c r="P26" i="1" s="1"/>
  <c r="Q26" i="1" s="1"/>
  <c r="R26" i="1" s="1"/>
  <c r="S26" i="1" s="1"/>
  <c r="T26" i="1" s="1"/>
  <c r="F27" i="1"/>
  <c r="G27" i="1" s="1"/>
  <c r="H27" i="1" s="1"/>
  <c r="I27" i="1" s="1"/>
  <c r="J27" i="1" s="1"/>
  <c r="K27" i="1" s="1"/>
  <c r="L27" i="1" s="1"/>
  <c r="M27" i="1" s="1"/>
  <c r="N27" i="1" s="1"/>
  <c r="O27" i="1" s="1"/>
  <c r="P27" i="1" s="1"/>
  <c r="Q27" i="1" s="1"/>
  <c r="R27" i="1" s="1"/>
  <c r="S27" i="1" s="1"/>
  <c r="T27" i="1" s="1"/>
  <c r="F22" i="1"/>
  <c r="G22" i="1" s="1"/>
  <c r="H22" i="1" s="1"/>
  <c r="I22" i="1" s="1"/>
  <c r="J22" i="1" s="1"/>
  <c r="K22" i="1" s="1"/>
  <c r="L22" i="1" s="1"/>
  <c r="M22" i="1" s="1"/>
  <c r="N22" i="1" s="1"/>
  <c r="O22" i="1" s="1"/>
  <c r="P22" i="1" s="1"/>
  <c r="Q22" i="1" s="1"/>
  <c r="R22" i="1" s="1"/>
  <c r="S22" i="1" s="1"/>
  <c r="T22" i="1" s="1"/>
  <c r="F12" i="1"/>
  <c r="G12" i="1" s="1"/>
  <c r="H12" i="1" s="1"/>
  <c r="I12" i="1" s="1"/>
  <c r="J12" i="1" s="1"/>
  <c r="K12" i="1" s="1"/>
  <c r="L12" i="1" s="1"/>
  <c r="M12" i="1" s="1"/>
  <c r="N12" i="1" s="1"/>
  <c r="O12" i="1" s="1"/>
  <c r="P12" i="1" s="1"/>
  <c r="Q12" i="1" s="1"/>
  <c r="R12" i="1" s="1"/>
  <c r="S12" i="1" s="1"/>
  <c r="T12" i="1" s="1"/>
  <c r="F13" i="1"/>
  <c r="G13" i="1" s="1"/>
  <c r="H13" i="1" s="1"/>
  <c r="I13" i="1" s="1"/>
  <c r="J13" i="1" s="1"/>
  <c r="K13" i="1" s="1"/>
  <c r="L13" i="1" s="1"/>
  <c r="M13" i="1" s="1"/>
  <c r="N13" i="1" s="1"/>
  <c r="O13" i="1" s="1"/>
  <c r="P13" i="1" s="1"/>
  <c r="Q13" i="1" s="1"/>
  <c r="R13" i="1" s="1"/>
  <c r="S13" i="1" s="1"/>
  <c r="T13" i="1" s="1"/>
  <c r="F14" i="1"/>
  <c r="G14" i="1" s="1"/>
  <c r="H14" i="1" s="1"/>
  <c r="I14" i="1" s="1"/>
  <c r="J14" i="1" s="1"/>
  <c r="K14" i="1" s="1"/>
  <c r="L14" i="1" s="1"/>
  <c r="M14" i="1" s="1"/>
  <c r="N14" i="1" s="1"/>
  <c r="O14" i="1" s="1"/>
  <c r="P14" i="1" s="1"/>
  <c r="Q14" i="1" s="1"/>
  <c r="R14" i="1" s="1"/>
  <c r="S14" i="1" s="1"/>
  <c r="T14" i="1" s="1"/>
  <c r="F15" i="1"/>
  <c r="G15" i="1" s="1"/>
  <c r="H15" i="1" s="1"/>
  <c r="I15" i="1" s="1"/>
  <c r="J15" i="1" s="1"/>
  <c r="K15" i="1" s="1"/>
  <c r="L15" i="1" s="1"/>
  <c r="F11" i="1"/>
  <c r="G11" i="1" s="1"/>
  <c r="H11" i="1" s="1"/>
  <c r="I11" i="1" s="1"/>
  <c r="J11" i="1" s="1"/>
  <c r="K11" i="1" s="1"/>
  <c r="L11" i="1" s="1"/>
  <c r="M11" i="1" s="1"/>
  <c r="N11" i="1" s="1"/>
  <c r="O11" i="1" s="1"/>
  <c r="P11" i="1" s="1"/>
  <c r="Q11" i="1" s="1"/>
  <c r="R11" i="1" s="1"/>
  <c r="S11" i="1" s="1"/>
  <c r="T11" i="1" s="1"/>
  <c r="F10" i="1"/>
  <c r="G10" i="1" s="1"/>
  <c r="H10" i="1" s="1"/>
  <c r="I10" i="1" s="1"/>
  <c r="J10" i="1" s="1"/>
  <c r="K10" i="1" s="1"/>
  <c r="L10" i="1" s="1"/>
  <c r="M10" i="1" s="1"/>
  <c r="N10" i="1" s="1"/>
  <c r="O10" i="1" s="1"/>
  <c r="P10" i="1" s="1"/>
  <c r="Q10" i="1" s="1"/>
  <c r="R10" i="1" s="1"/>
  <c r="S10" i="1" s="1"/>
  <c r="T10" i="1" s="1"/>
  <c r="M15" i="1" l="1"/>
  <c r="N15" i="1" s="1"/>
  <c r="O15" i="1" s="1"/>
  <c r="P15" i="1" s="1"/>
  <c r="Q15" i="1" s="1"/>
  <c r="R15" i="1" s="1"/>
  <c r="S15" i="1" s="1"/>
  <c r="T15" i="1" s="1"/>
  <c r="C55" i="3"/>
  <c r="C43" i="3"/>
  <c r="R43" i="3" s="1"/>
  <c r="C34" i="3"/>
  <c r="R34" i="3" s="1"/>
  <c r="C24" i="3"/>
  <c r="C23" i="3"/>
  <c r="D17" i="3"/>
  <c r="C26" i="3"/>
  <c r="C25" i="3"/>
  <c r="D18" i="3"/>
  <c r="C27" i="3"/>
  <c r="B28" i="3"/>
  <c r="D14" i="3"/>
  <c r="D15" i="3"/>
  <c r="D50" i="3" l="1"/>
  <c r="D54" i="3"/>
  <c r="D51" i="3"/>
  <c r="D52" i="3"/>
  <c r="S52" i="3" s="1"/>
  <c r="R25" i="3"/>
  <c r="D53" i="3"/>
  <c r="D24" i="3"/>
  <c r="E51" i="3" s="1"/>
  <c r="D23" i="3"/>
  <c r="D26" i="3"/>
  <c r="D27" i="3"/>
  <c r="E54" i="3" s="1"/>
  <c r="E18" i="3"/>
  <c r="E17" i="3"/>
  <c r="C28" i="3"/>
  <c r="R14" i="3"/>
  <c r="E15" i="3"/>
  <c r="E35" i="3" l="1"/>
  <c r="E44" i="3"/>
  <c r="C46" i="3"/>
  <c r="E27" i="3"/>
  <c r="E26" i="3"/>
  <c r="E23" i="3"/>
  <c r="E53" i="3"/>
  <c r="E24" i="3"/>
  <c r="F15" i="3"/>
  <c r="F18" i="3"/>
  <c r="F17" i="3"/>
  <c r="E50" i="3"/>
  <c r="F53" i="3" l="1"/>
  <c r="F54" i="3"/>
  <c r="R23" i="3"/>
  <c r="F51" i="3"/>
  <c r="F35" i="3"/>
  <c r="F44" i="3"/>
  <c r="E46" i="3"/>
  <c r="F26" i="3"/>
  <c r="F27" i="3"/>
  <c r="G54" i="3" s="1"/>
  <c r="G18" i="3"/>
  <c r="G17" i="3"/>
  <c r="F24" i="3"/>
  <c r="S50" i="3"/>
  <c r="G15" i="3"/>
  <c r="G53" i="3" l="1"/>
  <c r="G35" i="3"/>
  <c r="G37" i="3" s="1"/>
  <c r="G44" i="3"/>
  <c r="G26" i="3"/>
  <c r="G27" i="3"/>
  <c r="H18" i="3"/>
  <c r="I18" i="3" s="1"/>
  <c r="H17" i="3"/>
  <c r="G24" i="3"/>
  <c r="G51" i="3"/>
  <c r="H15" i="3"/>
  <c r="H54" i="3" l="1"/>
  <c r="H53" i="3"/>
  <c r="G46" i="3"/>
  <c r="H35" i="3"/>
  <c r="H37" i="3" s="1"/>
  <c r="H44" i="3"/>
  <c r="H46" i="3" s="1"/>
  <c r="H27" i="3"/>
  <c r="I54" i="3" s="1"/>
  <c r="H26" i="3"/>
  <c r="I53" i="3" s="1"/>
  <c r="I17" i="3"/>
  <c r="H24" i="3"/>
  <c r="I27" i="3"/>
  <c r="R27" i="3" s="1"/>
  <c r="H51" i="3"/>
  <c r="I15" i="3"/>
  <c r="R19" i="3" l="1"/>
  <c r="R15" i="3"/>
  <c r="I35" i="3"/>
  <c r="I44" i="3"/>
  <c r="I26" i="3"/>
  <c r="I24" i="3"/>
  <c r="I51" i="3"/>
  <c r="J54" i="3"/>
  <c r="S54" i="3" s="1"/>
  <c r="I37" i="3" l="1"/>
  <c r="R37" i="3" s="1"/>
  <c r="R35" i="3"/>
  <c r="J53" i="3"/>
  <c r="S53" i="3" s="1"/>
  <c r="R26" i="3"/>
  <c r="R28" i="3"/>
  <c r="R24" i="3"/>
  <c r="I46" i="3"/>
  <c r="R46" i="3" s="1"/>
  <c r="R44" i="3"/>
  <c r="J51" i="3"/>
  <c r="S55" i="3" l="1"/>
  <c r="S51" i="3"/>
  <c r="D9" i="3"/>
  <c r="D8" i="3"/>
  <c r="H8" i="3" l="1"/>
  <c r="H10" i="3" s="1"/>
</calcChain>
</file>

<file path=xl/sharedStrings.xml><?xml version="1.0" encoding="utf-8"?>
<sst xmlns="http://schemas.openxmlformats.org/spreadsheetml/2006/main" count="498" uniqueCount="155">
  <si>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</si>
  <si>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</si>
  <si>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</si>
  <si>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</si>
  <si>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</si>
  <si>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</si>
  <si>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</si>
  <si>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</si>
  <si>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</si>
  <si>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</si>
  <si>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</si>
  <si>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</si>
  <si>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</si>
  <si>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</si>
  <si>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</si>
  <si>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</si>
  <si>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</si>
  <si>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</si>
  <si>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</si>
  <si>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</si>
  <si>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</si>
  <si>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</si>
  <si>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</si>
  <si>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</si>
  <si>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</si>
  <si>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Amount Procured</t>
  </si>
  <si>
    <t>Distribution Company</t>
  </si>
  <si>
    <t>Total</t>
  </si>
  <si>
    <t>MW per Block</t>
  </si>
  <si>
    <t>% Share of 2016 Distribution Load</t>
  </si>
  <si>
    <t>2016 Distribution Load (MWh)</t>
  </si>
  <si>
    <t>Notes:</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</si>
  <si>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</si>
  <si>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</si>
  <si>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</si>
  <si>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</si>
  <si>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</si>
  <si>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</si>
  <si>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</si>
  <si>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</si>
  <si>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</si>
  <si>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</si>
  <si>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</si>
  <si>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</si>
  <si>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</si>
  <si>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</si>
  <si>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</si>
  <si>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</si>
  <si>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</si>
  <si>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t>Adder Tranche 1 (80 MW)</t>
  </si>
  <si>
    <t>Summary of Compensation Rate Adder Values by Type and Adder Tranche</t>
  </si>
  <si>
    <r>
      <t>Adder Type</t>
    </r>
    <r>
      <rPr>
        <b/>
        <vertAlign val="superscript"/>
        <sz val="10"/>
        <color theme="1"/>
        <rFont val="Calibri"/>
        <family val="2"/>
        <scheme val="minor"/>
      </rPr>
      <t>1</t>
    </r>
  </si>
  <si>
    <r>
      <t>Energy Storage</t>
    </r>
    <r>
      <rPr>
        <b/>
        <vertAlign val="superscript"/>
        <sz val="10"/>
        <color theme="1"/>
        <rFont val="Calibri"/>
        <family val="2"/>
        <scheme val="minor"/>
      </rPr>
      <t>3</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</si>
  <si>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</si>
  <si>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Capacity</t>
  </si>
  <si>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</si>
  <si>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t xml:space="preserve">Nantucket Electric d/b/a National Grid </t>
    </r>
    <r>
      <rPr>
        <b/>
        <vertAlign val="superscript"/>
        <sz val="11"/>
        <color theme="1"/>
        <rFont val="Calibri"/>
        <family val="2"/>
        <scheme val="minor"/>
      </rPr>
      <t>4 5</t>
    </r>
  </si>
  <si>
    <r>
      <t xml:space="preserve">Massachusetts Electric d/b/a National Grid </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</si>
  <si>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Pursuant to 225 CMR 20.07(3)(b), DOER has established Massachusetts Electric's Block 1 Base Compensation Rate as the mean price of the selected bids received under the procurement conducted pursuant to 225 CMR 20.07(3)(a).</t>
    </r>
  </si>
  <si>
    <r>
      <rPr>
        <vertAlign val="superscript"/>
        <sz val="11"/>
        <color theme="1"/>
        <rFont val="Calibri"/>
        <family val="2"/>
        <scheme val="minor"/>
      </rPr>
      <t xml:space="preserve">4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</si>
  <si>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r>
      <rPr>
        <vertAlign val="superscript"/>
        <sz val="11"/>
        <color theme="1"/>
        <rFont val="Calibri"/>
        <family val="2"/>
        <scheme val="minor"/>
      </rPr>
      <t>5</t>
    </r>
    <r>
      <rPr>
        <sz val="11"/>
        <color theme="1"/>
        <rFont val="Calibri"/>
        <family val="2"/>
        <scheme val="minor"/>
      </rPr>
      <t xml:space="preserve"> Nantucket Electric d/b/a National Grid has elected to have two Capacity Blocks with a 16% decline in Base Compensation Rates per Capacity Block, as permitted under 225 CMR 20.05(3) and 225 CMR 20.07(2), respectively.</t>
    </r>
  </si>
  <si>
    <t>Eversource East d/b/a Eversource Energy</t>
  </si>
  <si>
    <t>Eversource West d/b/a Eversource Energy</t>
  </si>
  <si>
    <r>
      <rPr>
        <vertAlign val="superscript"/>
        <sz val="11"/>
        <color theme="1"/>
        <rFont val="Calibri"/>
        <family val="2"/>
        <scheme val="minor"/>
      </rPr>
      <t>6</t>
    </r>
    <r>
      <rPr>
        <sz val="11"/>
        <color theme="1"/>
        <rFont val="Calibri"/>
        <family val="2"/>
        <scheme val="minor"/>
      </rPr>
      <t xml:space="preserve"> Pursuant to 225 CMR 20.07(3)(b), DOER elected to administratively set Eversource East's Block 1 Base Compensation Rate at $0.17000/kWh. This reflects the price of the single selected bid for a 2 MW project received under the procurement conducted pursuant to 225 CMR 20.07(3)(a). While the Eversource East solicitation was for 46 MW and received 2 MW, the competitive nature of the procurement in other service territories supports a conclusion that the primary reason Eversource East did not receive more than one proposal under the procurement is due to higher costs in its service territory. Accordingly, while DOER considered terminating the solicitation and re-issuing, DOER determined that doing so would likely not yield a significantly different result.</t>
    </r>
  </si>
  <si>
    <r>
      <rPr>
        <vertAlign val="superscript"/>
        <sz val="11"/>
        <color theme="1"/>
        <rFont val="Calibri"/>
        <family val="2"/>
        <scheme val="minor"/>
      </rPr>
      <t>7</t>
    </r>
    <r>
      <rPr>
        <sz val="11"/>
        <color theme="1"/>
        <rFont val="Calibri"/>
        <family val="2"/>
        <scheme val="minor"/>
      </rPr>
      <t xml:space="preserve"> Pursuant to 225 CMR 20.07(3)(b), DOER has established Eversource West's Block 1 Base Compensation Rate as the mean price of the selected bids received under the procurement conducted pursuant to 225 CMR 20.07(3)(a).</t>
    </r>
  </si>
  <si>
    <t>Adder Tranche 2 (60 MW)</t>
  </si>
  <si>
    <t>Adder Tranche 3 (60 MW)</t>
  </si>
  <si>
    <t>Adder Tranche 4 (60 MW)</t>
  </si>
  <si>
    <t>Adder Tranche 5 (60 MW)</t>
  </si>
  <si>
    <t>Adder Tranche 6 (60 MW)</t>
  </si>
  <si>
    <t>Adder Tranche 7 (60 MW)</t>
  </si>
  <si>
    <t>Adder Tranche 8 (60 MW)</t>
  </si>
  <si>
    <t>Adder Tranche 9 (60 MW)</t>
  </si>
  <si>
    <t>Adder Tranche 10 (60 MW)</t>
  </si>
  <si>
    <t>Adder Tranche 11 (60 MW)</t>
  </si>
  <si>
    <t>Adder Tranche 12 (60 MW)</t>
  </si>
  <si>
    <t>Adder Tranche 2 (80 MW)</t>
  </si>
  <si>
    <t>Adder Tranche 3 (80 MW)</t>
  </si>
  <si>
    <t>Adder Tranche 4 (80 MW)</t>
  </si>
  <si>
    <t>Adder Tranche 6 (80 MW)</t>
  </si>
  <si>
    <t>Adder Tranche 5 (80 MW)</t>
  </si>
  <si>
    <t>Adder Tranche 7 (80 MW)</t>
  </si>
  <si>
    <t>Adder Tranche 8 (80 MW)</t>
  </si>
  <si>
    <t>Adder Tranche 9 (80 MW)</t>
  </si>
  <si>
    <t>Adder Tranche 10 (80 MW)</t>
  </si>
  <si>
    <t>Adder Tranche 11 (80 MW)</t>
  </si>
  <si>
    <t>Adder Tranche 12 (80 MW)</t>
  </si>
  <si>
    <t>Adder Tranche 13 (60 MW)</t>
  </si>
  <si>
    <t>Adder Tranche 14 (60 MW)</t>
  </si>
  <si>
    <t>Adder Tranche 13 (80 MW)</t>
  </si>
  <si>
    <t>Adder Tranche 14 (80 MW)</t>
  </si>
  <si>
    <r>
      <t xml:space="preserve">Community Shared Solar Tariff Generation Unit </t>
    </r>
    <r>
      <rPr>
        <vertAlign val="superscript"/>
        <sz val="10"/>
        <color theme="1"/>
        <rFont val="Calibri"/>
        <family val="2"/>
        <scheme val="minor"/>
      </rPr>
      <t>4</t>
    </r>
  </si>
  <si>
    <r>
      <rPr>
        <vertAlign val="superscript"/>
        <sz val="11"/>
        <color theme="1"/>
        <rFont val="Calibri"/>
        <family val="2"/>
        <scheme val="minor"/>
      </rPr>
      <t>4</t>
    </r>
    <r>
      <rPr>
        <sz val="11"/>
        <color theme="1"/>
        <rFont val="Calibri"/>
        <family val="2"/>
        <scheme val="minor"/>
      </rPr>
      <t xml:space="preserve"> The Adder Tranche sizes for all Community Shared Solar Tariff Generation Units issued a Statement of Qualification after Adder Tranche 1 have been established to be 60 MW.</t>
    </r>
  </si>
  <si>
    <r>
      <t>Eversource East d/b/a Eversource Energy</t>
    </r>
    <r>
      <rPr>
        <vertAlign val="superscript"/>
        <sz val="10"/>
        <color theme="1"/>
        <rFont val="Calibri"/>
        <family val="2"/>
        <scheme val="minor"/>
      </rPr>
      <t>1</t>
    </r>
  </si>
  <si>
    <r>
      <t>Eversource West d/b/a Eversource Energy</t>
    </r>
    <r>
      <rPr>
        <vertAlign val="superscript"/>
        <sz val="10"/>
        <color theme="1"/>
        <rFont val="Calibri"/>
        <family val="2"/>
        <scheme val="minor"/>
      </rPr>
      <t>2</t>
    </r>
  </si>
  <si>
    <t>Block 9</t>
  </si>
  <si>
    <t>Block 10</t>
  </si>
  <si>
    <t>Block 11</t>
  </si>
  <si>
    <t>Block 12</t>
  </si>
  <si>
    <t>Block 13</t>
  </si>
  <si>
    <t>Block 14</t>
  </si>
  <si>
    <t>Block 15</t>
  </si>
  <si>
    <t>Block 16</t>
  </si>
  <si>
    <t>2018 Distribution Load (MWh)</t>
  </si>
  <si>
    <t>% Share of 2018 Distribution Load</t>
  </si>
  <si>
    <t>Total MW AC Available Under SMART (initial capacity block)</t>
  </si>
  <si>
    <t>Total MW AC Available Under SMART (expanded capacity block)</t>
  </si>
  <si>
    <r>
      <rPr>
        <vertAlign val="superscript"/>
        <sz val="10"/>
        <color theme="1"/>
        <rFont val="Calibri"/>
        <family val="2"/>
        <scheme val="minor"/>
      </rPr>
      <t>1</t>
    </r>
    <r>
      <rPr>
        <sz val="10"/>
        <color theme="1"/>
        <rFont val="Calibri"/>
        <family val="2"/>
        <scheme val="minor"/>
      </rPr>
      <t xml:space="preserve"> Eversource East includes all municipalities east of Worcester County that are served by Eversource Energy.</t>
    </r>
  </si>
  <si>
    <r>
      <rPr>
        <vertAlign val="superscript"/>
        <sz val="10"/>
        <color theme="1"/>
        <rFont val="Calibri"/>
        <family val="2"/>
        <scheme val="minor"/>
      </rPr>
      <t>2</t>
    </r>
    <r>
      <rPr>
        <sz val="10"/>
        <color theme="1"/>
        <rFont val="Calibri"/>
        <family val="2"/>
        <scheme val="minor"/>
      </rPr>
      <t xml:space="preserve"> Eversource West includes all municipalities west of Worcester County that are served by Eversource Energy.</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</si>
  <si>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had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</si>
  <si>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t>Adder Tranche and Value ($/kWh)</t>
    </r>
    <r>
      <rPr>
        <b/>
        <vertAlign val="superscript"/>
        <sz val="10"/>
        <color theme="1"/>
        <rFont val="Calibri"/>
        <family val="2"/>
        <scheme val="minor"/>
      </rPr>
      <t>2</t>
    </r>
  </si>
  <si>
    <t>Adjusted Block 1</t>
  </si>
  <si>
    <t>Adjusted Block 2</t>
  </si>
  <si>
    <t>Adjusted Block 3</t>
  </si>
  <si>
    <t>Adjusted Block 4</t>
  </si>
  <si>
    <t>Adjusted Block 5</t>
  </si>
  <si>
    <t>Adjusted Block 6</t>
  </si>
  <si>
    <t>Adjusted Block 7</t>
  </si>
  <si>
    <t>Adjusted Block 8</t>
  </si>
  <si>
    <t>Adjusted Block 9</t>
  </si>
  <si>
    <t>Adjusted Block 10</t>
  </si>
  <si>
    <t>Adjusted Block 11</t>
  </si>
  <si>
    <t>Adjusted Block 12</t>
  </si>
  <si>
    <t>Adjusted Block 14</t>
  </si>
  <si>
    <t>Adjusted Block 15</t>
  </si>
  <si>
    <t>Adjusted Block 16</t>
  </si>
  <si>
    <t>Adjusted Block 13</t>
  </si>
  <si>
    <r>
      <t>Fitchburg Gas &amp; Electric d/b/a Unitil</t>
    </r>
    <r>
      <rPr>
        <vertAlign val="superscript"/>
        <sz val="10"/>
        <color theme="1"/>
        <rFont val="Calibri"/>
        <family val="2"/>
        <scheme val="minor"/>
      </rPr>
      <t>5</t>
    </r>
  </si>
  <si>
    <r>
      <t>Nantucket Electric d/b/a National Grid</t>
    </r>
    <r>
      <rPr>
        <vertAlign val="superscript"/>
        <sz val="10"/>
        <color theme="1"/>
        <rFont val="Calibri"/>
        <family val="2"/>
        <scheme val="minor"/>
      </rPr>
      <t>6</t>
    </r>
  </si>
  <si>
    <r>
      <t>&lt;=25 kW Set-aside (MW AC)</t>
    </r>
    <r>
      <rPr>
        <b/>
        <vertAlign val="superscript"/>
        <sz val="10"/>
        <color theme="1"/>
        <rFont val="Calibri"/>
        <family val="2"/>
        <scheme val="minor"/>
      </rPr>
      <t>7</t>
    </r>
  </si>
  <si>
    <r>
      <t>Low Income Community Shared and Low Income Property Set-aside (MW AC)</t>
    </r>
    <r>
      <rPr>
        <b/>
        <vertAlign val="superscript"/>
        <sz val="10"/>
        <rFont val="Calibri"/>
        <family val="2"/>
        <scheme val="minor"/>
      </rPr>
      <t>9</t>
    </r>
  </si>
  <si>
    <r>
      <t>Adjusted Capacity Available for All Other Projects (MW AC)</t>
    </r>
    <r>
      <rPr>
        <b/>
        <vertAlign val="superscript"/>
        <sz val="10"/>
        <rFont val="Calibri"/>
        <family val="2"/>
        <scheme val="minor"/>
      </rPr>
      <t>10</t>
    </r>
  </si>
  <si>
    <r>
      <rPr>
        <vertAlign val="superscript"/>
        <sz val="10"/>
        <color theme="1"/>
        <rFont val="Calibri"/>
        <family val="2"/>
        <scheme val="minor"/>
      </rPr>
      <t>6</t>
    </r>
    <r>
      <rPr>
        <sz val="10"/>
        <color theme="1"/>
        <rFont val="Calibri"/>
        <family val="2"/>
        <scheme val="minor"/>
      </rPr>
      <t xml:space="preserve"> Nantucket Electric d/b/a National Grid has elected to have two Capacity Blocks, as permitted under 225 CMR 20.05(3).</t>
    </r>
  </si>
  <si>
    <r>
      <rPr>
        <vertAlign val="superscript"/>
        <sz val="10"/>
        <color theme="1"/>
        <rFont val="Calibri"/>
        <family val="2"/>
        <scheme val="minor"/>
      </rPr>
      <t>7</t>
    </r>
    <r>
      <rPr>
        <sz val="10"/>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These totals reflect the minimum 20% set-aside required by the regulation. </t>
    </r>
  </si>
  <si>
    <r>
      <rPr>
        <vertAlign val="superscript"/>
        <sz val="10"/>
        <rFont val="Calibri"/>
        <family val="2"/>
        <scheme val="minor"/>
      </rPr>
      <t>9</t>
    </r>
    <r>
      <rPr>
        <sz val="10"/>
        <rFont val="Calibri"/>
        <family val="2"/>
        <scheme val="minor"/>
      </rPr>
      <t xml:space="preserve"> Pursuant to 225 CMR 20.05(3)(d), each Each Capacity Block, starting with the first full capacity block after the Publication Date, shall have a minimum of 5% of its total available capacity reserved for Low Income Community Shared and Low Income Property Solar Tariff Generation Units. These totals reflect the minimum 5% set-aside required by the regulation.</t>
    </r>
  </si>
  <si>
    <r>
      <rPr>
        <vertAlign val="superscript"/>
        <sz val="10"/>
        <color theme="1"/>
        <rFont val="Calibri"/>
        <family val="2"/>
        <scheme val="minor"/>
      </rPr>
      <t>4</t>
    </r>
    <r>
      <rPr>
        <sz val="10"/>
        <color theme="1"/>
        <rFont val="Calibri"/>
        <family val="2"/>
        <scheme val="minor"/>
      </rPr>
      <t xml:space="preserve"> Beginning in Block 9, Eversource East and Eversource West capacity is combined into a single service territory, as required by 225 CMR 20.05(3)(e).</t>
    </r>
  </si>
  <si>
    <t>Pollinator Adder</t>
  </si>
  <si>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be 80 MW, with DOER establishing tranche sizes thereafter as tranch</t>
    </r>
    <r>
      <rPr>
        <sz val="11"/>
        <rFont val="Calibri"/>
        <family val="2"/>
        <scheme val="minor"/>
      </rPr>
      <t>es are filled. With the exception of Location Based Adders, Compensation Rate Adders will decline by 4% when moving from one tranche to the next after the the Publication Date. This table w</t>
    </r>
    <r>
      <rPr>
        <sz val="11"/>
        <color theme="1"/>
        <rFont val="Calibri"/>
        <family val="2"/>
        <scheme val="minor"/>
      </rPr>
      <t>ill be updated as needed.</t>
    </r>
  </si>
  <si>
    <r>
      <t>Total Capacity Available per Capacity Block (MW AC)</t>
    </r>
    <r>
      <rPr>
        <b/>
        <vertAlign val="superscript"/>
        <sz val="10"/>
        <color theme="1"/>
        <rFont val="Calibri"/>
        <family val="2"/>
        <scheme val="minor"/>
      </rPr>
      <t>3 4</t>
    </r>
  </si>
  <si>
    <r>
      <t xml:space="preserve">Eversource East d/b/a Eversource Energy </t>
    </r>
    <r>
      <rPr>
        <b/>
        <vertAlign val="superscript"/>
        <sz val="11"/>
        <color theme="1"/>
        <rFont val="Calibri"/>
        <family val="2"/>
        <scheme val="minor"/>
      </rPr>
      <t>6 8</t>
    </r>
    <r>
      <rPr>
        <b/>
        <sz val="11"/>
        <color theme="1"/>
        <rFont val="Calibri"/>
        <family val="2"/>
        <scheme val="minor"/>
      </rPr>
      <t xml:space="preserve"> </t>
    </r>
  </si>
  <si>
    <r>
      <t xml:space="preserve">Eversource West d/b/a Eversource Energy </t>
    </r>
    <r>
      <rPr>
        <b/>
        <vertAlign val="superscript"/>
        <sz val="11"/>
        <color theme="1"/>
        <rFont val="Calibri"/>
        <family val="2"/>
        <scheme val="minor"/>
      </rPr>
      <t>7 8</t>
    </r>
  </si>
  <si>
    <r>
      <t>Summar</t>
    </r>
    <r>
      <rPr>
        <b/>
        <sz val="18"/>
        <rFont val="Calibri"/>
        <family val="2"/>
        <scheme val="minor"/>
      </rPr>
      <t xml:space="preserve">y of Standalone </t>
    </r>
    <r>
      <rPr>
        <b/>
        <sz val="18"/>
        <color theme="1"/>
        <rFont val="Calibri"/>
        <family val="2"/>
        <scheme val="minor"/>
      </rPr>
      <t>Base Compensation Rates by Service Territory, Generation Unit Capacity, and Capacity Block</t>
    </r>
  </si>
  <si>
    <r>
      <rPr>
        <vertAlign val="superscript"/>
        <sz val="11"/>
        <color theme="1"/>
        <rFont val="Calibri"/>
        <family val="2"/>
        <scheme val="minor"/>
      </rPr>
      <t>9</t>
    </r>
    <r>
      <rPr>
        <sz val="11"/>
        <color theme="1"/>
        <rFont val="Calibri"/>
        <family val="2"/>
        <scheme val="minor"/>
      </rPr>
      <t xml:space="preserve"> Pursuant to 225 CMR 20.07(2), DOER elected to have the 2% decline per Capacity Block begin in Block 9 for Behind-the-Meter Solar Tariff Generation Unit Base Compensation Rates.</t>
    </r>
  </si>
  <si>
    <r>
      <t>Summary of Behind-the-Meter Base Compensation Rates by Service Territory, Generation Unit Capacity, and Capacity Block</t>
    </r>
    <r>
      <rPr>
        <b/>
        <vertAlign val="superscript"/>
        <sz val="18"/>
        <rFont val="Calibri"/>
        <family val="2"/>
        <scheme val="minor"/>
      </rPr>
      <t>9</t>
    </r>
  </si>
  <si>
    <r>
      <rPr>
        <vertAlign val="superscript"/>
        <sz val="11"/>
        <color theme="1"/>
        <rFont val="Calibri"/>
        <family val="2"/>
        <scheme val="minor"/>
      </rPr>
      <t>8</t>
    </r>
    <r>
      <rPr>
        <sz val="11"/>
        <color theme="1"/>
        <rFont val="Calibri"/>
        <family val="2"/>
        <scheme val="minor"/>
      </rPr>
      <t xml:space="preserve"> Pursuant to 225 CMR 20.05(3)(e), DOER has combined the capacity for Eversource East and Eversource West, however the Base Compensation Rates established for the service territories formerly designated as NSTAR Electric Company and Western Massachusetts Electric Company remains seperate.</t>
    </r>
  </si>
  <si>
    <r>
      <rPr>
        <vertAlign val="superscript"/>
        <sz val="11"/>
        <color theme="1"/>
        <rFont val="Calibri"/>
        <family val="2"/>
        <scheme val="minor"/>
      </rPr>
      <t>8</t>
    </r>
    <r>
      <rPr>
        <sz val="11"/>
        <color theme="1"/>
        <rFont val="Calibri"/>
        <family val="2"/>
        <scheme val="minor"/>
      </rPr>
      <t xml:space="preserve"> Pursuant to 225 CMR 20.05(3)(e), DOER has combin</t>
    </r>
    <r>
      <rPr>
        <sz val="11"/>
        <rFont val="Calibri"/>
        <family val="2"/>
        <scheme val="minor"/>
      </rPr>
      <t>ed the capacity for Eversource East and Eversource West, however the Base Compensation Rates established for the service territories formerly designated as NSTAR Electric Company and Western Massachusetts Electric Company remains seperate.</t>
    </r>
  </si>
  <si>
    <r>
      <rPr>
        <vertAlign val="superscript"/>
        <sz val="11"/>
        <color theme="1"/>
        <rFont val="Calibri"/>
        <family val="2"/>
        <scheme val="minor"/>
      </rPr>
      <t>1</t>
    </r>
    <r>
      <rPr>
        <sz val="11"/>
        <color theme="1"/>
        <rFont val="Calibri"/>
        <family val="2"/>
        <scheme val="minor"/>
      </rPr>
      <t xml:space="preserve"> Pursuant to 225 CMR 20.07(4)(f)1., A Solar Tariff Generation Unit with a capacity of 25 kW AC or less may only combine its Base Compensation Rate with the Energy Storage Adder, provided it meets the eligibility criteria in of 225 CMR 20.06(1)(e).  A Solar Tariff Generation Unit with a capacity larger than 25 kW AC can combine its Base Compensation Rate with no more than one Compensation Rate Adder from each of the fourfive categories listed in 225 CMR 20.07(4)(a) through (e), provided it meets the eligibility criteria to qualify for each of the Compensation Rate Adders.</t>
    </r>
  </si>
  <si>
    <t>Pending National Grid input</t>
  </si>
  <si>
    <r>
      <rPr>
        <vertAlign val="superscript"/>
        <sz val="10"/>
        <color theme="1"/>
        <rFont val="Calibri"/>
        <family val="2"/>
        <scheme val="minor"/>
      </rPr>
      <t>8</t>
    </r>
    <r>
      <rPr>
        <sz val="10"/>
        <color theme="1"/>
        <rFont val="Calibri"/>
        <family val="2"/>
        <scheme val="minor"/>
      </rPr>
      <t xml:space="preserve"> Pursuant to 225 CMR 20.05(3)(c), each Capacity Block, starting with the first full capacity block after the publication date, shall have a minimum of 20% of its total available capacity reserved for Solar Tariff Generation Units with nameplate capacities greater than 25 kW and less than or equal to 500kW. These totals reflect the minimum 20% set-aside required by the regulation. </t>
    </r>
  </si>
  <si>
    <r>
      <rPr>
        <vertAlign val="superscript"/>
        <sz val="10"/>
        <rFont val="Calibri"/>
        <family val="2"/>
        <scheme val="minor"/>
      </rPr>
      <t>10</t>
    </r>
    <r>
      <rPr>
        <sz val="10"/>
        <rFont val="Calibri"/>
        <family val="2"/>
        <scheme val="minor"/>
      </rPr>
      <t xml:space="preserve"> Adjusted totals reflect the remaining capacity available for all other project sizes once the &lt;=25 kW, &gt;25 kW and &lt;= 500 kW, and Low Income Community Shared and Low Income Property set-asides are subtracted from the total capacity available. For Capacity Block 1, the amount of capacity procured by each Distribution Company in the initial competitive procurement, conducted pursuant to 225 CMR 20.07(3)(a), is also subtracted from the total.</t>
    </r>
  </si>
  <si>
    <r>
      <t>&gt;25 kW and &lt;=500 kW Set-aside (MW AC)</t>
    </r>
    <r>
      <rPr>
        <b/>
        <vertAlign val="superscript"/>
        <sz val="10"/>
        <color theme="1"/>
        <rFont val="Calibri"/>
        <family val="2"/>
        <scheme val="minor"/>
      </rPr>
      <t>8</t>
    </r>
  </si>
  <si>
    <r>
      <rPr>
        <vertAlign val="superscript"/>
        <sz val="10"/>
        <color theme="1"/>
        <rFont val="Calibri"/>
        <family val="2"/>
        <scheme val="minor"/>
      </rPr>
      <t>5</t>
    </r>
    <r>
      <rPr>
        <sz val="10"/>
        <color theme="1"/>
        <rFont val="Calibri"/>
        <family val="2"/>
        <scheme val="minor"/>
      </rPr>
      <t xml:space="preserve"> Fitchburg Gas &amp; Electric d/b/a Unitil has elected to have eight Capacity Blocks, as permitted under 225 CMR 20.05(3).</t>
    </r>
  </si>
  <si>
    <r>
      <rPr>
        <vertAlign val="superscript"/>
        <sz val="11"/>
        <color theme="1"/>
        <rFont val="Calibri"/>
        <family val="2"/>
        <scheme val="minor"/>
      </rPr>
      <t>2</t>
    </r>
    <r>
      <rPr>
        <sz val="11"/>
        <color theme="1"/>
        <rFont val="Calibri"/>
        <family val="2"/>
        <scheme val="minor"/>
      </rPr>
      <t xml:space="preserve"> Fitchburg Gas &amp; Electric d/b/a Unitil has elected to have eight Capacity Blocks with an 8.8% decline in Base Compensation Rates per Capacity Block for blocks 1-4 and 4.2% decline in the Base Compensation Rates per Capacity Block for blocks 5-8, as permitted under 225 CMR 20.05(3) and 225 CMR 20.07(2), respectively.</t>
    </r>
  </si>
  <si>
    <r>
      <rPr>
        <vertAlign val="superscript"/>
        <sz val="10"/>
        <color theme="1"/>
        <rFont val="Calibri"/>
        <family val="2"/>
        <scheme val="minor"/>
      </rPr>
      <t>3</t>
    </r>
    <r>
      <rPr>
        <sz val="10"/>
        <color theme="1"/>
        <rFont val="Calibri"/>
        <family val="2"/>
        <scheme val="minor"/>
      </rPr>
      <t xml:space="preserve"> The initial 1,600MW utilizes 2016 Distrubition Load Data and the expanded 1,600MW utilizes 2018 Distribution Load data, as permitted by 225 CMR 20.05(3).</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</si>
  <si>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for blocks 1-4 and a 7.7% decline in Base Compensation Rates per Capacity Block for blocks 5-8, as permitted under 225 CMR 20.05(3) and 225 CMR 20.07(2),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</si>
</sst>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0"/>
    <numFmt numFmtId="165" formatCode="0.000"/>
    <numFmt numFmtId="166" formatCode="0.0"/>
    <numFmt numFmtId="167" formatCode="0.0%"/>
    <numFmt numFmtId="168" formatCode="&quot;$&quot;#,##0.00000_);[Red]\(&quot;$&quot;#,##0.00000\)"/>
    <numFmt numFmtId="169" formatCode="#,##0.000"/>
  </numFmts>
  <fonts count="30"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sz val="10"/>
      <color rgb="FF000000"/>
      <name val="Calibri"/>
      <family val="2"/>
    </font>
    <font>
      <vertAlign val="superscript"/>
      <sz val="10"/>
      <color theme="1"/>
      <name val="Calibri"/>
      <family val="2"/>
      <scheme val="minor"/>
    </font>
    <font>
      <b/>
      <sz val="10"/>
      <name val="Calibri"/>
      <family val="2"/>
    </font>
    <font>
      <sz val="10"/>
      <name val="Calibri"/>
      <family val="2"/>
      <scheme val="minor"/>
    </font>
    <font>
      <b/>
      <vertAlign val="superscript"/>
      <sz val="11"/>
      <color theme="1"/>
      <name val="Calibri"/>
      <family val="2"/>
      <scheme val="minor"/>
    </font>
    <font>
      <sz val="8"/>
      <name val="Calibri"/>
      <family val="2"/>
      <scheme val="minor"/>
    </font>
    <font>
      <sz val="11"/>
      <name val="Calibri"/>
      <family val="2"/>
      <scheme val="minor"/>
    </font>
    <font>
      <b/>
      <sz val="10"/>
      <name val="Calibri"/>
      <family val="2"/>
      <scheme val="minor"/>
    </font>
    <font>
      <b/>
      <vertAlign val="superscript"/>
      <sz val="10"/>
      <name val="Calibri"/>
      <family val="2"/>
      <scheme val="minor"/>
    </font>
    <font>
      <vertAlign val="superscript"/>
      <sz val="10"/>
      <name val="Calibri"/>
      <family val="2"/>
      <scheme val="minor"/>
    </font>
    <font>
      <b/>
      <sz val="18"/>
      <name val="Calibri"/>
      <family val="2"/>
      <scheme val="minor"/>
    </font>
    <font>
      <b/>
      <vertAlign val="superscript"/>
      <sz val="18"/>
      <name val="Calibri"/>
      <family val="2"/>
      <scheme val="minor"/>
    </font>
    <font>
      <sz val="11"/>
      <color rgb="FFFF0000"/>
      <name val="Calibri"/>
      <family val="2"/>
      <scheme val="minor"/>
    </font>
    <font>
      <sz val="10"/>
      <name val="Calibri"/>
      <family val="2"/>
    </font>
    <font>
      <sz val="10"/>
      <color theme="0"/>
      <name val="Calibri"/>
      <family val="2"/>
      <scheme val="minor"/>
    </font>
    <font>
      <b/>
      <sz val="10"/>
      <color theme="0"/>
      <name val="Calibri"/>
      <family val="2"/>
    </font>
    <font>
      <sz val="10"/>
      <color theme="0"/>
      <name val="Calibri"/>
      <family val="2"/>
    </font>
    <font>
      <sz val="11"/>
      <name val="Calibri"/>
      <family val="2"/>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s>
  <cellStyleXfs count="2">
    <xf numFmtId="0" fontId="0" fillId="0" borderId="0"/>
    <xf numFmtId="9" fontId="4" fillId="0" borderId="0" applyFont="0" applyFill="0" applyBorder="0" applyAlignment="0" applyProtection="0"/>
  </cellStyleXfs>
  <cellXfs count="296">
    <xf numFmtId="0" fontId="0" fillId="0" borderId="0" xfId="0"/>
    <xf numFmtId="0" fontId="0" fillId="2" borderId="0" xfId="0" applyFill="1"/>
    <xf numFmtId="0" fontId="0" fillId="2" borderId="6" xfId="0" applyFont="1" applyFill="1" applyBorder="1" applyAlignment="1">
      <alignment horizontal="left"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164" fontId="3" fillId="2" borderId="2" xfId="0" applyNumberFormat="1" applyFont="1" applyFill="1" applyBorder="1" applyAlignment="1">
      <alignment horizontal="center" vertical="center" wrapText="1" readingOrder="1"/>
    </xf>
    <xf numFmtId="0" fontId="0" fillId="2" borderId="3" xfId="0" applyFont="1" applyFill="1" applyBorder="1" applyAlignment="1">
      <alignment horizontal="left"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6" fillId="2" borderId="0" xfId="0" applyFont="1" applyFill="1" applyBorder="1" applyAlignment="1">
      <alignment vertical="center"/>
    </xf>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10" fillId="2" borderId="0" xfId="0" applyFont="1" applyFill="1"/>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165"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6" fontId="15" fillId="2" borderId="0" xfId="0" applyNumberFormat="1" applyFont="1" applyFill="1" applyBorder="1" applyAlignment="1">
      <alignment horizontal="center"/>
    </xf>
    <xf numFmtId="0" fontId="8" fillId="2" borderId="0" xfId="0" applyFont="1" applyFill="1" applyBorder="1" applyAlignment="1">
      <alignment horizontal="center" vertical="center"/>
    </xf>
    <xf numFmtId="0" fontId="10" fillId="2" borderId="0" xfId="0" applyFont="1" applyFill="1" applyBorder="1"/>
    <xf numFmtId="168" fontId="10" fillId="2" borderId="0" xfId="0" applyNumberFormat="1" applyFont="1" applyFill="1" applyBorder="1" applyAlignment="1">
      <alignment horizontal="center"/>
    </xf>
    <xf numFmtId="168" fontId="10" fillId="2" borderId="0" xfId="0" applyNumberFormat="1" applyFont="1" applyFill="1" applyBorder="1" applyAlignment="1">
      <alignment horizontal="center" vertical="center"/>
    </xf>
    <xf numFmtId="0" fontId="8" fillId="2" borderId="13" xfId="0" applyFont="1" applyFill="1" applyBorder="1" applyAlignment="1">
      <alignment vertical="center" wrapText="1"/>
    </xf>
    <xf numFmtId="0" fontId="10" fillId="2" borderId="14" xfId="0" applyFont="1" applyFill="1" applyBorder="1"/>
    <xf numFmtId="0" fontId="10" fillId="2" borderId="39" xfId="0" applyFont="1" applyFill="1" applyBorder="1"/>
    <xf numFmtId="0" fontId="10" fillId="2" borderId="47" xfId="0" applyFont="1" applyFill="1" applyBorder="1"/>
    <xf numFmtId="0" fontId="10" fillId="2" borderId="40" xfId="0" applyFont="1" applyFill="1" applyBorder="1"/>
    <xf numFmtId="168" fontId="10" fillId="2" borderId="48" xfId="0" applyNumberFormat="1" applyFont="1" applyFill="1" applyBorder="1" applyAlignment="1">
      <alignment horizontal="center"/>
    </xf>
    <xf numFmtId="168" fontId="10" fillId="2" borderId="48" xfId="0"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15" xfId="0" applyFont="1" applyFill="1" applyBorder="1" applyAlignment="1">
      <alignment horizontal="center" vertical="center" wrapText="1"/>
    </xf>
    <xf numFmtId="168" fontId="10" fillId="2" borderId="50" xfId="0" applyNumberFormat="1" applyFont="1" applyFill="1" applyBorder="1" applyAlignment="1">
      <alignment horizontal="center" vertical="center"/>
    </xf>
    <xf numFmtId="0" fontId="10" fillId="2" borderId="0" xfId="0" applyFont="1" applyFill="1" applyBorder="1" applyAlignment="1">
      <alignment vertical="center" wrapText="1"/>
    </xf>
    <xf numFmtId="0" fontId="12" fillId="2" borderId="0" xfId="0" applyFont="1" applyFill="1" applyBorder="1" applyAlignment="1">
      <alignment horizontal="left" vertical="center" wrapText="1" readingOrder="1"/>
    </xf>
    <xf numFmtId="0" fontId="11" fillId="2" borderId="0" xfId="0" applyFont="1" applyFill="1" applyBorder="1" applyAlignment="1">
      <alignment vertical="center" readingOrder="1"/>
    </xf>
    <xf numFmtId="3" fontId="12" fillId="2" borderId="0" xfId="0" applyNumberFormat="1" applyFont="1" applyFill="1" applyBorder="1" applyAlignment="1">
      <alignment horizontal="center" wrapText="1" readingOrder="1"/>
    </xf>
    <xf numFmtId="167" fontId="12" fillId="2" borderId="0" xfId="0" applyNumberFormat="1" applyFont="1" applyFill="1" applyBorder="1" applyAlignment="1">
      <alignment horizontal="center" vertical="center" wrapText="1" readingOrder="1"/>
    </xf>
    <xf numFmtId="169" fontId="12" fillId="2" borderId="0" xfId="0" applyNumberFormat="1" applyFont="1" applyFill="1" applyBorder="1" applyAlignment="1">
      <alignment horizontal="center" vertical="center" wrapText="1" readingOrder="1"/>
    </xf>
    <xf numFmtId="0" fontId="11" fillId="2" borderId="29" xfId="0" applyFont="1" applyFill="1" applyBorder="1" applyAlignment="1">
      <alignment horizontal="center" vertical="center" wrapText="1" readingOrder="1"/>
    </xf>
    <xf numFmtId="0" fontId="11" fillId="2" borderId="6" xfId="0" applyFont="1" applyFill="1" applyBorder="1" applyAlignment="1">
      <alignment horizontal="center" vertical="center" wrapText="1" readingOrder="1"/>
    </xf>
    <xf numFmtId="0" fontId="14" fillId="2" borderId="7" xfId="0" applyFont="1" applyFill="1" applyBorder="1" applyAlignment="1">
      <alignment horizontal="center" vertical="center" wrapText="1" readingOrder="1"/>
    </xf>
    <xf numFmtId="3" fontId="12" fillId="2" borderId="30" xfId="0" applyNumberFormat="1" applyFont="1" applyFill="1" applyBorder="1" applyAlignment="1">
      <alignment horizontal="center" wrapText="1" readingOrder="1"/>
    </xf>
    <xf numFmtId="169" fontId="12" fillId="2" borderId="9" xfId="0" applyNumberFormat="1" applyFont="1" applyFill="1" applyBorder="1" applyAlignment="1">
      <alignment horizontal="center" vertical="center" wrapText="1" readingOrder="1"/>
    </xf>
    <xf numFmtId="3" fontId="12" fillId="2" borderId="31" xfId="0" applyNumberFormat="1" applyFont="1" applyFill="1" applyBorder="1" applyAlignment="1">
      <alignment horizontal="center" wrapText="1" readingOrder="1"/>
    </xf>
    <xf numFmtId="167" fontId="12" fillId="2" borderId="11" xfId="0" applyNumberFormat="1" applyFont="1" applyFill="1" applyBorder="1" applyAlignment="1">
      <alignment horizontal="center" vertical="center" wrapText="1" readingOrder="1"/>
    </xf>
    <xf numFmtId="169" fontId="12" fillId="2" borderId="12" xfId="0" applyNumberFormat="1" applyFont="1" applyFill="1" applyBorder="1" applyAlignment="1">
      <alignment horizontal="center" vertical="center" wrapText="1" readingOrder="1"/>
    </xf>
    <xf numFmtId="0" fontId="11" fillId="2" borderId="36" xfId="0" applyFont="1" applyFill="1" applyBorder="1" applyAlignment="1">
      <alignment horizontal="center" vertical="center" wrapText="1" readingOrder="1"/>
    </xf>
    <xf numFmtId="169" fontId="12" fillId="2" borderId="37" xfId="0" applyNumberFormat="1" applyFont="1" applyFill="1" applyBorder="1" applyAlignment="1">
      <alignment horizontal="center" vertical="center" wrapText="1" readingOrder="1"/>
    </xf>
    <xf numFmtId="169" fontId="12" fillId="2" borderId="38" xfId="0" applyNumberFormat="1" applyFont="1" applyFill="1" applyBorder="1" applyAlignment="1">
      <alignment horizontal="center" vertical="center" wrapText="1" readingOrder="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vertical="center" wrapText="1"/>
    </xf>
    <xf numFmtId="0" fontId="11" fillId="0" borderId="29" xfId="0" applyFont="1" applyFill="1" applyBorder="1" applyAlignment="1">
      <alignment horizontal="center" vertical="center" wrapText="1" readingOrder="1"/>
    </xf>
    <xf numFmtId="0" fontId="11" fillId="0" borderId="6" xfId="0" applyFont="1" applyFill="1" applyBorder="1" applyAlignment="1">
      <alignment horizontal="center" vertical="center" wrapText="1" readingOrder="1"/>
    </xf>
    <xf numFmtId="0" fontId="14" fillId="0" borderId="7" xfId="0" applyFont="1" applyFill="1" applyBorder="1" applyAlignment="1">
      <alignment horizontal="center" vertical="center" wrapText="1" readingOrder="1"/>
    </xf>
    <xf numFmtId="3" fontId="12" fillId="0" borderId="30" xfId="0" applyNumberFormat="1" applyFont="1" applyFill="1" applyBorder="1" applyAlignment="1">
      <alignment horizontal="center" wrapText="1" readingOrder="1"/>
    </xf>
    <xf numFmtId="165" fontId="12" fillId="0" borderId="9" xfId="0" applyNumberFormat="1" applyFont="1" applyFill="1" applyBorder="1" applyAlignment="1">
      <alignment horizontal="center" vertical="center" wrapText="1" readingOrder="1"/>
    </xf>
    <xf numFmtId="3" fontId="12" fillId="0" borderId="31" xfId="0" applyNumberFormat="1" applyFont="1" applyFill="1" applyBorder="1" applyAlignment="1">
      <alignment horizontal="center" wrapText="1" readingOrder="1"/>
    </xf>
    <xf numFmtId="167" fontId="12" fillId="0" borderId="11" xfId="0" applyNumberFormat="1" applyFont="1" applyFill="1" applyBorder="1" applyAlignment="1">
      <alignment horizontal="center" vertical="center" wrapText="1" readingOrder="1"/>
    </xf>
    <xf numFmtId="169" fontId="12" fillId="0" borderId="12" xfId="0" applyNumberFormat="1" applyFont="1" applyFill="1" applyBorder="1" applyAlignment="1">
      <alignment horizontal="center" vertical="center" wrapText="1" readingOrder="1"/>
    </xf>
    <xf numFmtId="165" fontId="12" fillId="0"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xf>
    <xf numFmtId="0" fontId="2" fillId="0" borderId="48" xfId="0" applyFont="1" applyFill="1" applyBorder="1" applyAlignment="1">
      <alignment horizontal="center" vertical="center" wrapText="1" readingOrder="1"/>
    </xf>
    <xf numFmtId="165" fontId="8" fillId="0" borderId="1" xfId="0" applyNumberFormat="1" applyFont="1" applyFill="1" applyBorder="1" applyAlignment="1">
      <alignment horizontal="center"/>
    </xf>
    <xf numFmtId="165" fontId="10" fillId="0" borderId="1" xfId="0" applyNumberFormat="1" applyFont="1" applyFill="1" applyBorder="1" applyAlignment="1">
      <alignment horizontal="center" vertical="center"/>
    </xf>
    <xf numFmtId="0" fontId="10" fillId="2" borderId="37" xfId="0" applyFont="1" applyFill="1" applyBorder="1" applyAlignment="1">
      <alignment vertical="center" wrapText="1"/>
    </xf>
    <xf numFmtId="0" fontId="12" fillId="2" borderId="38" xfId="0" applyFont="1" applyFill="1" applyBorder="1" applyAlignment="1">
      <alignment horizontal="left" vertical="center" wrapText="1" readingOrder="1"/>
    </xf>
    <xf numFmtId="10" fontId="12" fillId="2" borderId="1" xfId="0" applyNumberFormat="1" applyFont="1" applyFill="1" applyBorder="1" applyAlignment="1">
      <alignment horizontal="center" vertical="center" wrapText="1" readingOrder="1"/>
    </xf>
    <xf numFmtId="10" fontId="12" fillId="0" borderId="1" xfId="0" applyNumberFormat="1" applyFont="1" applyFill="1" applyBorder="1" applyAlignment="1">
      <alignment horizontal="center" vertical="center" wrapText="1" readingOrder="1"/>
    </xf>
    <xf numFmtId="165" fontId="12"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vertical="center"/>
    </xf>
    <xf numFmtId="0" fontId="8" fillId="0" borderId="1" xfId="0" applyFont="1" applyFill="1" applyBorder="1" applyAlignment="1">
      <alignment horizontal="center"/>
    </xf>
    <xf numFmtId="165" fontId="8" fillId="0" borderId="19" xfId="0" applyNumberFormat="1" applyFont="1" applyFill="1" applyBorder="1" applyAlignment="1">
      <alignment horizontal="center"/>
    </xf>
    <xf numFmtId="165" fontId="8" fillId="2" borderId="0" xfId="0" applyNumberFormat="1" applyFont="1" applyFill="1" applyBorder="1" applyAlignment="1">
      <alignment horizontal="center"/>
    </xf>
    <xf numFmtId="0" fontId="8" fillId="2" borderId="0" xfId="0" applyFont="1" applyFill="1" applyBorder="1" applyAlignment="1">
      <alignment vertical="center"/>
    </xf>
    <xf numFmtId="0" fontId="19" fillId="2" borderId="0" xfId="0" applyFont="1" applyFill="1" applyBorder="1" applyAlignment="1">
      <alignment vertical="center"/>
    </xf>
    <xf numFmtId="164" fontId="3" fillId="0" borderId="6"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center" vertical="center" wrapText="1" readingOrder="1"/>
    </xf>
    <xf numFmtId="0" fontId="2" fillId="0" borderId="58" xfId="0" applyFont="1" applyFill="1" applyBorder="1" applyAlignment="1">
      <alignment horizontal="center" vertical="center" wrapText="1" readingOrder="1"/>
    </xf>
    <xf numFmtId="9" fontId="4" fillId="2" borderId="16" xfId="1" applyFont="1" applyFill="1" applyBorder="1" applyAlignment="1">
      <alignment horizontal="center" vertical="center" wrapText="1"/>
    </xf>
    <xf numFmtId="9" fontId="4" fillId="2" borderId="19" xfId="1" applyFont="1" applyFill="1" applyBorder="1" applyAlignment="1">
      <alignment horizontal="center" vertical="center" wrapText="1"/>
    </xf>
    <xf numFmtId="9" fontId="4" fillId="2" borderId="20" xfId="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164" fontId="3" fillId="0" borderId="11" xfId="0" applyNumberFormat="1" applyFont="1" applyFill="1" applyBorder="1" applyAlignment="1">
      <alignment horizontal="center" vertical="center" wrapText="1" readingOrder="1"/>
    </xf>
    <xf numFmtId="164" fontId="0" fillId="2" borderId="6" xfId="0" applyNumberFormat="1" applyFill="1" applyBorder="1" applyAlignment="1">
      <alignment horizontal="center"/>
    </xf>
    <xf numFmtId="9" fontId="4" fillId="2" borderId="52" xfId="1" applyFont="1" applyFill="1" applyBorder="1" applyAlignment="1">
      <alignment horizontal="center" vertical="center" wrapText="1"/>
    </xf>
    <xf numFmtId="9" fontId="4" fillId="2" borderId="51" xfId="1" applyFont="1" applyFill="1" applyBorder="1" applyAlignment="1">
      <alignment horizontal="center" vertical="center" wrapText="1"/>
    </xf>
    <xf numFmtId="0" fontId="0" fillId="2" borderId="53"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readingOrder="1"/>
    </xf>
    <xf numFmtId="164" fontId="3" fillId="0" borderId="2" xfId="0" applyNumberFormat="1" applyFont="1" applyFill="1" applyBorder="1" applyAlignment="1">
      <alignment horizontal="center" vertical="center" wrapText="1" readingOrder="1"/>
    </xf>
    <xf numFmtId="164" fontId="3" fillId="0" borderId="7" xfId="0" applyNumberFormat="1" applyFont="1" applyFill="1" applyBorder="1" applyAlignment="1">
      <alignment horizontal="center" vertical="center" wrapText="1" readingOrder="1"/>
    </xf>
    <xf numFmtId="164" fontId="3" fillId="0" borderId="12" xfId="0" applyNumberFormat="1" applyFont="1" applyFill="1" applyBorder="1" applyAlignment="1">
      <alignment horizontal="center" vertical="center" wrapText="1" readingOrder="1"/>
    </xf>
    <xf numFmtId="0" fontId="24" fillId="2" borderId="0" xfId="0" applyFont="1" applyFill="1"/>
    <xf numFmtId="0" fontId="18" fillId="0" borderId="0" xfId="0" applyFont="1" applyFill="1" applyAlignment="1">
      <alignment wrapText="1"/>
    </xf>
    <xf numFmtId="0" fontId="8" fillId="2" borderId="41" xfId="0" applyFont="1" applyFill="1" applyBorder="1" applyAlignment="1">
      <alignment horizontal="center" vertical="center"/>
    </xf>
    <xf numFmtId="165" fontId="12" fillId="0" borderId="19" xfId="0" applyNumberFormat="1" applyFont="1" applyFill="1" applyBorder="1" applyAlignment="1">
      <alignment horizontal="center" vertical="center" wrapText="1" readingOrder="1"/>
    </xf>
    <xf numFmtId="165" fontId="8" fillId="0" borderId="9" xfId="0" applyNumberFormat="1" applyFont="1" applyFill="1" applyBorder="1" applyAlignment="1">
      <alignment horizontal="center"/>
    </xf>
    <xf numFmtId="0" fontId="10" fillId="2" borderId="30" xfId="0" applyFont="1" applyFill="1" applyBorder="1" applyAlignment="1">
      <alignmen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vertical="center" wrapText="1"/>
    </xf>
    <xf numFmtId="165" fontId="12" fillId="0" borderId="11" xfId="0" applyNumberFormat="1" applyFont="1" applyFill="1" applyBorder="1" applyAlignment="1">
      <alignment horizontal="center" vertical="center" wrapText="1" readingOrder="1"/>
    </xf>
    <xf numFmtId="165" fontId="10" fillId="0" borderId="11"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wrapText="1" readingOrder="1"/>
    </xf>
    <xf numFmtId="165" fontId="12" fillId="0" borderId="20" xfId="0" applyNumberFormat="1" applyFont="1" applyFill="1" applyBorder="1" applyAlignment="1">
      <alignment horizontal="center" vertical="center" wrapText="1" readingOrder="1"/>
    </xf>
    <xf numFmtId="165" fontId="10" fillId="0" borderId="9"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wrapText="1" readingOrder="1"/>
    </xf>
    <xf numFmtId="165" fontId="10" fillId="0" borderId="12" xfId="0" applyNumberFormat="1" applyFont="1" applyFill="1" applyBorder="1" applyAlignment="1">
      <alignment horizontal="center" vertical="center"/>
    </xf>
    <xf numFmtId="0" fontId="15" fillId="2" borderId="0" xfId="0" applyFont="1" applyFill="1"/>
    <xf numFmtId="164" fontId="3" fillId="2" borderId="62" xfId="0" applyNumberFormat="1" applyFont="1" applyFill="1" applyBorder="1" applyAlignment="1">
      <alignment horizontal="center" vertical="center" wrapText="1" readingOrder="1"/>
    </xf>
    <xf numFmtId="164" fontId="3" fillId="2" borderId="41" xfId="0" applyNumberFormat="1" applyFont="1" applyFill="1" applyBorder="1" applyAlignment="1">
      <alignment horizontal="center" vertical="center" wrapText="1" readingOrder="1"/>
    </xf>
    <xf numFmtId="164" fontId="3" fillId="2" borderId="63" xfId="0" applyNumberFormat="1" applyFont="1" applyFill="1" applyBorder="1" applyAlignment="1">
      <alignment horizontal="center" vertical="center" wrapText="1" readingOrder="1"/>
    </xf>
    <xf numFmtId="164" fontId="3" fillId="2" borderId="64" xfId="0" applyNumberFormat="1" applyFont="1" applyFill="1" applyBorder="1" applyAlignment="1">
      <alignment horizontal="center" vertical="center" wrapText="1" readingOrder="1"/>
    </xf>
    <xf numFmtId="0" fontId="1" fillId="2" borderId="10" xfId="0" applyFont="1" applyFill="1" applyBorder="1" applyAlignment="1">
      <alignment horizontal="center" vertical="center" wrapText="1"/>
    </xf>
    <xf numFmtId="0" fontId="0" fillId="2" borderId="16"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52" xfId="0" applyFont="1" applyFill="1" applyBorder="1" applyAlignment="1">
      <alignment horizontal="left" vertical="center" wrapText="1"/>
    </xf>
    <xf numFmtId="0" fontId="0" fillId="2" borderId="51" xfId="0" applyFont="1" applyFill="1" applyBorder="1" applyAlignment="1">
      <alignment horizontal="left" vertical="center" wrapText="1"/>
    </xf>
    <xf numFmtId="0" fontId="0" fillId="2" borderId="62"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63" xfId="0" applyFont="1" applyFill="1" applyBorder="1" applyAlignment="1">
      <alignment horizontal="center" vertical="center" wrapText="1"/>
    </xf>
    <xf numFmtId="0" fontId="0" fillId="2" borderId="64" xfId="0" applyFont="1" applyFill="1" applyBorder="1" applyAlignment="1">
      <alignment horizontal="center" vertical="center" wrapText="1"/>
    </xf>
    <xf numFmtId="9" fontId="4" fillId="2" borderId="7" xfId="1" applyFont="1" applyFill="1" applyBorder="1" applyAlignment="1">
      <alignment horizontal="center" vertical="center" wrapText="1"/>
    </xf>
    <xf numFmtId="9" fontId="4" fillId="2" borderId="9" xfId="1" applyFont="1" applyFill="1" applyBorder="1" applyAlignment="1">
      <alignment horizontal="center" vertical="center" wrapText="1"/>
    </xf>
    <xf numFmtId="9" fontId="4" fillId="2" borderId="12" xfId="1" applyFont="1" applyFill="1" applyBorder="1" applyAlignment="1">
      <alignment horizontal="center" vertical="center" wrapText="1"/>
    </xf>
    <xf numFmtId="9" fontId="4" fillId="2" borderId="17" xfId="1" applyFont="1" applyFill="1" applyBorder="1" applyAlignment="1">
      <alignment horizontal="center" vertical="center" wrapText="1"/>
    </xf>
    <xf numFmtId="9" fontId="4" fillId="2" borderId="18" xfId="1" applyFont="1" applyFill="1" applyBorder="1" applyAlignment="1">
      <alignment horizontal="center" vertical="center" wrapText="1"/>
    </xf>
    <xf numFmtId="0" fontId="1" fillId="2" borderId="48" xfId="0" applyFont="1" applyFill="1" applyBorder="1" applyAlignment="1">
      <alignment horizontal="center" vertical="center" wrapText="1"/>
    </xf>
    <xf numFmtId="0" fontId="2" fillId="2" borderId="48" xfId="0" applyFont="1" applyFill="1" applyBorder="1" applyAlignment="1">
      <alignment horizontal="center" vertical="center" wrapText="1" readingOrder="1"/>
    </xf>
    <xf numFmtId="0" fontId="2" fillId="2" borderId="60" xfId="0" applyFont="1" applyFill="1" applyBorder="1" applyAlignment="1">
      <alignment horizontal="center" vertical="center" wrapText="1" readingOrder="1"/>
    </xf>
    <xf numFmtId="0" fontId="2" fillId="0" borderId="50" xfId="0" applyFont="1" applyFill="1" applyBorder="1" applyAlignment="1">
      <alignment horizontal="center" vertical="center" wrapText="1" readingOrder="1"/>
    </xf>
    <xf numFmtId="0" fontId="1" fillId="2" borderId="58" xfId="0" applyFont="1" applyFill="1" applyBorder="1" applyAlignment="1">
      <alignment horizontal="center" vertical="center" wrapText="1"/>
    </xf>
    <xf numFmtId="0" fontId="2" fillId="2" borderId="58" xfId="0" applyFont="1" applyFill="1" applyBorder="1" applyAlignment="1">
      <alignment horizontal="center" vertical="center" wrapText="1" readingOrder="1"/>
    </xf>
    <xf numFmtId="0" fontId="2" fillId="2" borderId="59" xfId="0" applyFont="1" applyFill="1" applyBorder="1" applyAlignment="1">
      <alignment horizontal="center" vertical="center" wrapText="1" readingOrder="1"/>
    </xf>
    <xf numFmtId="0" fontId="2" fillId="0" borderId="65" xfId="0" applyFont="1" applyFill="1" applyBorder="1" applyAlignment="1">
      <alignment horizontal="center" vertical="center" wrapText="1" readingOrder="1"/>
    </xf>
    <xf numFmtId="0" fontId="2" fillId="0" borderId="14" xfId="0" applyFont="1" applyFill="1" applyBorder="1" applyAlignment="1">
      <alignment horizontal="center" vertical="center" wrapText="1" readingOrder="1"/>
    </xf>
    <xf numFmtId="0" fontId="26" fillId="2" borderId="0" xfId="0" applyFont="1" applyFill="1"/>
    <xf numFmtId="0" fontId="27" fillId="2" borderId="0" xfId="0" applyFont="1" applyFill="1" applyBorder="1" applyAlignment="1">
      <alignment horizontal="center" vertical="center" wrapText="1" readingOrder="1"/>
    </xf>
    <xf numFmtId="166" fontId="28" fillId="2" borderId="0" xfId="0" applyNumberFormat="1" applyFont="1" applyFill="1" applyBorder="1" applyAlignment="1">
      <alignment horizontal="center" vertical="center" wrapText="1" readingOrder="1"/>
    </xf>
    <xf numFmtId="165" fontId="15" fillId="0" borderId="1" xfId="0" applyNumberFormat="1" applyFont="1" applyFill="1" applyBorder="1" applyAlignment="1">
      <alignment horizontal="center" vertical="center"/>
    </xf>
    <xf numFmtId="165" fontId="15" fillId="0" borderId="11" xfId="0" applyNumberFormat="1" applyFont="1" applyFill="1" applyBorder="1" applyAlignment="1">
      <alignment horizontal="center" vertical="center"/>
    </xf>
    <xf numFmtId="165" fontId="15" fillId="2" borderId="1" xfId="0" applyNumberFormat="1" applyFont="1" applyFill="1" applyBorder="1" applyAlignment="1">
      <alignment horizontal="center" vertical="center"/>
    </xf>
    <xf numFmtId="164" fontId="29" fillId="2" borderId="6" xfId="0" applyNumberFormat="1" applyFont="1" applyFill="1" applyBorder="1" applyAlignment="1">
      <alignment vertical="center" wrapText="1" readingOrder="1"/>
    </xf>
    <xf numFmtId="164" fontId="29" fillId="2" borderId="1" xfId="0" applyNumberFormat="1" applyFont="1" applyFill="1" applyBorder="1" applyAlignment="1">
      <alignment vertical="center" wrapText="1" readingOrder="1"/>
    </xf>
    <xf numFmtId="164" fontId="29" fillId="2" borderId="11" xfId="0" applyNumberFormat="1" applyFont="1" applyFill="1" applyBorder="1" applyAlignment="1">
      <alignment vertical="center" wrapText="1" readingOrder="1"/>
    </xf>
    <xf numFmtId="164" fontId="29" fillId="2" borderId="3" xfId="0" applyNumberFormat="1" applyFont="1" applyFill="1" applyBorder="1" applyAlignment="1">
      <alignment vertical="center" wrapText="1" readingOrder="1"/>
    </xf>
    <xf numFmtId="165" fontId="12" fillId="0" borderId="19" xfId="0" applyNumberFormat="1" applyFont="1" applyFill="1" applyBorder="1" applyAlignment="1">
      <alignment horizontal="center" vertical="center" wrapText="1" readingOrder="1"/>
    </xf>
    <xf numFmtId="165" fontId="12" fillId="0" borderId="32" xfId="0" applyNumberFormat="1" applyFont="1" applyFill="1" applyBorder="1" applyAlignment="1">
      <alignment horizontal="center" vertical="center" wrapText="1" readingOrder="1"/>
    </xf>
    <xf numFmtId="165" fontId="12" fillId="0" borderId="41" xfId="0" applyNumberFormat="1" applyFont="1" applyFill="1" applyBorder="1" applyAlignment="1">
      <alignment horizontal="center" vertical="center" wrapText="1" readingOrder="1"/>
    </xf>
    <xf numFmtId="165" fontId="10" fillId="0" borderId="19" xfId="0" applyNumberFormat="1" applyFont="1" applyFill="1" applyBorder="1" applyAlignment="1">
      <alignment horizontal="center" vertical="center"/>
    </xf>
    <xf numFmtId="165" fontId="10" fillId="0" borderId="32" xfId="0" applyNumberFormat="1" applyFont="1" applyFill="1" applyBorder="1" applyAlignment="1">
      <alignment horizontal="center" vertical="center"/>
    </xf>
    <xf numFmtId="165" fontId="10" fillId="0" borderId="41"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wrapText="1" readingOrder="1"/>
    </xf>
    <xf numFmtId="165" fontId="12" fillId="0" borderId="3"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61" xfId="0" applyFont="1" applyFill="1" applyBorder="1" applyAlignment="1">
      <alignment horizontal="center" vertical="center"/>
    </xf>
    <xf numFmtId="0" fontId="6" fillId="2" borderId="0" xfId="0" applyFont="1" applyFill="1" applyAlignment="1">
      <alignment horizontal="center" vertical="center"/>
    </xf>
    <xf numFmtId="3" fontId="12" fillId="0" borderId="53" xfId="0" applyNumberFormat="1" applyFont="1" applyFill="1" applyBorder="1" applyAlignment="1">
      <alignment horizontal="center" vertical="center" wrapText="1" readingOrder="1"/>
    </xf>
    <xf numFmtId="3" fontId="12" fillId="0" borderId="46" xfId="0" applyNumberFormat="1" applyFont="1" applyFill="1" applyBorder="1" applyAlignment="1">
      <alignment horizontal="center" vertical="center" wrapText="1" readingOrder="1"/>
    </xf>
    <xf numFmtId="165" fontId="12" fillId="0" borderId="17" xfId="0" applyNumberFormat="1" applyFont="1" applyFill="1" applyBorder="1" applyAlignment="1">
      <alignment horizontal="center" vertical="center" wrapText="1" readingOrder="1"/>
    </xf>
    <xf numFmtId="165" fontId="12" fillId="0" borderId="18" xfId="0" applyNumberFormat="1" applyFont="1" applyFill="1" applyBorder="1" applyAlignment="1">
      <alignment horizontal="center" vertical="center" wrapText="1" readingOrder="1"/>
    </xf>
    <xf numFmtId="169" fontId="12" fillId="2" borderId="54" xfId="0" applyNumberFormat="1" applyFont="1" applyFill="1" applyBorder="1" applyAlignment="1">
      <alignment horizontal="center" vertical="center" wrapText="1" readingOrder="1"/>
    </xf>
    <xf numFmtId="169" fontId="12" fillId="2" borderId="55" xfId="0" applyNumberFormat="1" applyFont="1" applyFill="1" applyBorder="1" applyAlignment="1">
      <alignment horizontal="center" vertical="center" wrapText="1" readingOrder="1"/>
    </xf>
    <xf numFmtId="0" fontId="8" fillId="2" borderId="16"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1" xfId="0" applyFont="1" applyFill="1" applyBorder="1" applyAlignment="1">
      <alignment horizontal="center" vertical="center"/>
    </xf>
    <xf numFmtId="165" fontId="25" fillId="0" borderId="19" xfId="0" applyNumberFormat="1" applyFont="1" applyFill="1" applyBorder="1" applyAlignment="1">
      <alignment horizontal="center" vertical="center" wrapText="1" readingOrder="1"/>
    </xf>
    <xf numFmtId="165" fontId="25" fillId="0" borderId="32" xfId="0" applyNumberFormat="1" applyFont="1" applyFill="1" applyBorder="1" applyAlignment="1">
      <alignment horizontal="center" vertical="center" wrapText="1" readingOrder="1"/>
    </xf>
    <xf numFmtId="165" fontId="25" fillId="0" borderId="41"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11" fillId="2" borderId="46" xfId="0" applyFont="1" applyFill="1" applyBorder="1" applyAlignment="1">
      <alignment horizontal="center" vertical="center" wrapText="1" readingOrder="1"/>
    </xf>
    <xf numFmtId="10" fontId="12" fillId="0" borderId="2" xfId="0" applyNumberFormat="1" applyFont="1" applyFill="1" applyBorder="1" applyAlignment="1">
      <alignment horizontal="center" vertical="center" wrapText="1" readingOrder="1"/>
    </xf>
    <xf numFmtId="10" fontId="12" fillId="0" borderId="3" xfId="0" applyNumberFormat="1" applyFont="1" applyFill="1" applyBorder="1" applyAlignment="1">
      <alignment horizontal="center" vertical="center" wrapText="1" readingOrder="1"/>
    </xf>
    <xf numFmtId="0" fontId="10" fillId="2" borderId="0" xfId="0" applyFont="1" applyFill="1" applyBorder="1" applyAlignment="1">
      <alignment horizontal="left" wrapText="1"/>
    </xf>
    <xf numFmtId="165" fontId="12" fillId="0" borderId="52" xfId="0" applyNumberFormat="1" applyFont="1" applyFill="1" applyBorder="1" applyAlignment="1">
      <alignment horizontal="center" vertical="center" wrapText="1" readingOrder="1"/>
    </xf>
    <xf numFmtId="165" fontId="12" fillId="0" borderId="51" xfId="0" applyNumberFormat="1" applyFont="1" applyFill="1" applyBorder="1" applyAlignment="1">
      <alignment horizontal="center" vertical="center" wrapText="1" readingOrder="1"/>
    </xf>
    <xf numFmtId="0" fontId="11" fillId="2" borderId="29" xfId="0" applyFont="1" applyFill="1" applyBorder="1" applyAlignment="1">
      <alignment horizontal="center" vertical="center" wrapText="1" readingOrder="1"/>
    </xf>
    <xf numFmtId="0" fontId="11" fillId="2" borderId="30" xfId="0" applyFont="1" applyFill="1" applyBorder="1" applyAlignment="1">
      <alignment horizontal="center" vertical="center" wrapText="1" readingOrder="1"/>
    </xf>
    <xf numFmtId="0" fontId="19" fillId="0" borderId="16"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6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61" xfId="0" applyFont="1" applyFill="1" applyBorder="1" applyAlignment="1">
      <alignment horizontal="center" vertical="center"/>
    </xf>
    <xf numFmtId="165" fontId="10" fillId="0" borderId="2" xfId="0" applyNumberFormat="1" applyFont="1" applyFill="1" applyBorder="1" applyAlignment="1">
      <alignment horizontal="center" vertical="center"/>
    </xf>
    <xf numFmtId="165" fontId="10" fillId="0" borderId="3" xfId="0" applyNumberFormat="1" applyFont="1" applyFill="1" applyBorder="1" applyAlignment="1">
      <alignment horizontal="center" vertical="center"/>
    </xf>
    <xf numFmtId="0" fontId="15" fillId="2" borderId="0" xfId="0" applyFont="1" applyFill="1" applyBorder="1" applyAlignment="1">
      <alignment horizontal="left" vertical="center" wrapText="1"/>
    </xf>
    <xf numFmtId="0" fontId="10" fillId="2" borderId="0" xfId="0" applyFont="1" applyFill="1" applyBorder="1" applyAlignment="1">
      <alignment horizontal="left"/>
    </xf>
    <xf numFmtId="0" fontId="15" fillId="2" borderId="0" xfId="0" applyFont="1" applyFill="1" applyBorder="1" applyAlignment="1">
      <alignment horizontal="left" wrapText="1"/>
    </xf>
    <xf numFmtId="0" fontId="10" fillId="4" borderId="0" xfId="0" applyFont="1" applyFill="1" applyBorder="1" applyAlignment="1">
      <alignment horizontal="left"/>
    </xf>
    <xf numFmtId="0" fontId="10" fillId="0" borderId="0" xfId="0" applyFont="1" applyFill="1" applyBorder="1" applyAlignment="1">
      <alignment horizontal="left"/>
    </xf>
    <xf numFmtId="0" fontId="0" fillId="2" borderId="0" xfId="0" applyFill="1" applyBorder="1" applyAlignment="1">
      <alignment horizontal="left" wrapText="1"/>
    </xf>
    <xf numFmtId="0" fontId="22" fillId="0" borderId="0" xfId="0" applyFont="1" applyFill="1" applyBorder="1" applyAlignment="1">
      <alignment horizontal="center" vertical="center"/>
    </xf>
    <xf numFmtId="0" fontId="22" fillId="0" borderId="24"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Fill="1" applyBorder="1" applyAlignment="1">
      <alignment horizontal="left" wrapText="1"/>
    </xf>
    <xf numFmtId="164" fontId="1" fillId="0" borderId="59" xfId="0" applyNumberFormat="1" applyFont="1" applyFill="1" applyBorder="1" applyAlignment="1">
      <alignment horizontal="center" vertical="center"/>
    </xf>
    <xf numFmtId="164" fontId="1" fillId="0" borderId="21" xfId="0" applyNumberFormat="1" applyFont="1" applyFill="1" applyBorder="1" applyAlignment="1">
      <alignment horizontal="center" vertical="center"/>
    </xf>
    <xf numFmtId="164" fontId="1" fillId="0" borderId="22"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164" fontId="1" fillId="0" borderId="23" xfId="0" applyNumberFormat="1" applyFont="1" applyFill="1" applyBorder="1" applyAlignment="1">
      <alignment horizontal="center" vertical="center"/>
    </xf>
    <xf numFmtId="164" fontId="1" fillId="0" borderId="60" xfId="0" applyNumberFormat="1" applyFont="1" applyFill="1" applyBorder="1" applyAlignment="1">
      <alignment horizontal="center" vertical="center"/>
    </xf>
    <xf numFmtId="164" fontId="1" fillId="0" borderId="24" xfId="0" applyNumberFormat="1" applyFont="1" applyFill="1" applyBorder="1" applyAlignment="1">
      <alignment horizontal="center" vertical="center"/>
    </xf>
    <xf numFmtId="164" fontId="1" fillId="0" borderId="25" xfId="0" applyNumberFormat="1" applyFont="1" applyFill="1" applyBorder="1" applyAlignment="1">
      <alignment horizontal="center" vertical="center"/>
    </xf>
    <xf numFmtId="0" fontId="0" fillId="2" borderId="0" xfId="0" applyFill="1" applyAlignment="1">
      <alignment horizontal="left" wrapText="1"/>
    </xf>
    <xf numFmtId="0" fontId="0" fillId="4" borderId="0" xfId="0" applyFill="1" applyBorder="1" applyAlignment="1">
      <alignment horizontal="left" wrapText="1"/>
    </xf>
    <xf numFmtId="0" fontId="6" fillId="2" borderId="0" xfId="0" applyFont="1" applyFill="1" applyBorder="1" applyAlignment="1">
      <alignment horizontal="center" vertical="center"/>
    </xf>
    <xf numFmtId="0" fontId="6" fillId="2" borderId="24" xfId="0" applyFont="1" applyFill="1" applyBorder="1" applyAlignment="1">
      <alignment horizontal="center" vertical="center"/>
    </xf>
    <xf numFmtId="164" fontId="2" fillId="2" borderId="21"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8" fontId="10" fillId="2" borderId="28" xfId="0" applyNumberFormat="1" applyFont="1" applyFill="1" applyBorder="1" applyAlignment="1">
      <alignment horizontal="center"/>
    </xf>
    <xf numFmtId="168" fontId="10" fillId="2" borderId="24" xfId="0" applyNumberFormat="1" applyFont="1" applyFill="1" applyBorder="1" applyAlignment="1">
      <alignment horizontal="center"/>
    </xf>
    <xf numFmtId="168" fontId="10" fillId="2" borderId="25" xfId="0" applyNumberFormat="1" applyFont="1" applyFill="1" applyBorder="1" applyAlignment="1">
      <alignment horizontal="center"/>
    </xf>
    <xf numFmtId="0" fontId="0" fillId="2" borderId="0" xfId="0"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56"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57" xfId="0" applyFont="1" applyFill="1" applyBorder="1" applyAlignment="1">
      <alignment horizontal="center" vertical="center"/>
    </xf>
    <xf numFmtId="168" fontId="10" fillId="2" borderId="26" xfId="0" applyNumberFormat="1" applyFont="1" applyFill="1" applyBorder="1" applyAlignment="1">
      <alignment horizontal="center"/>
    </xf>
    <xf numFmtId="168" fontId="10" fillId="2" borderId="21" xfId="0" applyNumberFormat="1" applyFont="1" applyFill="1" applyBorder="1" applyAlignment="1">
      <alignment horizontal="center"/>
    </xf>
    <xf numFmtId="168" fontId="10" fillId="2" borderId="22" xfId="0" applyNumberFormat="1" applyFont="1" applyFill="1" applyBorder="1" applyAlignment="1">
      <alignment horizontal="center"/>
    </xf>
    <xf numFmtId="168" fontId="10" fillId="2" borderId="27" xfId="0" applyNumberFormat="1" applyFont="1" applyFill="1" applyBorder="1" applyAlignment="1">
      <alignment horizontal="center"/>
    </xf>
    <xf numFmtId="168" fontId="10" fillId="2" borderId="0" xfId="0" applyNumberFormat="1" applyFont="1" applyFill="1" applyBorder="1" applyAlignment="1">
      <alignment horizontal="center"/>
    </xf>
    <xf numFmtId="168" fontId="10" fillId="2" borderId="23" xfId="0" applyNumberFormat="1" applyFont="1" applyFill="1" applyBorder="1" applyAlignment="1">
      <alignment horizontal="center"/>
    </xf>
    <xf numFmtId="164" fontId="3" fillId="2" borderId="6" xfId="0" applyNumberFormat="1" applyFont="1" applyFill="1" applyBorder="1" applyAlignment="1">
      <alignment vertical="center" wrapText="1" readingOrder="1"/>
    </xf>
    <xf numFmtId="164" fontId="3" fillId="2" borderId="1" xfId="0" applyNumberFormat="1" applyFont="1" applyFill="1" applyBorder="1" applyAlignment="1">
      <alignment vertical="center" wrapText="1" readingOrder="1"/>
    </xf>
    <xf numFmtId="164" fontId="3" fillId="2" borderId="7" xfId="0" applyNumberFormat="1" applyFont="1" applyFill="1" applyBorder="1" applyAlignment="1">
      <alignment vertical="center" wrapText="1" readingOrder="1"/>
    </xf>
    <xf numFmtId="164" fontId="3" fillId="2" borderId="9" xfId="0" applyNumberFormat="1" applyFont="1" applyFill="1" applyBorder="1" applyAlignment="1">
      <alignment vertical="center" wrapText="1" readingOrder="1"/>
    </xf>
    <xf numFmtId="164" fontId="3" fillId="2" borderId="2" xfId="0" applyNumberFormat="1" applyFont="1" applyFill="1" applyBorder="1" applyAlignment="1">
      <alignment vertical="center" wrapText="1" readingOrder="1"/>
    </xf>
    <xf numFmtId="164" fontId="3" fillId="2" borderId="17" xfId="0" applyNumberFormat="1" applyFont="1" applyFill="1" applyBorder="1" applyAlignment="1">
      <alignment vertical="center" wrapText="1" readingOrder="1"/>
    </xf>
    <xf numFmtId="0" fontId="0" fillId="2" borderId="39"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40" xfId="0" applyFont="1" applyFill="1" applyBorder="1" applyAlignment="1">
      <alignment horizontal="center" vertical="center" wrapText="1"/>
    </xf>
    <xf numFmtId="164" fontId="3" fillId="2" borderId="48" xfId="0" applyNumberFormat="1" applyFont="1" applyFill="1" applyBorder="1" applyAlignment="1">
      <alignment horizontal="center" vertical="center" wrapText="1" readingOrder="1"/>
    </xf>
    <xf numFmtId="164" fontId="3" fillId="2" borderId="50" xfId="0" applyNumberFormat="1" applyFont="1" applyFill="1" applyBorder="1" applyAlignment="1">
      <alignment horizontal="center" vertical="center" wrapText="1" readingOrder="1"/>
    </xf>
    <xf numFmtId="164" fontId="2" fillId="2" borderId="26"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23"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5" xfId="0" applyNumberFormat="1" applyFont="1" applyFill="1" applyBorder="1" applyAlignment="1">
      <alignment horizontal="center" vertical="center" wrapText="1" readingOrder="1"/>
    </xf>
  </cellXfs>
  <cellStyles count="2">
    <cellStyle name="Normal" xfId="0" builtinId="0"/>
    <cellStyle name="Percent" xfId="1" builtinId="5"/>
  </cellStyles>
  <dxfs count="0"/>
  <tableStyles count="0" defaultTableStyle="TableStyleMedium2" defaultPivotStyle="PivotStyleLight16"/>
  <colors>
    <mruColors>
      <color rgb="FFF02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p>
        <a:p>
          <a:pPr algn="ctr"/>
          <a:r>
            <a:rPr lang="en-US" sz="1100" b="1" baseline="0">
              <a:solidFill>
                <a:sysClr val="windowText" lastClr="000000"/>
              </a:solidFill>
              <a:effectLst/>
              <a:latin typeface="+mn-lt"/>
              <a:ea typeface="+mn-ea"/>
              <a:cs typeface="+mn-cs"/>
            </a:rPr>
            <a:t>Last Revised: May 21, 2020</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none">
              <a:solidFill>
                <a:schemeClr val="dk1"/>
              </a:solidFill>
              <a:effectLst/>
              <a:latin typeface="+mn-lt"/>
              <a:ea typeface="+mn-ea"/>
              <a:cs typeface="+mn-cs"/>
            </a:rPr>
            <a:t>Purpose</a:t>
          </a:r>
          <a:endParaRPr lang="en-US" b="1" i="0" u="none">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0" u="none">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a:t>
          </a:r>
          <a:r>
            <a:rPr lang="en-US" sz="1100" baseline="0">
              <a:solidFill>
                <a:sysClr val="windowText" lastClr="000000"/>
              </a:solidFill>
              <a:effectLst/>
              <a:latin typeface="+mn-lt"/>
              <a:ea typeface="+mn-ea"/>
              <a:cs typeface="+mn-cs"/>
            </a:rPr>
            <a:t>provides a summary of Base Compensation Rates ($/kWh) by Distribution Company service territory, Generation Unit capacity (MW AC), and Capacity Block for </a:t>
          </a:r>
          <a:r>
            <a:rPr lang="en-US" sz="1100" i="0" baseline="0">
              <a:solidFill>
                <a:sysClr val="windowText" lastClr="000000"/>
              </a:solidFill>
              <a:effectLst/>
              <a:latin typeface="+mn-lt"/>
              <a:ea typeface="+mn-ea"/>
              <a:cs typeface="+mn-cs"/>
            </a:rPr>
            <a:t>Behind-the-Meter</a:t>
          </a:r>
          <a:r>
            <a:rPr lang="en-US" sz="1100" baseline="0">
              <a:solidFill>
                <a:sysClr val="windowText" lastClr="000000"/>
              </a:solidFill>
              <a:effectLst/>
              <a:latin typeface="+mn-lt"/>
              <a:ea typeface="+mn-ea"/>
              <a:cs typeface="+mn-cs"/>
            </a:rPr>
            <a:t> Solar Tariff Generation Units.</a:t>
          </a:r>
        </a:p>
        <a:p>
          <a:endParaRPr lang="en-US"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The fourth worksheet of this Guideline provides a summary of Base Compensation Rates ($/kWh) by Distribution Company service territory, Generation Unit capacity (MW AC), and Capacity Block for </a:t>
          </a:r>
          <a:r>
            <a:rPr lang="en-US" sz="1100" i="0" baseline="0">
              <a:solidFill>
                <a:sysClr val="windowText" lastClr="000000"/>
              </a:solidFill>
              <a:effectLst/>
              <a:latin typeface="+mn-lt"/>
              <a:ea typeface="+mn-ea"/>
              <a:cs typeface="+mn-cs"/>
            </a:rPr>
            <a:t>Standalone </a:t>
          </a:r>
          <a:r>
            <a:rPr lang="en-US" sz="1100" baseline="0">
              <a:solidFill>
                <a:sysClr val="windowText" lastClr="000000"/>
              </a:solidFill>
              <a:effectLst/>
              <a:latin typeface="+mn-lt"/>
              <a:ea typeface="+mn-ea"/>
              <a:cs typeface="+mn-cs"/>
            </a:rPr>
            <a:t>Solar Tariff Generation Units.</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The fifth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Note: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L1" sqref="L1"/>
    </sheetView>
  </sheetViews>
  <sheetFormatPr defaultColWidth="9.1796875" defaultRowHeight="14.5" x14ac:dyDescent="0.35"/>
  <cols>
    <col min="1" max="16384" width="9.1796875" style="24"/>
  </cols>
  <sheetData/>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5"/>
  <sheetViews>
    <sheetView zoomScaleNormal="100" workbookViewId="0">
      <selection sqref="A1:K2"/>
    </sheetView>
  </sheetViews>
  <sheetFormatPr defaultColWidth="9.1796875" defaultRowHeight="14.5" x14ac:dyDescent="0.35"/>
  <cols>
    <col min="1" max="1" width="39.26953125" style="1" bestFit="1" customWidth="1"/>
    <col min="2" max="20" width="15.1796875" style="1" customWidth="1"/>
    <col min="21" max="21" width="13.7265625" style="1" customWidth="1"/>
    <col min="22" max="16384" width="9.1796875" style="1"/>
  </cols>
  <sheetData>
    <row r="1" spans="1:20" x14ac:dyDescent="0.35">
      <c r="A1" s="197" t="s">
        <v>48</v>
      </c>
      <c r="B1" s="197"/>
      <c r="C1" s="197"/>
      <c r="D1" s="197"/>
      <c r="E1" s="197"/>
      <c r="F1" s="197"/>
      <c r="G1" s="197"/>
      <c r="H1" s="197"/>
      <c r="I1" s="197"/>
      <c r="J1" s="197"/>
      <c r="K1" s="197"/>
    </row>
    <row r="2" spans="1:20" x14ac:dyDescent="0.35">
      <c r="A2" s="197"/>
      <c r="B2" s="197"/>
      <c r="C2" s="197"/>
      <c r="D2" s="197"/>
      <c r="E2" s="197"/>
      <c r="F2" s="197"/>
      <c r="G2" s="197"/>
      <c r="H2" s="197"/>
      <c r="I2" s="197"/>
      <c r="J2" s="197"/>
      <c r="K2" s="197"/>
    </row>
    <row r="3" spans="1:20" s="46" customFormat="1" ht="25.5" customHeight="1" thickBot="1" x14ac:dyDescent="0.35">
      <c r="A3" s="86"/>
      <c r="B3" s="86"/>
      <c r="C3" s="52"/>
      <c r="D3" s="70"/>
      <c r="E3" s="70"/>
      <c r="F3" s="70"/>
      <c r="G3" s="86"/>
      <c r="H3" s="86"/>
      <c r="I3" s="86"/>
      <c r="J3" s="86"/>
      <c r="K3" s="86"/>
    </row>
    <row r="4" spans="1:20" s="46" customFormat="1" ht="52" x14ac:dyDescent="0.3">
      <c r="A4" s="82" t="s">
        <v>26</v>
      </c>
      <c r="B4" s="74" t="s">
        <v>30</v>
      </c>
      <c r="C4" s="75" t="s">
        <v>29</v>
      </c>
      <c r="D4" s="76" t="s">
        <v>105</v>
      </c>
      <c r="E4" s="88" t="s">
        <v>103</v>
      </c>
      <c r="F4" s="89" t="s">
        <v>104</v>
      </c>
      <c r="G4" s="90" t="s">
        <v>106</v>
      </c>
      <c r="H4" s="82" t="s">
        <v>27</v>
      </c>
      <c r="I4" s="145"/>
      <c r="J4" s="174"/>
      <c r="K4" s="175" t="s">
        <v>28</v>
      </c>
      <c r="L4" s="145"/>
    </row>
    <row r="5" spans="1:20" s="46" customFormat="1" ht="13" x14ac:dyDescent="0.3">
      <c r="A5" s="101" t="s">
        <v>12</v>
      </c>
      <c r="B5" s="77">
        <v>462444</v>
      </c>
      <c r="C5" s="103">
        <f>B5/$B$10</f>
        <v>9.867696678794698E-3</v>
      </c>
      <c r="D5" s="78">
        <f>C5*$D$10</f>
        <v>15.788314686071518</v>
      </c>
      <c r="E5" s="91">
        <v>472732</v>
      </c>
      <c r="F5" s="104">
        <f>E5/$E$10</f>
        <v>1.0178627010589534E-2</v>
      </c>
      <c r="G5" s="92">
        <f>F5*$D$10</f>
        <v>16.285803216943254</v>
      </c>
      <c r="H5" s="83">
        <f>G5+D5</f>
        <v>32.074117903014773</v>
      </c>
      <c r="I5" s="145"/>
      <c r="J5" s="174"/>
      <c r="K5" s="176">
        <v>200</v>
      </c>
      <c r="L5" s="145"/>
    </row>
    <row r="6" spans="1:20" s="46" customFormat="1" ht="13" x14ac:dyDescent="0.3">
      <c r="A6" s="101" t="s">
        <v>10</v>
      </c>
      <c r="B6" s="77">
        <v>21094198</v>
      </c>
      <c r="C6" s="103">
        <f>B6/$B$10</f>
        <v>0.45011103516628559</v>
      </c>
      <c r="D6" s="78">
        <f>C6*$D$10</f>
        <v>720.17765626605694</v>
      </c>
      <c r="E6" s="91">
        <v>21007758</v>
      </c>
      <c r="F6" s="104">
        <f>E6/$E$10</f>
        <v>0.45232845039203684</v>
      </c>
      <c r="G6" s="92">
        <f t="shared" ref="G6:G8" si="0">F6*$D$10</f>
        <v>723.7255206272589</v>
      </c>
      <c r="H6" s="83">
        <f t="shared" ref="H6:H7" si="1">G6+D6</f>
        <v>1443.903176893316</v>
      </c>
      <c r="I6" s="145"/>
      <c r="J6" s="174"/>
      <c r="K6" s="174"/>
      <c r="L6" s="145"/>
    </row>
    <row r="7" spans="1:20" s="46" customFormat="1" ht="13" x14ac:dyDescent="0.3">
      <c r="A7" s="101" t="s">
        <v>11</v>
      </c>
      <c r="B7" s="77">
        <v>176964</v>
      </c>
      <c r="C7" s="103">
        <f>B7/$B$10</f>
        <v>3.776083320501996E-3</v>
      </c>
      <c r="D7" s="78">
        <f>C7*$D$10</f>
        <v>6.0417333128031938</v>
      </c>
      <c r="E7" s="91">
        <v>186884</v>
      </c>
      <c r="F7" s="104">
        <f>E7/$E$10</f>
        <v>4.0238920366021643E-3</v>
      </c>
      <c r="G7" s="92">
        <f t="shared" si="0"/>
        <v>6.4382272585634626</v>
      </c>
      <c r="H7" s="83">
        <f t="shared" si="1"/>
        <v>12.479960571366657</v>
      </c>
      <c r="I7" s="145"/>
      <c r="J7" s="145"/>
      <c r="K7" s="145"/>
      <c r="L7" s="145"/>
    </row>
    <row r="8" spans="1:20" s="46" customFormat="1" x14ac:dyDescent="0.3">
      <c r="A8" s="101" t="s">
        <v>93</v>
      </c>
      <c r="B8" s="77">
        <v>21443702</v>
      </c>
      <c r="C8" s="103">
        <f>B8/$B$10</f>
        <v>0.45756880185809146</v>
      </c>
      <c r="D8" s="78">
        <f>C8*$D$10</f>
        <v>732.11008297294632</v>
      </c>
      <c r="E8" s="198">
        <f>21139077+3637141</f>
        <v>24776218</v>
      </c>
      <c r="F8" s="212">
        <f>E8/$E$10</f>
        <v>0.53346903056077144</v>
      </c>
      <c r="G8" s="200">
        <f t="shared" si="0"/>
        <v>853.55044889723433</v>
      </c>
      <c r="H8" s="202">
        <f>G8+D9+D8</f>
        <v>1711.5427446323029</v>
      </c>
      <c r="I8" s="145"/>
      <c r="J8" s="145"/>
      <c r="K8" s="145"/>
      <c r="L8" s="145"/>
    </row>
    <row r="9" spans="1:20" s="46" customFormat="1" x14ac:dyDescent="0.3">
      <c r="A9" s="101" t="s">
        <v>94</v>
      </c>
      <c r="B9" s="77">
        <v>3687124</v>
      </c>
      <c r="C9" s="103">
        <f>B9/$B$10</f>
        <v>7.8676382976326273E-2</v>
      </c>
      <c r="D9" s="78">
        <f>C9*$D$10</f>
        <v>125.88221276212204</v>
      </c>
      <c r="E9" s="199"/>
      <c r="F9" s="213"/>
      <c r="G9" s="201"/>
      <c r="H9" s="203"/>
      <c r="I9" s="145"/>
      <c r="J9" s="145"/>
      <c r="K9" s="145"/>
      <c r="L9" s="145"/>
    </row>
    <row r="10" spans="1:20" s="46" customFormat="1" ht="13.5" thickBot="1" x14ac:dyDescent="0.35">
      <c r="A10" s="102" t="s">
        <v>27</v>
      </c>
      <c r="B10" s="79">
        <f>SUM(B5:B9)</f>
        <v>46864432</v>
      </c>
      <c r="C10" s="80">
        <f>SUM(C5:C9)</f>
        <v>1</v>
      </c>
      <c r="D10" s="81">
        <v>1600</v>
      </c>
      <c r="E10" s="93">
        <f>SUM(E5:E9)</f>
        <v>46443592</v>
      </c>
      <c r="F10" s="94">
        <f>E10/$E$10</f>
        <v>1</v>
      </c>
      <c r="G10" s="95">
        <f>D10</f>
        <v>1600</v>
      </c>
      <c r="H10" s="84">
        <f>SUM(H5:H9)</f>
        <v>3200</v>
      </c>
      <c r="I10" s="145"/>
      <c r="J10" s="145"/>
      <c r="K10" s="145"/>
      <c r="L10" s="145"/>
      <c r="S10" s="53"/>
      <c r="T10" s="53"/>
    </row>
    <row r="11" spans="1:20" s="46" customFormat="1" ht="13.5" thickBot="1" x14ac:dyDescent="0.35">
      <c r="A11" s="69"/>
      <c r="B11" s="71"/>
      <c r="C11" s="72"/>
      <c r="D11" s="73"/>
      <c r="E11" s="51"/>
      <c r="F11" s="47"/>
      <c r="G11" s="48"/>
      <c r="S11" s="53"/>
      <c r="T11" s="53"/>
    </row>
    <row r="12" spans="1:20" s="46" customFormat="1" x14ac:dyDescent="0.3">
      <c r="A12" s="210" t="s">
        <v>26</v>
      </c>
      <c r="B12" s="204" t="s">
        <v>138</v>
      </c>
      <c r="C12" s="205"/>
      <c r="D12" s="205"/>
      <c r="E12" s="205"/>
      <c r="F12" s="205"/>
      <c r="G12" s="205"/>
      <c r="H12" s="205"/>
      <c r="I12" s="205"/>
      <c r="J12" s="205"/>
      <c r="K12" s="205"/>
      <c r="L12" s="205"/>
      <c r="M12" s="205"/>
      <c r="N12" s="205"/>
      <c r="O12" s="205"/>
      <c r="P12" s="205"/>
      <c r="Q12" s="205"/>
      <c r="R12" s="206"/>
      <c r="S12" s="110"/>
      <c r="T12" s="110"/>
    </row>
    <row r="13" spans="1:20" s="46" customFormat="1" ht="13" x14ac:dyDescent="0.3">
      <c r="A13" s="211"/>
      <c r="B13" s="99" t="s">
        <v>13</v>
      </c>
      <c r="C13" s="99" t="s">
        <v>14</v>
      </c>
      <c r="D13" s="99" t="s">
        <v>15</v>
      </c>
      <c r="E13" s="99" t="s">
        <v>16</v>
      </c>
      <c r="F13" s="99" t="s">
        <v>17</v>
      </c>
      <c r="G13" s="99" t="s">
        <v>18</v>
      </c>
      <c r="H13" s="99" t="s">
        <v>19</v>
      </c>
      <c r="I13" s="99" t="s">
        <v>20</v>
      </c>
      <c r="J13" s="99" t="s">
        <v>95</v>
      </c>
      <c r="K13" s="99" t="s">
        <v>96</v>
      </c>
      <c r="L13" s="99" t="s">
        <v>97</v>
      </c>
      <c r="M13" s="99" t="s">
        <v>98</v>
      </c>
      <c r="N13" s="99" t="s">
        <v>99</v>
      </c>
      <c r="O13" s="99" t="s">
        <v>100</v>
      </c>
      <c r="P13" s="99" t="s">
        <v>101</v>
      </c>
      <c r="Q13" s="99" t="s">
        <v>102</v>
      </c>
      <c r="R13" s="134" t="s">
        <v>27</v>
      </c>
      <c r="S13" s="109"/>
      <c r="T13" s="53"/>
    </row>
    <row r="14" spans="1:20" s="46" customFormat="1" ht="26.15" customHeight="1" x14ac:dyDescent="0.3">
      <c r="A14" s="135" t="s">
        <v>127</v>
      </c>
      <c r="B14" s="96">
        <f>C5*$K$5*2</f>
        <v>3.9470786715178794</v>
      </c>
      <c r="C14" s="100">
        <f t="shared" ref="C14:E15" si="2">B14</f>
        <v>3.9470786715178794</v>
      </c>
      <c r="D14" s="100">
        <f t="shared" si="2"/>
        <v>3.9470786715178794</v>
      </c>
      <c r="E14" s="100">
        <f>D14</f>
        <v>3.9470786715178794</v>
      </c>
      <c r="F14" s="177">
        <f>F5*K5*2</f>
        <v>4.0714508042358135</v>
      </c>
      <c r="G14" s="177">
        <f>F14</f>
        <v>4.0714508042358135</v>
      </c>
      <c r="H14" s="177">
        <f>F14</f>
        <v>4.0714508042358135</v>
      </c>
      <c r="I14" s="177">
        <f>F14</f>
        <v>4.0714508042358135</v>
      </c>
      <c r="J14" s="207" t="s">
        <v>24</v>
      </c>
      <c r="K14" s="208"/>
      <c r="L14" s="208"/>
      <c r="M14" s="208"/>
      <c r="N14" s="208"/>
      <c r="O14" s="208"/>
      <c r="P14" s="208"/>
      <c r="Q14" s="209"/>
      <c r="R14" s="92">
        <f>SUM(B14:Q14)</f>
        <v>32.074117903014773</v>
      </c>
      <c r="S14" s="106"/>
      <c r="T14" s="53"/>
    </row>
    <row r="15" spans="1:20" s="46" customFormat="1" ht="13" x14ac:dyDescent="0.3">
      <c r="A15" s="136" t="s">
        <v>10</v>
      </c>
      <c r="B15" s="96">
        <f>C6*$K$5</f>
        <v>90.022207033257118</v>
      </c>
      <c r="C15" s="100">
        <f t="shared" si="2"/>
        <v>90.022207033257118</v>
      </c>
      <c r="D15" s="100">
        <f t="shared" si="2"/>
        <v>90.022207033257118</v>
      </c>
      <c r="E15" s="100">
        <f t="shared" si="2"/>
        <v>90.022207033257118</v>
      </c>
      <c r="F15" s="100">
        <f>E15</f>
        <v>90.022207033257118</v>
      </c>
      <c r="G15" s="100">
        <f>F15</f>
        <v>90.022207033257118</v>
      </c>
      <c r="H15" s="100">
        <f>G15</f>
        <v>90.022207033257118</v>
      </c>
      <c r="I15" s="100">
        <f>H15</f>
        <v>90.022207033257118</v>
      </c>
      <c r="J15" s="96">
        <f>F6*$K$5</f>
        <v>90.465690078407363</v>
      </c>
      <c r="K15" s="96">
        <f t="shared" ref="K15:M15" si="3">J15</f>
        <v>90.465690078407363</v>
      </c>
      <c r="L15" s="96">
        <f t="shared" si="3"/>
        <v>90.465690078407363</v>
      </c>
      <c r="M15" s="96">
        <f t="shared" si="3"/>
        <v>90.465690078407363</v>
      </c>
      <c r="N15" s="96">
        <f>M15</f>
        <v>90.465690078407363</v>
      </c>
      <c r="O15" s="96">
        <f>N15</f>
        <v>90.465690078407363</v>
      </c>
      <c r="P15" s="96">
        <f>O15</f>
        <v>90.465690078407363</v>
      </c>
      <c r="Q15" s="96">
        <f>P15</f>
        <v>90.465690078407363</v>
      </c>
      <c r="R15" s="92">
        <f>SUM(B15:Q15)</f>
        <v>1443.9031768933155</v>
      </c>
      <c r="S15" s="106"/>
      <c r="T15" s="53"/>
    </row>
    <row r="16" spans="1:20" s="46" customFormat="1" ht="26.15" customHeight="1" x14ac:dyDescent="0.3">
      <c r="A16" s="135" t="s">
        <v>128</v>
      </c>
      <c r="B16" s="96">
        <f>C7*$K$5*4</f>
        <v>3.0208666564015969</v>
      </c>
      <c r="C16" s="100">
        <f>B16</f>
        <v>3.0208666564015969</v>
      </c>
      <c r="D16" s="100" t="s">
        <v>24</v>
      </c>
      <c r="E16" s="100" t="s">
        <v>24</v>
      </c>
      <c r="F16" s="100" t="s">
        <v>24</v>
      </c>
      <c r="G16" s="100" t="s">
        <v>24</v>
      </c>
      <c r="H16" s="100" t="s">
        <v>24</v>
      </c>
      <c r="I16" s="100" t="s">
        <v>24</v>
      </c>
      <c r="J16" s="184" t="s">
        <v>147</v>
      </c>
      <c r="K16" s="185"/>
      <c r="L16" s="185"/>
      <c r="M16" s="185"/>
      <c r="N16" s="185"/>
      <c r="O16" s="185"/>
      <c r="P16" s="185"/>
      <c r="Q16" s="186"/>
      <c r="R16" s="92">
        <f>SUM(B16:Q16)</f>
        <v>6.0417333128031938</v>
      </c>
      <c r="S16" s="106"/>
      <c r="T16" s="53"/>
    </row>
    <row r="17" spans="1:20" s="46" customFormat="1" ht="13" x14ac:dyDescent="0.3">
      <c r="A17" s="135" t="s">
        <v>61</v>
      </c>
      <c r="B17" s="96">
        <f>C8*$K$5</f>
        <v>91.513760371618289</v>
      </c>
      <c r="C17" s="100">
        <f>B17</f>
        <v>91.513760371618289</v>
      </c>
      <c r="D17" s="100">
        <f t="shared" ref="D17:I18" si="4">C17</f>
        <v>91.513760371618289</v>
      </c>
      <c r="E17" s="100">
        <f t="shared" si="4"/>
        <v>91.513760371618289</v>
      </c>
      <c r="F17" s="100">
        <f t="shared" si="4"/>
        <v>91.513760371618289</v>
      </c>
      <c r="G17" s="100">
        <f t="shared" si="4"/>
        <v>91.513760371618289</v>
      </c>
      <c r="H17" s="100">
        <f t="shared" si="4"/>
        <v>91.513760371618289</v>
      </c>
      <c r="I17" s="100">
        <f t="shared" si="4"/>
        <v>91.513760371618289</v>
      </c>
      <c r="J17" s="190">
        <f>F8*$K$5</f>
        <v>106.69380611215429</v>
      </c>
      <c r="K17" s="190">
        <f>J17</f>
        <v>106.69380611215429</v>
      </c>
      <c r="L17" s="190">
        <f t="shared" ref="L17:Q17" si="5">K17</f>
        <v>106.69380611215429</v>
      </c>
      <c r="M17" s="190">
        <f t="shared" si="5"/>
        <v>106.69380611215429</v>
      </c>
      <c r="N17" s="190">
        <f t="shared" si="5"/>
        <v>106.69380611215429</v>
      </c>
      <c r="O17" s="190">
        <f t="shared" si="5"/>
        <v>106.69380611215429</v>
      </c>
      <c r="P17" s="190">
        <f t="shared" si="5"/>
        <v>106.69380611215429</v>
      </c>
      <c r="Q17" s="190">
        <f t="shared" si="5"/>
        <v>106.69380611215429</v>
      </c>
      <c r="R17" s="200">
        <v>32.074117903014773</v>
      </c>
      <c r="S17" s="192"/>
      <c r="T17" s="53"/>
    </row>
    <row r="18" spans="1:20" s="46" customFormat="1" ht="13" x14ac:dyDescent="0.3">
      <c r="A18" s="135" t="s">
        <v>62</v>
      </c>
      <c r="B18" s="96">
        <f>C9*$K$5</f>
        <v>15.735276595265255</v>
      </c>
      <c r="C18" s="100">
        <f>B18</f>
        <v>15.735276595265255</v>
      </c>
      <c r="D18" s="100">
        <f t="shared" si="4"/>
        <v>15.735276595265255</v>
      </c>
      <c r="E18" s="100">
        <f t="shared" si="4"/>
        <v>15.735276595265255</v>
      </c>
      <c r="F18" s="100">
        <f t="shared" si="4"/>
        <v>15.735276595265255</v>
      </c>
      <c r="G18" s="100">
        <f t="shared" si="4"/>
        <v>15.735276595265255</v>
      </c>
      <c r="H18" s="100">
        <f t="shared" si="4"/>
        <v>15.735276595265255</v>
      </c>
      <c r="I18" s="100">
        <f t="shared" si="4"/>
        <v>15.735276595265255</v>
      </c>
      <c r="J18" s="191"/>
      <c r="K18" s="191"/>
      <c r="L18" s="191"/>
      <c r="M18" s="191"/>
      <c r="N18" s="191"/>
      <c r="O18" s="191"/>
      <c r="P18" s="191"/>
      <c r="Q18" s="191"/>
      <c r="R18" s="201"/>
      <c r="S18" s="193"/>
      <c r="T18" s="53"/>
    </row>
    <row r="19" spans="1:20" s="46" customFormat="1" ht="13.5" thickBot="1" x14ac:dyDescent="0.35">
      <c r="A19" s="137" t="s">
        <v>54</v>
      </c>
      <c r="B19" s="138">
        <f t="shared" ref="B19:I19" si="6">SUM(B14:B18)</f>
        <v>204.23918932806015</v>
      </c>
      <c r="C19" s="139">
        <f t="shared" si="6"/>
        <v>204.23918932806015</v>
      </c>
      <c r="D19" s="139">
        <f t="shared" si="6"/>
        <v>201.21832267165854</v>
      </c>
      <c r="E19" s="139">
        <f t="shared" si="6"/>
        <v>201.21832267165854</v>
      </c>
      <c r="F19" s="139">
        <f t="shared" si="6"/>
        <v>201.34269480437646</v>
      </c>
      <c r="G19" s="139">
        <f t="shared" si="6"/>
        <v>201.34269480437646</v>
      </c>
      <c r="H19" s="139">
        <f t="shared" si="6"/>
        <v>201.34269480437646</v>
      </c>
      <c r="I19" s="139">
        <f t="shared" si="6"/>
        <v>201.34269480437646</v>
      </c>
      <c r="J19" s="138">
        <f t="shared" ref="J19:Q19" si="7">SUM(J14:J18)</f>
        <v>197.15949619056164</v>
      </c>
      <c r="K19" s="138">
        <f t="shared" si="7"/>
        <v>197.15949619056164</v>
      </c>
      <c r="L19" s="138">
        <f t="shared" si="7"/>
        <v>197.15949619056164</v>
      </c>
      <c r="M19" s="138">
        <f t="shared" si="7"/>
        <v>197.15949619056164</v>
      </c>
      <c r="N19" s="138">
        <f t="shared" si="7"/>
        <v>197.15949619056164</v>
      </c>
      <c r="O19" s="138">
        <f t="shared" si="7"/>
        <v>197.15949619056164</v>
      </c>
      <c r="P19" s="138">
        <f t="shared" si="7"/>
        <v>197.15949619056164</v>
      </c>
      <c r="Q19" s="138">
        <f t="shared" si="7"/>
        <v>197.15949619056164</v>
      </c>
      <c r="R19" s="140">
        <f>SUM(B19:Q19)</f>
        <v>3193.561772741436</v>
      </c>
      <c r="S19" s="106"/>
      <c r="T19" s="53"/>
    </row>
    <row r="20" spans="1:20" s="46" customFormat="1" ht="13.5" thickBot="1" x14ac:dyDescent="0.35">
      <c r="A20" s="68"/>
      <c r="B20" s="105"/>
      <c r="C20" s="105"/>
      <c r="D20" s="105"/>
      <c r="E20" s="105"/>
      <c r="F20" s="105"/>
      <c r="G20" s="105"/>
      <c r="H20" s="105"/>
      <c r="I20" s="105"/>
      <c r="J20" s="105"/>
      <c r="K20" s="105"/>
      <c r="L20" s="105"/>
      <c r="M20" s="105"/>
      <c r="N20" s="105"/>
      <c r="O20" s="105"/>
      <c r="P20" s="105"/>
      <c r="Q20" s="105"/>
      <c r="R20" s="105"/>
      <c r="S20" s="106"/>
      <c r="T20" s="106"/>
    </row>
    <row r="21" spans="1:20" s="46" customFormat="1" x14ac:dyDescent="0.3">
      <c r="A21" s="210" t="s">
        <v>26</v>
      </c>
      <c r="B21" s="194" t="s">
        <v>129</v>
      </c>
      <c r="C21" s="195"/>
      <c r="D21" s="195"/>
      <c r="E21" s="195"/>
      <c r="F21" s="195"/>
      <c r="G21" s="195"/>
      <c r="H21" s="195"/>
      <c r="I21" s="195"/>
      <c r="J21" s="195"/>
      <c r="K21" s="195"/>
      <c r="L21" s="195"/>
      <c r="M21" s="195"/>
      <c r="N21" s="195"/>
      <c r="O21" s="195"/>
      <c r="P21" s="195"/>
      <c r="Q21" s="195"/>
      <c r="R21" s="196"/>
      <c r="S21" s="110"/>
      <c r="T21" s="110"/>
    </row>
    <row r="22" spans="1:20" s="46" customFormat="1" ht="13" x14ac:dyDescent="0.3">
      <c r="A22" s="211"/>
      <c r="B22" s="99" t="s">
        <v>13</v>
      </c>
      <c r="C22" s="99" t="s">
        <v>14</v>
      </c>
      <c r="D22" s="99" t="s">
        <v>15</v>
      </c>
      <c r="E22" s="99" t="s">
        <v>16</v>
      </c>
      <c r="F22" s="99" t="s">
        <v>17</v>
      </c>
      <c r="G22" s="99" t="s">
        <v>18</v>
      </c>
      <c r="H22" s="99" t="s">
        <v>19</v>
      </c>
      <c r="I22" s="99" t="s">
        <v>20</v>
      </c>
      <c r="J22" s="99" t="s">
        <v>95</v>
      </c>
      <c r="K22" s="99" t="s">
        <v>96</v>
      </c>
      <c r="L22" s="99" t="s">
        <v>97</v>
      </c>
      <c r="M22" s="99" t="s">
        <v>98</v>
      </c>
      <c r="N22" s="99" t="s">
        <v>99</v>
      </c>
      <c r="O22" s="99" t="s">
        <v>100</v>
      </c>
      <c r="P22" s="99" t="s">
        <v>101</v>
      </c>
      <c r="Q22" s="99" t="s">
        <v>102</v>
      </c>
      <c r="R22" s="134" t="s">
        <v>27</v>
      </c>
      <c r="S22" s="109"/>
      <c r="T22" s="53"/>
    </row>
    <row r="23" spans="1:20" s="46" customFormat="1" ht="26.15" customHeight="1" x14ac:dyDescent="0.3">
      <c r="A23" s="135" t="s">
        <v>12</v>
      </c>
      <c r="B23" s="100">
        <f t="shared" ref="B23:E24" si="8">B14*0.2</f>
        <v>0.78941573430357592</v>
      </c>
      <c r="C23" s="100">
        <f t="shared" si="8"/>
        <v>0.78941573430357592</v>
      </c>
      <c r="D23" s="100">
        <f t="shared" si="8"/>
        <v>0.78941573430357592</v>
      </c>
      <c r="E23" s="100">
        <f t="shared" si="8"/>
        <v>0.78941573430357592</v>
      </c>
      <c r="F23" s="177">
        <f>F14*0.2</f>
        <v>0.81429016084716277</v>
      </c>
      <c r="G23" s="177">
        <f t="shared" ref="F23:I24" si="9">G14*0.2</f>
        <v>0.81429016084716277</v>
      </c>
      <c r="H23" s="177">
        <f t="shared" si="9"/>
        <v>0.81429016084716277</v>
      </c>
      <c r="I23" s="177">
        <f t="shared" si="9"/>
        <v>0.81429016084716277</v>
      </c>
      <c r="J23" s="207" t="str">
        <f>J14</f>
        <v>N/A</v>
      </c>
      <c r="K23" s="208"/>
      <c r="L23" s="208"/>
      <c r="M23" s="208"/>
      <c r="N23" s="208"/>
      <c r="O23" s="208"/>
      <c r="P23" s="208"/>
      <c r="Q23" s="209"/>
      <c r="R23" s="92">
        <f t="shared" ref="R23:R28" si="10">SUM(B23:Q23)</f>
        <v>6.4148235806029552</v>
      </c>
      <c r="S23" s="106"/>
      <c r="T23" s="53"/>
    </row>
    <row r="24" spans="1:20" s="46" customFormat="1" ht="13" x14ac:dyDescent="0.3">
      <c r="A24" s="135" t="s">
        <v>10</v>
      </c>
      <c r="B24" s="100">
        <f t="shared" si="8"/>
        <v>18.004441406651424</v>
      </c>
      <c r="C24" s="100">
        <f t="shared" si="8"/>
        <v>18.004441406651424</v>
      </c>
      <c r="D24" s="100">
        <f t="shared" si="8"/>
        <v>18.004441406651424</v>
      </c>
      <c r="E24" s="100">
        <f t="shared" si="8"/>
        <v>18.004441406651424</v>
      </c>
      <c r="F24" s="100">
        <f t="shared" si="9"/>
        <v>18.004441406651424</v>
      </c>
      <c r="G24" s="100">
        <f t="shared" si="9"/>
        <v>18.004441406651424</v>
      </c>
      <c r="H24" s="100">
        <f t="shared" si="9"/>
        <v>18.004441406651424</v>
      </c>
      <c r="I24" s="100">
        <f t="shared" si="9"/>
        <v>18.004441406651424</v>
      </c>
      <c r="J24" s="96">
        <f t="shared" ref="J24:M24" si="11">J15*0.2</f>
        <v>18.093138015681472</v>
      </c>
      <c r="K24" s="96">
        <f t="shared" si="11"/>
        <v>18.093138015681472</v>
      </c>
      <c r="L24" s="96">
        <f t="shared" si="11"/>
        <v>18.093138015681472</v>
      </c>
      <c r="M24" s="96">
        <f t="shared" si="11"/>
        <v>18.093138015681472</v>
      </c>
      <c r="N24" s="96">
        <f>N15*0.2</f>
        <v>18.093138015681472</v>
      </c>
      <c r="O24" s="96">
        <f>O15*0.2</f>
        <v>18.093138015681472</v>
      </c>
      <c r="P24" s="96">
        <f>P15*0.2</f>
        <v>18.093138015681472</v>
      </c>
      <c r="Q24" s="96">
        <f>Q15*0.2</f>
        <v>18.093138015681472</v>
      </c>
      <c r="R24" s="92">
        <f t="shared" si="10"/>
        <v>288.78063537866308</v>
      </c>
      <c r="S24" s="106"/>
      <c r="T24" s="53"/>
    </row>
    <row r="25" spans="1:20" s="46" customFormat="1" ht="26.15" customHeight="1" x14ac:dyDescent="0.3">
      <c r="A25" s="135" t="s">
        <v>11</v>
      </c>
      <c r="B25" s="100">
        <f t="shared" ref="B25:C27" si="12">B16*0.2</f>
        <v>0.60417333128031947</v>
      </c>
      <c r="C25" s="100">
        <f t="shared" si="12"/>
        <v>0.60417333128031947</v>
      </c>
      <c r="D25" s="97" t="s">
        <v>24</v>
      </c>
      <c r="E25" s="97" t="s">
        <v>24</v>
      </c>
      <c r="F25" s="97" t="s">
        <v>24</v>
      </c>
      <c r="G25" s="97" t="s">
        <v>24</v>
      </c>
      <c r="H25" s="97" t="s">
        <v>24</v>
      </c>
      <c r="I25" s="97" t="s">
        <v>24</v>
      </c>
      <c r="J25" s="184" t="str">
        <f>J16</f>
        <v>Pending National Grid input</v>
      </c>
      <c r="K25" s="185"/>
      <c r="L25" s="185"/>
      <c r="M25" s="185"/>
      <c r="N25" s="185"/>
      <c r="O25" s="185"/>
      <c r="P25" s="185"/>
      <c r="Q25" s="186"/>
      <c r="R25" s="92">
        <f t="shared" si="10"/>
        <v>1.2083466625606389</v>
      </c>
      <c r="S25" s="106"/>
      <c r="T25" s="53"/>
    </row>
    <row r="26" spans="1:20" s="46" customFormat="1" ht="13" x14ac:dyDescent="0.3">
      <c r="A26" s="135" t="s">
        <v>61</v>
      </c>
      <c r="B26" s="100">
        <f t="shared" si="12"/>
        <v>18.30275207432366</v>
      </c>
      <c r="C26" s="100">
        <f t="shared" si="12"/>
        <v>18.30275207432366</v>
      </c>
      <c r="D26" s="100">
        <f t="shared" ref="D26:I27" si="13">D17*0.2</f>
        <v>18.30275207432366</v>
      </c>
      <c r="E26" s="100">
        <f t="shared" si="13"/>
        <v>18.30275207432366</v>
      </c>
      <c r="F26" s="100">
        <f t="shared" si="13"/>
        <v>18.30275207432366</v>
      </c>
      <c r="G26" s="100">
        <f t="shared" si="13"/>
        <v>18.30275207432366</v>
      </c>
      <c r="H26" s="100">
        <f t="shared" si="13"/>
        <v>18.30275207432366</v>
      </c>
      <c r="I26" s="100">
        <f t="shared" si="13"/>
        <v>18.30275207432366</v>
      </c>
      <c r="J26" s="190">
        <f>J17*0.2</f>
        <v>21.338761222430861</v>
      </c>
      <c r="K26" s="190">
        <f>K17*0.2</f>
        <v>21.338761222430861</v>
      </c>
      <c r="L26" s="190">
        <f t="shared" ref="L26:Q26" si="14">L17*0.2</f>
        <v>21.338761222430861</v>
      </c>
      <c r="M26" s="190">
        <f t="shared" si="14"/>
        <v>21.338761222430861</v>
      </c>
      <c r="N26" s="190">
        <f t="shared" si="14"/>
        <v>21.338761222430861</v>
      </c>
      <c r="O26" s="190">
        <f t="shared" si="14"/>
        <v>21.338761222430861</v>
      </c>
      <c r="P26" s="190">
        <f t="shared" si="14"/>
        <v>21.338761222430861</v>
      </c>
      <c r="Q26" s="190">
        <f t="shared" si="14"/>
        <v>21.338761222430861</v>
      </c>
      <c r="R26" s="92">
        <f t="shared" si="10"/>
        <v>317.1321063740362</v>
      </c>
      <c r="S26" s="192"/>
      <c r="T26" s="53"/>
    </row>
    <row r="27" spans="1:20" s="46" customFormat="1" ht="13" x14ac:dyDescent="0.3">
      <c r="A27" s="135" t="s">
        <v>62</v>
      </c>
      <c r="B27" s="100">
        <f t="shared" si="12"/>
        <v>3.147055319053051</v>
      </c>
      <c r="C27" s="100">
        <f t="shared" si="12"/>
        <v>3.147055319053051</v>
      </c>
      <c r="D27" s="100">
        <f t="shared" si="13"/>
        <v>3.147055319053051</v>
      </c>
      <c r="E27" s="100">
        <f t="shared" si="13"/>
        <v>3.147055319053051</v>
      </c>
      <c r="F27" s="100">
        <f t="shared" si="13"/>
        <v>3.147055319053051</v>
      </c>
      <c r="G27" s="100">
        <f t="shared" si="13"/>
        <v>3.147055319053051</v>
      </c>
      <c r="H27" s="100">
        <f t="shared" si="13"/>
        <v>3.147055319053051</v>
      </c>
      <c r="I27" s="100">
        <f t="shared" si="13"/>
        <v>3.147055319053051</v>
      </c>
      <c r="J27" s="191"/>
      <c r="K27" s="191"/>
      <c r="L27" s="191"/>
      <c r="M27" s="191"/>
      <c r="N27" s="191"/>
      <c r="O27" s="191"/>
      <c r="P27" s="191"/>
      <c r="Q27" s="191"/>
      <c r="R27" s="92">
        <f t="shared" si="10"/>
        <v>25.176442552424412</v>
      </c>
      <c r="S27" s="193"/>
      <c r="T27" s="53"/>
    </row>
    <row r="28" spans="1:20" s="46" customFormat="1" ht="13.5" thickBot="1" x14ac:dyDescent="0.35">
      <c r="A28" s="137" t="s">
        <v>54</v>
      </c>
      <c r="B28" s="138">
        <f>SUM(B23:B27)</f>
        <v>40.847837865612028</v>
      </c>
      <c r="C28" s="139">
        <f>SUM(C23:C27)</f>
        <v>40.847837865612028</v>
      </c>
      <c r="D28" s="139">
        <f t="shared" ref="D28:I28" si="15">SUM(D23:D27)</f>
        <v>40.243664534331714</v>
      </c>
      <c r="E28" s="139">
        <f t="shared" si="15"/>
        <v>40.243664534331714</v>
      </c>
      <c r="F28" s="139">
        <f t="shared" si="15"/>
        <v>40.268538960875297</v>
      </c>
      <c r="G28" s="139">
        <f t="shared" si="15"/>
        <v>40.268538960875297</v>
      </c>
      <c r="H28" s="139">
        <f t="shared" si="15"/>
        <v>40.268538960875297</v>
      </c>
      <c r="I28" s="139">
        <f t="shared" si="15"/>
        <v>40.268538960875297</v>
      </c>
      <c r="J28" s="138">
        <f t="shared" ref="J28:Q28" si="16">SUM(J23:J27)</f>
        <v>39.431899238112337</v>
      </c>
      <c r="K28" s="138">
        <f t="shared" si="16"/>
        <v>39.431899238112337</v>
      </c>
      <c r="L28" s="138">
        <f t="shared" si="16"/>
        <v>39.431899238112337</v>
      </c>
      <c r="M28" s="138">
        <f t="shared" si="16"/>
        <v>39.431899238112337</v>
      </c>
      <c r="N28" s="138">
        <f t="shared" si="16"/>
        <v>39.431899238112337</v>
      </c>
      <c r="O28" s="138">
        <f t="shared" si="16"/>
        <v>39.431899238112337</v>
      </c>
      <c r="P28" s="138">
        <f t="shared" si="16"/>
        <v>39.431899238112337</v>
      </c>
      <c r="Q28" s="138">
        <f t="shared" si="16"/>
        <v>39.431899238112337</v>
      </c>
      <c r="R28" s="140">
        <f t="shared" si="10"/>
        <v>638.71235454828741</v>
      </c>
      <c r="S28" s="106"/>
      <c r="T28" s="53"/>
    </row>
    <row r="29" spans="1:20" s="46" customFormat="1" ht="13.5" thickBot="1" x14ac:dyDescent="0.35">
      <c r="S29" s="53"/>
      <c r="T29" s="53"/>
    </row>
    <row r="30" spans="1:20" s="46" customFormat="1" x14ac:dyDescent="0.3">
      <c r="A30" s="210" t="s">
        <v>26</v>
      </c>
      <c r="B30" s="194" t="s">
        <v>150</v>
      </c>
      <c r="C30" s="195"/>
      <c r="D30" s="195"/>
      <c r="E30" s="195"/>
      <c r="F30" s="195"/>
      <c r="G30" s="195"/>
      <c r="H30" s="195"/>
      <c r="I30" s="195"/>
      <c r="J30" s="195"/>
      <c r="K30" s="195"/>
      <c r="L30" s="195"/>
      <c r="M30" s="195"/>
      <c r="N30" s="195"/>
      <c r="O30" s="195"/>
      <c r="P30" s="195"/>
      <c r="Q30" s="195"/>
      <c r="R30" s="196"/>
      <c r="S30" s="110"/>
      <c r="T30" s="110"/>
    </row>
    <row r="31" spans="1:20" s="46" customFormat="1" ht="13" x14ac:dyDescent="0.3">
      <c r="A31" s="211"/>
      <c r="B31" s="99" t="s">
        <v>13</v>
      </c>
      <c r="C31" s="99" t="s">
        <v>14</v>
      </c>
      <c r="D31" s="99" t="s">
        <v>15</v>
      </c>
      <c r="E31" s="99" t="s">
        <v>16</v>
      </c>
      <c r="F31" s="99" t="s">
        <v>17</v>
      </c>
      <c r="G31" s="99" t="s">
        <v>18</v>
      </c>
      <c r="H31" s="99" t="s">
        <v>19</v>
      </c>
      <c r="I31" s="99" t="s">
        <v>20</v>
      </c>
      <c r="J31" s="99" t="s">
        <v>95</v>
      </c>
      <c r="K31" s="99" t="s">
        <v>96</v>
      </c>
      <c r="L31" s="99" t="s">
        <v>97</v>
      </c>
      <c r="M31" s="99" t="s">
        <v>98</v>
      </c>
      <c r="N31" s="99" t="s">
        <v>99</v>
      </c>
      <c r="O31" s="99" t="s">
        <v>100</v>
      </c>
      <c r="P31" s="99" t="s">
        <v>101</v>
      </c>
      <c r="Q31" s="99" t="s">
        <v>102</v>
      </c>
      <c r="R31" s="134" t="s">
        <v>27</v>
      </c>
      <c r="S31" s="109"/>
      <c r="T31" s="53"/>
    </row>
    <row r="32" spans="1:20" s="46" customFormat="1" ht="26.15" customHeight="1" x14ac:dyDescent="0.3">
      <c r="A32" s="135" t="s">
        <v>12</v>
      </c>
      <c r="B32" s="97" t="s">
        <v>24</v>
      </c>
      <c r="C32" s="97" t="s">
        <v>24</v>
      </c>
      <c r="D32" s="97" t="s">
        <v>24</v>
      </c>
      <c r="E32" s="97" t="s">
        <v>24</v>
      </c>
      <c r="F32" s="177">
        <f>F14*0.2</f>
        <v>0.81429016084716277</v>
      </c>
      <c r="G32" s="177">
        <f>G14*0.2</f>
        <v>0.81429016084716277</v>
      </c>
      <c r="H32" s="177">
        <f>H14*0.2</f>
        <v>0.81429016084716277</v>
      </c>
      <c r="I32" s="177">
        <f>I14*0.2</f>
        <v>0.81429016084716277</v>
      </c>
      <c r="J32" s="184" t="str">
        <f>J23</f>
        <v>N/A</v>
      </c>
      <c r="K32" s="185"/>
      <c r="L32" s="185"/>
      <c r="M32" s="185"/>
      <c r="N32" s="185"/>
      <c r="O32" s="185"/>
      <c r="P32" s="185"/>
      <c r="Q32" s="186"/>
      <c r="R32" s="92">
        <f t="shared" ref="R32:R37" si="17">SUM(B32:Q32)</f>
        <v>3.2571606433886511</v>
      </c>
      <c r="S32" s="106"/>
      <c r="T32" s="53"/>
    </row>
    <row r="33" spans="1:21" s="46" customFormat="1" ht="13" x14ac:dyDescent="0.3">
      <c r="A33" s="135" t="s">
        <v>10</v>
      </c>
      <c r="B33" s="97" t="s">
        <v>24</v>
      </c>
      <c r="C33" s="97" t="s">
        <v>24</v>
      </c>
      <c r="D33" s="97" t="s">
        <v>24</v>
      </c>
      <c r="E33" s="97" t="s">
        <v>24</v>
      </c>
      <c r="F33" s="97" t="s">
        <v>24</v>
      </c>
      <c r="G33" s="97" t="s">
        <v>24</v>
      </c>
      <c r="H33" s="97" t="s">
        <v>24</v>
      </c>
      <c r="I33" s="97" t="s">
        <v>24</v>
      </c>
      <c r="J33" s="96">
        <f t="shared" ref="J33:M33" si="18">J15*0.2</f>
        <v>18.093138015681472</v>
      </c>
      <c r="K33" s="96">
        <f t="shared" si="18"/>
        <v>18.093138015681472</v>
      </c>
      <c r="L33" s="96">
        <f t="shared" si="18"/>
        <v>18.093138015681472</v>
      </c>
      <c r="M33" s="96">
        <f t="shared" si="18"/>
        <v>18.093138015681472</v>
      </c>
      <c r="N33" s="96">
        <f>N15*0.2</f>
        <v>18.093138015681472</v>
      </c>
      <c r="O33" s="96">
        <f>O15*0.2</f>
        <v>18.093138015681472</v>
      </c>
      <c r="P33" s="96">
        <f>P15*0.2</f>
        <v>18.093138015681472</v>
      </c>
      <c r="Q33" s="96">
        <f>Q15*0.2</f>
        <v>18.093138015681472</v>
      </c>
      <c r="R33" s="92">
        <f t="shared" si="17"/>
        <v>144.74510412545177</v>
      </c>
      <c r="S33" s="106"/>
      <c r="T33" s="53"/>
    </row>
    <row r="34" spans="1:21" s="46" customFormat="1" ht="26.15" customHeight="1" x14ac:dyDescent="0.3">
      <c r="A34" s="135" t="s">
        <v>11</v>
      </c>
      <c r="B34" s="97" t="s">
        <v>24</v>
      </c>
      <c r="C34" s="100">
        <f>C16*0.2</f>
        <v>0.60417333128031947</v>
      </c>
      <c r="D34" s="97" t="s">
        <v>24</v>
      </c>
      <c r="E34" s="97" t="s">
        <v>24</v>
      </c>
      <c r="F34" s="97" t="s">
        <v>24</v>
      </c>
      <c r="G34" s="97" t="s">
        <v>24</v>
      </c>
      <c r="H34" s="97" t="s">
        <v>24</v>
      </c>
      <c r="I34" s="97" t="s">
        <v>24</v>
      </c>
      <c r="J34" s="184" t="str">
        <f>J25</f>
        <v>Pending National Grid input</v>
      </c>
      <c r="K34" s="185"/>
      <c r="L34" s="185"/>
      <c r="M34" s="185"/>
      <c r="N34" s="185"/>
      <c r="O34" s="185"/>
      <c r="P34" s="185"/>
      <c r="Q34" s="186"/>
      <c r="R34" s="92">
        <f t="shared" si="17"/>
        <v>0.60417333128031947</v>
      </c>
      <c r="S34" s="106"/>
      <c r="T34" s="53"/>
    </row>
    <row r="35" spans="1:21" s="46" customFormat="1" ht="13" x14ac:dyDescent="0.3">
      <c r="A35" s="135" t="s">
        <v>61</v>
      </c>
      <c r="B35" s="97" t="s">
        <v>24</v>
      </c>
      <c r="C35" s="97" t="s">
        <v>24</v>
      </c>
      <c r="D35" s="97" t="s">
        <v>24</v>
      </c>
      <c r="E35" s="100">
        <f t="shared" ref="E35:K35" si="19">E17*0.2</f>
        <v>18.30275207432366</v>
      </c>
      <c r="F35" s="100">
        <f t="shared" si="19"/>
        <v>18.30275207432366</v>
      </c>
      <c r="G35" s="100">
        <f t="shared" si="19"/>
        <v>18.30275207432366</v>
      </c>
      <c r="H35" s="100">
        <f t="shared" si="19"/>
        <v>18.30275207432366</v>
      </c>
      <c r="I35" s="100">
        <f t="shared" si="19"/>
        <v>18.30275207432366</v>
      </c>
      <c r="J35" s="190">
        <f t="shared" si="19"/>
        <v>21.338761222430861</v>
      </c>
      <c r="K35" s="190">
        <f t="shared" si="19"/>
        <v>21.338761222430861</v>
      </c>
      <c r="L35" s="190">
        <f t="shared" ref="L35:Q35" si="20">L17*0.2</f>
        <v>21.338761222430861</v>
      </c>
      <c r="M35" s="190">
        <f t="shared" si="20"/>
        <v>21.338761222430861</v>
      </c>
      <c r="N35" s="190">
        <f t="shared" si="20"/>
        <v>21.338761222430861</v>
      </c>
      <c r="O35" s="190">
        <f t="shared" si="20"/>
        <v>21.338761222430861</v>
      </c>
      <c r="P35" s="190">
        <f t="shared" si="20"/>
        <v>21.338761222430861</v>
      </c>
      <c r="Q35" s="190">
        <f t="shared" si="20"/>
        <v>21.338761222430861</v>
      </c>
      <c r="R35" s="200">
        <f t="shared" si="17"/>
        <v>262.22385015106522</v>
      </c>
      <c r="S35" s="192"/>
      <c r="T35" s="53"/>
    </row>
    <row r="36" spans="1:21" s="46" customFormat="1" ht="13" x14ac:dyDescent="0.3">
      <c r="A36" s="135" t="s">
        <v>62</v>
      </c>
      <c r="B36" s="97" t="s">
        <v>24</v>
      </c>
      <c r="C36" s="97" t="s">
        <v>24</v>
      </c>
      <c r="D36" s="97" t="s">
        <v>24</v>
      </c>
      <c r="E36" s="97" t="s">
        <v>24</v>
      </c>
      <c r="F36" s="97" t="s">
        <v>24</v>
      </c>
      <c r="G36" s="97" t="s">
        <v>24</v>
      </c>
      <c r="H36" s="97" t="s">
        <v>24</v>
      </c>
      <c r="I36" s="97" t="s">
        <v>24</v>
      </c>
      <c r="J36" s="191"/>
      <c r="K36" s="191"/>
      <c r="L36" s="191"/>
      <c r="M36" s="191"/>
      <c r="N36" s="191"/>
      <c r="O36" s="191"/>
      <c r="P36" s="191"/>
      <c r="Q36" s="191"/>
      <c r="R36" s="201"/>
      <c r="S36" s="193"/>
      <c r="T36" s="53"/>
    </row>
    <row r="37" spans="1:21" s="46" customFormat="1" ht="13.5" thickBot="1" x14ac:dyDescent="0.35">
      <c r="A37" s="137" t="s">
        <v>54</v>
      </c>
      <c r="B37" s="138">
        <v>0</v>
      </c>
      <c r="C37" s="138">
        <f>C34</f>
        <v>0.60417333128031947</v>
      </c>
      <c r="D37" s="138">
        <v>0</v>
      </c>
      <c r="E37" s="139">
        <f>E35</f>
        <v>18.30275207432366</v>
      </c>
      <c r="F37" s="178">
        <f>F32+F35</f>
        <v>19.117042235170821</v>
      </c>
      <c r="G37" s="178">
        <f>G32+G35</f>
        <v>19.117042235170821</v>
      </c>
      <c r="H37" s="178">
        <f>H32+H35</f>
        <v>19.117042235170821</v>
      </c>
      <c r="I37" s="178">
        <f>I32+I35</f>
        <v>19.117042235170821</v>
      </c>
      <c r="J37" s="138">
        <f>SUM(J32:J36)</f>
        <v>39.431899238112337</v>
      </c>
      <c r="K37" s="138">
        <f t="shared" ref="K37" si="21">SUM(K32:K36)</f>
        <v>39.431899238112337</v>
      </c>
      <c r="L37" s="138">
        <f>SUM(L32:L36)</f>
        <v>39.431899238112337</v>
      </c>
      <c r="M37" s="138">
        <f t="shared" ref="M37" si="22">SUM(M32:M36)</f>
        <v>39.431899238112337</v>
      </c>
      <c r="N37" s="138">
        <f t="shared" ref="N37" si="23">SUM(N32:N36)</f>
        <v>39.431899238112337</v>
      </c>
      <c r="O37" s="138">
        <f t="shared" ref="O37" si="24">SUM(O32:O36)</f>
        <v>39.431899238112337</v>
      </c>
      <c r="P37" s="138">
        <f t="shared" ref="P37" si="25">SUM(P32:P36)</f>
        <v>39.431899238112337</v>
      </c>
      <c r="Q37" s="138">
        <f t="shared" ref="Q37" si="26">SUM(Q32:Q36)</f>
        <v>39.431899238112337</v>
      </c>
      <c r="R37" s="140">
        <f t="shared" si="17"/>
        <v>410.83028825118606</v>
      </c>
      <c r="S37" s="106"/>
      <c r="T37" s="53"/>
    </row>
    <row r="38" spans="1:21" s="46" customFormat="1" ht="13.5" thickBot="1" x14ac:dyDescent="0.35">
      <c r="S38" s="53"/>
      <c r="T38" s="53"/>
    </row>
    <row r="39" spans="1:21" s="46" customFormat="1" x14ac:dyDescent="0.3">
      <c r="A39" s="217" t="s">
        <v>26</v>
      </c>
      <c r="B39" s="219" t="s">
        <v>130</v>
      </c>
      <c r="C39" s="220"/>
      <c r="D39" s="220"/>
      <c r="E39" s="220"/>
      <c r="F39" s="220"/>
      <c r="G39" s="220"/>
      <c r="H39" s="220"/>
      <c r="I39" s="220"/>
      <c r="J39" s="220"/>
      <c r="K39" s="220"/>
      <c r="L39" s="220"/>
      <c r="M39" s="220"/>
      <c r="N39" s="220"/>
      <c r="O39" s="220"/>
      <c r="P39" s="220"/>
      <c r="Q39" s="220"/>
      <c r="R39" s="221"/>
      <c r="S39" s="111"/>
      <c r="T39" s="111"/>
    </row>
    <row r="40" spans="1:21" s="46" customFormat="1" ht="13" x14ac:dyDescent="0.3">
      <c r="A40" s="218"/>
      <c r="B40" s="99" t="s">
        <v>13</v>
      </c>
      <c r="C40" s="99" t="s">
        <v>14</v>
      </c>
      <c r="D40" s="99" t="s">
        <v>15</v>
      </c>
      <c r="E40" s="99" t="s">
        <v>16</v>
      </c>
      <c r="F40" s="99" t="s">
        <v>17</v>
      </c>
      <c r="G40" s="99" t="s">
        <v>18</v>
      </c>
      <c r="H40" s="99" t="s">
        <v>19</v>
      </c>
      <c r="I40" s="99" t="s">
        <v>20</v>
      </c>
      <c r="J40" s="99" t="s">
        <v>95</v>
      </c>
      <c r="K40" s="99" t="s">
        <v>96</v>
      </c>
      <c r="L40" s="99" t="s">
        <v>97</v>
      </c>
      <c r="M40" s="99" t="s">
        <v>98</v>
      </c>
      <c r="N40" s="99" t="s">
        <v>99</v>
      </c>
      <c r="O40" s="99" t="s">
        <v>100</v>
      </c>
      <c r="P40" s="99" t="s">
        <v>101</v>
      </c>
      <c r="Q40" s="108" t="s">
        <v>102</v>
      </c>
      <c r="R40" s="134" t="s">
        <v>27</v>
      </c>
      <c r="S40" s="109"/>
      <c r="T40" s="53"/>
    </row>
    <row r="41" spans="1:21" s="46" customFormat="1" ht="26.15" customHeight="1" x14ac:dyDescent="0.3">
      <c r="A41" s="135" t="s">
        <v>12</v>
      </c>
      <c r="B41" s="97" t="s">
        <v>24</v>
      </c>
      <c r="C41" s="97" t="s">
        <v>24</v>
      </c>
      <c r="D41" s="97" t="s">
        <v>24</v>
      </c>
      <c r="E41" s="97" t="s">
        <v>24</v>
      </c>
      <c r="F41" s="177">
        <f>F14*0.05</f>
        <v>0.20357254021179069</v>
      </c>
      <c r="G41" s="177">
        <f>G14*0.05</f>
        <v>0.20357254021179069</v>
      </c>
      <c r="H41" s="177">
        <f>H14*0.05</f>
        <v>0.20357254021179069</v>
      </c>
      <c r="I41" s="177">
        <f>I14*0.05</f>
        <v>0.20357254021179069</v>
      </c>
      <c r="J41" s="184" t="str">
        <f>J32</f>
        <v>N/A</v>
      </c>
      <c r="K41" s="185"/>
      <c r="L41" s="185"/>
      <c r="M41" s="185"/>
      <c r="N41" s="185"/>
      <c r="O41" s="185"/>
      <c r="P41" s="185"/>
      <c r="Q41" s="186"/>
      <c r="R41" s="92">
        <f t="shared" ref="R41:R46" si="27">SUM(B41:Q41)</f>
        <v>0.81429016084716277</v>
      </c>
      <c r="S41" s="106"/>
      <c r="T41" s="53"/>
    </row>
    <row r="42" spans="1:21" s="46" customFormat="1" ht="13" x14ac:dyDescent="0.3">
      <c r="A42" s="135" t="s">
        <v>10</v>
      </c>
      <c r="B42" s="97" t="s">
        <v>24</v>
      </c>
      <c r="C42" s="97" t="s">
        <v>24</v>
      </c>
      <c r="D42" s="97" t="s">
        <v>24</v>
      </c>
      <c r="E42" s="97" t="s">
        <v>24</v>
      </c>
      <c r="F42" s="97" t="s">
        <v>24</v>
      </c>
      <c r="G42" s="97" t="s">
        <v>24</v>
      </c>
      <c r="H42" s="97" t="s">
        <v>24</v>
      </c>
      <c r="I42" s="97" t="s">
        <v>24</v>
      </c>
      <c r="J42" s="96">
        <f t="shared" ref="J42:M42" si="28">J15*0.05</f>
        <v>4.523284503920368</v>
      </c>
      <c r="K42" s="96">
        <f t="shared" si="28"/>
        <v>4.523284503920368</v>
      </c>
      <c r="L42" s="96">
        <f t="shared" si="28"/>
        <v>4.523284503920368</v>
      </c>
      <c r="M42" s="96">
        <f t="shared" si="28"/>
        <v>4.523284503920368</v>
      </c>
      <c r="N42" s="96">
        <f>N15*0.05</f>
        <v>4.523284503920368</v>
      </c>
      <c r="O42" s="96">
        <f>O15*0.05</f>
        <v>4.523284503920368</v>
      </c>
      <c r="P42" s="96">
        <f>P15*0.05</f>
        <v>4.523284503920368</v>
      </c>
      <c r="Q42" s="133">
        <f>Q15*0.05</f>
        <v>4.523284503920368</v>
      </c>
      <c r="R42" s="92">
        <f t="shared" si="27"/>
        <v>36.186276031362944</v>
      </c>
      <c r="S42" s="106"/>
      <c r="T42" s="53"/>
    </row>
    <row r="43" spans="1:21" s="46" customFormat="1" ht="26.15" customHeight="1" x14ac:dyDescent="0.3">
      <c r="A43" s="135" t="s">
        <v>11</v>
      </c>
      <c r="B43" s="97" t="s">
        <v>24</v>
      </c>
      <c r="C43" s="100">
        <f>C16*0.05</f>
        <v>0.15104333282007987</v>
      </c>
      <c r="D43" s="97" t="s">
        <v>24</v>
      </c>
      <c r="E43" s="97" t="s">
        <v>24</v>
      </c>
      <c r="F43" s="97" t="s">
        <v>24</v>
      </c>
      <c r="G43" s="97" t="s">
        <v>24</v>
      </c>
      <c r="H43" s="97" t="s">
        <v>24</v>
      </c>
      <c r="I43" s="97" t="s">
        <v>24</v>
      </c>
      <c r="J43" s="184" t="str">
        <f>J34</f>
        <v>Pending National Grid input</v>
      </c>
      <c r="K43" s="185"/>
      <c r="L43" s="185"/>
      <c r="M43" s="185"/>
      <c r="N43" s="185"/>
      <c r="O43" s="185"/>
      <c r="P43" s="185"/>
      <c r="Q43" s="186"/>
      <c r="R43" s="92">
        <f t="shared" si="27"/>
        <v>0.15104333282007987</v>
      </c>
      <c r="S43" s="106"/>
      <c r="T43" s="53"/>
    </row>
    <row r="44" spans="1:21" s="46" customFormat="1" ht="13" x14ac:dyDescent="0.3">
      <c r="A44" s="135" t="s">
        <v>61</v>
      </c>
      <c r="B44" s="97" t="s">
        <v>24</v>
      </c>
      <c r="C44" s="97" t="s">
        <v>24</v>
      </c>
      <c r="D44" s="97" t="s">
        <v>24</v>
      </c>
      <c r="E44" s="100">
        <f t="shared" ref="E44:K44" si="29">E17*0.05</f>
        <v>4.575688018580915</v>
      </c>
      <c r="F44" s="100">
        <f t="shared" si="29"/>
        <v>4.575688018580915</v>
      </c>
      <c r="G44" s="100">
        <f t="shared" si="29"/>
        <v>4.575688018580915</v>
      </c>
      <c r="H44" s="100">
        <f t="shared" si="29"/>
        <v>4.575688018580915</v>
      </c>
      <c r="I44" s="100">
        <f t="shared" si="29"/>
        <v>4.575688018580915</v>
      </c>
      <c r="J44" s="190">
        <f t="shared" si="29"/>
        <v>5.3346903056077153</v>
      </c>
      <c r="K44" s="190">
        <f t="shared" si="29"/>
        <v>5.3346903056077153</v>
      </c>
      <c r="L44" s="190">
        <f t="shared" ref="L44:Q44" si="30">L17*0.05</f>
        <v>5.3346903056077153</v>
      </c>
      <c r="M44" s="190">
        <f t="shared" si="30"/>
        <v>5.3346903056077153</v>
      </c>
      <c r="N44" s="190">
        <f t="shared" si="30"/>
        <v>5.3346903056077153</v>
      </c>
      <c r="O44" s="190">
        <f t="shared" si="30"/>
        <v>5.3346903056077153</v>
      </c>
      <c r="P44" s="190">
        <f t="shared" si="30"/>
        <v>5.3346903056077153</v>
      </c>
      <c r="Q44" s="215">
        <f t="shared" si="30"/>
        <v>5.3346903056077153</v>
      </c>
      <c r="R44" s="200">
        <f t="shared" si="27"/>
        <v>65.555962537766305</v>
      </c>
      <c r="S44" s="192"/>
      <c r="T44" s="53"/>
      <c r="U44" s="53"/>
    </row>
    <row r="45" spans="1:21" s="46" customFormat="1" ht="13" x14ac:dyDescent="0.3">
      <c r="A45" s="135" t="s">
        <v>62</v>
      </c>
      <c r="B45" s="97" t="s">
        <v>24</v>
      </c>
      <c r="C45" s="97" t="s">
        <v>24</v>
      </c>
      <c r="D45" s="97" t="s">
        <v>24</v>
      </c>
      <c r="E45" s="97" t="s">
        <v>24</v>
      </c>
      <c r="F45" s="97" t="s">
        <v>24</v>
      </c>
      <c r="G45" s="97" t="s">
        <v>24</v>
      </c>
      <c r="H45" s="97" t="s">
        <v>24</v>
      </c>
      <c r="I45" s="97" t="s">
        <v>24</v>
      </c>
      <c r="J45" s="191"/>
      <c r="K45" s="191"/>
      <c r="L45" s="191"/>
      <c r="M45" s="191"/>
      <c r="N45" s="191"/>
      <c r="O45" s="191"/>
      <c r="P45" s="191"/>
      <c r="Q45" s="216"/>
      <c r="R45" s="201"/>
      <c r="S45" s="193"/>
      <c r="T45" s="53"/>
      <c r="U45" s="53"/>
    </row>
    <row r="46" spans="1:21" s="46" customFormat="1" ht="13.5" thickBot="1" x14ac:dyDescent="0.35">
      <c r="A46" s="137" t="s">
        <v>54</v>
      </c>
      <c r="B46" s="138">
        <v>0</v>
      </c>
      <c r="C46" s="138">
        <f>C43</f>
        <v>0.15104333282007987</v>
      </c>
      <c r="D46" s="138">
        <v>0</v>
      </c>
      <c r="E46" s="139">
        <f>E44</f>
        <v>4.575688018580915</v>
      </c>
      <c r="F46" s="178">
        <f>F41+F44</f>
        <v>4.7792605587927053</v>
      </c>
      <c r="G46" s="178">
        <f>G41+G44</f>
        <v>4.7792605587927053</v>
      </c>
      <c r="H46" s="178">
        <f>H41+H44</f>
        <v>4.7792605587927053</v>
      </c>
      <c r="I46" s="178">
        <f>I41+I44</f>
        <v>4.7792605587927053</v>
      </c>
      <c r="J46" s="138">
        <f t="shared" ref="J46" si="31">SUM(J41:J45)</f>
        <v>9.8579748095280841</v>
      </c>
      <c r="K46" s="138">
        <f t="shared" ref="K46" si="32">SUM(K41:K45)</f>
        <v>9.8579748095280841</v>
      </c>
      <c r="L46" s="138">
        <f>SUM(L41:L45)</f>
        <v>9.8579748095280841</v>
      </c>
      <c r="M46" s="138">
        <f t="shared" ref="M46:Q46" si="33">SUM(M41:M45)</f>
        <v>9.8579748095280841</v>
      </c>
      <c r="N46" s="138">
        <f t="shared" si="33"/>
        <v>9.8579748095280841</v>
      </c>
      <c r="O46" s="138">
        <f t="shared" si="33"/>
        <v>9.8579748095280841</v>
      </c>
      <c r="P46" s="138">
        <f t="shared" si="33"/>
        <v>9.8579748095280841</v>
      </c>
      <c r="Q46" s="141">
        <f t="shared" si="33"/>
        <v>9.8579748095280841</v>
      </c>
      <c r="R46" s="140">
        <f t="shared" si="27"/>
        <v>102.70757206279652</v>
      </c>
      <c r="S46" s="106"/>
      <c r="T46" s="53"/>
      <c r="U46" s="53"/>
    </row>
    <row r="47" spans="1:21" s="53" customFormat="1" ht="13.5" thickBot="1" x14ac:dyDescent="0.35">
      <c r="A47" s="68"/>
      <c r="B47" s="105"/>
      <c r="C47" s="105"/>
      <c r="D47" s="105"/>
      <c r="E47" s="106"/>
      <c r="F47" s="106"/>
      <c r="G47" s="106"/>
      <c r="H47" s="106"/>
      <c r="I47" s="106"/>
      <c r="J47" s="105"/>
      <c r="K47" s="105"/>
      <c r="L47" s="105"/>
      <c r="M47" s="105"/>
      <c r="N47" s="105"/>
      <c r="O47" s="105"/>
      <c r="P47" s="105"/>
      <c r="Q47" s="105"/>
      <c r="R47" s="105"/>
      <c r="S47" s="105"/>
      <c r="T47" s="106"/>
    </row>
    <row r="48" spans="1:21" s="46" customFormat="1" x14ac:dyDescent="0.3">
      <c r="A48" s="210" t="s">
        <v>26</v>
      </c>
      <c r="B48" s="222" t="s">
        <v>131</v>
      </c>
      <c r="C48" s="223"/>
      <c r="D48" s="223"/>
      <c r="E48" s="223"/>
      <c r="F48" s="223"/>
      <c r="G48" s="223"/>
      <c r="H48" s="223"/>
      <c r="I48" s="223"/>
      <c r="J48" s="223"/>
      <c r="K48" s="223"/>
      <c r="L48" s="223"/>
      <c r="M48" s="223"/>
      <c r="N48" s="223"/>
      <c r="O48" s="223"/>
      <c r="P48" s="223"/>
      <c r="Q48" s="223"/>
      <c r="R48" s="223"/>
      <c r="S48" s="224"/>
      <c r="T48" s="110"/>
      <c r="U48" s="110"/>
    </row>
    <row r="49" spans="1:21" s="46" customFormat="1" ht="13" x14ac:dyDescent="0.3">
      <c r="A49" s="211"/>
      <c r="B49" s="132" t="s">
        <v>25</v>
      </c>
      <c r="C49" s="85" t="s">
        <v>111</v>
      </c>
      <c r="D49" s="85" t="s">
        <v>112</v>
      </c>
      <c r="E49" s="85" t="s">
        <v>113</v>
      </c>
      <c r="F49" s="85" t="s">
        <v>114</v>
      </c>
      <c r="G49" s="85" t="s">
        <v>115</v>
      </c>
      <c r="H49" s="85" t="s">
        <v>116</v>
      </c>
      <c r="I49" s="85" t="s">
        <v>117</v>
      </c>
      <c r="J49" s="85" t="s">
        <v>118</v>
      </c>
      <c r="K49" s="107" t="s">
        <v>119</v>
      </c>
      <c r="L49" s="107" t="s">
        <v>120</v>
      </c>
      <c r="M49" s="107" t="s">
        <v>121</v>
      </c>
      <c r="N49" s="107" t="s">
        <v>122</v>
      </c>
      <c r="O49" s="107" t="s">
        <v>126</v>
      </c>
      <c r="P49" s="107" t="s">
        <v>123</v>
      </c>
      <c r="Q49" s="107" t="s">
        <v>124</v>
      </c>
      <c r="R49" s="107" t="s">
        <v>125</v>
      </c>
      <c r="S49" s="134" t="s">
        <v>27</v>
      </c>
      <c r="T49" s="109"/>
      <c r="U49" s="53"/>
    </row>
    <row r="50" spans="1:21" s="46" customFormat="1" ht="13" x14ac:dyDescent="0.3">
      <c r="A50" s="135" t="s">
        <v>12</v>
      </c>
      <c r="B50" s="49">
        <v>0</v>
      </c>
      <c r="C50" s="49">
        <f>B14-B23-B50</f>
        <v>3.1576629372143037</v>
      </c>
      <c r="D50" s="49">
        <f t="shared" ref="D50:F51" si="34">C14-C23</f>
        <v>3.1576629372143037</v>
      </c>
      <c r="E50" s="49">
        <f t="shared" si="34"/>
        <v>3.1576629372143037</v>
      </c>
      <c r="F50" s="49">
        <f>E14-E23</f>
        <v>3.1576629372143037</v>
      </c>
      <c r="G50" s="179">
        <f>F14-F23-F32-F41</f>
        <v>2.239297942329697</v>
      </c>
      <c r="H50" s="179">
        <f t="shared" ref="H50:J50" si="35">G14-G23-G32-G41</f>
        <v>2.239297942329697</v>
      </c>
      <c r="I50" s="179">
        <f t="shared" si="35"/>
        <v>2.239297942329697</v>
      </c>
      <c r="J50" s="179">
        <f t="shared" si="35"/>
        <v>2.239297942329697</v>
      </c>
      <c r="K50" s="187" t="str">
        <f>J41</f>
        <v>N/A</v>
      </c>
      <c r="L50" s="188"/>
      <c r="M50" s="188"/>
      <c r="N50" s="188"/>
      <c r="O50" s="188"/>
      <c r="P50" s="188"/>
      <c r="Q50" s="188"/>
      <c r="R50" s="189"/>
      <c r="S50" s="142">
        <f>SUM(B50:R50)</f>
        <v>21.587843518176001</v>
      </c>
      <c r="T50" s="106"/>
      <c r="U50" s="53"/>
    </row>
    <row r="51" spans="1:21" s="46" customFormat="1" ht="13" x14ac:dyDescent="0.3">
      <c r="A51" s="135" t="s">
        <v>10</v>
      </c>
      <c r="B51" s="49">
        <v>43.573</v>
      </c>
      <c r="C51" s="49">
        <f>B15-B24-B51</f>
        <v>28.444765626605694</v>
      </c>
      <c r="D51" s="49">
        <f t="shared" si="34"/>
        <v>72.017765626605694</v>
      </c>
      <c r="E51" s="49">
        <f t="shared" si="34"/>
        <v>72.017765626605694</v>
      </c>
      <c r="F51" s="49">
        <f t="shared" si="34"/>
        <v>72.017765626605694</v>
      </c>
      <c r="G51" s="49">
        <f>F15-F24</f>
        <v>72.017765626605694</v>
      </c>
      <c r="H51" s="49">
        <f>G15-G24</f>
        <v>72.017765626605694</v>
      </c>
      <c r="I51" s="49">
        <f>H15-H24</f>
        <v>72.017765626605694</v>
      </c>
      <c r="J51" s="49">
        <f>I15-I24</f>
        <v>72.017765626605694</v>
      </c>
      <c r="K51" s="100">
        <f t="shared" ref="K51:N51" si="36">J15-J24-J33-J42</f>
        <v>49.756129543124047</v>
      </c>
      <c r="L51" s="100">
        <f t="shared" si="36"/>
        <v>49.756129543124047</v>
      </c>
      <c r="M51" s="100">
        <f t="shared" si="36"/>
        <v>49.756129543124047</v>
      </c>
      <c r="N51" s="100">
        <f t="shared" si="36"/>
        <v>49.756129543124047</v>
      </c>
      <c r="O51" s="100">
        <f>N15-N24-N33-N42</f>
        <v>49.756129543124047</v>
      </c>
      <c r="P51" s="100">
        <f>O15-O24-O33-O42</f>
        <v>49.756129543124047</v>
      </c>
      <c r="Q51" s="100">
        <f>P15-P24-P33-P42</f>
        <v>49.756129543124047</v>
      </c>
      <c r="R51" s="100">
        <f>Q15-Q24-Q33-Q42</f>
        <v>49.756129543124047</v>
      </c>
      <c r="S51" s="142">
        <f t="shared" ref="S51:S55" si="37">SUM(B51:R51)</f>
        <v>974.19116135783815</v>
      </c>
      <c r="T51" s="106"/>
      <c r="U51" s="53"/>
    </row>
    <row r="52" spans="1:21" s="46" customFormat="1" ht="13" x14ac:dyDescent="0.3">
      <c r="A52" s="135" t="s">
        <v>11</v>
      </c>
      <c r="B52" s="49">
        <v>0</v>
      </c>
      <c r="C52" s="100">
        <f>B16-B25-B52</f>
        <v>2.4166933251212774</v>
      </c>
      <c r="D52" s="100">
        <f>C16-C25-C34-C43</f>
        <v>1.661476661020878</v>
      </c>
      <c r="E52" s="50" t="s">
        <v>24</v>
      </c>
      <c r="F52" s="50" t="s">
        <v>24</v>
      </c>
      <c r="G52" s="50" t="s">
        <v>24</v>
      </c>
      <c r="H52" s="50" t="s">
        <v>24</v>
      </c>
      <c r="I52" s="50" t="s">
        <v>24</v>
      </c>
      <c r="J52" s="50" t="s">
        <v>24</v>
      </c>
      <c r="K52" s="187" t="str">
        <f>J43</f>
        <v>Pending National Grid input</v>
      </c>
      <c r="L52" s="188"/>
      <c r="M52" s="188"/>
      <c r="N52" s="188"/>
      <c r="O52" s="188"/>
      <c r="P52" s="188"/>
      <c r="Q52" s="188"/>
      <c r="R52" s="189"/>
      <c r="S52" s="142">
        <f t="shared" si="37"/>
        <v>4.0781699861421554</v>
      </c>
      <c r="T52" s="106"/>
      <c r="U52" s="53"/>
    </row>
    <row r="53" spans="1:21" s="46" customFormat="1" ht="13" x14ac:dyDescent="0.3">
      <c r="A53" s="135" t="s">
        <v>61</v>
      </c>
      <c r="B53" s="49">
        <v>2</v>
      </c>
      <c r="C53" s="49">
        <f>B17-B26-B53</f>
        <v>71.211008297294626</v>
      </c>
      <c r="D53" s="49">
        <f>C17-C26</f>
        <v>73.211008297294626</v>
      </c>
      <c r="E53" s="49">
        <f>D17-D26</f>
        <v>73.211008297294626</v>
      </c>
      <c r="F53" s="100">
        <f t="shared" ref="F53:L53" si="38">E17-E26-E35-E44</f>
        <v>50.33256820439005</v>
      </c>
      <c r="G53" s="100">
        <f t="shared" si="38"/>
        <v>50.33256820439005</v>
      </c>
      <c r="H53" s="100">
        <f t="shared" si="38"/>
        <v>50.33256820439005</v>
      </c>
      <c r="I53" s="100">
        <f t="shared" si="38"/>
        <v>50.33256820439005</v>
      </c>
      <c r="J53" s="100">
        <f t="shared" si="38"/>
        <v>50.33256820439005</v>
      </c>
      <c r="K53" s="225">
        <f t="shared" si="38"/>
        <v>58.681593361684854</v>
      </c>
      <c r="L53" s="225">
        <f t="shared" si="38"/>
        <v>58.681593361684854</v>
      </c>
      <c r="M53" s="225">
        <f t="shared" ref="M53:R53" si="39">L17-L26-L35-L44</f>
        <v>58.681593361684854</v>
      </c>
      <c r="N53" s="225">
        <f t="shared" si="39"/>
        <v>58.681593361684854</v>
      </c>
      <c r="O53" s="225">
        <f t="shared" si="39"/>
        <v>58.681593361684854</v>
      </c>
      <c r="P53" s="225">
        <f t="shared" si="39"/>
        <v>58.681593361684854</v>
      </c>
      <c r="Q53" s="225">
        <f t="shared" si="39"/>
        <v>58.681593361684854</v>
      </c>
      <c r="R53" s="225">
        <f t="shared" si="39"/>
        <v>58.681593361684854</v>
      </c>
      <c r="S53" s="142">
        <f t="shared" si="37"/>
        <v>940.74861280731261</v>
      </c>
      <c r="T53" s="192"/>
      <c r="U53" s="53"/>
    </row>
    <row r="54" spans="1:21" s="46" customFormat="1" ht="13" x14ac:dyDescent="0.3">
      <c r="A54" s="135" t="s">
        <v>62</v>
      </c>
      <c r="B54" s="49">
        <v>7.7</v>
      </c>
      <c r="C54" s="49">
        <f>B18-B27-B54</f>
        <v>4.8882212762122039</v>
      </c>
      <c r="D54" s="49">
        <f>C18-C27</f>
        <v>12.588221276212204</v>
      </c>
      <c r="E54" s="49">
        <f>D18-D27</f>
        <v>12.588221276212204</v>
      </c>
      <c r="F54" s="49">
        <f>E18-E27</f>
        <v>12.588221276212204</v>
      </c>
      <c r="G54" s="49">
        <f>F18-F27</f>
        <v>12.588221276212204</v>
      </c>
      <c r="H54" s="49">
        <f>G18-G27</f>
        <v>12.588221276212204</v>
      </c>
      <c r="I54" s="49">
        <f>H18-H27</f>
        <v>12.588221276212204</v>
      </c>
      <c r="J54" s="49">
        <f>I18-I27</f>
        <v>12.588221276212204</v>
      </c>
      <c r="K54" s="226"/>
      <c r="L54" s="226"/>
      <c r="M54" s="226"/>
      <c r="N54" s="226"/>
      <c r="O54" s="226"/>
      <c r="P54" s="226"/>
      <c r="Q54" s="226"/>
      <c r="R54" s="226"/>
      <c r="S54" s="142">
        <f t="shared" si="37"/>
        <v>100.70577020969765</v>
      </c>
      <c r="T54" s="193"/>
      <c r="U54" s="53"/>
    </row>
    <row r="55" spans="1:21" s="46" customFormat="1" ht="13.5" thickBot="1" x14ac:dyDescent="0.35">
      <c r="A55" s="137" t="s">
        <v>54</v>
      </c>
      <c r="B55" s="143">
        <f>SUM(B50:B54)</f>
        <v>53.273000000000003</v>
      </c>
      <c r="C55" s="139">
        <f>SUM(C50:C54)</f>
        <v>110.1183514624481</v>
      </c>
      <c r="D55" s="139">
        <f>SUM(D50:D54)</f>
        <v>162.63613479834771</v>
      </c>
      <c r="E55" s="139">
        <f t="shared" ref="E55:J55" si="40">SUM(E50:E54)</f>
        <v>160.97465813732683</v>
      </c>
      <c r="F55" s="139">
        <f t="shared" si="40"/>
        <v>138.09621804442224</v>
      </c>
      <c r="G55" s="139">
        <f t="shared" si="40"/>
        <v>137.17785304953765</v>
      </c>
      <c r="H55" s="139">
        <f t="shared" si="40"/>
        <v>137.17785304953765</v>
      </c>
      <c r="I55" s="139">
        <f t="shared" si="40"/>
        <v>137.17785304953765</v>
      </c>
      <c r="J55" s="139">
        <f t="shared" si="40"/>
        <v>137.17785304953765</v>
      </c>
      <c r="K55" s="139">
        <f>SUM(K50:K54)</f>
        <v>108.43772290480891</v>
      </c>
      <c r="L55" s="139">
        <f>SUM(L50:L54)</f>
        <v>108.43772290480891</v>
      </c>
      <c r="M55" s="139">
        <f>M50+M51+M53</f>
        <v>108.43772290480891</v>
      </c>
      <c r="N55" s="139">
        <f>N50+N51+N53</f>
        <v>108.43772290480891</v>
      </c>
      <c r="O55" s="139">
        <f>O51+O53</f>
        <v>108.43772290480891</v>
      </c>
      <c r="P55" s="139">
        <f t="shared" ref="P55:R55" si="41">P51+P53</f>
        <v>108.43772290480891</v>
      </c>
      <c r="Q55" s="139">
        <f t="shared" si="41"/>
        <v>108.43772290480891</v>
      </c>
      <c r="R55" s="139">
        <f t="shared" si="41"/>
        <v>108.43772290480891</v>
      </c>
      <c r="S55" s="144">
        <f t="shared" si="37"/>
        <v>2041.3115578791665</v>
      </c>
      <c r="T55" s="106"/>
      <c r="U55" s="53"/>
    </row>
    <row r="56" spans="1:21" s="46" customFormat="1" ht="13" x14ac:dyDescent="0.3">
      <c r="A56" s="87" t="s">
        <v>31</v>
      </c>
      <c r="T56" s="53"/>
      <c r="U56" s="53"/>
    </row>
    <row r="57" spans="1:21" s="46" customFormat="1" x14ac:dyDescent="0.3">
      <c r="A57" s="228" t="s">
        <v>107</v>
      </c>
      <c r="B57" s="228"/>
      <c r="C57" s="228"/>
      <c r="D57" s="228"/>
      <c r="E57" s="228"/>
      <c r="F57" s="228"/>
      <c r="G57" s="228"/>
      <c r="H57" s="228"/>
      <c r="I57" s="228"/>
      <c r="J57" s="228"/>
      <c r="K57" s="228"/>
    </row>
    <row r="58" spans="1:21" s="46" customFormat="1" x14ac:dyDescent="0.3">
      <c r="A58" s="228" t="s">
        <v>108</v>
      </c>
      <c r="B58" s="228"/>
      <c r="C58" s="228"/>
      <c r="D58" s="228"/>
      <c r="E58" s="228"/>
      <c r="F58" s="228"/>
      <c r="G58" s="228"/>
      <c r="H58" s="228"/>
      <c r="I58" s="228"/>
      <c r="J58" s="228"/>
      <c r="K58" s="228"/>
    </row>
    <row r="59" spans="1:21" s="46" customFormat="1" x14ac:dyDescent="0.3">
      <c r="A59" s="228" t="s">
        <v>153</v>
      </c>
      <c r="B59" s="228"/>
      <c r="C59" s="228"/>
      <c r="D59" s="228"/>
      <c r="E59" s="228"/>
      <c r="F59" s="228"/>
      <c r="G59" s="228"/>
      <c r="H59" s="228"/>
      <c r="I59" s="228"/>
      <c r="J59" s="228"/>
      <c r="K59" s="228"/>
    </row>
    <row r="60" spans="1:21" s="46" customFormat="1" x14ac:dyDescent="0.3">
      <c r="A60" s="228" t="s">
        <v>135</v>
      </c>
      <c r="B60" s="228"/>
      <c r="C60" s="228"/>
      <c r="D60" s="228"/>
      <c r="E60" s="228"/>
      <c r="F60" s="228"/>
      <c r="G60" s="228"/>
      <c r="H60" s="228"/>
      <c r="I60" s="228"/>
      <c r="J60" s="228"/>
      <c r="K60" s="228"/>
    </row>
    <row r="61" spans="1:21" s="46" customFormat="1" x14ac:dyDescent="0.3">
      <c r="A61" s="231" t="s">
        <v>151</v>
      </c>
      <c r="B61" s="231"/>
      <c r="C61" s="231"/>
      <c r="D61" s="231"/>
      <c r="E61" s="231"/>
      <c r="F61" s="231"/>
      <c r="G61" s="231"/>
      <c r="H61" s="231"/>
      <c r="I61" s="231"/>
      <c r="J61" s="231"/>
      <c r="K61" s="231"/>
    </row>
    <row r="62" spans="1:21" s="46" customFormat="1" ht="15" customHeight="1" x14ac:dyDescent="0.3">
      <c r="A62" s="230" t="s">
        <v>132</v>
      </c>
      <c r="B62" s="230"/>
      <c r="C62" s="230"/>
      <c r="D62" s="230"/>
      <c r="E62" s="230"/>
      <c r="F62" s="230"/>
      <c r="G62" s="230"/>
      <c r="H62" s="230"/>
      <c r="I62" s="230"/>
      <c r="J62" s="230"/>
      <c r="K62" s="230"/>
    </row>
    <row r="63" spans="1:21" s="46" customFormat="1" ht="29.25" customHeight="1" x14ac:dyDescent="0.3">
      <c r="A63" s="214" t="s">
        <v>133</v>
      </c>
      <c r="B63" s="214"/>
      <c r="C63" s="214"/>
      <c r="D63" s="214"/>
      <c r="E63" s="214"/>
      <c r="F63" s="214"/>
      <c r="G63" s="214"/>
      <c r="H63" s="214"/>
      <c r="I63" s="214"/>
      <c r="J63" s="214"/>
      <c r="K63" s="214"/>
    </row>
    <row r="64" spans="1:21" s="46" customFormat="1" ht="29.25" customHeight="1" x14ac:dyDescent="0.3">
      <c r="A64" s="214" t="s">
        <v>148</v>
      </c>
      <c r="B64" s="214"/>
      <c r="C64" s="214"/>
      <c r="D64" s="214"/>
      <c r="E64" s="214"/>
      <c r="F64" s="214"/>
      <c r="G64" s="214"/>
      <c r="H64" s="214"/>
      <c r="I64" s="214"/>
      <c r="J64" s="214"/>
      <c r="K64" s="214"/>
    </row>
    <row r="65" spans="1:11" s="46" customFormat="1" ht="29.25" customHeight="1" x14ac:dyDescent="0.3">
      <c r="A65" s="229" t="s">
        <v>134</v>
      </c>
      <c r="B65" s="229"/>
      <c r="C65" s="229"/>
      <c r="D65" s="229"/>
      <c r="E65" s="229"/>
      <c r="F65" s="229"/>
      <c r="G65" s="229"/>
      <c r="H65" s="229"/>
      <c r="I65" s="229"/>
      <c r="J65" s="229"/>
      <c r="K65" s="229"/>
    </row>
    <row r="66" spans="1:11" s="46" customFormat="1" ht="28.5" customHeight="1" x14ac:dyDescent="0.3">
      <c r="A66" s="227" t="s">
        <v>149</v>
      </c>
      <c r="B66" s="227"/>
      <c r="C66" s="227"/>
      <c r="D66" s="227"/>
      <c r="E66" s="227"/>
      <c r="F66" s="227"/>
      <c r="G66" s="227"/>
      <c r="H66" s="227"/>
      <c r="I66" s="227"/>
      <c r="J66" s="227"/>
      <c r="K66" s="227"/>
    </row>
    <row r="67" spans="1:11" s="46" customFormat="1" ht="12.75" customHeight="1" x14ac:dyDescent="0.3">
      <c r="A67" s="87"/>
    </row>
    <row r="68" spans="1:11" ht="15" customHeight="1" x14ac:dyDescent="0.35">
      <c r="A68" s="21"/>
    </row>
    <row r="69" spans="1:11" x14ac:dyDescent="0.35">
      <c r="A69" s="20"/>
    </row>
    <row r="70" spans="1:11" x14ac:dyDescent="0.35">
      <c r="A70" s="20"/>
    </row>
    <row r="71" spans="1:11" x14ac:dyDescent="0.35">
      <c r="A71" s="20"/>
    </row>
    <row r="72" spans="1:11" x14ac:dyDescent="0.35">
      <c r="A72" s="20"/>
    </row>
    <row r="73" spans="1:11" x14ac:dyDescent="0.35">
      <c r="A73" s="20"/>
    </row>
    <row r="74" spans="1:11" x14ac:dyDescent="0.35">
      <c r="A74" s="21"/>
    </row>
    <row r="75" spans="1:11" x14ac:dyDescent="0.35">
      <c r="A75" s="20"/>
    </row>
    <row r="76" spans="1:11" x14ac:dyDescent="0.35">
      <c r="A76" s="20"/>
    </row>
    <row r="77" spans="1:11" x14ac:dyDescent="0.35">
      <c r="A77" s="20"/>
    </row>
    <row r="78" spans="1:11" x14ac:dyDescent="0.35">
      <c r="A78" s="20"/>
    </row>
    <row r="79" spans="1:11" x14ac:dyDescent="0.35">
      <c r="A79" s="20"/>
    </row>
    <row r="80" spans="1:11" x14ac:dyDescent="0.35">
      <c r="A80" s="21"/>
    </row>
    <row r="81" spans="1:1" x14ac:dyDescent="0.35">
      <c r="A81" s="20"/>
    </row>
    <row r="82" spans="1:1" x14ac:dyDescent="0.35">
      <c r="A82" s="20"/>
    </row>
    <row r="83" spans="1:1" x14ac:dyDescent="0.35">
      <c r="A83" s="20"/>
    </row>
    <row r="84" spans="1:1" x14ac:dyDescent="0.35">
      <c r="A84" s="20"/>
    </row>
    <row r="85" spans="1:1" x14ac:dyDescent="0.35">
      <c r="A85" s="20"/>
    </row>
  </sheetData>
  <mergeCells count="83">
    <mergeCell ref="T53:T54"/>
    <mergeCell ref="A48:A49"/>
    <mergeCell ref="L53:L54"/>
    <mergeCell ref="M53:M54"/>
    <mergeCell ref="N53:N54"/>
    <mergeCell ref="O53:O54"/>
    <mergeCell ref="P53:P54"/>
    <mergeCell ref="Q53:Q54"/>
    <mergeCell ref="R53:R54"/>
    <mergeCell ref="A66:K66"/>
    <mergeCell ref="A57:K57"/>
    <mergeCell ref="A58:K58"/>
    <mergeCell ref="A64:K64"/>
    <mergeCell ref="A65:K65"/>
    <mergeCell ref="A59:K59"/>
    <mergeCell ref="A60:K60"/>
    <mergeCell ref="A62:K62"/>
    <mergeCell ref="A61:K61"/>
    <mergeCell ref="S17:S18"/>
    <mergeCell ref="L17:L18"/>
    <mergeCell ref="M17:M18"/>
    <mergeCell ref="P17:P18"/>
    <mergeCell ref="A63:K63"/>
    <mergeCell ref="O44:O45"/>
    <mergeCell ref="P44:P45"/>
    <mergeCell ref="Q44:Q45"/>
    <mergeCell ref="R44:R45"/>
    <mergeCell ref="S44:S45"/>
    <mergeCell ref="A39:A40"/>
    <mergeCell ref="J44:J45"/>
    <mergeCell ref="B39:R39"/>
    <mergeCell ref="B48:S48"/>
    <mergeCell ref="K53:K54"/>
    <mergeCell ref="K44:K45"/>
    <mergeCell ref="A21:A22"/>
    <mergeCell ref="A30:A31"/>
    <mergeCell ref="J26:J27"/>
    <mergeCell ref="B21:R21"/>
    <mergeCell ref="J35:J36"/>
    <mergeCell ref="Q35:Q36"/>
    <mergeCell ref="R35:R36"/>
    <mergeCell ref="J32:Q32"/>
    <mergeCell ref="J23:Q23"/>
    <mergeCell ref="J25:Q25"/>
    <mergeCell ref="J34:Q34"/>
    <mergeCell ref="A1:K2"/>
    <mergeCell ref="E8:E9"/>
    <mergeCell ref="G8:G9"/>
    <mergeCell ref="H8:H9"/>
    <mergeCell ref="J17:J18"/>
    <mergeCell ref="B12:R12"/>
    <mergeCell ref="N17:N18"/>
    <mergeCell ref="O17:O18"/>
    <mergeCell ref="Q17:Q18"/>
    <mergeCell ref="R17:R18"/>
    <mergeCell ref="J14:Q14"/>
    <mergeCell ref="J16:Q16"/>
    <mergeCell ref="A12:A13"/>
    <mergeCell ref="F8:F9"/>
    <mergeCell ref="K17:K18"/>
    <mergeCell ref="S35:S36"/>
    <mergeCell ref="S26:S27"/>
    <mergeCell ref="K26:K27"/>
    <mergeCell ref="L26:L27"/>
    <mergeCell ref="M26:M27"/>
    <mergeCell ref="N26:N27"/>
    <mergeCell ref="O26:O27"/>
    <mergeCell ref="P26:P27"/>
    <mergeCell ref="Q26:Q27"/>
    <mergeCell ref="B30:R30"/>
    <mergeCell ref="K35:K36"/>
    <mergeCell ref="L35:L36"/>
    <mergeCell ref="M35:M36"/>
    <mergeCell ref="N35:N36"/>
    <mergeCell ref="O35:O36"/>
    <mergeCell ref="P35:P36"/>
    <mergeCell ref="J41:Q41"/>
    <mergeCell ref="J43:Q43"/>
    <mergeCell ref="K50:R50"/>
    <mergeCell ref="K52:R52"/>
    <mergeCell ref="L44:L45"/>
    <mergeCell ref="M44:M45"/>
    <mergeCell ref="N44:N45"/>
  </mergeCells>
  <phoneticPr fontId="17" type="noConversion"/>
  <pageMargins left="0.7" right="0.7" top="0.75" bottom="0.75" header="0.3" footer="0.3"/>
  <pageSetup scale="63" orientation="landscape" r:id="rId1"/>
  <ignoredErrors>
    <ignoredError sqref="B16 D52 J15 F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3"/>
  <sheetViews>
    <sheetView topLeftCell="B6" workbookViewId="0">
      <selection activeCell="F16" sqref="F16"/>
    </sheetView>
  </sheetViews>
  <sheetFormatPr defaultColWidth="9.1796875" defaultRowHeight="14.5" x14ac:dyDescent="0.35"/>
  <cols>
    <col min="1" max="1" width="21.81640625" style="1" customWidth="1"/>
    <col min="2" max="2" width="39.453125" style="1" bestFit="1" customWidth="1"/>
    <col min="3" max="3" width="14.453125" style="1" bestFit="1" customWidth="1"/>
    <col min="4" max="4" width="7.54296875" style="1" bestFit="1" customWidth="1"/>
    <col min="5" max="12" width="8.54296875" style="1" bestFit="1" customWidth="1"/>
    <col min="13" max="16384" width="9.1796875" style="1"/>
  </cols>
  <sheetData>
    <row r="1" spans="1:20" ht="15" customHeight="1" x14ac:dyDescent="0.35">
      <c r="A1" s="233" t="s">
        <v>143</v>
      </c>
      <c r="B1" s="233"/>
      <c r="C1" s="233"/>
      <c r="D1" s="233"/>
      <c r="E1" s="233"/>
      <c r="F1" s="233"/>
      <c r="G1" s="233"/>
      <c r="H1" s="233"/>
      <c r="I1" s="233"/>
      <c r="J1" s="233"/>
      <c r="K1" s="233"/>
      <c r="L1" s="233"/>
      <c r="M1" s="233"/>
      <c r="N1" s="233"/>
      <c r="O1" s="233"/>
      <c r="P1" s="233"/>
      <c r="Q1" s="233"/>
      <c r="R1" s="233"/>
      <c r="S1" s="233"/>
      <c r="T1" s="233"/>
    </row>
    <row r="2" spans="1:20" ht="15.75" customHeight="1" thickBot="1" x14ac:dyDescent="0.4">
      <c r="A2" s="234"/>
      <c r="B2" s="234"/>
      <c r="C2" s="234"/>
      <c r="D2" s="234"/>
      <c r="E2" s="234"/>
      <c r="F2" s="234"/>
      <c r="G2" s="234"/>
      <c r="H2" s="234"/>
      <c r="I2" s="234"/>
      <c r="J2" s="234"/>
      <c r="K2" s="234"/>
      <c r="L2" s="234"/>
      <c r="M2" s="234"/>
      <c r="N2" s="234"/>
      <c r="O2" s="234"/>
      <c r="P2" s="234"/>
      <c r="Q2" s="234"/>
      <c r="R2" s="234"/>
      <c r="S2" s="234"/>
      <c r="T2" s="234"/>
    </row>
    <row r="3" spans="1:20" ht="44" thickBot="1" x14ac:dyDescent="0.4">
      <c r="A3" s="150" t="s">
        <v>22</v>
      </c>
      <c r="B3" s="165" t="s">
        <v>0</v>
      </c>
      <c r="C3" s="165" t="s">
        <v>21</v>
      </c>
      <c r="D3" s="169" t="s">
        <v>1</v>
      </c>
      <c r="E3" s="170" t="s">
        <v>13</v>
      </c>
      <c r="F3" s="170" t="s">
        <v>14</v>
      </c>
      <c r="G3" s="170" t="s">
        <v>15</v>
      </c>
      <c r="H3" s="170" t="s">
        <v>16</v>
      </c>
      <c r="I3" s="170" t="s">
        <v>17</v>
      </c>
      <c r="J3" s="170" t="s">
        <v>18</v>
      </c>
      <c r="K3" s="170" t="s">
        <v>19</v>
      </c>
      <c r="L3" s="171" t="s">
        <v>20</v>
      </c>
      <c r="M3" s="173" t="s">
        <v>95</v>
      </c>
      <c r="N3" s="114" t="s">
        <v>96</v>
      </c>
      <c r="O3" s="114" t="s">
        <v>97</v>
      </c>
      <c r="P3" s="114" t="s">
        <v>98</v>
      </c>
      <c r="Q3" s="114" t="s">
        <v>99</v>
      </c>
      <c r="R3" s="114" t="s">
        <v>100</v>
      </c>
      <c r="S3" s="114" t="s">
        <v>101</v>
      </c>
      <c r="T3" s="172" t="s">
        <v>102</v>
      </c>
    </row>
    <row r="4" spans="1:20" ht="15" customHeight="1" x14ac:dyDescent="0.35">
      <c r="A4" s="237" t="s">
        <v>55</v>
      </c>
      <c r="B4" s="2" t="s">
        <v>9</v>
      </c>
      <c r="C4" s="115">
        <v>2.2999999999999998</v>
      </c>
      <c r="D4" s="118" t="s">
        <v>2</v>
      </c>
      <c r="E4" s="3">
        <f>$E$9*C4</f>
        <v>0.35794899999999996</v>
      </c>
      <c r="F4" s="3">
        <f t="shared" ref="F4:H9" si="0">E4*0.912</f>
        <v>0.32644948799999995</v>
      </c>
      <c r="G4" s="3">
        <f t="shared" si="0"/>
        <v>0.29772193305599998</v>
      </c>
      <c r="H4" s="112">
        <f t="shared" si="0"/>
        <v>0.27152240294707197</v>
      </c>
      <c r="I4" s="180">
        <f t="shared" ref="I4:I9" si="1">H4*0.958</f>
        <v>0.26011846202329492</v>
      </c>
      <c r="J4" s="180">
        <f t="shared" ref="J4:L4" si="2">I4*0.958</f>
        <v>0.24919348661831653</v>
      </c>
      <c r="K4" s="180">
        <f t="shared" si="2"/>
        <v>0.23872736018034724</v>
      </c>
      <c r="L4" s="180">
        <f t="shared" si="2"/>
        <v>0.22870081105277265</v>
      </c>
      <c r="M4" s="239" t="s">
        <v>23</v>
      </c>
      <c r="N4" s="240"/>
      <c r="O4" s="240"/>
      <c r="P4" s="240"/>
      <c r="Q4" s="240"/>
      <c r="R4" s="240"/>
      <c r="S4" s="240"/>
      <c r="T4" s="241"/>
    </row>
    <row r="5" spans="1:20" x14ac:dyDescent="0.35">
      <c r="A5" s="235"/>
      <c r="B5" s="5" t="s">
        <v>3</v>
      </c>
      <c r="C5" s="116">
        <v>2</v>
      </c>
      <c r="D5" s="119" t="s">
        <v>2</v>
      </c>
      <c r="E5" s="6">
        <f>$E$9*C5</f>
        <v>0.31125999999999998</v>
      </c>
      <c r="F5" s="6">
        <f t="shared" si="0"/>
        <v>0.28386911999999997</v>
      </c>
      <c r="G5" s="6">
        <f t="shared" si="0"/>
        <v>0.25888863744000001</v>
      </c>
      <c r="H5" s="113">
        <f t="shared" si="0"/>
        <v>0.23610643734528003</v>
      </c>
      <c r="I5" s="181">
        <f t="shared" si="1"/>
        <v>0.22618996697677826</v>
      </c>
      <c r="J5" s="181">
        <f t="shared" ref="J5:L5" si="3">I5*0.958</f>
        <v>0.21668998836375356</v>
      </c>
      <c r="K5" s="181">
        <f t="shared" si="3"/>
        <v>0.20758900885247589</v>
      </c>
      <c r="L5" s="181">
        <f t="shared" si="3"/>
        <v>0.19887027048067188</v>
      </c>
      <c r="M5" s="239"/>
      <c r="N5" s="242"/>
      <c r="O5" s="242"/>
      <c r="P5" s="242"/>
      <c r="Q5" s="242"/>
      <c r="R5" s="242"/>
      <c r="S5" s="242"/>
      <c r="T5" s="243"/>
    </row>
    <row r="6" spans="1:20" x14ac:dyDescent="0.35">
      <c r="A6" s="235"/>
      <c r="B6" s="5" t="s">
        <v>4</v>
      </c>
      <c r="C6" s="116">
        <v>1.5</v>
      </c>
      <c r="D6" s="119" t="s">
        <v>5</v>
      </c>
      <c r="E6" s="6">
        <f>$E$9*C6</f>
        <v>0.23344499999999999</v>
      </c>
      <c r="F6" s="6">
        <f t="shared" si="0"/>
        <v>0.21290183999999998</v>
      </c>
      <c r="G6" s="6">
        <f t="shared" si="0"/>
        <v>0.19416647807999998</v>
      </c>
      <c r="H6" s="6">
        <f t="shared" si="0"/>
        <v>0.17707982800895999</v>
      </c>
      <c r="I6" s="181">
        <f t="shared" si="1"/>
        <v>0.16964247523258366</v>
      </c>
      <c r="J6" s="181">
        <f t="shared" ref="J6:L6" si="4">I6*0.958</f>
        <v>0.16251749127281515</v>
      </c>
      <c r="K6" s="181">
        <f t="shared" si="4"/>
        <v>0.15569175663935692</v>
      </c>
      <c r="L6" s="181">
        <f t="shared" si="4"/>
        <v>0.14915270286050392</v>
      </c>
      <c r="M6" s="239"/>
      <c r="N6" s="242"/>
      <c r="O6" s="242"/>
      <c r="P6" s="242"/>
      <c r="Q6" s="242"/>
      <c r="R6" s="242"/>
      <c r="S6" s="242"/>
      <c r="T6" s="243"/>
    </row>
    <row r="7" spans="1:20" x14ac:dyDescent="0.35">
      <c r="A7" s="235"/>
      <c r="B7" s="5" t="s">
        <v>6</v>
      </c>
      <c r="C7" s="116">
        <v>1.25</v>
      </c>
      <c r="D7" s="119" t="s">
        <v>5</v>
      </c>
      <c r="E7" s="6">
        <f>$E$9*C7</f>
        <v>0.19453749999999997</v>
      </c>
      <c r="F7" s="6">
        <f t="shared" si="0"/>
        <v>0.17741819999999997</v>
      </c>
      <c r="G7" s="6">
        <f t="shared" si="0"/>
        <v>0.16180539839999997</v>
      </c>
      <c r="H7" s="6">
        <f t="shared" si="0"/>
        <v>0.14756652334079998</v>
      </c>
      <c r="I7" s="181">
        <f t="shared" si="1"/>
        <v>0.14136872936048636</v>
      </c>
      <c r="J7" s="181">
        <f t="shared" ref="J7:L7" si="5">I7*0.958</f>
        <v>0.13543124272734594</v>
      </c>
      <c r="K7" s="181">
        <f t="shared" si="5"/>
        <v>0.1297431305327974</v>
      </c>
      <c r="L7" s="181">
        <f t="shared" si="5"/>
        <v>0.12429391905041991</v>
      </c>
      <c r="M7" s="239"/>
      <c r="N7" s="242"/>
      <c r="O7" s="242"/>
      <c r="P7" s="242"/>
      <c r="Q7" s="242"/>
      <c r="R7" s="242"/>
      <c r="S7" s="242"/>
      <c r="T7" s="243"/>
    </row>
    <row r="8" spans="1:20" x14ac:dyDescent="0.35">
      <c r="A8" s="235"/>
      <c r="B8" s="5" t="s">
        <v>7</v>
      </c>
      <c r="C8" s="116">
        <v>1.1000000000000001</v>
      </c>
      <c r="D8" s="119" t="s">
        <v>5</v>
      </c>
      <c r="E8" s="6">
        <f>$E$9*C8</f>
        <v>0.17119300000000001</v>
      </c>
      <c r="F8" s="6">
        <f t="shared" si="0"/>
        <v>0.15612801600000001</v>
      </c>
      <c r="G8" s="6">
        <f>F8*0.912</f>
        <v>0.14238875059200001</v>
      </c>
      <c r="H8" s="6">
        <f>G8*0.912</f>
        <v>0.129858540539904</v>
      </c>
      <c r="I8" s="181">
        <f t="shared" si="1"/>
        <v>0.12440448183722803</v>
      </c>
      <c r="J8" s="181">
        <f t="shared" ref="J8:L8" si="6">I8*0.958</f>
        <v>0.11917949360006445</v>
      </c>
      <c r="K8" s="181">
        <f t="shared" si="6"/>
        <v>0.11417395486886174</v>
      </c>
      <c r="L8" s="181">
        <f t="shared" si="6"/>
        <v>0.10937864876436955</v>
      </c>
      <c r="M8" s="239"/>
      <c r="N8" s="242"/>
      <c r="O8" s="242"/>
      <c r="P8" s="242"/>
      <c r="Q8" s="242"/>
      <c r="R8" s="242"/>
      <c r="S8" s="242"/>
      <c r="T8" s="243"/>
    </row>
    <row r="9" spans="1:20" ht="15" thickBot="1" x14ac:dyDescent="0.4">
      <c r="A9" s="236"/>
      <c r="B9" s="8" t="s">
        <v>8</v>
      </c>
      <c r="C9" s="117">
        <v>1</v>
      </c>
      <c r="D9" s="120" t="s">
        <v>5</v>
      </c>
      <c r="E9" s="9">
        <v>0.15562999999999999</v>
      </c>
      <c r="F9" s="9">
        <f t="shared" si="0"/>
        <v>0.14193455999999999</v>
      </c>
      <c r="G9" s="9">
        <f t="shared" si="0"/>
        <v>0.12944431872000001</v>
      </c>
      <c r="H9" s="9">
        <f t="shared" si="0"/>
        <v>0.11805321867264001</v>
      </c>
      <c r="I9" s="182">
        <f t="shared" si="1"/>
        <v>0.11309498348838913</v>
      </c>
      <c r="J9" s="182">
        <f t="shared" ref="J9:L9" si="7">I9*0.958</f>
        <v>0.10834499418187678</v>
      </c>
      <c r="K9" s="182">
        <f t="shared" si="7"/>
        <v>0.10379450442623794</v>
      </c>
      <c r="L9" s="182">
        <f t="shared" si="7"/>
        <v>9.943513524033594E-2</v>
      </c>
      <c r="M9" s="244"/>
      <c r="N9" s="245"/>
      <c r="O9" s="245"/>
      <c r="P9" s="245"/>
      <c r="Q9" s="245"/>
      <c r="R9" s="245"/>
      <c r="S9" s="245"/>
      <c r="T9" s="246"/>
    </row>
    <row r="10" spans="1:20" ht="15" customHeight="1" x14ac:dyDescent="0.35">
      <c r="A10" s="237" t="s">
        <v>57</v>
      </c>
      <c r="B10" s="2" t="s">
        <v>9</v>
      </c>
      <c r="C10" s="115">
        <v>2.2999999999999998</v>
      </c>
      <c r="D10" s="118" t="s">
        <v>2</v>
      </c>
      <c r="E10" s="3">
        <f>$E$15*C10</f>
        <v>0.35794899999999996</v>
      </c>
      <c r="F10" s="3">
        <f>E10*0.96</f>
        <v>0.34363103999999994</v>
      </c>
      <c r="G10" s="3">
        <f t="shared" ref="G10:I11" si="8">F10*0.96</f>
        <v>0.32988579839999993</v>
      </c>
      <c r="H10" s="3">
        <f t="shared" si="8"/>
        <v>0.31669036646399989</v>
      </c>
      <c r="I10" s="3">
        <f t="shared" si="8"/>
        <v>0.30402275180543986</v>
      </c>
      <c r="J10" s="3">
        <f t="shared" ref="J10:J11" si="9">I10*0.96</f>
        <v>0.29186184173322227</v>
      </c>
      <c r="K10" s="3">
        <f t="shared" ref="K10:K11" si="10">J10*0.96</f>
        <v>0.28018736806389338</v>
      </c>
      <c r="L10" s="3">
        <f t="shared" ref="L10:L11" si="11">K10*0.96</f>
        <v>0.26897987334133766</v>
      </c>
      <c r="M10" s="112">
        <f t="shared" ref="M10:T11" si="12">L10*0.98</f>
        <v>0.2636002758745109</v>
      </c>
      <c r="N10" s="112">
        <f t="shared" ref="N10" si="13">M10*0.98</f>
        <v>0.25832827035702066</v>
      </c>
      <c r="O10" s="112">
        <f t="shared" ref="O10" si="14">N10*0.98</f>
        <v>0.25316170494988022</v>
      </c>
      <c r="P10" s="112">
        <f t="shared" ref="P10" si="15">O10*0.98</f>
        <v>0.2480984708508826</v>
      </c>
      <c r="Q10" s="112">
        <f t="shared" ref="Q10" si="16">P10*0.98</f>
        <v>0.24313650143386495</v>
      </c>
      <c r="R10" s="112">
        <f t="shared" ref="R10" si="17">Q10*0.98</f>
        <v>0.23827377140518766</v>
      </c>
      <c r="S10" s="112">
        <f t="shared" ref="S10" si="18">R10*0.98</f>
        <v>0.23350829597708389</v>
      </c>
      <c r="T10" s="128">
        <f t="shared" ref="T10" si="19">S10*0.98</f>
        <v>0.22883813005754222</v>
      </c>
    </row>
    <row r="11" spans="1:20" x14ac:dyDescent="0.35">
      <c r="A11" s="235"/>
      <c r="B11" s="5" t="s">
        <v>3</v>
      </c>
      <c r="C11" s="116">
        <v>2</v>
      </c>
      <c r="D11" s="119" t="s">
        <v>2</v>
      </c>
      <c r="E11" s="6">
        <f>$E$15*C11</f>
        <v>0.31125999999999998</v>
      </c>
      <c r="F11" s="6">
        <f>E11*0.96</f>
        <v>0.29880959999999995</v>
      </c>
      <c r="G11" s="6">
        <f t="shared" si="8"/>
        <v>0.28685721599999997</v>
      </c>
      <c r="H11" s="6">
        <f t="shared" si="8"/>
        <v>0.27538292735999997</v>
      </c>
      <c r="I11" s="6">
        <f t="shared" si="8"/>
        <v>0.26436761026559996</v>
      </c>
      <c r="J11" s="6">
        <f t="shared" si="9"/>
        <v>0.25379290585497594</v>
      </c>
      <c r="K11" s="6">
        <f t="shared" si="10"/>
        <v>0.24364118962077688</v>
      </c>
      <c r="L11" s="6">
        <f t="shared" si="11"/>
        <v>0.23389554203594579</v>
      </c>
      <c r="M11" s="113">
        <f t="shared" si="12"/>
        <v>0.22921763119522687</v>
      </c>
      <c r="N11" s="113">
        <f t="shared" si="12"/>
        <v>0.22463327857132231</v>
      </c>
      <c r="O11" s="113">
        <f t="shared" si="12"/>
        <v>0.22014061299989587</v>
      </c>
      <c r="P11" s="113">
        <f t="shared" si="12"/>
        <v>0.21573780073989796</v>
      </c>
      <c r="Q11" s="113">
        <f t="shared" si="12"/>
        <v>0.21142304472509998</v>
      </c>
      <c r="R11" s="113">
        <f t="shared" si="12"/>
        <v>0.20719458383059799</v>
      </c>
      <c r="S11" s="113">
        <f t="shared" si="12"/>
        <v>0.20305069215398602</v>
      </c>
      <c r="T11" s="126">
        <f t="shared" si="12"/>
        <v>0.1989896783109063</v>
      </c>
    </row>
    <row r="12" spans="1:20" x14ac:dyDescent="0.35">
      <c r="A12" s="235"/>
      <c r="B12" s="5" t="s">
        <v>4</v>
      </c>
      <c r="C12" s="116">
        <v>1.5</v>
      </c>
      <c r="D12" s="119" t="s">
        <v>5</v>
      </c>
      <c r="E12" s="6">
        <f>$E$15*C12</f>
        <v>0.23344499999999999</v>
      </c>
      <c r="F12" s="6">
        <f t="shared" ref="F12:L21" si="20">E12*0.96</f>
        <v>0.22410719999999998</v>
      </c>
      <c r="G12" s="6">
        <f t="shared" si="20"/>
        <v>0.21514291199999996</v>
      </c>
      <c r="H12" s="6">
        <f t="shared" si="20"/>
        <v>0.20653719551999997</v>
      </c>
      <c r="I12" s="6">
        <f t="shared" si="20"/>
        <v>0.19827570769919997</v>
      </c>
      <c r="J12" s="6">
        <f t="shared" si="20"/>
        <v>0.19034467939123195</v>
      </c>
      <c r="K12" s="6">
        <f t="shared" si="20"/>
        <v>0.18273089221558267</v>
      </c>
      <c r="L12" s="6">
        <f t="shared" si="20"/>
        <v>0.17542165652695935</v>
      </c>
      <c r="M12" s="113">
        <f>L12*0.98</f>
        <v>0.17191322339642015</v>
      </c>
      <c r="N12" s="113">
        <f t="shared" ref="N12:T12" si="21">M12*0.98</f>
        <v>0.16847495892849174</v>
      </c>
      <c r="O12" s="113">
        <f t="shared" si="21"/>
        <v>0.16510545974992188</v>
      </c>
      <c r="P12" s="113">
        <f t="shared" si="21"/>
        <v>0.16180335055492345</v>
      </c>
      <c r="Q12" s="113">
        <f t="shared" si="21"/>
        <v>0.15856728354382499</v>
      </c>
      <c r="R12" s="113">
        <f t="shared" si="21"/>
        <v>0.15539593787294848</v>
      </c>
      <c r="S12" s="113">
        <f t="shared" si="21"/>
        <v>0.1522880191154895</v>
      </c>
      <c r="T12" s="126">
        <f t="shared" si="21"/>
        <v>0.1492422587331797</v>
      </c>
    </row>
    <row r="13" spans="1:20" x14ac:dyDescent="0.35">
      <c r="A13" s="235"/>
      <c r="B13" s="5" t="s">
        <v>6</v>
      </c>
      <c r="C13" s="116">
        <v>1.25</v>
      </c>
      <c r="D13" s="119" t="s">
        <v>5</v>
      </c>
      <c r="E13" s="6">
        <f>$E$15*C13</f>
        <v>0.19453749999999997</v>
      </c>
      <c r="F13" s="6">
        <f t="shared" si="20"/>
        <v>0.18675599999999998</v>
      </c>
      <c r="G13" s="6">
        <f t="shared" si="20"/>
        <v>0.17928575999999996</v>
      </c>
      <c r="H13" s="6">
        <f t="shared" si="20"/>
        <v>0.17211432959999995</v>
      </c>
      <c r="I13" s="6">
        <f t="shared" si="20"/>
        <v>0.16522975641599993</v>
      </c>
      <c r="J13" s="6">
        <f t="shared" si="20"/>
        <v>0.15862056615935993</v>
      </c>
      <c r="K13" s="6">
        <f t="shared" si="20"/>
        <v>0.15227574351298553</v>
      </c>
      <c r="L13" s="6">
        <f t="shared" si="20"/>
        <v>0.14618471377246611</v>
      </c>
      <c r="M13" s="113">
        <f>L13*0.98</f>
        <v>0.14326101949701678</v>
      </c>
      <c r="N13" s="113">
        <f t="shared" ref="N13:T13" si="22">M13*0.98</f>
        <v>0.14039579910707645</v>
      </c>
      <c r="O13" s="113">
        <f t="shared" si="22"/>
        <v>0.13758788312493492</v>
      </c>
      <c r="P13" s="113">
        <f t="shared" si="22"/>
        <v>0.13483612546243623</v>
      </c>
      <c r="Q13" s="113">
        <f t="shared" si="22"/>
        <v>0.13213940295318749</v>
      </c>
      <c r="R13" s="113">
        <f t="shared" si="22"/>
        <v>0.12949661489412373</v>
      </c>
      <c r="S13" s="113">
        <f t="shared" si="22"/>
        <v>0.12690668259624124</v>
      </c>
      <c r="T13" s="126">
        <f t="shared" si="22"/>
        <v>0.12436854894431641</v>
      </c>
    </row>
    <row r="14" spans="1:20" x14ac:dyDescent="0.35">
      <c r="A14" s="235"/>
      <c r="B14" s="5" t="s">
        <v>7</v>
      </c>
      <c r="C14" s="116">
        <v>1.1000000000000001</v>
      </c>
      <c r="D14" s="119" t="s">
        <v>5</v>
      </c>
      <c r="E14" s="6">
        <f>$E$15*C14</f>
        <v>0.17119300000000001</v>
      </c>
      <c r="F14" s="6">
        <f t="shared" si="20"/>
        <v>0.16434528000000001</v>
      </c>
      <c r="G14" s="6">
        <f t="shared" si="20"/>
        <v>0.15777146880000001</v>
      </c>
      <c r="H14" s="6">
        <f t="shared" si="20"/>
        <v>0.15146061004800002</v>
      </c>
      <c r="I14" s="6">
        <f t="shared" si="20"/>
        <v>0.14540218564608001</v>
      </c>
      <c r="J14" s="6">
        <f t="shared" si="20"/>
        <v>0.13958609822023679</v>
      </c>
      <c r="K14" s="6">
        <f t="shared" si="20"/>
        <v>0.13400265429142733</v>
      </c>
      <c r="L14" s="6">
        <f t="shared" si="20"/>
        <v>0.12864254811977022</v>
      </c>
      <c r="M14" s="113">
        <f>L14*0.98</f>
        <v>0.12606969715737482</v>
      </c>
      <c r="N14" s="113">
        <f t="shared" ref="N14:T14" si="23">M14*0.98</f>
        <v>0.12354830321422731</v>
      </c>
      <c r="O14" s="113">
        <f t="shared" si="23"/>
        <v>0.12107733714994276</v>
      </c>
      <c r="P14" s="113">
        <f t="shared" si="23"/>
        <v>0.11865579040694391</v>
      </c>
      <c r="Q14" s="113">
        <f t="shared" si="23"/>
        <v>0.11628267459880502</v>
      </c>
      <c r="R14" s="113">
        <f t="shared" si="23"/>
        <v>0.11395702110682893</v>
      </c>
      <c r="S14" s="113">
        <f t="shared" si="23"/>
        <v>0.11167788068469235</v>
      </c>
      <c r="T14" s="126">
        <f t="shared" si="23"/>
        <v>0.10944432307099851</v>
      </c>
    </row>
    <row r="15" spans="1:20" ht="15" thickBot="1" x14ac:dyDescent="0.4">
      <c r="A15" s="235"/>
      <c r="B15" s="14" t="s">
        <v>8</v>
      </c>
      <c r="C15" s="123">
        <v>1</v>
      </c>
      <c r="D15" s="120" t="s">
        <v>5</v>
      </c>
      <c r="E15" s="9">
        <v>0.15562999999999999</v>
      </c>
      <c r="F15" s="9">
        <f t="shared" si="20"/>
        <v>0.14940479999999998</v>
      </c>
      <c r="G15" s="9">
        <f t="shared" si="20"/>
        <v>0.14342860799999999</v>
      </c>
      <c r="H15" s="9">
        <f t="shared" si="20"/>
        <v>0.13769146367999999</v>
      </c>
      <c r="I15" s="9">
        <f t="shared" si="20"/>
        <v>0.13218380513279998</v>
      </c>
      <c r="J15" s="9">
        <f t="shared" si="20"/>
        <v>0.12689645292748797</v>
      </c>
      <c r="K15" s="9">
        <f t="shared" si="20"/>
        <v>0.12182059481038844</v>
      </c>
      <c r="L15" s="9">
        <f t="shared" si="20"/>
        <v>0.11694777101797289</v>
      </c>
      <c r="M15" s="121">
        <f>L15*0.98</f>
        <v>0.11460881559761343</v>
      </c>
      <c r="N15" s="121">
        <f t="shared" ref="N15:T16" si="24">M15*0.98</f>
        <v>0.11231663928566116</v>
      </c>
      <c r="O15" s="121">
        <f t="shared" si="24"/>
        <v>0.11007030649994794</v>
      </c>
      <c r="P15" s="121">
        <f t="shared" si="24"/>
        <v>0.10786890036994898</v>
      </c>
      <c r="Q15" s="121">
        <f t="shared" si="24"/>
        <v>0.10571152236254999</v>
      </c>
      <c r="R15" s="121">
        <f t="shared" si="24"/>
        <v>0.103597291915299</v>
      </c>
      <c r="S15" s="121">
        <f t="shared" si="24"/>
        <v>0.10152534607699301</v>
      </c>
      <c r="T15" s="129">
        <f t="shared" si="24"/>
        <v>9.9494839155453152E-2</v>
      </c>
    </row>
    <row r="16" spans="1:20" ht="15" customHeight="1" x14ac:dyDescent="0.35">
      <c r="A16" s="237" t="s">
        <v>56</v>
      </c>
      <c r="B16" s="2" t="s">
        <v>9</v>
      </c>
      <c r="C16" s="115">
        <v>2.2999999999999998</v>
      </c>
      <c r="D16" s="118" t="s">
        <v>2</v>
      </c>
      <c r="E16" s="3">
        <f>$E$21*C16</f>
        <v>0.39100000000000001</v>
      </c>
      <c r="F16" s="112">
        <f t="shared" ref="F16:F21" si="25">E16*0.84</f>
        <v>0.32844000000000001</v>
      </c>
      <c r="G16" s="279">
        <f>F16*0.9</f>
        <v>0.29559600000000003</v>
      </c>
      <c r="H16" s="281">
        <f>G16*0.9</f>
        <v>0.26603640000000001</v>
      </c>
      <c r="I16" s="290" t="s">
        <v>23</v>
      </c>
      <c r="J16" s="251"/>
      <c r="K16" s="251"/>
      <c r="L16" s="251"/>
      <c r="M16" s="251"/>
      <c r="N16" s="251"/>
      <c r="O16" s="251"/>
      <c r="P16" s="251"/>
      <c r="Q16" s="251"/>
      <c r="R16" s="251"/>
      <c r="S16" s="251"/>
      <c r="T16" s="291"/>
    </row>
    <row r="17" spans="1:20" x14ac:dyDescent="0.35">
      <c r="A17" s="235"/>
      <c r="B17" s="5" t="s">
        <v>3</v>
      </c>
      <c r="C17" s="116">
        <v>2</v>
      </c>
      <c r="D17" s="119" t="s">
        <v>2</v>
      </c>
      <c r="E17" s="6">
        <f>$E$21*C17</f>
        <v>0.34</v>
      </c>
      <c r="F17" s="113">
        <f t="shared" si="25"/>
        <v>0.28560000000000002</v>
      </c>
      <c r="G17" s="280">
        <f t="shared" ref="G17:H21" si="26">F17*0.9</f>
        <v>0.25704000000000005</v>
      </c>
      <c r="H17" s="282">
        <f t="shared" si="26"/>
        <v>0.23133600000000004</v>
      </c>
      <c r="I17" s="292"/>
      <c r="J17" s="252"/>
      <c r="K17" s="252"/>
      <c r="L17" s="252"/>
      <c r="M17" s="252"/>
      <c r="N17" s="252"/>
      <c r="O17" s="252"/>
      <c r="P17" s="252"/>
      <c r="Q17" s="252"/>
      <c r="R17" s="252"/>
      <c r="S17" s="252"/>
      <c r="T17" s="293"/>
    </row>
    <row r="18" spans="1:20" x14ac:dyDescent="0.35">
      <c r="A18" s="235"/>
      <c r="B18" s="5" t="s">
        <v>4</v>
      </c>
      <c r="C18" s="116">
        <v>1.5</v>
      </c>
      <c r="D18" s="119" t="s">
        <v>5</v>
      </c>
      <c r="E18" s="6">
        <f>$E$21*C18</f>
        <v>0.255</v>
      </c>
      <c r="F18" s="113">
        <f t="shared" si="25"/>
        <v>0.2142</v>
      </c>
      <c r="G18" s="280">
        <f t="shared" si="26"/>
        <v>0.19278000000000001</v>
      </c>
      <c r="H18" s="282">
        <f t="shared" si="26"/>
        <v>0.17350200000000002</v>
      </c>
      <c r="I18" s="292"/>
      <c r="J18" s="252"/>
      <c r="K18" s="252"/>
      <c r="L18" s="252"/>
      <c r="M18" s="252"/>
      <c r="N18" s="252"/>
      <c r="O18" s="252"/>
      <c r="P18" s="252"/>
      <c r="Q18" s="252"/>
      <c r="R18" s="252"/>
      <c r="S18" s="252"/>
      <c r="T18" s="293"/>
    </row>
    <row r="19" spans="1:20" x14ac:dyDescent="0.35">
      <c r="A19" s="235"/>
      <c r="B19" s="5" t="s">
        <v>6</v>
      </c>
      <c r="C19" s="116">
        <v>1.25</v>
      </c>
      <c r="D19" s="119" t="s">
        <v>5</v>
      </c>
      <c r="E19" s="6">
        <f>$E$21*C19</f>
        <v>0.21250000000000002</v>
      </c>
      <c r="F19" s="113">
        <f t="shared" si="25"/>
        <v>0.17850000000000002</v>
      </c>
      <c r="G19" s="280">
        <f t="shared" si="26"/>
        <v>0.16065000000000002</v>
      </c>
      <c r="H19" s="282">
        <f t="shared" si="26"/>
        <v>0.14458500000000002</v>
      </c>
      <c r="I19" s="292"/>
      <c r="J19" s="252"/>
      <c r="K19" s="252"/>
      <c r="L19" s="252"/>
      <c r="M19" s="252"/>
      <c r="N19" s="252"/>
      <c r="O19" s="252"/>
      <c r="P19" s="252"/>
      <c r="Q19" s="252"/>
      <c r="R19" s="252"/>
      <c r="S19" s="252"/>
      <c r="T19" s="293"/>
    </row>
    <row r="20" spans="1:20" x14ac:dyDescent="0.35">
      <c r="A20" s="235"/>
      <c r="B20" s="5" t="s">
        <v>7</v>
      </c>
      <c r="C20" s="116">
        <v>1.1000000000000001</v>
      </c>
      <c r="D20" s="119" t="s">
        <v>5</v>
      </c>
      <c r="E20" s="6">
        <f>$E$21*C20</f>
        <v>0.18700000000000003</v>
      </c>
      <c r="F20" s="113">
        <f t="shared" si="25"/>
        <v>0.15708000000000003</v>
      </c>
      <c r="G20" s="280">
        <f t="shared" si="26"/>
        <v>0.14137200000000003</v>
      </c>
      <c r="H20" s="282">
        <f t="shared" si="26"/>
        <v>0.12723480000000004</v>
      </c>
      <c r="I20" s="292"/>
      <c r="J20" s="252"/>
      <c r="K20" s="252"/>
      <c r="L20" s="252"/>
      <c r="M20" s="252"/>
      <c r="N20" s="252"/>
      <c r="O20" s="252"/>
      <c r="P20" s="252"/>
      <c r="Q20" s="252"/>
      <c r="R20" s="252"/>
      <c r="S20" s="252"/>
      <c r="T20" s="293"/>
    </row>
    <row r="21" spans="1:20" ht="15" thickBot="1" x14ac:dyDescent="0.4">
      <c r="A21" s="236"/>
      <c r="B21" s="8" t="s">
        <v>8</v>
      </c>
      <c r="C21" s="117">
        <v>1</v>
      </c>
      <c r="D21" s="125" t="s">
        <v>5</v>
      </c>
      <c r="E21" s="15">
        <v>0.17</v>
      </c>
      <c r="F21" s="127">
        <f t="shared" si="25"/>
        <v>0.14280000000000001</v>
      </c>
      <c r="G21" s="283">
        <f t="shared" si="26"/>
        <v>0.12852000000000002</v>
      </c>
      <c r="H21" s="284">
        <f t="shared" si="26"/>
        <v>0.11566800000000002</v>
      </c>
      <c r="I21" s="294"/>
      <c r="J21" s="253"/>
      <c r="K21" s="253"/>
      <c r="L21" s="253"/>
      <c r="M21" s="253"/>
      <c r="N21" s="253"/>
      <c r="O21" s="253"/>
      <c r="P21" s="253"/>
      <c r="Q21" s="253"/>
      <c r="R21" s="253"/>
      <c r="S21" s="253"/>
      <c r="T21" s="295"/>
    </row>
    <row r="22" spans="1:20" ht="15" customHeight="1" x14ac:dyDescent="0.35">
      <c r="A22" s="235" t="s">
        <v>139</v>
      </c>
      <c r="B22" s="16" t="s">
        <v>9</v>
      </c>
      <c r="C22" s="124">
        <v>2.2999999999999998</v>
      </c>
      <c r="D22" s="118" t="s">
        <v>2</v>
      </c>
      <c r="E22" s="3">
        <f>$E$27*C22</f>
        <v>0.39100000000000001</v>
      </c>
      <c r="F22" s="3">
        <f>E22*0.96</f>
        <v>0.37536000000000003</v>
      </c>
      <c r="G22" s="3">
        <f t="shared" ref="G22" si="27">F22*0.96</f>
        <v>0.36034559999999999</v>
      </c>
      <c r="H22" s="3">
        <f t="shared" ref="H22:H27" si="28">G22*0.96</f>
        <v>0.34593177599999997</v>
      </c>
      <c r="I22" s="3">
        <f t="shared" ref="I22:I27" si="29">H22*0.96</f>
        <v>0.33209450495999998</v>
      </c>
      <c r="J22" s="3">
        <f t="shared" ref="J22:J27" si="30">I22*0.96</f>
        <v>0.3188107247616</v>
      </c>
      <c r="K22" s="3">
        <f t="shared" ref="K22:K33" si="31">J22*0.96</f>
        <v>0.30605829577113597</v>
      </c>
      <c r="L22" s="3">
        <f t="shared" ref="L22:L33" si="32">K22*0.96</f>
        <v>0.29381596394029053</v>
      </c>
      <c r="M22" s="112">
        <f t="shared" ref="M22:T22" si="33">L22*0.98</f>
        <v>0.28793964466148469</v>
      </c>
      <c r="N22" s="112">
        <f t="shared" si="33"/>
        <v>0.28218085176825497</v>
      </c>
      <c r="O22" s="112">
        <f t="shared" si="33"/>
        <v>0.27653723473288988</v>
      </c>
      <c r="P22" s="112">
        <f t="shared" si="33"/>
        <v>0.27100649003823207</v>
      </c>
      <c r="Q22" s="112">
        <f t="shared" si="33"/>
        <v>0.2655863602374674</v>
      </c>
      <c r="R22" s="112">
        <f t="shared" si="33"/>
        <v>0.26027463303271803</v>
      </c>
      <c r="S22" s="112">
        <f t="shared" si="33"/>
        <v>0.25506914037206369</v>
      </c>
      <c r="T22" s="128">
        <f t="shared" si="33"/>
        <v>0.24996775756462242</v>
      </c>
    </row>
    <row r="23" spans="1:20" x14ac:dyDescent="0.35">
      <c r="A23" s="235"/>
      <c r="B23" s="5" t="s">
        <v>3</v>
      </c>
      <c r="C23" s="116">
        <v>2</v>
      </c>
      <c r="D23" s="119" t="s">
        <v>2</v>
      </c>
      <c r="E23" s="6">
        <f>$E$27*C23</f>
        <v>0.34</v>
      </c>
      <c r="F23" s="6">
        <f t="shared" ref="F23:J28" si="34">E23*0.96</f>
        <v>0.32640000000000002</v>
      </c>
      <c r="G23" s="6">
        <f t="shared" si="34"/>
        <v>0.31334400000000001</v>
      </c>
      <c r="H23" s="6">
        <f t="shared" si="28"/>
        <v>0.30081024000000001</v>
      </c>
      <c r="I23" s="6">
        <f t="shared" si="29"/>
        <v>0.28877783039999999</v>
      </c>
      <c r="J23" s="6">
        <f t="shared" si="30"/>
        <v>0.27722671718399999</v>
      </c>
      <c r="K23" s="6">
        <f t="shared" si="31"/>
        <v>0.26613764849664001</v>
      </c>
      <c r="L23" s="6">
        <f t="shared" si="32"/>
        <v>0.25549214255677438</v>
      </c>
      <c r="M23" s="113">
        <f t="shared" ref="M23:T23" si="35">L23*0.98</f>
        <v>0.25038229970563891</v>
      </c>
      <c r="N23" s="113">
        <f t="shared" si="35"/>
        <v>0.24537465371152614</v>
      </c>
      <c r="O23" s="113">
        <f t="shared" si="35"/>
        <v>0.24046716063729562</v>
      </c>
      <c r="P23" s="113">
        <f t="shared" si="35"/>
        <v>0.23565781742454969</v>
      </c>
      <c r="Q23" s="113">
        <f t="shared" si="35"/>
        <v>0.23094466107605868</v>
      </c>
      <c r="R23" s="113">
        <f t="shared" si="35"/>
        <v>0.22632576785453751</v>
      </c>
      <c r="S23" s="113">
        <f t="shared" si="35"/>
        <v>0.22179925249744675</v>
      </c>
      <c r="T23" s="126">
        <f t="shared" si="35"/>
        <v>0.21736326744749782</v>
      </c>
    </row>
    <row r="24" spans="1:20" x14ac:dyDescent="0.35">
      <c r="A24" s="235"/>
      <c r="B24" s="5" t="s">
        <v>4</v>
      </c>
      <c r="C24" s="116">
        <v>1.5</v>
      </c>
      <c r="D24" s="119" t="s">
        <v>5</v>
      </c>
      <c r="E24" s="6">
        <f>$E$27*C24</f>
        <v>0.255</v>
      </c>
      <c r="F24" s="6">
        <f t="shared" si="34"/>
        <v>0.24479999999999999</v>
      </c>
      <c r="G24" s="6">
        <f t="shared" si="34"/>
        <v>0.23500799999999999</v>
      </c>
      <c r="H24" s="6">
        <f t="shared" si="28"/>
        <v>0.22560767999999998</v>
      </c>
      <c r="I24" s="6">
        <f t="shared" si="29"/>
        <v>0.21658337279999998</v>
      </c>
      <c r="J24" s="6">
        <f t="shared" si="30"/>
        <v>0.20792003788799998</v>
      </c>
      <c r="K24" s="6">
        <f t="shared" si="31"/>
        <v>0.19960323637247998</v>
      </c>
      <c r="L24" s="6">
        <f t="shared" si="32"/>
        <v>0.19161910691758077</v>
      </c>
      <c r="M24" s="113">
        <f t="shared" ref="M24:T24" si="36">L24*0.98</f>
        <v>0.18778672477922914</v>
      </c>
      <c r="N24" s="113">
        <f t="shared" si="36"/>
        <v>0.18403099028364456</v>
      </c>
      <c r="O24" s="113">
        <f t="shared" si="36"/>
        <v>0.18035037047797167</v>
      </c>
      <c r="P24" s="113">
        <f t="shared" si="36"/>
        <v>0.17674336306841223</v>
      </c>
      <c r="Q24" s="113">
        <f t="shared" si="36"/>
        <v>0.17320849580704398</v>
      </c>
      <c r="R24" s="113">
        <f t="shared" si="36"/>
        <v>0.1697443258909031</v>
      </c>
      <c r="S24" s="113">
        <f t="shared" si="36"/>
        <v>0.16634943937308505</v>
      </c>
      <c r="T24" s="126">
        <f t="shared" si="36"/>
        <v>0.16302245058562334</v>
      </c>
    </row>
    <row r="25" spans="1:20" x14ac:dyDescent="0.35">
      <c r="A25" s="235"/>
      <c r="B25" s="5" t="s">
        <v>6</v>
      </c>
      <c r="C25" s="116">
        <v>1.25</v>
      </c>
      <c r="D25" s="119" t="s">
        <v>5</v>
      </c>
      <c r="E25" s="6">
        <f>$E$27*C25</f>
        <v>0.21250000000000002</v>
      </c>
      <c r="F25" s="6">
        <f t="shared" si="34"/>
        <v>0.20400000000000001</v>
      </c>
      <c r="G25" s="6">
        <f t="shared" si="34"/>
        <v>0.19584000000000001</v>
      </c>
      <c r="H25" s="6">
        <f t="shared" si="28"/>
        <v>0.18800640000000002</v>
      </c>
      <c r="I25" s="6">
        <f t="shared" si="29"/>
        <v>0.18048614400000002</v>
      </c>
      <c r="J25" s="6">
        <f t="shared" si="30"/>
        <v>0.17326669824000002</v>
      </c>
      <c r="K25" s="6">
        <f t="shared" si="31"/>
        <v>0.16633603031040001</v>
      </c>
      <c r="L25" s="6">
        <f t="shared" si="32"/>
        <v>0.159682589097984</v>
      </c>
      <c r="M25" s="113">
        <f t="shared" ref="M25:T25" si="37">L25*0.98</f>
        <v>0.15648893731602431</v>
      </c>
      <c r="N25" s="113">
        <f t="shared" si="37"/>
        <v>0.15335915856970384</v>
      </c>
      <c r="O25" s="113">
        <f t="shared" si="37"/>
        <v>0.15029197539830977</v>
      </c>
      <c r="P25" s="113">
        <f t="shared" si="37"/>
        <v>0.14728613589034356</v>
      </c>
      <c r="Q25" s="113">
        <f t="shared" si="37"/>
        <v>0.14434041317253668</v>
      </c>
      <c r="R25" s="113">
        <f t="shared" si="37"/>
        <v>0.14145360490908596</v>
      </c>
      <c r="S25" s="113">
        <f t="shared" si="37"/>
        <v>0.13862453281090423</v>
      </c>
      <c r="T25" s="126">
        <f t="shared" si="37"/>
        <v>0.13585204215468613</v>
      </c>
    </row>
    <row r="26" spans="1:20" x14ac:dyDescent="0.35">
      <c r="A26" s="235"/>
      <c r="B26" s="5" t="s">
        <v>7</v>
      </c>
      <c r="C26" s="116">
        <v>1.1000000000000001</v>
      </c>
      <c r="D26" s="119" t="s">
        <v>5</v>
      </c>
      <c r="E26" s="6">
        <f>$E$27*C26</f>
        <v>0.18700000000000003</v>
      </c>
      <c r="F26" s="6">
        <f t="shared" si="34"/>
        <v>0.17952000000000001</v>
      </c>
      <c r="G26" s="6">
        <f t="shared" si="34"/>
        <v>0.1723392</v>
      </c>
      <c r="H26" s="6">
        <f t="shared" si="28"/>
        <v>0.16544563199999998</v>
      </c>
      <c r="I26" s="6">
        <f t="shared" si="29"/>
        <v>0.15882780671999996</v>
      </c>
      <c r="J26" s="6">
        <f t="shared" si="30"/>
        <v>0.15247469445119996</v>
      </c>
      <c r="K26" s="6">
        <f t="shared" si="31"/>
        <v>0.14637570667315195</v>
      </c>
      <c r="L26" s="6">
        <f t="shared" si="32"/>
        <v>0.14052067840622587</v>
      </c>
      <c r="M26" s="113">
        <f t="shared" ref="M26:T26" si="38">L26*0.98</f>
        <v>0.13771026483810134</v>
      </c>
      <c r="N26" s="113">
        <f t="shared" si="38"/>
        <v>0.1349560595413393</v>
      </c>
      <c r="O26" s="113">
        <f t="shared" si="38"/>
        <v>0.1322569383505125</v>
      </c>
      <c r="P26" s="113">
        <f t="shared" si="38"/>
        <v>0.12961179958350225</v>
      </c>
      <c r="Q26" s="113">
        <f t="shared" si="38"/>
        <v>0.1270195635918322</v>
      </c>
      <c r="R26" s="113">
        <f t="shared" si="38"/>
        <v>0.12447917231999556</v>
      </c>
      <c r="S26" s="113">
        <f t="shared" si="38"/>
        <v>0.12198958887359565</v>
      </c>
      <c r="T26" s="126">
        <f t="shared" si="38"/>
        <v>0.11954979709612373</v>
      </c>
    </row>
    <row r="27" spans="1:20" ht="15" thickBot="1" x14ac:dyDescent="0.4">
      <c r="A27" s="236"/>
      <c r="B27" s="8" t="s">
        <v>8</v>
      </c>
      <c r="C27" s="117">
        <v>1</v>
      </c>
      <c r="D27" s="120" t="s">
        <v>5</v>
      </c>
      <c r="E27" s="9">
        <v>0.17</v>
      </c>
      <c r="F27" s="9">
        <f t="shared" si="34"/>
        <v>0.16320000000000001</v>
      </c>
      <c r="G27" s="9">
        <f t="shared" si="34"/>
        <v>0.15667200000000001</v>
      </c>
      <c r="H27" s="9">
        <f t="shared" si="28"/>
        <v>0.15040512</v>
      </c>
      <c r="I27" s="9">
        <f t="shared" si="29"/>
        <v>0.1443889152</v>
      </c>
      <c r="J27" s="9">
        <f t="shared" si="30"/>
        <v>0.138613358592</v>
      </c>
      <c r="K27" s="9">
        <f t="shared" si="31"/>
        <v>0.13306882424832001</v>
      </c>
      <c r="L27" s="9">
        <f t="shared" si="32"/>
        <v>0.12774607127838719</v>
      </c>
      <c r="M27" s="121">
        <f t="shared" ref="M27:T27" si="39">L27*0.98</f>
        <v>0.12519114985281946</v>
      </c>
      <c r="N27" s="121">
        <f t="shared" si="39"/>
        <v>0.12268732685576307</v>
      </c>
      <c r="O27" s="121">
        <f t="shared" si="39"/>
        <v>0.12023358031864781</v>
      </c>
      <c r="P27" s="121">
        <f t="shared" si="39"/>
        <v>0.11782890871227485</v>
      </c>
      <c r="Q27" s="121">
        <f t="shared" si="39"/>
        <v>0.11547233053802934</v>
      </c>
      <c r="R27" s="121">
        <f t="shared" si="39"/>
        <v>0.11316288392726875</v>
      </c>
      <c r="S27" s="121">
        <f t="shared" si="39"/>
        <v>0.11089962624872338</v>
      </c>
      <c r="T27" s="129">
        <f t="shared" si="39"/>
        <v>0.10868163372374891</v>
      </c>
    </row>
    <row r="28" spans="1:20" ht="15" customHeight="1" x14ac:dyDescent="0.35">
      <c r="A28" s="237" t="s">
        <v>140</v>
      </c>
      <c r="B28" s="2" t="s">
        <v>9</v>
      </c>
      <c r="C28" s="115">
        <v>2.2999999999999998</v>
      </c>
      <c r="D28" s="118" t="s">
        <v>2</v>
      </c>
      <c r="E28" s="122">
        <f>$E$33*C28</f>
        <v>0.32862399999999997</v>
      </c>
      <c r="F28" s="3">
        <f>E28*0.96</f>
        <v>0.31547903999999999</v>
      </c>
      <c r="G28" s="3">
        <f t="shared" si="34"/>
        <v>0.3028598784</v>
      </c>
      <c r="H28" s="3">
        <f t="shared" si="34"/>
        <v>0.29074548326400002</v>
      </c>
      <c r="I28" s="3">
        <f t="shared" si="34"/>
        <v>0.27911566393344001</v>
      </c>
      <c r="J28" s="3">
        <f t="shared" si="34"/>
        <v>0.26795103737610237</v>
      </c>
      <c r="K28" s="3">
        <f t="shared" si="31"/>
        <v>0.25723299588105825</v>
      </c>
      <c r="L28" s="3">
        <f t="shared" si="32"/>
        <v>0.24694367604581591</v>
      </c>
      <c r="M28" s="112">
        <f t="shared" ref="M28:T28" si="40">L28*0.98</f>
        <v>0.24200480252489959</v>
      </c>
      <c r="N28" s="112">
        <f t="shared" si="40"/>
        <v>0.2371647064744016</v>
      </c>
      <c r="O28" s="112">
        <f t="shared" si="40"/>
        <v>0.23242141234491356</v>
      </c>
      <c r="P28" s="112">
        <f t="shared" si="40"/>
        <v>0.2277729840980153</v>
      </c>
      <c r="Q28" s="112">
        <f t="shared" si="40"/>
        <v>0.223217524416055</v>
      </c>
      <c r="R28" s="112">
        <f t="shared" si="40"/>
        <v>0.21875317392773388</v>
      </c>
      <c r="S28" s="112">
        <f t="shared" si="40"/>
        <v>0.2143781104491792</v>
      </c>
      <c r="T28" s="128">
        <f t="shared" si="40"/>
        <v>0.21009054824019563</v>
      </c>
    </row>
    <row r="29" spans="1:20" x14ac:dyDescent="0.35">
      <c r="A29" s="235"/>
      <c r="B29" s="5" t="s">
        <v>3</v>
      </c>
      <c r="C29" s="116">
        <v>2</v>
      </c>
      <c r="D29" s="119" t="s">
        <v>2</v>
      </c>
      <c r="E29" s="19">
        <f>$E$33*C29</f>
        <v>0.28576000000000001</v>
      </c>
      <c r="F29" s="6">
        <f t="shared" ref="F29:J33" si="41">E29*0.96</f>
        <v>0.27432960000000001</v>
      </c>
      <c r="G29" s="6">
        <f t="shared" si="41"/>
        <v>0.26335641599999998</v>
      </c>
      <c r="H29" s="6">
        <f t="shared" si="41"/>
        <v>0.25282215935999997</v>
      </c>
      <c r="I29" s="6">
        <f t="shared" si="41"/>
        <v>0.24270927298559997</v>
      </c>
      <c r="J29" s="6">
        <f t="shared" si="41"/>
        <v>0.23300090206617596</v>
      </c>
      <c r="K29" s="6">
        <f t="shared" si="31"/>
        <v>0.2236808659835289</v>
      </c>
      <c r="L29" s="6">
        <f t="shared" si="32"/>
        <v>0.21473363134418774</v>
      </c>
      <c r="M29" s="113">
        <f t="shared" ref="M29:T29" si="42">L29*0.98</f>
        <v>0.21043895871730398</v>
      </c>
      <c r="N29" s="113">
        <f t="shared" si="42"/>
        <v>0.20623017954295789</v>
      </c>
      <c r="O29" s="113">
        <f t="shared" si="42"/>
        <v>0.20210557595209871</v>
      </c>
      <c r="P29" s="113">
        <f t="shared" si="42"/>
        <v>0.19806346443305672</v>
      </c>
      <c r="Q29" s="113">
        <f t="shared" si="42"/>
        <v>0.19410219514439558</v>
      </c>
      <c r="R29" s="113">
        <f t="shared" si="42"/>
        <v>0.19022015124150768</v>
      </c>
      <c r="S29" s="113">
        <f t="shared" si="42"/>
        <v>0.18641574821667753</v>
      </c>
      <c r="T29" s="126">
        <f t="shared" si="42"/>
        <v>0.18268743325234399</v>
      </c>
    </row>
    <row r="30" spans="1:20" x14ac:dyDescent="0.35">
      <c r="A30" s="235"/>
      <c r="B30" s="5" t="s">
        <v>4</v>
      </c>
      <c r="C30" s="116">
        <v>1.5</v>
      </c>
      <c r="D30" s="119" t="s">
        <v>5</v>
      </c>
      <c r="E30" s="19">
        <f>$E$33*C30</f>
        <v>0.21432000000000001</v>
      </c>
      <c r="F30" s="6">
        <f t="shared" si="41"/>
        <v>0.20574719999999999</v>
      </c>
      <c r="G30" s="6">
        <f t="shared" si="41"/>
        <v>0.19751731199999997</v>
      </c>
      <c r="H30" s="6">
        <f t="shared" si="41"/>
        <v>0.18961661951999997</v>
      </c>
      <c r="I30" s="6">
        <f t="shared" si="41"/>
        <v>0.18203195473919997</v>
      </c>
      <c r="J30" s="6">
        <f t="shared" si="41"/>
        <v>0.17475067654963197</v>
      </c>
      <c r="K30" s="6">
        <f t="shared" si="31"/>
        <v>0.16776064948764668</v>
      </c>
      <c r="L30" s="6">
        <f t="shared" si="32"/>
        <v>0.1610502235081408</v>
      </c>
      <c r="M30" s="113">
        <f>L30*0.98</f>
        <v>0.15782921903797797</v>
      </c>
      <c r="N30" s="113">
        <f t="shared" ref="N30:T30" si="43">M30*0.98</f>
        <v>0.15467263465721842</v>
      </c>
      <c r="O30" s="113">
        <f t="shared" si="43"/>
        <v>0.15157918196407405</v>
      </c>
      <c r="P30" s="113">
        <f t="shared" si="43"/>
        <v>0.14854759832479256</v>
      </c>
      <c r="Q30" s="113">
        <f t="shared" si="43"/>
        <v>0.1455766463582967</v>
      </c>
      <c r="R30" s="113">
        <f t="shared" si="43"/>
        <v>0.14266511343113075</v>
      </c>
      <c r="S30" s="113">
        <f t="shared" si="43"/>
        <v>0.13981181116250813</v>
      </c>
      <c r="T30" s="126">
        <f t="shared" si="43"/>
        <v>0.13701557493925795</v>
      </c>
    </row>
    <row r="31" spans="1:20" x14ac:dyDescent="0.35">
      <c r="A31" s="235"/>
      <c r="B31" s="5" t="s">
        <v>6</v>
      </c>
      <c r="C31" s="116">
        <v>1.25</v>
      </c>
      <c r="D31" s="119" t="s">
        <v>5</v>
      </c>
      <c r="E31" s="19">
        <f>$E$33*C31</f>
        <v>0.17860000000000001</v>
      </c>
      <c r="F31" s="6">
        <f t="shared" si="41"/>
        <v>0.171456</v>
      </c>
      <c r="G31" s="6">
        <f t="shared" si="41"/>
        <v>0.16459775999999998</v>
      </c>
      <c r="H31" s="6">
        <f t="shared" si="41"/>
        <v>0.15801384959999998</v>
      </c>
      <c r="I31" s="6">
        <f t="shared" si="41"/>
        <v>0.15169329561599998</v>
      </c>
      <c r="J31" s="6">
        <f t="shared" si="41"/>
        <v>0.14562556379135996</v>
      </c>
      <c r="K31" s="6">
        <f t="shared" si="31"/>
        <v>0.13980054123970556</v>
      </c>
      <c r="L31" s="6">
        <f t="shared" si="32"/>
        <v>0.13420851959011734</v>
      </c>
      <c r="M31" s="113">
        <f>L31*0.98</f>
        <v>0.13152434919831499</v>
      </c>
      <c r="N31" s="113">
        <f t="shared" ref="N31:T31" si="44">M31*0.98</f>
        <v>0.12889386221434868</v>
      </c>
      <c r="O31" s="113">
        <f t="shared" si="44"/>
        <v>0.12631598497006169</v>
      </c>
      <c r="P31" s="113">
        <f t="shared" si="44"/>
        <v>0.12378966527066046</v>
      </c>
      <c r="Q31" s="113">
        <f t="shared" si="44"/>
        <v>0.12131387196524725</v>
      </c>
      <c r="R31" s="113">
        <f t="shared" si="44"/>
        <v>0.1188875945259423</v>
      </c>
      <c r="S31" s="113">
        <f t="shared" si="44"/>
        <v>0.11650984263542345</v>
      </c>
      <c r="T31" s="126">
        <f t="shared" si="44"/>
        <v>0.11417964578271499</v>
      </c>
    </row>
    <row r="32" spans="1:20" x14ac:dyDescent="0.35">
      <c r="A32" s="235"/>
      <c r="B32" s="5" t="s">
        <v>7</v>
      </c>
      <c r="C32" s="116">
        <v>1.1000000000000001</v>
      </c>
      <c r="D32" s="119" t="s">
        <v>5</v>
      </c>
      <c r="E32" s="19">
        <f>$E$33*C32</f>
        <v>0.15716800000000003</v>
      </c>
      <c r="F32" s="6">
        <f t="shared" si="41"/>
        <v>0.15088128000000003</v>
      </c>
      <c r="G32" s="6">
        <f t="shared" si="41"/>
        <v>0.14484602880000003</v>
      </c>
      <c r="H32" s="6">
        <f t="shared" si="41"/>
        <v>0.13905218764800001</v>
      </c>
      <c r="I32" s="6">
        <f t="shared" si="41"/>
        <v>0.13349010014208001</v>
      </c>
      <c r="J32" s="6">
        <f t="shared" si="41"/>
        <v>0.12815049613639681</v>
      </c>
      <c r="K32" s="6">
        <f t="shared" si="31"/>
        <v>0.12302447629094093</v>
      </c>
      <c r="L32" s="6">
        <f t="shared" si="32"/>
        <v>0.11810349723930329</v>
      </c>
      <c r="M32" s="113">
        <f>L32*0.98</f>
        <v>0.11574142729451722</v>
      </c>
      <c r="N32" s="113">
        <f t="shared" ref="N32:T32" si="45">M32*0.98</f>
        <v>0.11342659874862687</v>
      </c>
      <c r="O32" s="113">
        <f t="shared" si="45"/>
        <v>0.11115806677365433</v>
      </c>
      <c r="P32" s="113">
        <f t="shared" si="45"/>
        <v>0.10893490543818124</v>
      </c>
      <c r="Q32" s="113">
        <f t="shared" si="45"/>
        <v>0.10675620732941761</v>
      </c>
      <c r="R32" s="113">
        <f t="shared" si="45"/>
        <v>0.10462108318282926</v>
      </c>
      <c r="S32" s="113">
        <f t="shared" si="45"/>
        <v>0.10252866151917267</v>
      </c>
      <c r="T32" s="126">
        <f t="shared" si="45"/>
        <v>0.10047808828878922</v>
      </c>
    </row>
    <row r="33" spans="1:20" ht="15" thickBot="1" x14ac:dyDescent="0.4">
      <c r="A33" s="236"/>
      <c r="B33" s="8" t="s">
        <v>8</v>
      </c>
      <c r="C33" s="117">
        <v>1</v>
      </c>
      <c r="D33" s="120" t="s">
        <v>5</v>
      </c>
      <c r="E33" s="9">
        <v>0.14288000000000001</v>
      </c>
      <c r="F33" s="9">
        <f t="shared" si="41"/>
        <v>0.1371648</v>
      </c>
      <c r="G33" s="9">
        <f t="shared" si="41"/>
        <v>0.13167820799999999</v>
      </c>
      <c r="H33" s="9">
        <f t="shared" si="41"/>
        <v>0.12641107967999998</v>
      </c>
      <c r="I33" s="9">
        <f t="shared" si="41"/>
        <v>0.12135463649279998</v>
      </c>
      <c r="J33" s="9">
        <f t="shared" si="41"/>
        <v>0.11650045103308798</v>
      </c>
      <c r="K33" s="9">
        <f t="shared" si="31"/>
        <v>0.11184043299176445</v>
      </c>
      <c r="L33" s="9">
        <f t="shared" si="32"/>
        <v>0.10736681567209387</v>
      </c>
      <c r="M33" s="121">
        <f>L33*0.98</f>
        <v>0.10521947935865199</v>
      </c>
      <c r="N33" s="121">
        <f t="shared" ref="N33:T33" si="46">M33*0.98</f>
        <v>0.10311508977147894</v>
      </c>
      <c r="O33" s="121">
        <f t="shared" si="46"/>
        <v>0.10105278797604936</v>
      </c>
      <c r="P33" s="121">
        <f t="shared" si="46"/>
        <v>9.9031732216528362E-2</v>
      </c>
      <c r="Q33" s="121">
        <f t="shared" si="46"/>
        <v>9.7051097572197792E-2</v>
      </c>
      <c r="R33" s="121">
        <f t="shared" si="46"/>
        <v>9.5110075620753839E-2</v>
      </c>
      <c r="S33" s="121">
        <f t="shared" si="46"/>
        <v>9.3207874108338765E-2</v>
      </c>
      <c r="T33" s="129">
        <f t="shared" si="46"/>
        <v>9.1343716626171995E-2</v>
      </c>
    </row>
    <row r="34" spans="1:20" x14ac:dyDescent="0.35">
      <c r="A34" s="20" t="s">
        <v>31</v>
      </c>
    </row>
    <row r="35" spans="1:20" ht="111" customHeight="1" x14ac:dyDescent="0.35">
      <c r="A35" s="232" t="s">
        <v>109</v>
      </c>
      <c r="B35" s="232"/>
      <c r="C35" s="232"/>
      <c r="D35" s="232"/>
      <c r="E35" s="232"/>
      <c r="F35" s="232"/>
      <c r="G35" s="232"/>
      <c r="H35" s="232"/>
      <c r="I35" s="232"/>
      <c r="J35" s="232"/>
      <c r="K35" s="232"/>
      <c r="L35" s="232"/>
    </row>
    <row r="36" spans="1:20" ht="31.5" customHeight="1" x14ac:dyDescent="0.35">
      <c r="A36" s="238" t="s">
        <v>152</v>
      </c>
      <c r="B36" s="238"/>
      <c r="C36" s="238"/>
      <c r="D36" s="238"/>
      <c r="E36" s="238"/>
      <c r="F36" s="238"/>
      <c r="G36" s="238"/>
      <c r="H36" s="238"/>
      <c r="I36" s="238"/>
      <c r="J36" s="238"/>
      <c r="K36" s="238"/>
      <c r="L36" s="238"/>
    </row>
    <row r="37" spans="1:20" ht="31.5" customHeight="1" x14ac:dyDescent="0.35">
      <c r="A37" s="232" t="s">
        <v>58</v>
      </c>
      <c r="B37" s="232"/>
      <c r="C37" s="232"/>
      <c r="D37" s="232"/>
      <c r="E37" s="232"/>
      <c r="F37" s="232"/>
      <c r="G37" s="232"/>
      <c r="H37" s="232"/>
      <c r="I37" s="232"/>
      <c r="J37" s="232"/>
      <c r="K37" s="232"/>
      <c r="L37" s="232"/>
    </row>
    <row r="38" spans="1:20" ht="75.75" customHeight="1" x14ac:dyDescent="0.35">
      <c r="A38" s="232" t="s">
        <v>59</v>
      </c>
      <c r="B38" s="232"/>
      <c r="C38" s="232"/>
      <c r="D38" s="232"/>
      <c r="E38" s="232"/>
      <c r="F38" s="232"/>
      <c r="G38" s="232"/>
      <c r="H38" s="232"/>
      <c r="I38" s="232"/>
      <c r="J38" s="232"/>
      <c r="K38" s="232"/>
      <c r="L38" s="232"/>
    </row>
    <row r="39" spans="1:20" ht="30" customHeight="1" x14ac:dyDescent="0.35">
      <c r="A39" s="248" t="s">
        <v>60</v>
      </c>
      <c r="B39" s="248"/>
      <c r="C39" s="248"/>
      <c r="D39" s="248"/>
      <c r="E39" s="248"/>
      <c r="F39" s="248"/>
      <c r="G39" s="248"/>
      <c r="H39" s="248"/>
      <c r="I39" s="248"/>
      <c r="J39" s="248"/>
      <c r="K39" s="248"/>
      <c r="L39" s="248"/>
    </row>
    <row r="40" spans="1:20" ht="76.5" customHeight="1" x14ac:dyDescent="0.35">
      <c r="A40" s="247" t="s">
        <v>63</v>
      </c>
      <c r="B40" s="247"/>
      <c r="C40" s="247"/>
      <c r="D40" s="247"/>
      <c r="E40" s="247"/>
      <c r="F40" s="247"/>
      <c r="G40" s="247"/>
      <c r="H40" s="247"/>
      <c r="I40" s="247"/>
      <c r="J40" s="247"/>
      <c r="K40" s="247"/>
      <c r="L40" s="247"/>
    </row>
    <row r="41" spans="1:20" ht="30.75" customHeight="1" x14ac:dyDescent="0.35">
      <c r="A41" s="247" t="s">
        <v>64</v>
      </c>
      <c r="B41" s="247"/>
      <c r="C41" s="247"/>
      <c r="D41" s="247"/>
      <c r="E41" s="247"/>
      <c r="F41" s="247"/>
      <c r="G41" s="247"/>
      <c r="H41" s="247"/>
      <c r="I41" s="247"/>
      <c r="J41" s="247"/>
      <c r="K41" s="247"/>
      <c r="L41" s="247"/>
    </row>
    <row r="42" spans="1:20" ht="31.5" customHeight="1" x14ac:dyDescent="0.35">
      <c r="A42" s="247" t="s">
        <v>144</v>
      </c>
      <c r="B42" s="247"/>
      <c r="C42" s="247"/>
      <c r="D42" s="247"/>
      <c r="E42" s="247"/>
      <c r="F42" s="247"/>
      <c r="G42" s="247"/>
      <c r="H42" s="247"/>
      <c r="I42" s="247"/>
      <c r="J42" s="247"/>
      <c r="K42" s="247"/>
      <c r="L42" s="247"/>
    </row>
    <row r="43" spans="1:20" ht="30" customHeight="1" x14ac:dyDescent="0.35">
      <c r="A43" s="247" t="s">
        <v>142</v>
      </c>
      <c r="B43" s="247"/>
      <c r="C43" s="247"/>
      <c r="D43" s="247"/>
      <c r="E43" s="247"/>
      <c r="F43" s="247"/>
      <c r="G43" s="247"/>
      <c r="H43" s="247"/>
      <c r="I43" s="247"/>
      <c r="J43" s="247"/>
      <c r="K43" s="247"/>
      <c r="L43" s="247"/>
    </row>
  </sheetData>
  <mergeCells count="17">
    <mergeCell ref="A43:L43"/>
    <mergeCell ref="A42:L42"/>
    <mergeCell ref="A39:L39"/>
    <mergeCell ref="A40:L40"/>
    <mergeCell ref="A41:L41"/>
    <mergeCell ref="A37:L37"/>
    <mergeCell ref="A38:L38"/>
    <mergeCell ref="A1:T2"/>
    <mergeCell ref="A22:A27"/>
    <mergeCell ref="A28:A33"/>
    <mergeCell ref="A35:L35"/>
    <mergeCell ref="A36:L36"/>
    <mergeCell ref="A4:A9"/>
    <mergeCell ref="A10:A15"/>
    <mergeCell ref="A16:A21"/>
    <mergeCell ref="M4:T9"/>
    <mergeCell ref="I16:T2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2"/>
  <sheetViews>
    <sheetView topLeftCell="A7" workbookViewId="0">
      <selection activeCell="F16" sqref="F16"/>
    </sheetView>
  </sheetViews>
  <sheetFormatPr defaultColWidth="9.1796875" defaultRowHeight="14.5" x14ac:dyDescent="0.35"/>
  <cols>
    <col min="1" max="1" width="21.81640625" style="1" customWidth="1"/>
    <col min="2" max="2" width="39.453125" style="1" bestFit="1" customWidth="1"/>
    <col min="3" max="3" width="14.453125" style="1" bestFit="1" customWidth="1"/>
    <col min="4" max="4" width="7.54296875" style="1" bestFit="1" customWidth="1"/>
    <col min="5" max="12" width="8.54296875" style="1" bestFit="1" customWidth="1"/>
    <col min="13" max="16384" width="9.1796875" style="1"/>
  </cols>
  <sheetData>
    <row r="1" spans="1:20" ht="15" customHeight="1" x14ac:dyDescent="0.35">
      <c r="A1" s="249" t="s">
        <v>141</v>
      </c>
      <c r="B1" s="249"/>
      <c r="C1" s="249"/>
      <c r="D1" s="249"/>
      <c r="E1" s="249"/>
      <c r="F1" s="249"/>
      <c r="G1" s="249"/>
      <c r="H1" s="249"/>
      <c r="I1" s="249"/>
      <c r="J1" s="249"/>
      <c r="K1" s="249"/>
      <c r="L1" s="249"/>
      <c r="M1" s="249"/>
      <c r="N1" s="249"/>
      <c r="O1" s="249"/>
      <c r="P1" s="249"/>
      <c r="Q1" s="249"/>
      <c r="R1" s="249"/>
      <c r="S1" s="249"/>
      <c r="T1" s="249"/>
    </row>
    <row r="2" spans="1:20" ht="15.75" customHeight="1" thickBot="1" x14ac:dyDescent="0.4">
      <c r="A2" s="250"/>
      <c r="B2" s="250"/>
      <c r="C2" s="250"/>
      <c r="D2" s="250"/>
      <c r="E2" s="250"/>
      <c r="F2" s="250"/>
      <c r="G2" s="250"/>
      <c r="H2" s="250"/>
      <c r="I2" s="250"/>
      <c r="J2" s="250"/>
      <c r="K2" s="250"/>
      <c r="L2" s="250"/>
      <c r="M2" s="250"/>
      <c r="N2" s="250"/>
      <c r="O2" s="250"/>
      <c r="P2" s="250"/>
      <c r="Q2" s="250"/>
      <c r="R2" s="250"/>
      <c r="S2" s="250"/>
      <c r="T2" s="250"/>
    </row>
    <row r="3" spans="1:20" ht="44" thickBot="1" x14ac:dyDescent="0.4">
      <c r="A3" s="150" t="s">
        <v>22</v>
      </c>
      <c r="B3" s="165" t="s">
        <v>0</v>
      </c>
      <c r="C3" s="165" t="s">
        <v>21</v>
      </c>
      <c r="D3" s="165" t="s">
        <v>1</v>
      </c>
      <c r="E3" s="166" t="s">
        <v>13</v>
      </c>
      <c r="F3" s="166" t="s">
        <v>14</v>
      </c>
      <c r="G3" s="166" t="s">
        <v>15</v>
      </c>
      <c r="H3" s="166" t="s">
        <v>16</v>
      </c>
      <c r="I3" s="166" t="s">
        <v>17</v>
      </c>
      <c r="J3" s="166" t="s">
        <v>18</v>
      </c>
      <c r="K3" s="166" t="s">
        <v>19</v>
      </c>
      <c r="L3" s="167" t="s">
        <v>20</v>
      </c>
      <c r="M3" s="98" t="s">
        <v>95</v>
      </c>
      <c r="N3" s="98" t="s">
        <v>96</v>
      </c>
      <c r="O3" s="98" t="s">
        <v>97</v>
      </c>
      <c r="P3" s="98" t="s">
        <v>98</v>
      </c>
      <c r="Q3" s="98" t="s">
        <v>99</v>
      </c>
      <c r="R3" s="98" t="s">
        <v>100</v>
      </c>
      <c r="S3" s="98" t="s">
        <v>101</v>
      </c>
      <c r="T3" s="168" t="s">
        <v>102</v>
      </c>
    </row>
    <row r="4" spans="1:20" ht="15" customHeight="1" x14ac:dyDescent="0.35">
      <c r="A4" s="237" t="s">
        <v>55</v>
      </c>
      <c r="B4" s="151" t="s">
        <v>9</v>
      </c>
      <c r="C4" s="160">
        <v>2.2999999999999998</v>
      </c>
      <c r="D4" s="156" t="s">
        <v>2</v>
      </c>
      <c r="E4" s="6">
        <f>$E$9*C4</f>
        <v>0.35794899999999996</v>
      </c>
      <c r="F4" s="3">
        <f t="shared" ref="F4:H9" si="0">E4*0.912</f>
        <v>0.32644948799999995</v>
      </c>
      <c r="G4" s="3">
        <f t="shared" si="0"/>
        <v>0.29772193305599998</v>
      </c>
      <c r="H4" s="4">
        <f t="shared" si="0"/>
        <v>0.27152240294707197</v>
      </c>
      <c r="I4" s="183">
        <f t="shared" ref="I4:I9" si="1">H4*0.923</f>
        <v>0.25061517792014743</v>
      </c>
      <c r="J4" s="183">
        <f t="shared" ref="J4:L4" si="2">I4*0.923</f>
        <v>0.23131780922029607</v>
      </c>
      <c r="K4" s="183">
        <f t="shared" si="2"/>
        <v>0.21350633791033327</v>
      </c>
      <c r="L4" s="183">
        <f t="shared" si="2"/>
        <v>0.19706634989123761</v>
      </c>
      <c r="M4" s="239" t="s">
        <v>23</v>
      </c>
      <c r="N4" s="240"/>
      <c r="O4" s="240"/>
      <c r="P4" s="240"/>
      <c r="Q4" s="240"/>
      <c r="R4" s="240"/>
      <c r="S4" s="240"/>
      <c r="T4" s="241"/>
    </row>
    <row r="5" spans="1:20" x14ac:dyDescent="0.35">
      <c r="A5" s="235"/>
      <c r="B5" s="152" t="s">
        <v>3</v>
      </c>
      <c r="C5" s="161">
        <v>2</v>
      </c>
      <c r="D5" s="157" t="s">
        <v>2</v>
      </c>
      <c r="E5" s="6">
        <f>$E$9*C5</f>
        <v>0.31125999999999998</v>
      </c>
      <c r="F5" s="6">
        <f t="shared" si="0"/>
        <v>0.28386911999999997</v>
      </c>
      <c r="G5" s="6">
        <f t="shared" si="0"/>
        <v>0.25888863744000001</v>
      </c>
      <c r="H5" s="7">
        <f t="shared" si="0"/>
        <v>0.23610643734528003</v>
      </c>
      <c r="I5" s="181">
        <f t="shared" si="1"/>
        <v>0.21792624166969349</v>
      </c>
      <c r="J5" s="181">
        <f t="shared" ref="J5:L5" si="3">I5*0.923</f>
        <v>0.20114592106112711</v>
      </c>
      <c r="K5" s="181">
        <f t="shared" si="3"/>
        <v>0.18565768513942033</v>
      </c>
      <c r="L5" s="181">
        <f t="shared" si="3"/>
        <v>0.17136204338368496</v>
      </c>
      <c r="M5" s="239"/>
      <c r="N5" s="242"/>
      <c r="O5" s="242"/>
      <c r="P5" s="242"/>
      <c r="Q5" s="242"/>
      <c r="R5" s="242"/>
      <c r="S5" s="242"/>
      <c r="T5" s="243"/>
    </row>
    <row r="6" spans="1:20" x14ac:dyDescent="0.35">
      <c r="A6" s="235"/>
      <c r="B6" s="152" t="s">
        <v>4</v>
      </c>
      <c r="C6" s="161">
        <v>1.5</v>
      </c>
      <c r="D6" s="157" t="s">
        <v>5</v>
      </c>
      <c r="E6" s="6">
        <f>$E$9*C6</f>
        <v>0.23344499999999999</v>
      </c>
      <c r="F6" s="6">
        <f t="shared" si="0"/>
        <v>0.21290183999999998</v>
      </c>
      <c r="G6" s="6">
        <f t="shared" si="0"/>
        <v>0.19416647807999998</v>
      </c>
      <c r="H6" s="7">
        <f t="shared" si="0"/>
        <v>0.17707982800895999</v>
      </c>
      <c r="I6" s="181">
        <f t="shared" si="1"/>
        <v>0.16344468125227007</v>
      </c>
      <c r="J6" s="181">
        <f t="shared" ref="J6:L6" si="4">I6*0.923</f>
        <v>0.15085944079584529</v>
      </c>
      <c r="K6" s="181">
        <f t="shared" si="4"/>
        <v>0.1392432638545652</v>
      </c>
      <c r="L6" s="181">
        <f t="shared" si="4"/>
        <v>0.12852153253776369</v>
      </c>
      <c r="M6" s="239"/>
      <c r="N6" s="242"/>
      <c r="O6" s="242"/>
      <c r="P6" s="242"/>
      <c r="Q6" s="242"/>
      <c r="R6" s="242"/>
      <c r="S6" s="242"/>
      <c r="T6" s="243"/>
    </row>
    <row r="7" spans="1:20" x14ac:dyDescent="0.35">
      <c r="A7" s="235"/>
      <c r="B7" s="152" t="s">
        <v>6</v>
      </c>
      <c r="C7" s="161">
        <v>1.25</v>
      </c>
      <c r="D7" s="157" t="s">
        <v>5</v>
      </c>
      <c r="E7" s="6">
        <f>$E$9*C7</f>
        <v>0.19453749999999997</v>
      </c>
      <c r="F7" s="6">
        <f t="shared" si="0"/>
        <v>0.17741819999999997</v>
      </c>
      <c r="G7" s="6">
        <f t="shared" si="0"/>
        <v>0.16180539839999997</v>
      </c>
      <c r="H7" s="7">
        <f t="shared" si="0"/>
        <v>0.14756652334079998</v>
      </c>
      <c r="I7" s="181">
        <f t="shared" si="1"/>
        <v>0.1362039010435584</v>
      </c>
      <c r="J7" s="181">
        <f t="shared" ref="J7:L7" si="5">I7*0.923</f>
        <v>0.12571620066320441</v>
      </c>
      <c r="K7" s="181">
        <f t="shared" si="5"/>
        <v>0.11603605321213767</v>
      </c>
      <c r="L7" s="181">
        <f t="shared" si="5"/>
        <v>0.10710127711480308</v>
      </c>
      <c r="M7" s="239"/>
      <c r="N7" s="242"/>
      <c r="O7" s="242"/>
      <c r="P7" s="242"/>
      <c r="Q7" s="242"/>
      <c r="R7" s="242"/>
      <c r="S7" s="242"/>
      <c r="T7" s="243"/>
    </row>
    <row r="8" spans="1:20" x14ac:dyDescent="0.35">
      <c r="A8" s="235"/>
      <c r="B8" s="152" t="s">
        <v>7</v>
      </c>
      <c r="C8" s="161">
        <v>1.1000000000000001</v>
      </c>
      <c r="D8" s="157" t="s">
        <v>5</v>
      </c>
      <c r="E8" s="6">
        <f>$E$9*C8</f>
        <v>0.17119300000000001</v>
      </c>
      <c r="F8" s="6">
        <f t="shared" si="0"/>
        <v>0.15612801600000001</v>
      </c>
      <c r="G8" s="6">
        <f>F8*0.912</f>
        <v>0.14238875059200001</v>
      </c>
      <c r="H8" s="7">
        <f>G8*0.912</f>
        <v>0.129858540539904</v>
      </c>
      <c r="I8" s="181">
        <f t="shared" si="1"/>
        <v>0.1198594329183314</v>
      </c>
      <c r="J8" s="181">
        <f t="shared" ref="J8:L8" si="6">I8*0.923</f>
        <v>0.11063025658361988</v>
      </c>
      <c r="K8" s="181">
        <f t="shared" si="6"/>
        <v>0.10211172682668115</v>
      </c>
      <c r="L8" s="181">
        <f t="shared" si="6"/>
        <v>9.4249123861026712E-2</v>
      </c>
      <c r="M8" s="239"/>
      <c r="N8" s="242"/>
      <c r="O8" s="242"/>
      <c r="P8" s="242"/>
      <c r="Q8" s="242"/>
      <c r="R8" s="242"/>
      <c r="S8" s="242"/>
      <c r="T8" s="243"/>
    </row>
    <row r="9" spans="1:20" ht="15" thickBot="1" x14ac:dyDescent="0.4">
      <c r="A9" s="236"/>
      <c r="B9" s="153" t="s">
        <v>8</v>
      </c>
      <c r="C9" s="162">
        <v>1</v>
      </c>
      <c r="D9" s="158" t="s">
        <v>5</v>
      </c>
      <c r="E9" s="9">
        <v>0.15562999999999999</v>
      </c>
      <c r="F9" s="9">
        <f t="shared" si="0"/>
        <v>0.14193455999999999</v>
      </c>
      <c r="G9" s="9">
        <f t="shared" si="0"/>
        <v>0.12944431872000001</v>
      </c>
      <c r="H9" s="10">
        <f t="shared" si="0"/>
        <v>0.11805321867264001</v>
      </c>
      <c r="I9" s="182">
        <f t="shared" si="1"/>
        <v>0.10896312083484674</v>
      </c>
      <c r="J9" s="182">
        <f t="shared" ref="J9:L9" si="7">I9*0.923</f>
        <v>0.10057296053056355</v>
      </c>
      <c r="K9" s="182">
        <f t="shared" si="7"/>
        <v>9.2828842569710163E-2</v>
      </c>
      <c r="L9" s="182">
        <f t="shared" si="7"/>
        <v>8.5681021691842482E-2</v>
      </c>
      <c r="M9" s="244"/>
      <c r="N9" s="245"/>
      <c r="O9" s="245"/>
      <c r="P9" s="245"/>
      <c r="Q9" s="245"/>
      <c r="R9" s="245"/>
      <c r="S9" s="245"/>
      <c r="T9" s="246"/>
    </row>
    <row r="10" spans="1:20" ht="15" customHeight="1" x14ac:dyDescent="0.35">
      <c r="A10" s="237" t="s">
        <v>57</v>
      </c>
      <c r="B10" s="151" t="s">
        <v>9</v>
      </c>
      <c r="C10" s="160">
        <v>2.2999999999999998</v>
      </c>
      <c r="D10" s="118" t="s">
        <v>2</v>
      </c>
      <c r="E10" s="3">
        <f>$E$15*C10</f>
        <v>0.35794899999999996</v>
      </c>
      <c r="F10" s="3">
        <f>E10*0.96</f>
        <v>0.34363103999999994</v>
      </c>
      <c r="G10" s="3">
        <f t="shared" ref="G10:L10" si="8">F10*0.96</f>
        <v>0.32988579839999993</v>
      </c>
      <c r="H10" s="3">
        <f t="shared" si="8"/>
        <v>0.31669036646399989</v>
      </c>
      <c r="I10" s="3">
        <f t="shared" si="8"/>
        <v>0.30402275180543986</v>
      </c>
      <c r="J10" s="3">
        <f t="shared" si="8"/>
        <v>0.29186184173322227</v>
      </c>
      <c r="K10" s="3">
        <f t="shared" si="8"/>
        <v>0.28018736806389338</v>
      </c>
      <c r="L10" s="3">
        <f t="shared" si="8"/>
        <v>0.26897987334133766</v>
      </c>
      <c r="M10" s="146">
        <f t="shared" ref="M10:M14" si="9">L10*0.96</f>
        <v>0.25822067840768415</v>
      </c>
      <c r="N10" s="3">
        <f t="shared" ref="N10:N15" si="10">M10*0.96</f>
        <v>0.24789185127137678</v>
      </c>
      <c r="O10" s="3">
        <f t="shared" ref="O10:O15" si="11">N10*0.96</f>
        <v>0.2379761772205217</v>
      </c>
      <c r="P10" s="3">
        <f t="shared" ref="P10:P15" si="12">O10*0.96</f>
        <v>0.22845713013170083</v>
      </c>
      <c r="Q10" s="3">
        <f t="shared" ref="Q10:Q15" si="13">P10*0.96</f>
        <v>0.21931884492643278</v>
      </c>
      <c r="R10" s="3">
        <f t="shared" ref="R10:R15" si="14">Q10*0.96</f>
        <v>0.21054609112937545</v>
      </c>
      <c r="S10" s="3">
        <f t="shared" ref="S10:S15" si="15">R10*0.96</f>
        <v>0.20212424748420041</v>
      </c>
      <c r="T10" s="18">
        <f t="shared" ref="T10:T15" si="16">S10*0.96</f>
        <v>0.19403927758483239</v>
      </c>
    </row>
    <row r="11" spans="1:20" x14ac:dyDescent="0.35">
      <c r="A11" s="235"/>
      <c r="B11" s="152" t="s">
        <v>3</v>
      </c>
      <c r="C11" s="161">
        <v>2</v>
      </c>
      <c r="D11" s="119" t="s">
        <v>2</v>
      </c>
      <c r="E11" s="6">
        <f>$E$15*C11</f>
        <v>0.31125999999999998</v>
      </c>
      <c r="F11" s="6">
        <f>E11*0.96</f>
        <v>0.29880959999999995</v>
      </c>
      <c r="G11" s="6">
        <f t="shared" ref="G11:L11" si="17">F11*0.96</f>
        <v>0.28685721599999997</v>
      </c>
      <c r="H11" s="6">
        <f t="shared" si="17"/>
        <v>0.27538292735999997</v>
      </c>
      <c r="I11" s="6">
        <f t="shared" si="17"/>
        <v>0.26436761026559996</v>
      </c>
      <c r="J11" s="6">
        <f t="shared" si="17"/>
        <v>0.25379290585497594</v>
      </c>
      <c r="K11" s="6">
        <f t="shared" si="17"/>
        <v>0.24364118962077688</v>
      </c>
      <c r="L11" s="6">
        <f t="shared" si="17"/>
        <v>0.23389554203594579</v>
      </c>
      <c r="M11" s="147">
        <f t="shared" si="9"/>
        <v>0.22453972035450795</v>
      </c>
      <c r="N11" s="6">
        <f t="shared" si="10"/>
        <v>0.21555813154032763</v>
      </c>
      <c r="O11" s="6">
        <f t="shared" si="11"/>
        <v>0.20693580627871452</v>
      </c>
      <c r="P11" s="6">
        <f t="shared" si="12"/>
        <v>0.19865837402756595</v>
      </c>
      <c r="Q11" s="6">
        <f t="shared" si="13"/>
        <v>0.19071203906646331</v>
      </c>
      <c r="R11" s="6">
        <f t="shared" si="14"/>
        <v>0.18308355750380476</v>
      </c>
      <c r="S11" s="6">
        <f t="shared" si="15"/>
        <v>0.17576021520365256</v>
      </c>
      <c r="T11" s="13">
        <f t="shared" si="16"/>
        <v>0.16872980659550646</v>
      </c>
    </row>
    <row r="12" spans="1:20" x14ac:dyDescent="0.35">
      <c r="A12" s="235"/>
      <c r="B12" s="152" t="s">
        <v>4</v>
      </c>
      <c r="C12" s="161">
        <v>1.5</v>
      </c>
      <c r="D12" s="119" t="s">
        <v>5</v>
      </c>
      <c r="E12" s="6">
        <f>$E$15*C12</f>
        <v>0.23344499999999999</v>
      </c>
      <c r="F12" s="6">
        <f t="shared" ref="F12:L15" si="18">E12*0.96</f>
        <v>0.22410719999999998</v>
      </c>
      <c r="G12" s="6">
        <f t="shared" si="18"/>
        <v>0.21514291199999996</v>
      </c>
      <c r="H12" s="6">
        <f t="shared" si="18"/>
        <v>0.20653719551999997</v>
      </c>
      <c r="I12" s="6">
        <f t="shared" si="18"/>
        <v>0.19827570769919997</v>
      </c>
      <c r="J12" s="6">
        <f t="shared" si="18"/>
        <v>0.19034467939123195</v>
      </c>
      <c r="K12" s="6">
        <f t="shared" si="18"/>
        <v>0.18273089221558267</v>
      </c>
      <c r="L12" s="6">
        <f t="shared" si="18"/>
        <v>0.17542165652695935</v>
      </c>
      <c r="M12" s="147">
        <f t="shared" si="9"/>
        <v>0.16840479026588095</v>
      </c>
      <c r="N12" s="6">
        <f t="shared" si="10"/>
        <v>0.16166859865524572</v>
      </c>
      <c r="O12" s="6">
        <f t="shared" si="11"/>
        <v>0.15520185470903589</v>
      </c>
      <c r="P12" s="6">
        <f t="shared" si="12"/>
        <v>0.14899378052067444</v>
      </c>
      <c r="Q12" s="6">
        <f t="shared" si="13"/>
        <v>0.14303402929984746</v>
      </c>
      <c r="R12" s="6">
        <f t="shared" si="14"/>
        <v>0.13731266812785356</v>
      </c>
      <c r="S12" s="6">
        <f t="shared" si="15"/>
        <v>0.13182016140273942</v>
      </c>
      <c r="T12" s="13">
        <f t="shared" si="16"/>
        <v>0.12654735494662983</v>
      </c>
    </row>
    <row r="13" spans="1:20" x14ac:dyDescent="0.35">
      <c r="A13" s="235"/>
      <c r="B13" s="152" t="s">
        <v>6</v>
      </c>
      <c r="C13" s="161">
        <v>1.25</v>
      </c>
      <c r="D13" s="119" t="s">
        <v>5</v>
      </c>
      <c r="E13" s="6">
        <f>$E$15*C13</f>
        <v>0.19453749999999997</v>
      </c>
      <c r="F13" s="6">
        <f t="shared" si="18"/>
        <v>0.18675599999999998</v>
      </c>
      <c r="G13" s="6">
        <f t="shared" si="18"/>
        <v>0.17928575999999996</v>
      </c>
      <c r="H13" s="6">
        <f t="shared" si="18"/>
        <v>0.17211432959999995</v>
      </c>
      <c r="I13" s="6">
        <f t="shared" si="18"/>
        <v>0.16522975641599993</v>
      </c>
      <c r="J13" s="6">
        <f t="shared" si="18"/>
        <v>0.15862056615935993</v>
      </c>
      <c r="K13" s="6">
        <f t="shared" si="18"/>
        <v>0.15227574351298553</v>
      </c>
      <c r="L13" s="6">
        <f t="shared" si="18"/>
        <v>0.14618471377246611</v>
      </c>
      <c r="M13" s="147">
        <f t="shared" si="9"/>
        <v>0.14033732522156747</v>
      </c>
      <c r="N13" s="6">
        <f t="shared" si="10"/>
        <v>0.13472383221270476</v>
      </c>
      <c r="O13" s="6">
        <f t="shared" si="11"/>
        <v>0.12933487892419657</v>
      </c>
      <c r="P13" s="6">
        <f t="shared" si="12"/>
        <v>0.1241614837672287</v>
      </c>
      <c r="Q13" s="6">
        <f t="shared" si="13"/>
        <v>0.11919502441653955</v>
      </c>
      <c r="R13" s="6">
        <f t="shared" si="14"/>
        <v>0.11442722343987796</v>
      </c>
      <c r="S13" s="6">
        <f t="shared" si="15"/>
        <v>0.10985013450228284</v>
      </c>
      <c r="T13" s="13">
        <f t="shared" si="16"/>
        <v>0.10545612912219153</v>
      </c>
    </row>
    <row r="14" spans="1:20" x14ac:dyDescent="0.35">
      <c r="A14" s="235"/>
      <c r="B14" s="152" t="s">
        <v>7</v>
      </c>
      <c r="C14" s="161">
        <v>1.1000000000000001</v>
      </c>
      <c r="D14" s="119" t="s">
        <v>5</v>
      </c>
      <c r="E14" s="6">
        <f>$E$15*C14</f>
        <v>0.17119300000000001</v>
      </c>
      <c r="F14" s="6">
        <f t="shared" si="18"/>
        <v>0.16434528000000001</v>
      </c>
      <c r="G14" s="6">
        <f t="shared" si="18"/>
        <v>0.15777146880000001</v>
      </c>
      <c r="H14" s="6">
        <f t="shared" si="18"/>
        <v>0.15146061004800002</v>
      </c>
      <c r="I14" s="6">
        <f t="shared" si="18"/>
        <v>0.14540218564608001</v>
      </c>
      <c r="J14" s="6">
        <f t="shared" si="18"/>
        <v>0.13958609822023679</v>
      </c>
      <c r="K14" s="6">
        <f t="shared" si="18"/>
        <v>0.13400265429142733</v>
      </c>
      <c r="L14" s="6">
        <f t="shared" si="18"/>
        <v>0.12864254811977022</v>
      </c>
      <c r="M14" s="147">
        <f t="shared" si="9"/>
        <v>0.1234968461949794</v>
      </c>
      <c r="N14" s="6">
        <f t="shared" si="10"/>
        <v>0.11855697234718023</v>
      </c>
      <c r="O14" s="6">
        <f t="shared" si="11"/>
        <v>0.11381469345329301</v>
      </c>
      <c r="P14" s="6">
        <f t="shared" si="12"/>
        <v>0.10926210571516129</v>
      </c>
      <c r="Q14" s="6">
        <f t="shared" si="13"/>
        <v>0.10489162148655483</v>
      </c>
      <c r="R14" s="6">
        <f t="shared" si="14"/>
        <v>0.10069595662709263</v>
      </c>
      <c r="S14" s="6">
        <f t="shared" si="15"/>
        <v>9.666811836200892E-2</v>
      </c>
      <c r="T14" s="13">
        <f t="shared" si="16"/>
        <v>9.2801393627528567E-2</v>
      </c>
    </row>
    <row r="15" spans="1:20" ht="15" thickBot="1" x14ac:dyDescent="0.4">
      <c r="A15" s="235"/>
      <c r="B15" s="154" t="s">
        <v>8</v>
      </c>
      <c r="C15" s="163">
        <v>1</v>
      </c>
      <c r="D15" s="120" t="s">
        <v>5</v>
      </c>
      <c r="E15" s="9">
        <v>0.15562999999999999</v>
      </c>
      <c r="F15" s="9">
        <f t="shared" si="18"/>
        <v>0.14940479999999998</v>
      </c>
      <c r="G15" s="9">
        <f t="shared" si="18"/>
        <v>0.14342860799999999</v>
      </c>
      <c r="H15" s="9">
        <f t="shared" si="18"/>
        <v>0.13769146367999999</v>
      </c>
      <c r="I15" s="9">
        <f t="shared" si="18"/>
        <v>0.13218380513279998</v>
      </c>
      <c r="J15" s="9">
        <f t="shared" si="18"/>
        <v>0.12689645292748797</v>
      </c>
      <c r="K15" s="9">
        <f t="shared" si="18"/>
        <v>0.12182059481038844</v>
      </c>
      <c r="L15" s="9">
        <f t="shared" si="18"/>
        <v>0.11694777101797289</v>
      </c>
      <c r="M15" s="148">
        <f>L15*0.96</f>
        <v>0.11226986017725397</v>
      </c>
      <c r="N15" s="9">
        <f t="shared" si="10"/>
        <v>0.10777906577016381</v>
      </c>
      <c r="O15" s="9">
        <f t="shared" si="11"/>
        <v>0.10346790313935726</v>
      </c>
      <c r="P15" s="9">
        <f t="shared" si="12"/>
        <v>9.9329187013782974E-2</v>
      </c>
      <c r="Q15" s="9">
        <f t="shared" si="13"/>
        <v>9.5356019533231653E-2</v>
      </c>
      <c r="R15" s="9">
        <f t="shared" si="14"/>
        <v>9.1541778751902378E-2</v>
      </c>
      <c r="S15" s="9">
        <f t="shared" si="15"/>
        <v>8.7880107601826282E-2</v>
      </c>
      <c r="T15" s="17">
        <f t="shared" si="16"/>
        <v>8.436490329775323E-2</v>
      </c>
    </row>
    <row r="16" spans="1:20" ht="15" customHeight="1" x14ac:dyDescent="0.35">
      <c r="A16" s="237" t="s">
        <v>56</v>
      </c>
      <c r="B16" s="151" t="s">
        <v>9</v>
      </c>
      <c r="C16" s="160">
        <v>2.2999999999999998</v>
      </c>
      <c r="D16" s="285" t="s">
        <v>2</v>
      </c>
      <c r="E16" s="3">
        <f>$E$21*C16</f>
        <v>0.39100000000000001</v>
      </c>
      <c r="F16" s="3">
        <f t="shared" ref="F16:F21" si="19">E16*0.84</f>
        <v>0.32844000000000001</v>
      </c>
      <c r="G16" s="3">
        <f t="shared" ref="G16" si="20">F16*0.84</f>
        <v>0.27588960000000001</v>
      </c>
      <c r="H16" s="18">
        <f t="shared" ref="H16" si="21">G16*0.84</f>
        <v>0.23174726400000001</v>
      </c>
      <c r="I16" s="290" t="s">
        <v>23</v>
      </c>
      <c r="J16" s="251"/>
      <c r="K16" s="251"/>
      <c r="L16" s="251"/>
      <c r="M16" s="251"/>
      <c r="N16" s="251"/>
      <c r="O16" s="251"/>
      <c r="P16" s="251"/>
      <c r="Q16" s="251"/>
      <c r="R16" s="251"/>
      <c r="S16" s="251"/>
      <c r="T16" s="291"/>
    </row>
    <row r="17" spans="1:20" x14ac:dyDescent="0.35">
      <c r="A17" s="235"/>
      <c r="B17" s="152" t="s">
        <v>3</v>
      </c>
      <c r="C17" s="161">
        <v>2</v>
      </c>
      <c r="D17" s="286" t="s">
        <v>2</v>
      </c>
      <c r="E17" s="6">
        <f>$E$21*C17</f>
        <v>0.34</v>
      </c>
      <c r="F17" s="11">
        <f t="shared" ref="F17:F21" si="22">E17*0.84</f>
        <v>0.28560000000000002</v>
      </c>
      <c r="G17" s="11">
        <f t="shared" ref="G17:G21" si="23">F17*0.84</f>
        <v>0.23990400000000001</v>
      </c>
      <c r="H17" s="12">
        <f t="shared" ref="H17:H21" si="24">G17*0.84</f>
        <v>0.20151936000000001</v>
      </c>
      <c r="I17" s="292"/>
      <c r="J17" s="252"/>
      <c r="K17" s="252"/>
      <c r="L17" s="252"/>
      <c r="M17" s="252"/>
      <c r="N17" s="252"/>
      <c r="O17" s="252"/>
      <c r="P17" s="252"/>
      <c r="Q17" s="252"/>
      <c r="R17" s="252"/>
      <c r="S17" s="252"/>
      <c r="T17" s="293"/>
    </row>
    <row r="18" spans="1:20" x14ac:dyDescent="0.35">
      <c r="A18" s="235"/>
      <c r="B18" s="152" t="s">
        <v>4</v>
      </c>
      <c r="C18" s="161">
        <v>1.5</v>
      </c>
      <c r="D18" s="286" t="s">
        <v>5</v>
      </c>
      <c r="E18" s="6">
        <f>$E$21*C18</f>
        <v>0.255</v>
      </c>
      <c r="F18" s="11">
        <f t="shared" si="22"/>
        <v>0.2142</v>
      </c>
      <c r="G18" s="11">
        <f t="shared" si="23"/>
        <v>0.179928</v>
      </c>
      <c r="H18" s="12">
        <f t="shared" si="24"/>
        <v>0.15113952</v>
      </c>
      <c r="I18" s="292"/>
      <c r="J18" s="252"/>
      <c r="K18" s="252"/>
      <c r="L18" s="252"/>
      <c r="M18" s="252"/>
      <c r="N18" s="252"/>
      <c r="O18" s="252"/>
      <c r="P18" s="252"/>
      <c r="Q18" s="252"/>
      <c r="R18" s="252"/>
      <c r="S18" s="252"/>
      <c r="T18" s="293"/>
    </row>
    <row r="19" spans="1:20" x14ac:dyDescent="0.35">
      <c r="A19" s="235"/>
      <c r="B19" s="152" t="s">
        <v>6</v>
      </c>
      <c r="C19" s="161">
        <v>1.25</v>
      </c>
      <c r="D19" s="286" t="s">
        <v>5</v>
      </c>
      <c r="E19" s="6">
        <f>$E$21*C19</f>
        <v>0.21250000000000002</v>
      </c>
      <c r="F19" s="11">
        <f t="shared" si="22"/>
        <v>0.17850000000000002</v>
      </c>
      <c r="G19" s="11">
        <f t="shared" si="23"/>
        <v>0.14994000000000002</v>
      </c>
      <c r="H19" s="12">
        <f t="shared" si="24"/>
        <v>0.12594960000000002</v>
      </c>
      <c r="I19" s="292"/>
      <c r="J19" s="252"/>
      <c r="K19" s="252"/>
      <c r="L19" s="252"/>
      <c r="M19" s="252"/>
      <c r="N19" s="252"/>
      <c r="O19" s="252"/>
      <c r="P19" s="252"/>
      <c r="Q19" s="252"/>
      <c r="R19" s="252"/>
      <c r="S19" s="252"/>
      <c r="T19" s="293"/>
    </row>
    <row r="20" spans="1:20" x14ac:dyDescent="0.35">
      <c r="A20" s="235"/>
      <c r="B20" s="152" t="s">
        <v>7</v>
      </c>
      <c r="C20" s="161">
        <v>1.1000000000000001</v>
      </c>
      <c r="D20" s="286" t="s">
        <v>5</v>
      </c>
      <c r="E20" s="6">
        <f>$E$21*C20</f>
        <v>0.18700000000000003</v>
      </c>
      <c r="F20" s="11">
        <f t="shared" si="22"/>
        <v>0.15708000000000003</v>
      </c>
      <c r="G20" s="11">
        <f t="shared" si="23"/>
        <v>0.13194720000000001</v>
      </c>
      <c r="H20" s="12">
        <f t="shared" si="24"/>
        <v>0.11083564800000001</v>
      </c>
      <c r="I20" s="292"/>
      <c r="J20" s="252"/>
      <c r="K20" s="252"/>
      <c r="L20" s="252"/>
      <c r="M20" s="252"/>
      <c r="N20" s="252"/>
      <c r="O20" s="252"/>
      <c r="P20" s="252"/>
      <c r="Q20" s="252"/>
      <c r="R20" s="252"/>
      <c r="S20" s="252"/>
      <c r="T20" s="293"/>
    </row>
    <row r="21" spans="1:20" ht="15" thickBot="1" x14ac:dyDescent="0.4">
      <c r="A21" s="236"/>
      <c r="B21" s="153" t="s">
        <v>8</v>
      </c>
      <c r="C21" s="162">
        <v>1</v>
      </c>
      <c r="D21" s="287" t="s">
        <v>5</v>
      </c>
      <c r="E21" s="9">
        <v>0.17</v>
      </c>
      <c r="F21" s="288">
        <f t="shared" si="22"/>
        <v>0.14280000000000001</v>
      </c>
      <c r="G21" s="288">
        <f t="shared" si="23"/>
        <v>0.119952</v>
      </c>
      <c r="H21" s="289">
        <f t="shared" si="24"/>
        <v>0.10075968</v>
      </c>
      <c r="I21" s="294"/>
      <c r="J21" s="253"/>
      <c r="K21" s="253"/>
      <c r="L21" s="253"/>
      <c r="M21" s="253"/>
      <c r="N21" s="253"/>
      <c r="O21" s="253"/>
      <c r="P21" s="253"/>
      <c r="Q21" s="253"/>
      <c r="R21" s="253"/>
      <c r="S21" s="253"/>
      <c r="T21" s="295"/>
    </row>
    <row r="22" spans="1:20" ht="15" customHeight="1" x14ac:dyDescent="0.35">
      <c r="A22" s="235" t="s">
        <v>139</v>
      </c>
      <c r="B22" s="155" t="s">
        <v>9</v>
      </c>
      <c r="C22" s="164">
        <v>2.2999999999999998</v>
      </c>
      <c r="D22" s="159" t="s">
        <v>2</v>
      </c>
      <c r="E22" s="11">
        <f>$E$27*C22</f>
        <v>0.39100000000000001</v>
      </c>
      <c r="F22" s="11">
        <f>E22*0.96</f>
        <v>0.37536000000000003</v>
      </c>
      <c r="G22" s="11">
        <f t="shared" ref="G22:L22" si="25">F22*0.96</f>
        <v>0.36034559999999999</v>
      </c>
      <c r="H22" s="11">
        <f t="shared" si="25"/>
        <v>0.34593177599999997</v>
      </c>
      <c r="I22" s="11">
        <f t="shared" si="25"/>
        <v>0.33209450495999998</v>
      </c>
      <c r="J22" s="11">
        <f t="shared" si="25"/>
        <v>0.3188107247616</v>
      </c>
      <c r="K22" s="11">
        <f t="shared" si="25"/>
        <v>0.30605829577113597</v>
      </c>
      <c r="L22" s="11">
        <f t="shared" si="25"/>
        <v>0.29381596394029053</v>
      </c>
      <c r="M22" s="149">
        <f t="shared" ref="M22:M33" si="26">L22*0.96</f>
        <v>0.28206332538267892</v>
      </c>
      <c r="N22" s="11">
        <f t="shared" ref="N22:N33" si="27">M22*0.96</f>
        <v>0.27078079236737174</v>
      </c>
      <c r="O22" s="11">
        <f t="shared" ref="O22:O33" si="28">N22*0.96</f>
        <v>0.25994956067267688</v>
      </c>
      <c r="P22" s="11">
        <f t="shared" ref="P22:P33" si="29">O22*0.96</f>
        <v>0.24955157824576979</v>
      </c>
      <c r="Q22" s="11">
        <f t="shared" ref="Q22:Q33" si="30">P22*0.96</f>
        <v>0.23956951511593899</v>
      </c>
      <c r="R22" s="11">
        <f t="shared" ref="R22:R33" si="31">Q22*0.96</f>
        <v>0.22998673451130142</v>
      </c>
      <c r="S22" s="11">
        <f t="shared" ref="S22:S33" si="32">R22*0.96</f>
        <v>0.22078726513084934</v>
      </c>
      <c r="T22" s="12">
        <f t="shared" ref="T22:T33" si="33">S22*0.96</f>
        <v>0.21195577452561537</v>
      </c>
    </row>
    <row r="23" spans="1:20" x14ac:dyDescent="0.35">
      <c r="A23" s="235"/>
      <c r="B23" s="152" t="s">
        <v>3</v>
      </c>
      <c r="C23" s="161">
        <v>2</v>
      </c>
      <c r="D23" s="157" t="s">
        <v>2</v>
      </c>
      <c r="E23" s="6">
        <f>$E$27*C23</f>
        <v>0.34</v>
      </c>
      <c r="F23" s="6">
        <f t="shared" ref="F23:L27" si="34">E23*0.96</f>
        <v>0.32640000000000002</v>
      </c>
      <c r="G23" s="6">
        <f t="shared" si="34"/>
        <v>0.31334400000000001</v>
      </c>
      <c r="H23" s="6">
        <f t="shared" si="34"/>
        <v>0.30081024000000001</v>
      </c>
      <c r="I23" s="6">
        <f t="shared" si="34"/>
        <v>0.28877783039999999</v>
      </c>
      <c r="J23" s="6">
        <f t="shared" si="34"/>
        <v>0.27722671718399999</v>
      </c>
      <c r="K23" s="6">
        <f t="shared" si="34"/>
        <v>0.26613764849664001</v>
      </c>
      <c r="L23" s="6">
        <f t="shared" si="34"/>
        <v>0.25549214255677438</v>
      </c>
      <c r="M23" s="147">
        <f t="shared" si="26"/>
        <v>0.24527245685450338</v>
      </c>
      <c r="N23" s="6">
        <f t="shared" si="27"/>
        <v>0.23546155858032325</v>
      </c>
      <c r="O23" s="6">
        <f t="shared" si="28"/>
        <v>0.2260430962371103</v>
      </c>
      <c r="P23" s="6">
        <f t="shared" si="29"/>
        <v>0.21700137238762587</v>
      </c>
      <c r="Q23" s="6">
        <f t="shared" si="30"/>
        <v>0.20832131749212082</v>
      </c>
      <c r="R23" s="6">
        <f t="shared" si="31"/>
        <v>0.19998846479243598</v>
      </c>
      <c r="S23" s="6">
        <f t="shared" si="32"/>
        <v>0.19198892620073854</v>
      </c>
      <c r="T23" s="13">
        <f t="shared" si="33"/>
        <v>0.18430936915270899</v>
      </c>
    </row>
    <row r="24" spans="1:20" x14ac:dyDescent="0.35">
      <c r="A24" s="235"/>
      <c r="B24" s="152" t="s">
        <v>4</v>
      </c>
      <c r="C24" s="161">
        <v>1.5</v>
      </c>
      <c r="D24" s="157" t="s">
        <v>5</v>
      </c>
      <c r="E24" s="6">
        <f>$E$27*C24</f>
        <v>0.255</v>
      </c>
      <c r="F24" s="6">
        <f t="shared" si="34"/>
        <v>0.24479999999999999</v>
      </c>
      <c r="G24" s="6">
        <f t="shared" si="34"/>
        <v>0.23500799999999999</v>
      </c>
      <c r="H24" s="6">
        <f t="shared" si="34"/>
        <v>0.22560767999999998</v>
      </c>
      <c r="I24" s="6">
        <f t="shared" si="34"/>
        <v>0.21658337279999998</v>
      </c>
      <c r="J24" s="6">
        <f t="shared" si="34"/>
        <v>0.20792003788799998</v>
      </c>
      <c r="K24" s="6">
        <f t="shared" si="34"/>
        <v>0.19960323637247998</v>
      </c>
      <c r="L24" s="6">
        <f t="shared" si="34"/>
        <v>0.19161910691758077</v>
      </c>
      <c r="M24" s="147">
        <f t="shared" si="26"/>
        <v>0.18395434264087754</v>
      </c>
      <c r="N24" s="6">
        <f t="shared" si="27"/>
        <v>0.17659616893524244</v>
      </c>
      <c r="O24" s="6">
        <f t="shared" si="28"/>
        <v>0.16953232217783273</v>
      </c>
      <c r="P24" s="6">
        <f t="shared" si="29"/>
        <v>0.16275102929071941</v>
      </c>
      <c r="Q24" s="6">
        <f t="shared" si="30"/>
        <v>0.15624098811909062</v>
      </c>
      <c r="R24" s="6">
        <f t="shared" si="31"/>
        <v>0.149991348594327</v>
      </c>
      <c r="S24" s="6">
        <f t="shared" si="32"/>
        <v>0.14399169465055392</v>
      </c>
      <c r="T24" s="13">
        <f t="shared" si="33"/>
        <v>0.13823202686453176</v>
      </c>
    </row>
    <row r="25" spans="1:20" x14ac:dyDescent="0.35">
      <c r="A25" s="235"/>
      <c r="B25" s="152" t="s">
        <v>6</v>
      </c>
      <c r="C25" s="161">
        <v>1.25</v>
      </c>
      <c r="D25" s="157" t="s">
        <v>5</v>
      </c>
      <c r="E25" s="6">
        <f>$E$27*C25</f>
        <v>0.21250000000000002</v>
      </c>
      <c r="F25" s="6">
        <f t="shared" si="34"/>
        <v>0.20400000000000001</v>
      </c>
      <c r="G25" s="6">
        <f t="shared" si="34"/>
        <v>0.19584000000000001</v>
      </c>
      <c r="H25" s="6">
        <f t="shared" si="34"/>
        <v>0.18800640000000002</v>
      </c>
      <c r="I25" s="6">
        <f t="shared" si="34"/>
        <v>0.18048614400000002</v>
      </c>
      <c r="J25" s="6">
        <f t="shared" si="34"/>
        <v>0.17326669824000002</v>
      </c>
      <c r="K25" s="6">
        <f t="shared" si="34"/>
        <v>0.16633603031040001</v>
      </c>
      <c r="L25" s="6">
        <f t="shared" si="34"/>
        <v>0.159682589097984</v>
      </c>
      <c r="M25" s="147">
        <f t="shared" si="26"/>
        <v>0.15329528553406463</v>
      </c>
      <c r="N25" s="6">
        <f t="shared" si="27"/>
        <v>0.14716347411270203</v>
      </c>
      <c r="O25" s="6">
        <f t="shared" si="28"/>
        <v>0.14127693514819395</v>
      </c>
      <c r="P25" s="6">
        <f t="shared" si="29"/>
        <v>0.13562585774226618</v>
      </c>
      <c r="Q25" s="6">
        <f t="shared" si="30"/>
        <v>0.13020082343257552</v>
      </c>
      <c r="R25" s="6">
        <f t="shared" si="31"/>
        <v>0.1249927904952725</v>
      </c>
      <c r="S25" s="6">
        <f t="shared" si="32"/>
        <v>0.1199930788754616</v>
      </c>
      <c r="T25" s="13">
        <f t="shared" si="33"/>
        <v>0.11519335572044313</v>
      </c>
    </row>
    <row r="26" spans="1:20" x14ac:dyDescent="0.35">
      <c r="A26" s="235"/>
      <c r="B26" s="152" t="s">
        <v>7</v>
      </c>
      <c r="C26" s="161">
        <v>1.1000000000000001</v>
      </c>
      <c r="D26" s="157" t="s">
        <v>5</v>
      </c>
      <c r="E26" s="6">
        <f>$E$27*C26</f>
        <v>0.18700000000000003</v>
      </c>
      <c r="F26" s="6">
        <f t="shared" si="34"/>
        <v>0.17952000000000001</v>
      </c>
      <c r="G26" s="6">
        <f t="shared" si="34"/>
        <v>0.1723392</v>
      </c>
      <c r="H26" s="6">
        <f t="shared" si="34"/>
        <v>0.16544563199999998</v>
      </c>
      <c r="I26" s="6">
        <f t="shared" si="34"/>
        <v>0.15882780671999996</v>
      </c>
      <c r="J26" s="6">
        <f t="shared" si="34"/>
        <v>0.15247469445119996</v>
      </c>
      <c r="K26" s="6">
        <f t="shared" si="34"/>
        <v>0.14637570667315195</v>
      </c>
      <c r="L26" s="6">
        <f t="shared" si="34"/>
        <v>0.14052067840622587</v>
      </c>
      <c r="M26" s="147">
        <f t="shared" si="26"/>
        <v>0.13489985126997683</v>
      </c>
      <c r="N26" s="6">
        <f t="shared" si="27"/>
        <v>0.12950385721917776</v>
      </c>
      <c r="O26" s="6">
        <f t="shared" si="28"/>
        <v>0.12432370293041065</v>
      </c>
      <c r="P26" s="6">
        <f t="shared" si="29"/>
        <v>0.11935075481319421</v>
      </c>
      <c r="Q26" s="6">
        <f t="shared" si="30"/>
        <v>0.11457672462066644</v>
      </c>
      <c r="R26" s="6">
        <f t="shared" si="31"/>
        <v>0.10999365563583978</v>
      </c>
      <c r="S26" s="6">
        <f t="shared" si="32"/>
        <v>0.10559390941040618</v>
      </c>
      <c r="T26" s="13">
        <f t="shared" si="33"/>
        <v>0.10137015303398993</v>
      </c>
    </row>
    <row r="27" spans="1:20" ht="15" thickBot="1" x14ac:dyDescent="0.4">
      <c r="A27" s="236"/>
      <c r="B27" s="153" t="s">
        <v>8</v>
      </c>
      <c r="C27" s="162">
        <v>1</v>
      </c>
      <c r="D27" s="158" t="s">
        <v>5</v>
      </c>
      <c r="E27" s="9">
        <v>0.17</v>
      </c>
      <c r="F27" s="9">
        <f t="shared" si="34"/>
        <v>0.16320000000000001</v>
      </c>
      <c r="G27" s="9">
        <f t="shared" si="34"/>
        <v>0.15667200000000001</v>
      </c>
      <c r="H27" s="9">
        <f t="shared" si="34"/>
        <v>0.15040512</v>
      </c>
      <c r="I27" s="9">
        <f t="shared" si="34"/>
        <v>0.1443889152</v>
      </c>
      <c r="J27" s="9">
        <f t="shared" si="34"/>
        <v>0.138613358592</v>
      </c>
      <c r="K27" s="9">
        <f t="shared" si="34"/>
        <v>0.13306882424832001</v>
      </c>
      <c r="L27" s="9">
        <f t="shared" si="34"/>
        <v>0.12774607127838719</v>
      </c>
      <c r="M27" s="148">
        <f t="shared" si="26"/>
        <v>0.12263622842725169</v>
      </c>
      <c r="N27" s="9">
        <f t="shared" si="27"/>
        <v>0.11773077929016162</v>
      </c>
      <c r="O27" s="9">
        <f t="shared" si="28"/>
        <v>0.11302154811855515</v>
      </c>
      <c r="P27" s="9">
        <f t="shared" si="29"/>
        <v>0.10850068619381294</v>
      </c>
      <c r="Q27" s="9">
        <f t="shared" si="30"/>
        <v>0.10416065874606041</v>
      </c>
      <c r="R27" s="9">
        <f t="shared" si="31"/>
        <v>9.9994232396217991E-2</v>
      </c>
      <c r="S27" s="9">
        <f t="shared" si="32"/>
        <v>9.5994463100369271E-2</v>
      </c>
      <c r="T27" s="17">
        <f t="shared" si="33"/>
        <v>9.2154684576354493E-2</v>
      </c>
    </row>
    <row r="28" spans="1:20" x14ac:dyDescent="0.35">
      <c r="A28" s="237" t="s">
        <v>140</v>
      </c>
      <c r="B28" s="151" t="s">
        <v>9</v>
      </c>
      <c r="C28" s="160">
        <v>2.2999999999999998</v>
      </c>
      <c r="D28" s="156" t="s">
        <v>2</v>
      </c>
      <c r="E28" s="19">
        <f>$E$33*C28</f>
        <v>0.32862399999999997</v>
      </c>
      <c r="F28" s="3">
        <f>E28*0.96</f>
        <v>0.31547903999999999</v>
      </c>
      <c r="G28" s="3">
        <f t="shared" ref="G28:L28" si="35">F28*0.96</f>
        <v>0.3028598784</v>
      </c>
      <c r="H28" s="3">
        <f t="shared" si="35"/>
        <v>0.29074548326400002</v>
      </c>
      <c r="I28" s="3">
        <f t="shared" si="35"/>
        <v>0.27911566393344001</v>
      </c>
      <c r="J28" s="3">
        <f t="shared" si="35"/>
        <v>0.26795103737610237</v>
      </c>
      <c r="K28" s="3">
        <f t="shared" si="35"/>
        <v>0.25723299588105825</v>
      </c>
      <c r="L28" s="11">
        <f t="shared" si="35"/>
        <v>0.24694367604581591</v>
      </c>
      <c r="M28" s="146">
        <f t="shared" si="26"/>
        <v>0.23706592900398327</v>
      </c>
      <c r="N28" s="11">
        <f t="shared" si="27"/>
        <v>0.22758329184382392</v>
      </c>
      <c r="O28" s="11">
        <f t="shared" si="28"/>
        <v>0.21847996017007096</v>
      </c>
      <c r="P28" s="11">
        <f t="shared" si="29"/>
        <v>0.20974076176326811</v>
      </c>
      <c r="Q28" s="11">
        <f t="shared" si="30"/>
        <v>0.20135113129273738</v>
      </c>
      <c r="R28" s="11">
        <f t="shared" si="31"/>
        <v>0.19329708604102788</v>
      </c>
      <c r="S28" s="11">
        <f t="shared" si="32"/>
        <v>0.18556520259938675</v>
      </c>
      <c r="T28" s="18">
        <f t="shared" si="33"/>
        <v>0.17814259449541128</v>
      </c>
    </row>
    <row r="29" spans="1:20" x14ac:dyDescent="0.35">
      <c r="A29" s="235"/>
      <c r="B29" s="152" t="s">
        <v>3</v>
      </c>
      <c r="C29" s="161">
        <v>2</v>
      </c>
      <c r="D29" s="157" t="s">
        <v>2</v>
      </c>
      <c r="E29" s="19">
        <f>$E$33*C29</f>
        <v>0.28576000000000001</v>
      </c>
      <c r="F29" s="6">
        <f t="shared" ref="F29:L29" si="36">E29*0.96</f>
        <v>0.27432960000000001</v>
      </c>
      <c r="G29" s="6">
        <f t="shared" si="36"/>
        <v>0.26335641599999998</v>
      </c>
      <c r="H29" s="6">
        <f t="shared" si="36"/>
        <v>0.25282215935999997</v>
      </c>
      <c r="I29" s="6">
        <f t="shared" si="36"/>
        <v>0.24270927298559997</v>
      </c>
      <c r="J29" s="6">
        <f t="shared" si="36"/>
        <v>0.23300090206617596</v>
      </c>
      <c r="K29" s="6">
        <f t="shared" si="36"/>
        <v>0.2236808659835289</v>
      </c>
      <c r="L29" s="6">
        <f t="shared" si="36"/>
        <v>0.21473363134418774</v>
      </c>
      <c r="M29" s="147">
        <f t="shared" si="26"/>
        <v>0.20614428609042024</v>
      </c>
      <c r="N29" s="6">
        <f t="shared" si="27"/>
        <v>0.19789851464680341</v>
      </c>
      <c r="O29" s="6">
        <f t="shared" si="28"/>
        <v>0.18998257406093128</v>
      </c>
      <c r="P29" s="6">
        <f t="shared" si="29"/>
        <v>0.182383271098494</v>
      </c>
      <c r="Q29" s="6">
        <f t="shared" si="30"/>
        <v>0.17508794025455424</v>
      </c>
      <c r="R29" s="6">
        <f t="shared" si="31"/>
        <v>0.16808442264437207</v>
      </c>
      <c r="S29" s="6">
        <f t="shared" si="32"/>
        <v>0.16136104573859719</v>
      </c>
      <c r="T29" s="13">
        <f t="shared" si="33"/>
        <v>0.15490660390905331</v>
      </c>
    </row>
    <row r="30" spans="1:20" x14ac:dyDescent="0.35">
      <c r="A30" s="235"/>
      <c r="B30" s="152" t="s">
        <v>4</v>
      </c>
      <c r="C30" s="161">
        <v>1.5</v>
      </c>
      <c r="D30" s="157" t="s">
        <v>5</v>
      </c>
      <c r="E30" s="19">
        <f>$E$33*C30</f>
        <v>0.21432000000000001</v>
      </c>
      <c r="F30" s="6">
        <f t="shared" ref="F30:L30" si="37">E30*0.96</f>
        <v>0.20574719999999999</v>
      </c>
      <c r="G30" s="6">
        <f t="shared" si="37"/>
        <v>0.19751731199999997</v>
      </c>
      <c r="H30" s="6">
        <f t="shared" si="37"/>
        <v>0.18961661951999997</v>
      </c>
      <c r="I30" s="6">
        <f t="shared" si="37"/>
        <v>0.18203195473919997</v>
      </c>
      <c r="J30" s="6">
        <f t="shared" si="37"/>
        <v>0.17475067654963197</v>
      </c>
      <c r="K30" s="6">
        <f t="shared" si="37"/>
        <v>0.16776064948764668</v>
      </c>
      <c r="L30" s="6">
        <f t="shared" si="37"/>
        <v>0.1610502235081408</v>
      </c>
      <c r="M30" s="147">
        <f t="shared" si="26"/>
        <v>0.15460821456781515</v>
      </c>
      <c r="N30" s="6">
        <f t="shared" si="27"/>
        <v>0.14842388598510253</v>
      </c>
      <c r="O30" s="6">
        <f t="shared" si="28"/>
        <v>0.14248693054569841</v>
      </c>
      <c r="P30" s="6">
        <f t="shared" si="29"/>
        <v>0.13678745332387046</v>
      </c>
      <c r="Q30" s="6">
        <f t="shared" si="30"/>
        <v>0.13131595519091563</v>
      </c>
      <c r="R30" s="6">
        <f t="shared" si="31"/>
        <v>0.12606331698327899</v>
      </c>
      <c r="S30" s="6">
        <f t="shared" si="32"/>
        <v>0.12102078430394783</v>
      </c>
      <c r="T30" s="13">
        <f t="shared" si="33"/>
        <v>0.11617995293178991</v>
      </c>
    </row>
    <row r="31" spans="1:20" x14ac:dyDescent="0.35">
      <c r="A31" s="235"/>
      <c r="B31" s="152" t="s">
        <v>6</v>
      </c>
      <c r="C31" s="161">
        <v>1.25</v>
      </c>
      <c r="D31" s="157" t="s">
        <v>5</v>
      </c>
      <c r="E31" s="19">
        <f>$E$33*C31</f>
        <v>0.17860000000000001</v>
      </c>
      <c r="F31" s="6">
        <f t="shared" ref="F31:L31" si="38">E31*0.96</f>
        <v>0.171456</v>
      </c>
      <c r="G31" s="6">
        <f t="shared" si="38"/>
        <v>0.16459775999999998</v>
      </c>
      <c r="H31" s="6">
        <f t="shared" si="38"/>
        <v>0.15801384959999998</v>
      </c>
      <c r="I31" s="6">
        <f t="shared" si="38"/>
        <v>0.15169329561599998</v>
      </c>
      <c r="J31" s="6">
        <f t="shared" si="38"/>
        <v>0.14562556379135996</v>
      </c>
      <c r="K31" s="6">
        <f t="shared" si="38"/>
        <v>0.13980054123970556</v>
      </c>
      <c r="L31" s="6">
        <f t="shared" si="38"/>
        <v>0.13420851959011734</v>
      </c>
      <c r="M31" s="147">
        <f t="shared" si="26"/>
        <v>0.12884017880651263</v>
      </c>
      <c r="N31" s="6">
        <f t="shared" si="27"/>
        <v>0.12368657165425212</v>
      </c>
      <c r="O31" s="6">
        <f t="shared" si="28"/>
        <v>0.11873910878808203</v>
      </c>
      <c r="P31" s="6">
        <f t="shared" si="29"/>
        <v>0.11398954443655875</v>
      </c>
      <c r="Q31" s="6">
        <f t="shared" si="30"/>
        <v>0.10942996265909639</v>
      </c>
      <c r="R31" s="6">
        <f t="shared" si="31"/>
        <v>0.10505276415273253</v>
      </c>
      <c r="S31" s="6">
        <f t="shared" si="32"/>
        <v>0.10085065358662322</v>
      </c>
      <c r="T31" s="13">
        <f t="shared" si="33"/>
        <v>9.681662744315829E-2</v>
      </c>
    </row>
    <row r="32" spans="1:20" x14ac:dyDescent="0.35">
      <c r="A32" s="235"/>
      <c r="B32" s="152" t="s">
        <v>7</v>
      </c>
      <c r="C32" s="161">
        <v>1.1000000000000001</v>
      </c>
      <c r="D32" s="157" t="s">
        <v>5</v>
      </c>
      <c r="E32" s="19">
        <f>$E$33*C32</f>
        <v>0.15716800000000003</v>
      </c>
      <c r="F32" s="6">
        <f t="shared" ref="F32:L32" si="39">E32*0.96</f>
        <v>0.15088128000000003</v>
      </c>
      <c r="G32" s="6">
        <f t="shared" si="39"/>
        <v>0.14484602880000003</v>
      </c>
      <c r="H32" s="6">
        <f t="shared" si="39"/>
        <v>0.13905218764800001</v>
      </c>
      <c r="I32" s="6">
        <f t="shared" si="39"/>
        <v>0.13349010014208001</v>
      </c>
      <c r="J32" s="6">
        <f t="shared" si="39"/>
        <v>0.12815049613639681</v>
      </c>
      <c r="K32" s="6">
        <f t="shared" si="39"/>
        <v>0.12302447629094093</v>
      </c>
      <c r="L32" s="6">
        <f t="shared" si="39"/>
        <v>0.11810349723930329</v>
      </c>
      <c r="M32" s="147">
        <f t="shared" si="26"/>
        <v>0.11337935734973115</v>
      </c>
      <c r="N32" s="6">
        <f t="shared" si="27"/>
        <v>0.10884418305574189</v>
      </c>
      <c r="O32" s="6">
        <f t="shared" si="28"/>
        <v>0.10449041573351221</v>
      </c>
      <c r="P32" s="6">
        <f t="shared" si="29"/>
        <v>0.10031079910417172</v>
      </c>
      <c r="Q32" s="6">
        <f t="shared" si="30"/>
        <v>9.6298367140004851E-2</v>
      </c>
      <c r="R32" s="6">
        <f t="shared" si="31"/>
        <v>9.2446432454404648E-2</v>
      </c>
      <c r="S32" s="6">
        <f t="shared" si="32"/>
        <v>8.8748575156228457E-2</v>
      </c>
      <c r="T32" s="13">
        <f t="shared" si="33"/>
        <v>8.5198632149979317E-2</v>
      </c>
    </row>
    <row r="33" spans="1:20" ht="15" thickBot="1" x14ac:dyDescent="0.4">
      <c r="A33" s="236"/>
      <c r="B33" s="153" t="s">
        <v>8</v>
      </c>
      <c r="C33" s="162">
        <v>1</v>
      </c>
      <c r="D33" s="158" t="s">
        <v>5</v>
      </c>
      <c r="E33" s="9">
        <v>0.14288000000000001</v>
      </c>
      <c r="F33" s="9">
        <f t="shared" ref="F33:L33" si="40">E33*0.96</f>
        <v>0.1371648</v>
      </c>
      <c r="G33" s="9">
        <f t="shared" si="40"/>
        <v>0.13167820799999999</v>
      </c>
      <c r="H33" s="9">
        <f t="shared" si="40"/>
        <v>0.12641107967999998</v>
      </c>
      <c r="I33" s="9">
        <f t="shared" si="40"/>
        <v>0.12135463649279998</v>
      </c>
      <c r="J33" s="9">
        <f t="shared" si="40"/>
        <v>0.11650045103308798</v>
      </c>
      <c r="K33" s="9">
        <f t="shared" si="40"/>
        <v>0.11184043299176445</v>
      </c>
      <c r="L33" s="9">
        <f t="shared" si="40"/>
        <v>0.10736681567209387</v>
      </c>
      <c r="M33" s="148">
        <f t="shared" si="26"/>
        <v>0.10307214304521012</v>
      </c>
      <c r="N33" s="9">
        <f t="shared" si="27"/>
        <v>9.8949257323401707E-2</v>
      </c>
      <c r="O33" s="9">
        <f t="shared" si="28"/>
        <v>9.4991287030465638E-2</v>
      </c>
      <c r="P33" s="9">
        <f t="shared" si="29"/>
        <v>9.1191635549247002E-2</v>
      </c>
      <c r="Q33" s="9">
        <f t="shared" si="30"/>
        <v>8.7543970127277118E-2</v>
      </c>
      <c r="R33" s="9">
        <f t="shared" si="31"/>
        <v>8.4042211322186033E-2</v>
      </c>
      <c r="S33" s="9">
        <f t="shared" si="32"/>
        <v>8.0680522869298596E-2</v>
      </c>
      <c r="T33" s="17">
        <f t="shared" si="33"/>
        <v>7.7453301954526654E-2</v>
      </c>
    </row>
    <row r="34" spans="1:20" x14ac:dyDescent="0.35">
      <c r="A34" s="20" t="s">
        <v>31</v>
      </c>
    </row>
    <row r="35" spans="1:20" ht="111" customHeight="1" x14ac:dyDescent="0.35">
      <c r="A35" s="232" t="s">
        <v>109</v>
      </c>
      <c r="B35" s="232"/>
      <c r="C35" s="232"/>
      <c r="D35" s="232"/>
      <c r="E35" s="232"/>
      <c r="F35" s="232"/>
      <c r="G35" s="232"/>
      <c r="H35" s="232"/>
      <c r="I35" s="232"/>
      <c r="J35" s="232"/>
      <c r="K35" s="232"/>
      <c r="L35" s="232"/>
    </row>
    <row r="36" spans="1:20" ht="31.5" customHeight="1" x14ac:dyDescent="0.35">
      <c r="A36" s="238" t="s">
        <v>154</v>
      </c>
      <c r="B36" s="238"/>
      <c r="C36" s="238"/>
      <c r="D36" s="238"/>
      <c r="E36" s="238"/>
      <c r="F36" s="238"/>
      <c r="G36" s="238"/>
      <c r="H36" s="238"/>
      <c r="I36" s="238"/>
      <c r="J36" s="238"/>
      <c r="K36" s="238"/>
      <c r="L36" s="238"/>
    </row>
    <row r="37" spans="1:20" ht="31.5" customHeight="1" x14ac:dyDescent="0.35">
      <c r="A37" s="232" t="s">
        <v>58</v>
      </c>
      <c r="B37" s="232"/>
      <c r="C37" s="232"/>
      <c r="D37" s="232"/>
      <c r="E37" s="232"/>
      <c r="F37" s="232"/>
      <c r="G37" s="232"/>
      <c r="H37" s="232"/>
      <c r="I37" s="232"/>
      <c r="J37" s="232"/>
      <c r="K37" s="232"/>
      <c r="L37" s="232"/>
    </row>
    <row r="38" spans="1:20" ht="66.650000000000006" customHeight="1" x14ac:dyDescent="0.35">
      <c r="A38" s="232" t="s">
        <v>59</v>
      </c>
      <c r="B38" s="232"/>
      <c r="C38" s="232"/>
      <c r="D38" s="232"/>
      <c r="E38" s="232"/>
      <c r="F38" s="232"/>
      <c r="G38" s="232"/>
      <c r="H38" s="232"/>
      <c r="I38" s="232"/>
      <c r="J38" s="232"/>
      <c r="K38" s="232"/>
      <c r="L38" s="232"/>
    </row>
    <row r="39" spans="1:20" ht="30" customHeight="1" x14ac:dyDescent="0.35">
      <c r="A39" s="248" t="s">
        <v>60</v>
      </c>
      <c r="B39" s="248"/>
      <c r="C39" s="248"/>
      <c r="D39" s="248"/>
      <c r="E39" s="248"/>
      <c r="F39" s="248"/>
      <c r="G39" s="248"/>
      <c r="H39" s="248"/>
      <c r="I39" s="248"/>
      <c r="J39" s="248"/>
      <c r="K39" s="248"/>
      <c r="L39" s="248"/>
    </row>
    <row r="40" spans="1:20" ht="76.5" customHeight="1" x14ac:dyDescent="0.35">
      <c r="A40" s="247" t="s">
        <v>63</v>
      </c>
      <c r="B40" s="247"/>
      <c r="C40" s="247"/>
      <c r="D40" s="247"/>
      <c r="E40" s="247"/>
      <c r="F40" s="247"/>
      <c r="G40" s="247"/>
      <c r="H40" s="247"/>
      <c r="I40" s="247"/>
      <c r="J40" s="247"/>
      <c r="K40" s="247"/>
      <c r="L40" s="247"/>
    </row>
    <row r="41" spans="1:20" ht="30.75" customHeight="1" x14ac:dyDescent="0.35">
      <c r="A41" s="247" t="s">
        <v>64</v>
      </c>
      <c r="B41" s="247"/>
      <c r="C41" s="247"/>
      <c r="D41" s="247"/>
      <c r="E41" s="247"/>
      <c r="F41" s="247"/>
      <c r="G41" s="247"/>
      <c r="H41" s="247"/>
      <c r="I41" s="247"/>
      <c r="J41" s="247"/>
      <c r="K41" s="247"/>
      <c r="L41" s="247"/>
    </row>
    <row r="42" spans="1:20" ht="34.5" customHeight="1" x14ac:dyDescent="0.35">
      <c r="A42" s="247" t="s">
        <v>145</v>
      </c>
      <c r="B42" s="247"/>
      <c r="C42" s="247"/>
      <c r="D42" s="247"/>
      <c r="E42" s="247"/>
      <c r="F42" s="247"/>
      <c r="G42" s="247"/>
      <c r="H42" s="247"/>
      <c r="I42" s="247"/>
      <c r="J42" s="247"/>
      <c r="K42" s="247"/>
      <c r="L42" s="247"/>
    </row>
  </sheetData>
  <mergeCells count="16">
    <mergeCell ref="A28:A33"/>
    <mergeCell ref="A4:A9"/>
    <mergeCell ref="A16:A21"/>
    <mergeCell ref="A42:L42"/>
    <mergeCell ref="A41:L41"/>
    <mergeCell ref="A40:L40"/>
    <mergeCell ref="A39:L39"/>
    <mergeCell ref="A35:L35"/>
    <mergeCell ref="A36:L36"/>
    <mergeCell ref="A38:L38"/>
    <mergeCell ref="A37:L37"/>
    <mergeCell ref="I16:T21"/>
    <mergeCell ref="A1:T2"/>
    <mergeCell ref="A10:A15"/>
    <mergeCell ref="A22:A27"/>
    <mergeCell ref="M4:T9"/>
  </mergeCells>
  <pageMargins left="0.7" right="0.7"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5"/>
  <sheetViews>
    <sheetView workbookViewId="0">
      <selection activeCell="D18" sqref="D18"/>
    </sheetView>
  </sheetViews>
  <sheetFormatPr defaultColWidth="9.1796875" defaultRowHeight="14.5" x14ac:dyDescent="0.35"/>
  <cols>
    <col min="1" max="1" width="13.54296875" style="1" bestFit="1" customWidth="1"/>
    <col min="2" max="2" width="48.7265625" style="1" bestFit="1" customWidth="1"/>
    <col min="3" max="11" width="14" style="1" customWidth="1"/>
    <col min="12" max="13" width="15" style="1" customWidth="1"/>
    <col min="14" max="14" width="15" style="1" bestFit="1" customWidth="1"/>
    <col min="15" max="16" width="15" style="1" customWidth="1"/>
    <col min="17" max="16384" width="9.1796875" style="1"/>
  </cols>
  <sheetData>
    <row r="1" spans="1:16" ht="15" customHeight="1" x14ac:dyDescent="0.35">
      <c r="A1" s="249" t="s">
        <v>50</v>
      </c>
      <c r="B1" s="249"/>
      <c r="C1" s="249"/>
      <c r="D1" s="249"/>
      <c r="E1" s="249"/>
      <c r="F1" s="249"/>
      <c r="G1" s="249"/>
      <c r="H1" s="249"/>
      <c r="I1" s="249"/>
      <c r="J1" s="249"/>
      <c r="K1" s="22"/>
      <c r="L1" s="22"/>
      <c r="M1" s="22"/>
    </row>
    <row r="2" spans="1:16" ht="15.75" customHeight="1" thickBot="1" x14ac:dyDescent="0.4">
      <c r="A2" s="249"/>
      <c r="B2" s="249"/>
      <c r="C2" s="249"/>
      <c r="D2" s="249"/>
      <c r="E2" s="249"/>
      <c r="F2" s="249"/>
      <c r="G2" s="249"/>
      <c r="H2" s="249"/>
      <c r="I2" s="249"/>
      <c r="J2" s="249"/>
      <c r="K2" s="22"/>
      <c r="L2" s="22"/>
      <c r="M2" s="22"/>
    </row>
    <row r="3" spans="1:16" ht="15" thickBot="1" x14ac:dyDescent="0.4">
      <c r="A3" s="265" t="s">
        <v>51</v>
      </c>
      <c r="B3" s="263" t="s">
        <v>32</v>
      </c>
      <c r="C3" s="270" t="s">
        <v>110</v>
      </c>
      <c r="D3" s="271"/>
      <c r="E3" s="271"/>
      <c r="F3" s="271"/>
      <c r="G3" s="271"/>
      <c r="H3" s="271"/>
      <c r="I3" s="271"/>
      <c r="J3" s="271"/>
      <c r="K3" s="271"/>
      <c r="L3" s="271"/>
      <c r="M3" s="271"/>
      <c r="N3" s="271"/>
      <c r="O3" s="271"/>
      <c r="P3" s="272"/>
    </row>
    <row r="4" spans="1:16" ht="26.5" thickBot="1" x14ac:dyDescent="0.4">
      <c r="A4" s="266"/>
      <c r="B4" s="264"/>
      <c r="C4" s="63" t="s">
        <v>49</v>
      </c>
      <c r="D4" s="64" t="s">
        <v>76</v>
      </c>
      <c r="E4" s="64" t="s">
        <v>77</v>
      </c>
      <c r="F4" s="64" t="s">
        <v>78</v>
      </c>
      <c r="G4" s="64" t="s">
        <v>80</v>
      </c>
      <c r="H4" s="64" t="s">
        <v>79</v>
      </c>
      <c r="I4" s="65" t="s">
        <v>81</v>
      </c>
      <c r="J4" s="64" t="s">
        <v>82</v>
      </c>
      <c r="K4" s="64" t="s">
        <v>83</v>
      </c>
      <c r="L4" s="64" t="s">
        <v>84</v>
      </c>
      <c r="M4" s="64" t="s">
        <v>85</v>
      </c>
      <c r="N4" s="64" t="s">
        <v>86</v>
      </c>
      <c r="O4" s="64" t="s">
        <v>89</v>
      </c>
      <c r="P4" s="66" t="s">
        <v>90</v>
      </c>
    </row>
    <row r="5" spans="1:16" x14ac:dyDescent="0.35">
      <c r="A5" s="260" t="s">
        <v>44</v>
      </c>
      <c r="B5" s="58" t="s">
        <v>33</v>
      </c>
      <c r="C5" s="273">
        <v>1.9199999999999998E-2</v>
      </c>
      <c r="D5" s="274"/>
      <c r="E5" s="274"/>
      <c r="F5" s="274"/>
      <c r="G5" s="274"/>
      <c r="H5" s="274"/>
      <c r="I5" s="274"/>
      <c r="J5" s="274"/>
      <c r="K5" s="274"/>
      <c r="L5" s="274"/>
      <c r="M5" s="274"/>
      <c r="N5" s="274"/>
      <c r="O5" s="274"/>
      <c r="P5" s="275"/>
    </row>
    <row r="6" spans="1:16" x14ac:dyDescent="0.35">
      <c r="A6" s="261"/>
      <c r="B6" s="59" t="s">
        <v>34</v>
      </c>
      <c r="C6" s="276">
        <v>0.03</v>
      </c>
      <c r="D6" s="277"/>
      <c r="E6" s="277"/>
      <c r="F6" s="277"/>
      <c r="G6" s="277"/>
      <c r="H6" s="277"/>
      <c r="I6" s="277"/>
      <c r="J6" s="277"/>
      <c r="K6" s="277"/>
      <c r="L6" s="277"/>
      <c r="M6" s="277"/>
      <c r="N6" s="277"/>
      <c r="O6" s="277"/>
      <c r="P6" s="278"/>
    </row>
    <row r="7" spans="1:16" x14ac:dyDescent="0.35">
      <c r="A7" s="261"/>
      <c r="B7" s="59" t="s">
        <v>35</v>
      </c>
      <c r="C7" s="276">
        <v>0.03</v>
      </c>
      <c r="D7" s="277"/>
      <c r="E7" s="277"/>
      <c r="F7" s="277"/>
      <c r="G7" s="277"/>
      <c r="H7" s="277"/>
      <c r="I7" s="277"/>
      <c r="J7" s="277"/>
      <c r="K7" s="277"/>
      <c r="L7" s="277"/>
      <c r="M7" s="277"/>
      <c r="N7" s="277"/>
      <c r="O7" s="277"/>
      <c r="P7" s="278"/>
    </row>
    <row r="8" spans="1:16" x14ac:dyDescent="0.35">
      <c r="A8" s="261"/>
      <c r="B8" s="59" t="s">
        <v>36</v>
      </c>
      <c r="C8" s="276">
        <v>0.04</v>
      </c>
      <c r="D8" s="277"/>
      <c r="E8" s="277"/>
      <c r="F8" s="277"/>
      <c r="G8" s="277"/>
      <c r="H8" s="277"/>
      <c r="I8" s="277"/>
      <c r="J8" s="277"/>
      <c r="K8" s="277"/>
      <c r="L8" s="277"/>
      <c r="M8" s="277"/>
      <c r="N8" s="277"/>
      <c r="O8" s="277"/>
      <c r="P8" s="278"/>
    </row>
    <row r="9" spans="1:16" x14ac:dyDescent="0.35">
      <c r="A9" s="261"/>
      <c r="B9" s="59" t="s">
        <v>37</v>
      </c>
      <c r="C9" s="276">
        <v>0.06</v>
      </c>
      <c r="D9" s="277"/>
      <c r="E9" s="277"/>
      <c r="F9" s="277"/>
      <c r="G9" s="277"/>
      <c r="H9" s="277"/>
      <c r="I9" s="277"/>
      <c r="J9" s="277"/>
      <c r="K9" s="277"/>
      <c r="L9" s="277"/>
      <c r="M9" s="277"/>
      <c r="N9" s="277"/>
      <c r="O9" s="277"/>
      <c r="P9" s="278"/>
    </row>
    <row r="10" spans="1:16" ht="15" thickBot="1" x14ac:dyDescent="0.4">
      <c r="A10" s="262"/>
      <c r="B10" s="60" t="s">
        <v>38</v>
      </c>
      <c r="C10" s="254">
        <v>0.06</v>
      </c>
      <c r="D10" s="255"/>
      <c r="E10" s="255"/>
      <c r="F10" s="255"/>
      <c r="G10" s="255"/>
      <c r="H10" s="255"/>
      <c r="I10" s="255"/>
      <c r="J10" s="255"/>
      <c r="K10" s="255"/>
      <c r="L10" s="255"/>
      <c r="M10" s="255"/>
      <c r="N10" s="255"/>
      <c r="O10" s="255"/>
      <c r="P10" s="256"/>
    </row>
    <row r="11" spans="1:16" x14ac:dyDescent="0.35">
      <c r="A11" s="267" t="s">
        <v>45</v>
      </c>
      <c r="B11" s="25" t="s">
        <v>39</v>
      </c>
      <c r="C11" s="26">
        <v>0.03</v>
      </c>
      <c r="D11" s="27">
        <f t="shared" ref="D11:J13" si="0">C11*0.96</f>
        <v>2.8799999999999999E-2</v>
      </c>
      <c r="E11" s="28">
        <f t="shared" si="0"/>
        <v>2.7647999999999999E-2</v>
      </c>
      <c r="F11" s="28">
        <f t="shared" si="0"/>
        <v>2.6542079999999999E-2</v>
      </c>
      <c r="G11" s="28">
        <f t="shared" si="0"/>
        <v>2.5480396799999999E-2</v>
      </c>
      <c r="H11" s="28">
        <f t="shared" si="0"/>
        <v>2.4461180927999999E-2</v>
      </c>
      <c r="I11" s="28">
        <f t="shared" si="0"/>
        <v>2.3482733690879998E-2</v>
      </c>
      <c r="J11" s="28">
        <f t="shared" si="0"/>
        <v>2.2543424343244797E-2</v>
      </c>
      <c r="K11" s="28">
        <f t="shared" ref="K11:K13" si="1">J11*0.96</f>
        <v>2.1641687369515005E-2</v>
      </c>
      <c r="L11" s="28">
        <f t="shared" ref="L11:L13" si="2">K11*0.96</f>
        <v>2.0776019874734403E-2</v>
      </c>
      <c r="M11" s="28">
        <f t="shared" ref="M11:M13" si="3">L11*0.96</f>
        <v>1.9944979079745025E-2</v>
      </c>
      <c r="N11" s="28">
        <f t="shared" ref="N11:N13" si="4">M11*0.96</f>
        <v>1.9147179916555224E-2</v>
      </c>
      <c r="O11" s="28">
        <f t="shared" ref="O11:O13" si="5">N11*0.96</f>
        <v>1.8381292719893014E-2</v>
      </c>
      <c r="P11" s="29">
        <f t="shared" ref="P11:P13" si="6">O11*0.96</f>
        <v>1.7646041011097291E-2</v>
      </c>
    </row>
    <row r="12" spans="1:16" x14ac:dyDescent="0.35">
      <c r="A12" s="268"/>
      <c r="B12" s="30" t="s">
        <v>40</v>
      </c>
      <c r="C12" s="31">
        <v>0.06</v>
      </c>
      <c r="D12" s="32">
        <f t="shared" si="0"/>
        <v>5.7599999999999998E-2</v>
      </c>
      <c r="E12" s="33">
        <f t="shared" si="0"/>
        <v>5.5295999999999998E-2</v>
      </c>
      <c r="F12" s="33">
        <f t="shared" si="0"/>
        <v>5.3084159999999998E-2</v>
      </c>
      <c r="G12" s="33">
        <f>F12*0.96</f>
        <v>5.0960793599999998E-2</v>
      </c>
      <c r="H12" s="33">
        <f>G12*0.96</f>
        <v>4.8922361855999998E-2</v>
      </c>
      <c r="I12" s="33">
        <f>H12*0.96</f>
        <v>4.6965467381759995E-2</v>
      </c>
      <c r="J12" s="33">
        <f>I12*0.96</f>
        <v>4.5086848686489593E-2</v>
      </c>
      <c r="K12" s="33">
        <f t="shared" si="1"/>
        <v>4.328337473903001E-2</v>
      </c>
      <c r="L12" s="33">
        <f t="shared" si="2"/>
        <v>4.1552039749468805E-2</v>
      </c>
      <c r="M12" s="33">
        <f t="shared" si="3"/>
        <v>3.9889958159490049E-2</v>
      </c>
      <c r="N12" s="33">
        <f t="shared" si="4"/>
        <v>3.8294359833110449E-2</v>
      </c>
      <c r="O12" s="33">
        <f t="shared" si="5"/>
        <v>3.6762585439786027E-2</v>
      </c>
      <c r="P12" s="34">
        <f t="shared" si="6"/>
        <v>3.5292082022194582E-2</v>
      </c>
    </row>
    <row r="13" spans="1:16" ht="15" thickBot="1" x14ac:dyDescent="0.4">
      <c r="A13" s="269"/>
      <c r="B13" s="35" t="s">
        <v>41</v>
      </c>
      <c r="C13" s="36">
        <v>0.04</v>
      </c>
      <c r="D13" s="37">
        <f t="shared" si="0"/>
        <v>3.8399999999999997E-2</v>
      </c>
      <c r="E13" s="38">
        <f t="shared" si="0"/>
        <v>3.6863999999999994E-2</v>
      </c>
      <c r="F13" s="38">
        <f t="shared" si="0"/>
        <v>3.5389439999999994E-2</v>
      </c>
      <c r="G13" s="38">
        <f t="shared" si="0"/>
        <v>3.3973862399999992E-2</v>
      </c>
      <c r="H13" s="38">
        <f t="shared" si="0"/>
        <v>3.2614907903999991E-2</v>
      </c>
      <c r="I13" s="38">
        <f t="shared" si="0"/>
        <v>3.1310311587839992E-2</v>
      </c>
      <c r="J13" s="38">
        <f t="shared" si="0"/>
        <v>3.0057899124326392E-2</v>
      </c>
      <c r="K13" s="38">
        <f t="shared" si="1"/>
        <v>2.8855583159353337E-2</v>
      </c>
      <c r="L13" s="38">
        <f t="shared" si="2"/>
        <v>2.7701359832979201E-2</v>
      </c>
      <c r="M13" s="38">
        <f t="shared" si="3"/>
        <v>2.6593305439660032E-2</v>
      </c>
      <c r="N13" s="38">
        <f t="shared" si="4"/>
        <v>2.552957322207363E-2</v>
      </c>
      <c r="O13" s="38">
        <f t="shared" si="5"/>
        <v>2.4508390293190685E-2</v>
      </c>
      <c r="P13" s="39">
        <f t="shared" si="6"/>
        <v>2.3528054681463056E-2</v>
      </c>
    </row>
    <row r="14" spans="1:16" ht="15" thickBot="1" x14ac:dyDescent="0.4">
      <c r="A14" s="40" t="s">
        <v>52</v>
      </c>
      <c r="B14" s="41" t="s">
        <v>42</v>
      </c>
      <c r="C14" s="42" t="s">
        <v>47</v>
      </c>
      <c r="D14" s="43" t="s">
        <v>47</v>
      </c>
      <c r="E14" s="44" t="s">
        <v>47</v>
      </c>
      <c r="F14" s="44" t="s">
        <v>47</v>
      </c>
      <c r="G14" s="44" t="s">
        <v>47</v>
      </c>
      <c r="H14" s="44" t="s">
        <v>47</v>
      </c>
      <c r="I14" s="44" t="s">
        <v>47</v>
      </c>
      <c r="J14" s="44" t="s">
        <v>47</v>
      </c>
      <c r="K14" s="44" t="s">
        <v>47</v>
      </c>
      <c r="L14" s="44" t="s">
        <v>47</v>
      </c>
      <c r="M14" s="44" t="s">
        <v>47</v>
      </c>
      <c r="N14" s="44" t="s">
        <v>47</v>
      </c>
      <c r="O14" s="44" t="s">
        <v>47</v>
      </c>
      <c r="P14" s="45" t="s">
        <v>47</v>
      </c>
    </row>
    <row r="15" spans="1:16" ht="15" thickBot="1" x14ac:dyDescent="0.4">
      <c r="A15" s="40" t="s">
        <v>46</v>
      </c>
      <c r="B15" s="41" t="s">
        <v>43</v>
      </c>
      <c r="C15" s="42">
        <v>0.01</v>
      </c>
      <c r="D15" s="43">
        <f t="shared" ref="D15" si="7">C15*0.96</f>
        <v>9.5999999999999992E-3</v>
      </c>
      <c r="E15" s="44">
        <f t="shared" ref="E15" si="8">D15*0.96</f>
        <v>9.2159999999999985E-3</v>
      </c>
      <c r="F15" s="44">
        <f t="shared" ref="F15" si="9">E15*0.96</f>
        <v>8.8473599999999986E-3</v>
      </c>
      <c r="G15" s="44">
        <f t="shared" ref="G15" si="10">F15*0.96</f>
        <v>8.493465599999998E-3</v>
      </c>
      <c r="H15" s="44">
        <f t="shared" ref="H15" si="11">G15*0.96</f>
        <v>8.1537269759999979E-3</v>
      </c>
      <c r="I15" s="44">
        <f t="shared" ref="I15" si="12">H15*0.96</f>
        <v>7.8275778969599981E-3</v>
      </c>
      <c r="J15" s="44">
        <f t="shared" ref="J15" si="13">I15*0.96</f>
        <v>7.514474781081598E-3</v>
      </c>
      <c r="K15" s="44">
        <f t="shared" ref="K15" si="14">J15*0.96</f>
        <v>7.2138957898383342E-3</v>
      </c>
      <c r="L15" s="44">
        <f t="shared" ref="L15" si="15">K15*0.96</f>
        <v>6.9253399582448003E-3</v>
      </c>
      <c r="M15" s="44">
        <f t="shared" ref="M15" si="16">L15*0.96</f>
        <v>6.6483263599150079E-3</v>
      </c>
      <c r="N15" s="44">
        <f t="shared" ref="N15" si="17">M15*0.96</f>
        <v>6.3823933055184075E-3</v>
      </c>
      <c r="O15" s="44">
        <f t="shared" ref="O15" si="18">N15*0.96</f>
        <v>6.1270975732976712E-3</v>
      </c>
      <c r="P15" s="45">
        <f t="shared" ref="P15" si="19">O15*0.96</f>
        <v>5.8820136703657639E-3</v>
      </c>
    </row>
    <row r="16" spans="1:16" ht="15" thickBot="1" x14ac:dyDescent="0.4">
      <c r="A16" s="40" t="s">
        <v>136</v>
      </c>
      <c r="B16" s="41" t="s">
        <v>136</v>
      </c>
      <c r="C16" s="42">
        <v>2.5000000000000001E-3</v>
      </c>
      <c r="D16" s="43">
        <f t="shared" ref="D16" si="20">C16*0.96</f>
        <v>2.3999999999999998E-3</v>
      </c>
      <c r="E16" s="44">
        <f t="shared" ref="E16:J16" si="21">D16*0.96</f>
        <v>2.3039999999999996E-3</v>
      </c>
      <c r="F16" s="44">
        <f t="shared" si="21"/>
        <v>2.2118399999999996E-3</v>
      </c>
      <c r="G16" s="44">
        <f t="shared" si="21"/>
        <v>2.1233663999999995E-3</v>
      </c>
      <c r="H16" s="44">
        <f t="shared" si="21"/>
        <v>2.0384317439999995E-3</v>
      </c>
      <c r="I16" s="44">
        <f t="shared" si="21"/>
        <v>1.9568944742399995E-3</v>
      </c>
      <c r="J16" s="44">
        <f t="shared" si="21"/>
        <v>1.8786186952703995E-3</v>
      </c>
      <c r="K16" s="44">
        <f t="shared" ref="K16" si="22">J16*0.96</f>
        <v>1.8034739474595835E-3</v>
      </c>
      <c r="L16" s="44">
        <f t="shared" ref="L16" si="23">K16*0.96</f>
        <v>1.7313349895612001E-3</v>
      </c>
      <c r="M16" s="44">
        <f t="shared" ref="M16" si="24">L16*0.96</f>
        <v>1.662081589978752E-3</v>
      </c>
      <c r="N16" s="44">
        <f t="shared" ref="N16" si="25">M16*0.96</f>
        <v>1.5955983263796019E-3</v>
      </c>
      <c r="O16" s="44">
        <f t="shared" ref="O16" si="26">N16*0.96</f>
        <v>1.5317743933244178E-3</v>
      </c>
      <c r="P16" s="45">
        <f t="shared" ref="P16" si="27">O16*0.96</f>
        <v>1.470503417591441E-3</v>
      </c>
    </row>
    <row r="17" spans="1:16" ht="15" thickBot="1" x14ac:dyDescent="0.4">
      <c r="A17" s="52"/>
      <c r="B17" s="53"/>
      <c r="C17" s="54"/>
      <c r="D17" s="54"/>
      <c r="E17" s="55"/>
      <c r="F17" s="55"/>
      <c r="G17" s="55"/>
      <c r="H17" s="55"/>
      <c r="I17" s="55"/>
      <c r="J17" s="55"/>
    </row>
    <row r="18" spans="1:16" ht="26.5" thickBot="1" x14ac:dyDescent="0.4">
      <c r="A18" s="52"/>
      <c r="B18" s="53"/>
      <c r="C18" s="63" t="s">
        <v>49</v>
      </c>
      <c r="D18" s="64" t="s">
        <v>65</v>
      </c>
      <c r="E18" s="64" t="s">
        <v>66</v>
      </c>
      <c r="F18" s="64" t="s">
        <v>67</v>
      </c>
      <c r="G18" s="64" t="s">
        <v>68</v>
      </c>
      <c r="H18" s="64" t="s">
        <v>69</v>
      </c>
      <c r="I18" s="64" t="s">
        <v>70</v>
      </c>
      <c r="J18" s="64" t="s">
        <v>71</v>
      </c>
      <c r="K18" s="64" t="s">
        <v>72</v>
      </c>
      <c r="L18" s="64" t="s">
        <v>73</v>
      </c>
      <c r="M18" s="64" t="s">
        <v>74</v>
      </c>
      <c r="N18" s="64" t="s">
        <v>75</v>
      </c>
      <c r="O18" s="64" t="s">
        <v>87</v>
      </c>
      <c r="P18" s="66" t="s">
        <v>88</v>
      </c>
    </row>
    <row r="19" spans="1:16" ht="15.5" thickBot="1" x14ac:dyDescent="0.4">
      <c r="A19" s="56" t="s">
        <v>45</v>
      </c>
      <c r="B19" s="57" t="s">
        <v>91</v>
      </c>
      <c r="C19" s="61">
        <v>0.05</v>
      </c>
      <c r="D19" s="61">
        <f t="shared" ref="D19:J19" si="28">C19*0.96</f>
        <v>4.8000000000000001E-2</v>
      </c>
      <c r="E19" s="62">
        <f t="shared" si="28"/>
        <v>4.6079999999999996E-2</v>
      </c>
      <c r="F19" s="62">
        <f t="shared" si="28"/>
        <v>4.4236799999999993E-2</v>
      </c>
      <c r="G19" s="62">
        <f t="shared" si="28"/>
        <v>4.2467327999999992E-2</v>
      </c>
      <c r="H19" s="62">
        <f t="shared" si="28"/>
        <v>4.0768634879999988E-2</v>
      </c>
      <c r="I19" s="62">
        <f t="shared" si="28"/>
        <v>3.9137889484799987E-2</v>
      </c>
      <c r="J19" s="62">
        <f t="shared" si="28"/>
        <v>3.7572373905407984E-2</v>
      </c>
      <c r="K19" s="62">
        <f t="shared" ref="K19:N19" si="29">J19*0.96</f>
        <v>3.6069478949191665E-2</v>
      </c>
      <c r="L19" s="62">
        <f t="shared" si="29"/>
        <v>3.4626699791224E-2</v>
      </c>
      <c r="M19" s="62">
        <f t="shared" si="29"/>
        <v>3.3241631799575039E-2</v>
      </c>
      <c r="N19" s="67">
        <f t="shared" si="29"/>
        <v>3.1911966527592039E-2</v>
      </c>
      <c r="O19" s="67">
        <f t="shared" ref="O19" si="30">N19*0.96</f>
        <v>3.0635487866488356E-2</v>
      </c>
      <c r="P19" s="67">
        <f t="shared" ref="P19" si="31">O19*0.96</f>
        <v>2.9410068351828821E-2</v>
      </c>
    </row>
    <row r="20" spans="1:16" x14ac:dyDescent="0.35">
      <c r="A20" s="52"/>
      <c r="B20" s="53"/>
      <c r="C20" s="54"/>
      <c r="D20" s="54"/>
      <c r="E20" s="55"/>
      <c r="F20" s="55"/>
      <c r="G20" s="55"/>
      <c r="H20" s="55"/>
      <c r="I20" s="55"/>
      <c r="J20" s="55"/>
    </row>
    <row r="21" spans="1:16" x14ac:dyDescent="0.35">
      <c r="A21" s="23" t="s">
        <v>31</v>
      </c>
    </row>
    <row r="22" spans="1:16" ht="48" customHeight="1" x14ac:dyDescent="0.35">
      <c r="A22" s="259" t="s">
        <v>146</v>
      </c>
      <c r="B22" s="259"/>
      <c r="C22" s="259"/>
      <c r="D22" s="259"/>
      <c r="E22" s="259"/>
      <c r="F22" s="259"/>
      <c r="G22" s="259"/>
      <c r="H22" s="259"/>
      <c r="I22" s="259"/>
      <c r="J22" s="259"/>
      <c r="K22" s="131"/>
    </row>
    <row r="23" spans="1:16" ht="33" customHeight="1" x14ac:dyDescent="0.35">
      <c r="A23" s="257" t="s">
        <v>137</v>
      </c>
      <c r="B23" s="257"/>
      <c r="C23" s="257"/>
      <c r="D23" s="257"/>
      <c r="E23" s="257"/>
      <c r="F23" s="257"/>
      <c r="G23" s="257"/>
      <c r="H23" s="257"/>
      <c r="I23" s="257"/>
      <c r="J23" s="257"/>
    </row>
    <row r="24" spans="1:16" ht="34.5" customHeight="1" x14ac:dyDescent="0.35">
      <c r="A24" s="258" t="s">
        <v>53</v>
      </c>
      <c r="B24" s="258"/>
      <c r="C24" s="258"/>
      <c r="D24" s="258"/>
      <c r="E24" s="258"/>
      <c r="F24" s="258"/>
      <c r="G24" s="258"/>
      <c r="H24" s="258"/>
      <c r="I24" s="258"/>
      <c r="J24" s="258"/>
      <c r="K24" s="130"/>
      <c r="L24" s="130"/>
      <c r="M24" s="130"/>
      <c r="N24" s="130"/>
      <c r="O24" s="130"/>
      <c r="P24" s="130"/>
    </row>
    <row r="25" spans="1:16" x14ac:dyDescent="0.35">
      <c r="A25" s="257" t="s">
        <v>92</v>
      </c>
      <c r="B25" s="257"/>
      <c r="C25" s="257"/>
      <c r="D25" s="257"/>
      <c r="E25" s="257"/>
      <c r="F25" s="257"/>
      <c r="G25" s="257"/>
      <c r="H25" s="257"/>
      <c r="I25" s="257"/>
      <c r="J25" s="257"/>
    </row>
  </sheetData>
  <sheetProtection algorithmName="SHA-512" hashValue="BYvT7tAMJJ90yrn4o+y8djUTS/RxDRKdCyfP1szCozhjilxtFKla/cCDgx5kLXe5iqaAxuaTxHUGdKkcUjKMNQ==" saltValue="stfIo+anf31gauc/k/455g==" spinCount="100000" sheet="1" objects="1" scenarios="1"/>
  <mergeCells count="16">
    <mergeCell ref="C10:P10"/>
    <mergeCell ref="A25:J25"/>
    <mergeCell ref="A23:J23"/>
    <mergeCell ref="A24:J24"/>
    <mergeCell ref="A1:J2"/>
    <mergeCell ref="A22:J22"/>
    <mergeCell ref="A5:A10"/>
    <mergeCell ref="B3:B4"/>
    <mergeCell ref="A3:A4"/>
    <mergeCell ref="A11:A13"/>
    <mergeCell ref="C3:P3"/>
    <mergeCell ref="C5:P5"/>
    <mergeCell ref="C6:P6"/>
    <mergeCell ref="C7:P7"/>
    <mergeCell ref="C8:P8"/>
    <mergeCell ref="C9:P9"/>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 Summary</vt:lpstr>
      <vt:lpstr>Capacity Block Sizes</vt:lpstr>
      <vt:lpstr>BTM Base Compensation Rates</vt:lpstr>
      <vt:lpstr>Stand. Base Compensation Rates</vt:lpstr>
      <vt:lpstr>Compensation Rate Adders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DOER2 (ENE)</cp:lastModifiedBy>
  <cp:lastPrinted>2018-02-16T19:33:11Z</cp:lastPrinted>
  <dcterms:created xsi:type="dcterms:W3CDTF">2018-01-02T15:42:16Z</dcterms:created>
  <dcterms:modified xsi:type="dcterms:W3CDTF">2020-05-21T21:12:26Z</dcterms:modified>
</cp:coreProperties>
</file>