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sexec\tashare\Capital\"/>
    </mc:Choice>
  </mc:AlternateContent>
  <xr:revisionPtr revIDLastSave="0" documentId="13_ncr:1_{B97D6736-5A4E-47A6-AE3E-BC1626EF4B1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otes" sheetId="16" r:id="rId1"/>
    <sheet name="Summary" sheetId="7" r:id="rId2"/>
    <sheet name="GF Analysis" sheetId="4" r:id="rId3"/>
    <sheet name="Revenues" sheetId="8" r:id="rId4"/>
    <sheet name="Tax Levy" sheetId="9" r:id="rId5"/>
    <sheet name="State Aid" sheetId="10" r:id="rId6"/>
    <sheet name="Local Receipts" sheetId="11" r:id="rId7"/>
    <sheet name="Debt" sheetId="12" r:id="rId8"/>
    <sheet name="CIP" sheetId="13" r:id="rId9"/>
    <sheet name="Amortization" sheetId="15" r:id="rId10"/>
  </sheets>
  <externalReferences>
    <externalReference r:id="rId11"/>
    <externalReference r:id="rId12"/>
  </externalReferences>
  <definedNames>
    <definedName name="aidcalc">[1]aid436!$A$10:$AI$448</definedName>
    <definedName name="dec">[2]dec!$A$10:$O$449</definedName>
    <definedName name="disthist">[1]disthist!$A$10:$AN$448</definedName>
    <definedName name="distributions">[2]distributions!$A$10:$T$449</definedName>
    <definedName name="_xlnm.Print_Area" localSheetId="8">CIP!$A$1:$M$70</definedName>
    <definedName name="_xlnm.Print_Area" localSheetId="7">Debt!$A$1:$L$51</definedName>
    <definedName name="_xlnm.Print_Area" localSheetId="2">'GF Analysis'!$A$1:$P$100</definedName>
    <definedName name="_xlnm.Print_Area" localSheetId="6">'Local Receipts'!$A$1:$T$37</definedName>
    <definedName name="_xlnm.Print_Area" localSheetId="3">Revenues!$A$1:$R$32</definedName>
    <definedName name="_xlnm.Print_Area" localSheetId="5">'State Aid'!$A$1:$U$26</definedName>
    <definedName name="_xlnm.Print_Area" localSheetId="1">Summary!$A$1:$Q$47</definedName>
    <definedName name="_xlnm.Print_Area" localSheetId="4">'Tax Levy'!$A$1:$S$23</definedName>
    <definedName name="_xlnm.Print_Titles" localSheetId="8">CIP!$A:$B,CIP!$1:$6</definedName>
    <definedName name="_xlnm.Print_Titles" localSheetId="7">Debt!$A:$B,Debt!$1:$4</definedName>
    <definedName name="_xlnm.Print_Titles" localSheetId="2">'GF Analysis'!$1:$13</definedName>
    <definedName name="_xlnm.Print_Titles" localSheetId="6">'Local Receipts'!$A:$B,'Local Receipts'!$1:$3</definedName>
    <definedName name="_xlnm.Print_Titles" localSheetId="3">Revenues!$A:$B,Revenues!$1:$5</definedName>
    <definedName name="_xlnm.Print_Titles" localSheetId="5">'State Aid'!$A:$B,'State Aid'!$1:$2</definedName>
    <definedName name="_xlnm.Print_Titles" localSheetId="1">Summary!$1:$2</definedName>
    <definedName name="_xlnm.Print_Titles" localSheetId="4">'Tax Levy'!$A:$B,'Tax Levy'!$1:$5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8" l="1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C18" i="8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C5" i="13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C3" i="12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C5" i="11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C3" i="10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C4" i="9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C4" i="8"/>
  <c r="A1" i="7" l="1"/>
  <c r="B1" i="8"/>
  <c r="B14" i="15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A23" i="15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D22" i="15"/>
  <c r="D21" i="15"/>
  <c r="D20" i="15"/>
  <c r="D19" i="15"/>
  <c r="D18" i="15"/>
  <c r="D17" i="15"/>
  <c r="D16" i="15"/>
  <c r="D15" i="15"/>
  <c r="D14" i="15"/>
  <c r="D13" i="15"/>
  <c r="D50" i="15" s="1"/>
  <c r="C13" i="15"/>
  <c r="C14" i="15" s="1"/>
  <c r="C15" i="15" l="1"/>
  <c r="E14" i="15"/>
  <c r="F14" i="15" s="1"/>
  <c r="E13" i="15"/>
  <c r="F13" i="15"/>
  <c r="E15" i="15" l="1"/>
  <c r="F15" i="15" s="1"/>
  <c r="C16" i="15"/>
  <c r="C17" i="15" l="1"/>
  <c r="E16" i="15"/>
  <c r="F16" i="15" s="1"/>
  <c r="C18" i="15" l="1"/>
  <c r="E17" i="15"/>
  <c r="F17" i="15" l="1"/>
  <c r="E18" i="15"/>
  <c r="F18" i="15" s="1"/>
  <c r="C19" i="15"/>
  <c r="E19" i="15" l="1"/>
  <c r="F19" i="15" s="1"/>
  <c r="C20" i="15"/>
  <c r="E20" i="15" l="1"/>
  <c r="F20" i="15" s="1"/>
  <c r="C21" i="15"/>
  <c r="C22" i="15" l="1"/>
  <c r="E21" i="15"/>
  <c r="F21" i="15" s="1"/>
  <c r="E22" i="15" l="1"/>
  <c r="F22" i="15" s="1"/>
  <c r="C23" i="15"/>
  <c r="C24" i="15" l="1"/>
  <c r="E23" i="15"/>
  <c r="F23" i="15" s="1"/>
  <c r="C25" i="15" l="1"/>
  <c r="E24" i="15"/>
  <c r="F24" i="15" s="1"/>
  <c r="C26" i="15" l="1"/>
  <c r="E25" i="15"/>
  <c r="F25" i="15" s="1"/>
  <c r="C27" i="15" l="1"/>
  <c r="E26" i="15"/>
  <c r="F26" i="15" s="1"/>
  <c r="C28" i="15" l="1"/>
  <c r="E27" i="15"/>
  <c r="F27" i="15" s="1"/>
  <c r="E28" i="15" l="1"/>
  <c r="F28" i="15" s="1"/>
  <c r="C29" i="15"/>
  <c r="E29" i="15" l="1"/>
  <c r="F29" i="15" s="1"/>
  <c r="C30" i="15"/>
  <c r="C31" i="15" l="1"/>
  <c r="E30" i="15"/>
  <c r="F30" i="15" s="1"/>
  <c r="E31" i="15" l="1"/>
  <c r="F31" i="15" s="1"/>
  <c r="C32" i="15"/>
  <c r="C33" i="15" l="1"/>
  <c r="E32" i="15"/>
  <c r="F32" i="15" s="1"/>
  <c r="C34" i="15" l="1"/>
  <c r="E33" i="15"/>
  <c r="F33" i="15" s="1"/>
  <c r="C35" i="15" l="1"/>
  <c r="E34" i="15"/>
  <c r="F34" i="15" s="1"/>
  <c r="C36" i="15" l="1"/>
  <c r="E35" i="15"/>
  <c r="F35" i="15" s="1"/>
  <c r="E36" i="15" l="1"/>
  <c r="F36" i="15" s="1"/>
  <c r="C37" i="15"/>
  <c r="E37" i="15" l="1"/>
  <c r="F37" i="15" s="1"/>
  <c r="C38" i="15"/>
  <c r="E38" i="15" l="1"/>
  <c r="F38" i="15" s="1"/>
  <c r="C39" i="15"/>
  <c r="C40" i="15" l="1"/>
  <c r="E39" i="15"/>
  <c r="F39" i="15" s="1"/>
  <c r="C41" i="15" l="1"/>
  <c r="E40" i="15"/>
  <c r="F40" i="15" s="1"/>
  <c r="C42" i="15" l="1"/>
  <c r="E41" i="15"/>
  <c r="F41" i="15" s="1"/>
  <c r="E42" i="15" l="1"/>
  <c r="F42" i="15" s="1"/>
  <c r="C43" i="15"/>
  <c r="E43" i="15" l="1"/>
  <c r="F43" i="15" s="1"/>
  <c r="C44" i="15"/>
  <c r="E44" i="15" l="1"/>
  <c r="F44" i="15" s="1"/>
  <c r="C45" i="15"/>
  <c r="E45" i="15" l="1"/>
  <c r="F45" i="15" s="1"/>
  <c r="C46" i="15"/>
  <c r="E46" i="15" l="1"/>
  <c r="F46" i="15" s="1"/>
  <c r="C47" i="15"/>
  <c r="C48" i="15" l="1"/>
  <c r="E48" i="15" s="1"/>
  <c r="E47" i="15"/>
  <c r="F47" i="15" s="1"/>
  <c r="F48" i="15" l="1"/>
  <c r="F50" i="15" s="1"/>
  <c r="E50" i="15"/>
  <c r="F37" i="7" l="1"/>
  <c r="F38" i="7" s="1"/>
  <c r="D37" i="7" l="1"/>
  <c r="D38" i="7" s="1"/>
  <c r="E37" i="7"/>
  <c r="E38" i="7" s="1"/>
  <c r="C37" i="7"/>
  <c r="G35" i="7"/>
  <c r="H35" i="7"/>
  <c r="I35" i="7"/>
  <c r="J35" i="7"/>
  <c r="K35" i="7"/>
  <c r="L35" i="7"/>
  <c r="M35" i="7"/>
  <c r="N35" i="7"/>
  <c r="O35" i="7"/>
  <c r="P35" i="7"/>
  <c r="Q35" i="7"/>
  <c r="Q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Q15" i="7"/>
  <c r="C14" i="7"/>
  <c r="E61" i="4" l="1"/>
  <c r="G61" i="4"/>
  <c r="I61" i="4"/>
  <c r="I13" i="7" s="1"/>
  <c r="K61" i="4"/>
  <c r="M61" i="4"/>
  <c r="N61" i="4"/>
  <c r="P61" i="4"/>
  <c r="C61" i="4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C53" i="13"/>
  <c r="M67" i="4" l="1"/>
  <c r="M13" i="7"/>
  <c r="I15" i="7"/>
  <c r="C67" i="4"/>
  <c r="C97" i="4" s="1"/>
  <c r="C13" i="7"/>
  <c r="K67" i="4"/>
  <c r="K13" i="7"/>
  <c r="P67" i="4"/>
  <c r="P13" i="7"/>
  <c r="G67" i="4"/>
  <c r="G13" i="7"/>
  <c r="E67" i="4"/>
  <c r="E97" i="4" s="1"/>
  <c r="E13" i="7"/>
  <c r="N67" i="4"/>
  <c r="N13" i="7"/>
  <c r="I67" i="4"/>
  <c r="R12" i="13"/>
  <c r="R17" i="13"/>
  <c r="R23" i="13"/>
  <c r="R36" i="13"/>
  <c r="R43" i="13"/>
  <c r="R47" i="13"/>
  <c r="R67" i="13"/>
  <c r="M12" i="13"/>
  <c r="N12" i="13"/>
  <c r="O12" i="13"/>
  <c r="P12" i="13"/>
  <c r="Q12" i="13"/>
  <c r="M17" i="13"/>
  <c r="N17" i="13"/>
  <c r="N28" i="13" s="1"/>
  <c r="O17" i="13"/>
  <c r="P17" i="13"/>
  <c r="P28" i="13" s="1"/>
  <c r="Q17" i="13"/>
  <c r="Q28" i="13" s="1"/>
  <c r="M23" i="13"/>
  <c r="N23" i="13"/>
  <c r="O23" i="13"/>
  <c r="P23" i="13"/>
  <c r="Q23" i="13"/>
  <c r="O28" i="13"/>
  <c r="M36" i="13"/>
  <c r="N36" i="13"/>
  <c r="O36" i="13"/>
  <c r="P36" i="13"/>
  <c r="Q36" i="13"/>
  <c r="M43" i="13"/>
  <c r="N43" i="13"/>
  <c r="O43" i="13"/>
  <c r="P43" i="13"/>
  <c r="Q43" i="13"/>
  <c r="M47" i="13"/>
  <c r="N47" i="13"/>
  <c r="O47" i="13"/>
  <c r="P47" i="13"/>
  <c r="Q47" i="13"/>
  <c r="M67" i="13"/>
  <c r="N67" i="13"/>
  <c r="O67" i="13"/>
  <c r="P67" i="13"/>
  <c r="Q67" i="13"/>
  <c r="A1" i="13"/>
  <c r="L67" i="13"/>
  <c r="K67" i="13"/>
  <c r="J67" i="13"/>
  <c r="I67" i="13"/>
  <c r="H67" i="13"/>
  <c r="G67" i="13"/>
  <c r="F67" i="13"/>
  <c r="E67" i="13"/>
  <c r="D67" i="13"/>
  <c r="C67" i="13"/>
  <c r="L47" i="13"/>
  <c r="K47" i="13"/>
  <c r="J47" i="13"/>
  <c r="I47" i="13"/>
  <c r="H47" i="13"/>
  <c r="G47" i="13"/>
  <c r="F47" i="13"/>
  <c r="E47" i="13"/>
  <c r="D47" i="13"/>
  <c r="C47" i="13"/>
  <c r="L43" i="13"/>
  <c r="K43" i="13"/>
  <c r="J43" i="13"/>
  <c r="I43" i="13"/>
  <c r="H43" i="13"/>
  <c r="G43" i="13"/>
  <c r="F43" i="13"/>
  <c r="E43" i="13"/>
  <c r="D43" i="13"/>
  <c r="C43" i="13"/>
  <c r="L36" i="13"/>
  <c r="K36" i="13"/>
  <c r="J36" i="13"/>
  <c r="I36" i="13"/>
  <c r="H36" i="13"/>
  <c r="G36" i="13"/>
  <c r="F36" i="13"/>
  <c r="E36" i="13"/>
  <c r="D36" i="13"/>
  <c r="C36" i="13"/>
  <c r="L23" i="13"/>
  <c r="K23" i="13"/>
  <c r="J23" i="13"/>
  <c r="I23" i="13"/>
  <c r="H23" i="13"/>
  <c r="G23" i="13"/>
  <c r="F23" i="13"/>
  <c r="E23" i="13"/>
  <c r="D23" i="13"/>
  <c r="C23" i="13"/>
  <c r="L17" i="13"/>
  <c r="K17" i="13"/>
  <c r="J17" i="13"/>
  <c r="I17" i="13"/>
  <c r="H17" i="13"/>
  <c r="G17" i="13"/>
  <c r="F17" i="13"/>
  <c r="E17" i="13"/>
  <c r="D17" i="13"/>
  <c r="C17" i="13"/>
  <c r="L12" i="13"/>
  <c r="K12" i="13"/>
  <c r="J12" i="13"/>
  <c r="I12" i="13"/>
  <c r="H12" i="13"/>
  <c r="G12" i="13"/>
  <c r="F12" i="13"/>
  <c r="E12" i="13"/>
  <c r="D12" i="13"/>
  <c r="C12" i="13"/>
  <c r="G15" i="7" l="1"/>
  <c r="N15" i="7"/>
  <c r="E15" i="7"/>
  <c r="P15" i="7"/>
  <c r="M15" i="7"/>
  <c r="K15" i="7"/>
  <c r="C28" i="13"/>
  <c r="C55" i="13" s="1"/>
  <c r="G28" i="13"/>
  <c r="G55" i="13" s="1"/>
  <c r="F61" i="4" s="1"/>
  <c r="F13" i="7" s="1"/>
  <c r="I28" i="13"/>
  <c r="I55" i="13" s="1"/>
  <c r="J28" i="13"/>
  <c r="J55" i="13" s="1"/>
  <c r="J68" i="13" s="1"/>
  <c r="O55" i="13"/>
  <c r="O68" i="13" s="1"/>
  <c r="Q55" i="13"/>
  <c r="Q68" i="13" s="1"/>
  <c r="H28" i="13"/>
  <c r="H55" i="13" s="1"/>
  <c r="H68" i="13" s="1"/>
  <c r="N55" i="13"/>
  <c r="N68" i="13" s="1"/>
  <c r="P55" i="13"/>
  <c r="R28" i="13"/>
  <c r="R55" i="13" s="1"/>
  <c r="R68" i="13" s="1"/>
  <c r="M28" i="13"/>
  <c r="M55" i="13" s="1"/>
  <c r="K28" i="13"/>
  <c r="K55" i="13" s="1"/>
  <c r="F28" i="13"/>
  <c r="F55" i="13" s="1"/>
  <c r="D28" i="13"/>
  <c r="D55" i="13" s="1"/>
  <c r="L28" i="13"/>
  <c r="L55" i="13" s="1"/>
  <c r="E28" i="13"/>
  <c r="E55" i="13" s="1"/>
  <c r="D61" i="4" s="1"/>
  <c r="D13" i="7" s="1"/>
  <c r="F40" i="7" l="1"/>
  <c r="F15" i="7"/>
  <c r="D15" i="7"/>
  <c r="D67" i="4"/>
  <c r="D97" i="4" s="1"/>
  <c r="F67" i="4"/>
  <c r="F97" i="4" s="1"/>
  <c r="P68" i="13"/>
  <c r="O61" i="4"/>
  <c r="O13" i="7" s="1"/>
  <c r="M68" i="13"/>
  <c r="L61" i="4"/>
  <c r="L13" i="7" s="1"/>
  <c r="K68" i="13"/>
  <c r="J61" i="4"/>
  <c r="J13" i="7" s="1"/>
  <c r="I68" i="13"/>
  <c r="H61" i="4"/>
  <c r="H13" i="7" s="1"/>
  <c r="F68" i="13"/>
  <c r="E68" i="13"/>
  <c r="G68" i="13"/>
  <c r="C68" i="13"/>
  <c r="L68" i="13"/>
  <c r="D68" i="13"/>
  <c r="H15" i="7" l="1"/>
  <c r="L15" i="7"/>
  <c r="J15" i="7"/>
  <c r="O15" i="7"/>
  <c r="L67" i="4"/>
  <c r="H67" i="4"/>
  <c r="J67" i="4"/>
  <c r="O67" i="4"/>
  <c r="D20" i="4"/>
  <c r="D22" i="4" s="1"/>
  <c r="E20" i="4"/>
  <c r="E22" i="4" s="1"/>
  <c r="F20" i="4"/>
  <c r="F22" i="4" s="1"/>
  <c r="G20" i="4"/>
  <c r="G22" i="4" s="1"/>
  <c r="H20" i="4"/>
  <c r="H22" i="4" s="1"/>
  <c r="I20" i="4"/>
  <c r="I22" i="4" s="1"/>
  <c r="J20" i="4"/>
  <c r="J22" i="4" s="1"/>
  <c r="K20" i="4"/>
  <c r="K22" i="4" s="1"/>
  <c r="L20" i="4"/>
  <c r="L22" i="4" s="1"/>
  <c r="M20" i="4"/>
  <c r="M22" i="4" s="1"/>
  <c r="N20" i="4"/>
  <c r="N22" i="4" s="1"/>
  <c r="O20" i="4"/>
  <c r="O22" i="4" s="1"/>
  <c r="P20" i="4"/>
  <c r="P22" i="4" s="1"/>
  <c r="Q20" i="4"/>
  <c r="Q22" i="4" s="1"/>
  <c r="C20" i="4"/>
  <c r="C22" i="4" s="1"/>
  <c r="Q15" i="4"/>
  <c r="Q17" i="4" s="1"/>
  <c r="Q7" i="7" s="1"/>
  <c r="P15" i="4"/>
  <c r="P17" i="4" s="1"/>
  <c r="P7" i="7" s="1"/>
  <c r="O15" i="4"/>
  <c r="O17" i="4" s="1"/>
  <c r="O7" i="7" s="1"/>
  <c r="N15" i="4"/>
  <c r="N17" i="4" s="1"/>
  <c r="N7" i="7" s="1"/>
  <c r="M15" i="4"/>
  <c r="M17" i="4" s="1"/>
  <c r="M7" i="7" s="1"/>
  <c r="L15" i="4"/>
  <c r="L17" i="4" s="1"/>
  <c r="L7" i="7" s="1"/>
  <c r="K15" i="4"/>
  <c r="K17" i="4" s="1"/>
  <c r="K7" i="7" s="1"/>
  <c r="J15" i="4"/>
  <c r="J17" i="4" s="1"/>
  <c r="J7" i="7" s="1"/>
  <c r="I15" i="4"/>
  <c r="I17" i="4" s="1"/>
  <c r="I7" i="7" s="1"/>
  <c r="H15" i="4"/>
  <c r="H17" i="4" s="1"/>
  <c r="H7" i="7" s="1"/>
  <c r="G15" i="4"/>
  <c r="G17" i="4" s="1"/>
  <c r="G7" i="7" s="1"/>
  <c r="F15" i="4"/>
  <c r="F17" i="4" s="1"/>
  <c r="F7" i="7" s="1"/>
  <c r="E15" i="4"/>
  <c r="E17" i="4" s="1"/>
  <c r="E7" i="7" s="1"/>
  <c r="D15" i="4"/>
  <c r="D17" i="4" s="1"/>
  <c r="D7" i="7" s="1"/>
  <c r="C15" i="4"/>
  <c r="C17" i="4" s="1"/>
  <c r="C7" i="7" s="1"/>
  <c r="Q13" i="4"/>
  <c r="Q5" i="7" s="1"/>
  <c r="P13" i="4"/>
  <c r="P5" i="7" s="1"/>
  <c r="O13" i="4"/>
  <c r="O5" i="7" s="1"/>
  <c r="N13" i="4"/>
  <c r="N5" i="7" s="1"/>
  <c r="M13" i="4"/>
  <c r="M5" i="7" s="1"/>
  <c r="L13" i="4"/>
  <c r="L5" i="7" s="1"/>
  <c r="K13" i="4"/>
  <c r="K5" i="7" s="1"/>
  <c r="J13" i="4"/>
  <c r="J5" i="7" s="1"/>
  <c r="I13" i="4"/>
  <c r="I5" i="7" s="1"/>
  <c r="H13" i="4"/>
  <c r="H5" i="7" s="1"/>
  <c r="G13" i="4"/>
  <c r="G5" i="7" s="1"/>
  <c r="F13" i="4"/>
  <c r="F5" i="7" s="1"/>
  <c r="E13" i="4"/>
  <c r="E5" i="7" s="1"/>
  <c r="D13" i="4"/>
  <c r="D5" i="7" s="1"/>
  <c r="C13" i="4"/>
  <c r="C5" i="7" s="1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49" i="12"/>
  <c r="M49" i="12"/>
  <c r="F49" i="12"/>
  <c r="E49" i="12"/>
  <c r="D49" i="12"/>
  <c r="C49" i="12"/>
  <c r="B48" i="12"/>
  <c r="B47" i="12"/>
  <c r="H46" i="12"/>
  <c r="G46" i="12"/>
  <c r="B46" i="12"/>
  <c r="R45" i="12"/>
  <c r="R49" i="12" s="1"/>
  <c r="Q45" i="12"/>
  <c r="P45" i="12"/>
  <c r="O45" i="12"/>
  <c r="N45" i="12"/>
  <c r="N49" i="12" s="1"/>
  <c r="M45" i="12"/>
  <c r="L45" i="12"/>
  <c r="K45" i="12"/>
  <c r="J45" i="12"/>
  <c r="I45" i="12"/>
  <c r="H45" i="12"/>
  <c r="G45" i="12"/>
  <c r="B45" i="12"/>
  <c r="R44" i="12"/>
  <c r="Q44" i="12"/>
  <c r="P44" i="12"/>
  <c r="P49" i="12" s="1"/>
  <c r="O44" i="12"/>
  <c r="O49" i="12" s="1"/>
  <c r="N44" i="12"/>
  <c r="M44" i="12"/>
  <c r="L44" i="12"/>
  <c r="L49" i="12" s="1"/>
  <c r="K44" i="12"/>
  <c r="K49" i="12" s="1"/>
  <c r="J44" i="12"/>
  <c r="I44" i="12"/>
  <c r="H44" i="12"/>
  <c r="G44" i="12"/>
  <c r="B44" i="12"/>
  <c r="B43" i="12"/>
  <c r="J42" i="12"/>
  <c r="I42" i="12"/>
  <c r="I49" i="12" s="1"/>
  <c r="H42" i="12"/>
  <c r="G42" i="12"/>
  <c r="B42" i="12"/>
  <c r="H41" i="12"/>
  <c r="H49" i="12" s="1"/>
  <c r="G41" i="12"/>
  <c r="B41" i="12"/>
  <c r="R39" i="12"/>
  <c r="Q39" i="12"/>
  <c r="Q50" i="12" s="1"/>
  <c r="Q7" i="12" s="1"/>
  <c r="P39" i="12"/>
  <c r="O39" i="12"/>
  <c r="N39" i="12"/>
  <c r="M39" i="12"/>
  <c r="M50" i="12" s="1"/>
  <c r="M7" i="12" s="1"/>
  <c r="M13" i="9" s="1"/>
  <c r="M8" i="8" s="1"/>
  <c r="L39" i="12"/>
  <c r="K39" i="12"/>
  <c r="K50" i="12" s="1"/>
  <c r="K7" i="12" s="1"/>
  <c r="K13" i="9" s="1"/>
  <c r="J39" i="12"/>
  <c r="I39" i="12"/>
  <c r="I50" i="12" s="1"/>
  <c r="I7" i="12" s="1"/>
  <c r="H39" i="12"/>
  <c r="G39" i="12"/>
  <c r="F39" i="12"/>
  <c r="F50" i="12" s="1"/>
  <c r="F7" i="12" s="1"/>
  <c r="E39" i="12"/>
  <c r="E50" i="12" s="1"/>
  <c r="E7" i="12" s="1"/>
  <c r="E13" i="9" s="1"/>
  <c r="E8" i="8" s="1"/>
  <c r="D39" i="12"/>
  <c r="D50" i="12" s="1"/>
  <c r="C39" i="12"/>
  <c r="C50" i="12" s="1"/>
  <c r="C7" i="12" s="1"/>
  <c r="C13" i="9" s="1"/>
  <c r="K26" i="12"/>
  <c r="K6" i="12" s="1"/>
  <c r="R25" i="12"/>
  <c r="Q25" i="12"/>
  <c r="Q26" i="12" s="1"/>
  <c r="Q6" i="12" s="1"/>
  <c r="Q8" i="12" s="1"/>
  <c r="N25" i="12"/>
  <c r="N26" i="12" s="1"/>
  <c r="N6" i="12" s="1"/>
  <c r="M25" i="12"/>
  <c r="M26" i="12" s="1"/>
  <c r="M6" i="12" s="1"/>
  <c r="K25" i="12"/>
  <c r="I25" i="12"/>
  <c r="I26" i="12" s="1"/>
  <c r="I6" i="12" s="1"/>
  <c r="I8" i="12" s="1"/>
  <c r="F25" i="12"/>
  <c r="F26" i="12" s="1"/>
  <c r="F6" i="12" s="1"/>
  <c r="E25" i="12"/>
  <c r="E26" i="12" s="1"/>
  <c r="E6" i="12" s="1"/>
  <c r="E8" i="12" s="1"/>
  <c r="D25" i="12"/>
  <c r="C25" i="12"/>
  <c r="C26" i="12" s="1"/>
  <c r="C6" i="12" s="1"/>
  <c r="C8" i="12" s="1"/>
  <c r="B24" i="12"/>
  <c r="B23" i="12"/>
  <c r="B22" i="12"/>
  <c r="Q21" i="12"/>
  <c r="P21" i="12"/>
  <c r="P25" i="12" s="1"/>
  <c r="O21" i="12"/>
  <c r="O25" i="12" s="1"/>
  <c r="N21" i="12"/>
  <c r="M21" i="12"/>
  <c r="L21" i="12"/>
  <c r="K21" i="12"/>
  <c r="J21" i="12"/>
  <c r="I21" i="12"/>
  <c r="H21" i="12"/>
  <c r="G21" i="12"/>
  <c r="B21" i="12"/>
  <c r="L20" i="12"/>
  <c r="L25" i="12" s="1"/>
  <c r="K20" i="12"/>
  <c r="J20" i="12"/>
  <c r="J25" i="12" s="1"/>
  <c r="I20" i="12"/>
  <c r="H20" i="12"/>
  <c r="H25" i="12" s="1"/>
  <c r="G20" i="12"/>
  <c r="B20" i="12"/>
  <c r="B19" i="12"/>
  <c r="R17" i="12"/>
  <c r="R26" i="12" s="1"/>
  <c r="R6" i="12" s="1"/>
  <c r="Q17" i="12"/>
  <c r="P17" i="12"/>
  <c r="P26" i="12" s="1"/>
  <c r="P6" i="12" s="1"/>
  <c r="O17" i="12"/>
  <c r="O26" i="12" s="1"/>
  <c r="O6" i="12" s="1"/>
  <c r="N17" i="12"/>
  <c r="M17" i="12"/>
  <c r="L17" i="12"/>
  <c r="K17" i="12"/>
  <c r="J17" i="12"/>
  <c r="I17" i="12"/>
  <c r="H17" i="12"/>
  <c r="H26" i="12" s="1"/>
  <c r="H6" i="12" s="1"/>
  <c r="G17" i="12"/>
  <c r="F17" i="12"/>
  <c r="E17" i="12"/>
  <c r="D17" i="12"/>
  <c r="D26" i="12" s="1"/>
  <c r="C17" i="12"/>
  <c r="D7" i="12"/>
  <c r="D6" i="12"/>
  <c r="D8" i="12" s="1"/>
  <c r="G35" i="11"/>
  <c r="F35" i="11"/>
  <c r="E35" i="11"/>
  <c r="D35" i="11"/>
  <c r="C35" i="11"/>
  <c r="H34" i="1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H33" i="1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H32" i="11"/>
  <c r="I32" i="11" s="1"/>
  <c r="J32" i="11" s="1"/>
  <c r="K32" i="11" s="1"/>
  <c r="L32" i="11" s="1"/>
  <c r="M32" i="11" s="1"/>
  <c r="N32" i="11" s="1"/>
  <c r="O32" i="11" s="1"/>
  <c r="P32" i="11" s="1"/>
  <c r="Q32" i="11" s="1"/>
  <c r="R32" i="11" s="1"/>
  <c r="H31" i="11"/>
  <c r="I31" i="11" s="1"/>
  <c r="J31" i="11" s="1"/>
  <c r="K31" i="11" s="1"/>
  <c r="L31" i="11" s="1"/>
  <c r="M31" i="11" s="1"/>
  <c r="N31" i="11" s="1"/>
  <c r="O31" i="11" s="1"/>
  <c r="P31" i="11" s="1"/>
  <c r="Q31" i="11" s="1"/>
  <c r="R31" i="11" s="1"/>
  <c r="I30" i="11"/>
  <c r="J30" i="11" s="1"/>
  <c r="K30" i="11" s="1"/>
  <c r="L30" i="11" s="1"/>
  <c r="M30" i="11" s="1"/>
  <c r="N30" i="11" s="1"/>
  <c r="O30" i="11" s="1"/>
  <c r="P30" i="11" s="1"/>
  <c r="Q30" i="11" s="1"/>
  <c r="R30" i="11" s="1"/>
  <c r="H30" i="11"/>
  <c r="H29" i="11"/>
  <c r="I29" i="11" s="1"/>
  <c r="J29" i="11" s="1"/>
  <c r="K29" i="11" s="1"/>
  <c r="L29" i="11" s="1"/>
  <c r="M29" i="11" s="1"/>
  <c r="N29" i="11" s="1"/>
  <c r="O29" i="11" s="1"/>
  <c r="P29" i="11" s="1"/>
  <c r="Q29" i="11" s="1"/>
  <c r="R29" i="11" s="1"/>
  <c r="H28" i="11"/>
  <c r="I28" i="11" s="1"/>
  <c r="J28" i="11" s="1"/>
  <c r="K28" i="11" s="1"/>
  <c r="L28" i="11" s="1"/>
  <c r="M28" i="11" s="1"/>
  <c r="N28" i="11" s="1"/>
  <c r="O28" i="11" s="1"/>
  <c r="P28" i="11" s="1"/>
  <c r="Q28" i="11" s="1"/>
  <c r="R28" i="11" s="1"/>
  <c r="H27" i="1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H26" i="1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H25" i="11"/>
  <c r="I25" i="11" s="1"/>
  <c r="J25" i="11" s="1"/>
  <c r="K25" i="11" s="1"/>
  <c r="L25" i="11" s="1"/>
  <c r="M25" i="11" s="1"/>
  <c r="N25" i="11" s="1"/>
  <c r="O25" i="11" s="1"/>
  <c r="P25" i="11" s="1"/>
  <c r="Q25" i="11" s="1"/>
  <c r="R25" i="11" s="1"/>
  <c r="H24" i="11"/>
  <c r="I24" i="11" s="1"/>
  <c r="J24" i="11" s="1"/>
  <c r="K24" i="11" s="1"/>
  <c r="L24" i="11" s="1"/>
  <c r="M24" i="11" s="1"/>
  <c r="N24" i="11" s="1"/>
  <c r="O24" i="11" s="1"/>
  <c r="P24" i="11" s="1"/>
  <c r="Q24" i="11" s="1"/>
  <c r="R24" i="11" s="1"/>
  <c r="H23" i="1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H22" i="11"/>
  <c r="I22" i="11" s="1"/>
  <c r="J22" i="11" s="1"/>
  <c r="K22" i="11" s="1"/>
  <c r="L22" i="11" s="1"/>
  <c r="M22" i="11" s="1"/>
  <c r="N22" i="11" s="1"/>
  <c r="O22" i="11" s="1"/>
  <c r="P22" i="11" s="1"/>
  <c r="Q22" i="11" s="1"/>
  <c r="R22" i="11" s="1"/>
  <c r="H20" i="1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H19" i="1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J18" i="11"/>
  <c r="K18" i="11" s="1"/>
  <c r="L18" i="11" s="1"/>
  <c r="M18" i="11" s="1"/>
  <c r="N18" i="11" s="1"/>
  <c r="O18" i="11" s="1"/>
  <c r="P18" i="11" s="1"/>
  <c r="Q18" i="11" s="1"/>
  <c r="R18" i="11" s="1"/>
  <c r="H18" i="11"/>
  <c r="I18" i="11" s="1"/>
  <c r="I17" i="11"/>
  <c r="J17" i="11" s="1"/>
  <c r="K17" i="11" s="1"/>
  <c r="L17" i="11" s="1"/>
  <c r="M17" i="11" s="1"/>
  <c r="N17" i="11" s="1"/>
  <c r="O17" i="11" s="1"/>
  <c r="P17" i="11" s="1"/>
  <c r="Q17" i="11" s="1"/>
  <c r="R17" i="11" s="1"/>
  <c r="H17" i="11"/>
  <c r="H16" i="1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I15" i="11"/>
  <c r="J15" i="11" s="1"/>
  <c r="K15" i="11" s="1"/>
  <c r="L15" i="11" s="1"/>
  <c r="M15" i="11" s="1"/>
  <c r="N15" i="11" s="1"/>
  <c r="O15" i="11" s="1"/>
  <c r="P15" i="11" s="1"/>
  <c r="Q15" i="11" s="1"/>
  <c r="R15" i="11" s="1"/>
  <c r="H15" i="11"/>
  <c r="H14" i="1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H13" i="1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H12" i="1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K11" i="11"/>
  <c r="L11" i="11" s="1"/>
  <c r="M11" i="11" s="1"/>
  <c r="N11" i="11" s="1"/>
  <c r="O11" i="11" s="1"/>
  <c r="P11" i="11" s="1"/>
  <c r="Q11" i="11" s="1"/>
  <c r="R11" i="11" s="1"/>
  <c r="H11" i="11"/>
  <c r="I11" i="11" s="1"/>
  <c r="J11" i="11" s="1"/>
  <c r="H10" i="11"/>
  <c r="I10" i="11" s="1"/>
  <c r="J10" i="11" s="1"/>
  <c r="K10" i="11" s="1"/>
  <c r="L10" i="11" s="1"/>
  <c r="M10" i="11" s="1"/>
  <c r="N10" i="11" s="1"/>
  <c r="O10" i="11" s="1"/>
  <c r="P10" i="11" s="1"/>
  <c r="Q10" i="11" s="1"/>
  <c r="R10" i="11" s="1"/>
  <c r="H9" i="1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L8" i="11"/>
  <c r="M8" i="11" s="1"/>
  <c r="N8" i="11" s="1"/>
  <c r="O8" i="11" s="1"/>
  <c r="P8" i="11" s="1"/>
  <c r="Q8" i="11" s="1"/>
  <c r="R8" i="11" s="1"/>
  <c r="H8" i="11"/>
  <c r="I8" i="11" s="1"/>
  <c r="J8" i="11" s="1"/>
  <c r="K8" i="11" s="1"/>
  <c r="I7" i="11"/>
  <c r="J7" i="11" s="1"/>
  <c r="K7" i="11" s="1"/>
  <c r="L7" i="11" s="1"/>
  <c r="H7" i="11"/>
  <c r="B1" i="11"/>
  <c r="G19" i="10"/>
  <c r="F19" i="10"/>
  <c r="E19" i="10"/>
  <c r="E20" i="10" s="1"/>
  <c r="D19" i="10"/>
  <c r="C19" i="10"/>
  <c r="C20" i="10" s="1"/>
  <c r="I18" i="10"/>
  <c r="J18" i="10" s="1"/>
  <c r="K18" i="10" s="1"/>
  <c r="L18" i="10" s="1"/>
  <c r="M18" i="10" s="1"/>
  <c r="N18" i="10" s="1"/>
  <c r="O18" i="10" s="1"/>
  <c r="P18" i="10" s="1"/>
  <c r="Q18" i="10" s="1"/>
  <c r="R18" i="10" s="1"/>
  <c r="I17" i="10"/>
  <c r="J17" i="10" s="1"/>
  <c r="K17" i="10" s="1"/>
  <c r="L17" i="10" s="1"/>
  <c r="M17" i="10" s="1"/>
  <c r="N17" i="10" s="1"/>
  <c r="O17" i="10" s="1"/>
  <c r="P17" i="10" s="1"/>
  <c r="Q17" i="10" s="1"/>
  <c r="R17" i="10" s="1"/>
  <c r="I16" i="10"/>
  <c r="J16" i="10" s="1"/>
  <c r="K16" i="10" s="1"/>
  <c r="L16" i="10" s="1"/>
  <c r="M16" i="10" s="1"/>
  <c r="N16" i="10" s="1"/>
  <c r="O16" i="10" s="1"/>
  <c r="P16" i="10" s="1"/>
  <c r="Q16" i="10" s="1"/>
  <c r="R16" i="10" s="1"/>
  <c r="I15" i="10"/>
  <c r="J15" i="10" s="1"/>
  <c r="K15" i="10" s="1"/>
  <c r="L15" i="10" s="1"/>
  <c r="M15" i="10" s="1"/>
  <c r="N15" i="10" s="1"/>
  <c r="O15" i="10" s="1"/>
  <c r="P15" i="10" s="1"/>
  <c r="Q15" i="10" s="1"/>
  <c r="R15" i="10" s="1"/>
  <c r="H14" i="10"/>
  <c r="I14" i="10" s="1"/>
  <c r="J14" i="10" s="1"/>
  <c r="J13" i="10"/>
  <c r="K13" i="10" s="1"/>
  <c r="L13" i="10" s="1"/>
  <c r="M13" i="10" s="1"/>
  <c r="N13" i="10" s="1"/>
  <c r="O13" i="10" s="1"/>
  <c r="P13" i="10" s="1"/>
  <c r="Q13" i="10" s="1"/>
  <c r="R13" i="10" s="1"/>
  <c r="H13" i="10"/>
  <c r="I13" i="10" s="1"/>
  <c r="I12" i="10"/>
  <c r="J12" i="10" s="1"/>
  <c r="K12" i="10" s="1"/>
  <c r="L12" i="10" s="1"/>
  <c r="M12" i="10" s="1"/>
  <c r="H11" i="10"/>
  <c r="I11" i="10" s="1"/>
  <c r="J11" i="10" s="1"/>
  <c r="H10" i="10"/>
  <c r="I10" i="10" s="1"/>
  <c r="J10" i="10" s="1"/>
  <c r="K10" i="10" s="1"/>
  <c r="L10" i="10" s="1"/>
  <c r="M10" i="10" s="1"/>
  <c r="N10" i="10" s="1"/>
  <c r="O10" i="10" s="1"/>
  <c r="P10" i="10" s="1"/>
  <c r="Q10" i="10" s="1"/>
  <c r="R10" i="10" s="1"/>
  <c r="I9" i="10"/>
  <c r="J9" i="10" s="1"/>
  <c r="K9" i="10" s="1"/>
  <c r="L9" i="10" s="1"/>
  <c r="M9" i="10" s="1"/>
  <c r="N9" i="10" s="1"/>
  <c r="O9" i="10" s="1"/>
  <c r="P9" i="10" s="1"/>
  <c r="Q9" i="10" s="1"/>
  <c r="R9" i="10" s="1"/>
  <c r="H8" i="10"/>
  <c r="I8" i="10" s="1"/>
  <c r="J8" i="10" s="1"/>
  <c r="I7" i="10"/>
  <c r="J7" i="10" s="1"/>
  <c r="B1" i="10"/>
  <c r="L28" i="9"/>
  <c r="L29" i="9" s="1"/>
  <c r="R27" i="9"/>
  <c r="R28" i="9" s="1"/>
  <c r="Q27" i="9"/>
  <c r="Q28" i="9" s="1"/>
  <c r="Q29" i="9" s="1"/>
  <c r="P27" i="9"/>
  <c r="P28" i="9" s="1"/>
  <c r="P29" i="9" s="1"/>
  <c r="O27" i="9"/>
  <c r="O28" i="9" s="1"/>
  <c r="O29" i="9" s="1"/>
  <c r="N27" i="9"/>
  <c r="N28" i="9" s="1"/>
  <c r="N29" i="9" s="1"/>
  <c r="M27" i="9"/>
  <c r="M28" i="9" s="1"/>
  <c r="M29" i="9" s="1"/>
  <c r="L27" i="9"/>
  <c r="K27" i="9"/>
  <c r="K28" i="9" s="1"/>
  <c r="K29" i="9" s="1"/>
  <c r="J27" i="9"/>
  <c r="J28" i="9" s="1"/>
  <c r="J29" i="9" s="1"/>
  <c r="I27" i="9"/>
  <c r="I28" i="9" s="1"/>
  <c r="I29" i="9" s="1"/>
  <c r="H27" i="9"/>
  <c r="H28" i="9" s="1"/>
  <c r="H29" i="9" s="1"/>
  <c r="G27" i="9"/>
  <c r="F27" i="9"/>
  <c r="E27" i="9"/>
  <c r="D27" i="9"/>
  <c r="C27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Q13" i="9"/>
  <c r="I13" i="9"/>
  <c r="I8" i="8" s="1"/>
  <c r="F13" i="9"/>
  <c r="F8" i="8" s="1"/>
  <c r="D13" i="9"/>
  <c r="C9" i="9"/>
  <c r="C12" i="9" s="1"/>
  <c r="C18" i="9" s="1"/>
  <c r="B1" i="9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G24" i="8"/>
  <c r="G25" i="8" s="1"/>
  <c r="G9" i="4" s="1"/>
  <c r="F24" i="8"/>
  <c r="F25" i="8" s="1"/>
  <c r="F9" i="4" s="1"/>
  <c r="E24" i="8"/>
  <c r="E25" i="8" s="1"/>
  <c r="E9" i="4" s="1"/>
  <c r="D24" i="8"/>
  <c r="D25" i="8" s="1"/>
  <c r="D9" i="4" s="1"/>
  <c r="C24" i="8"/>
  <c r="C25" i="8" s="1"/>
  <c r="C9" i="4" s="1"/>
  <c r="K21" i="8"/>
  <c r="J21" i="8"/>
  <c r="I21" i="8"/>
  <c r="H21" i="8"/>
  <c r="G21" i="8"/>
  <c r="F21" i="8"/>
  <c r="E21" i="8"/>
  <c r="D21" i="8"/>
  <c r="C21" i="8"/>
  <c r="H17" i="8"/>
  <c r="G17" i="8"/>
  <c r="F17" i="8"/>
  <c r="E17" i="8"/>
  <c r="D17" i="8"/>
  <c r="C17" i="8"/>
  <c r="G16" i="8"/>
  <c r="F16" i="8"/>
  <c r="E16" i="8"/>
  <c r="D16" i="8"/>
  <c r="C16" i="8"/>
  <c r="R12" i="8"/>
  <c r="Q12" i="8"/>
  <c r="P12" i="8"/>
  <c r="O12" i="8"/>
  <c r="N12" i="8"/>
  <c r="M12" i="8"/>
  <c r="L12" i="8"/>
  <c r="K12" i="8"/>
  <c r="J12" i="8"/>
  <c r="I12" i="8"/>
  <c r="H12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K8" i="8"/>
  <c r="D8" i="8"/>
  <c r="C8" i="8"/>
  <c r="C7" i="8"/>
  <c r="C11" i="8" s="1"/>
  <c r="C19" i="8" l="1"/>
  <c r="C8" i="4" s="1"/>
  <c r="C11" i="4" s="1"/>
  <c r="C10" i="7" s="1"/>
  <c r="F20" i="10"/>
  <c r="K11" i="10"/>
  <c r="G20" i="10"/>
  <c r="D19" i="8"/>
  <c r="D8" i="4" s="1"/>
  <c r="D11" i="4" s="1"/>
  <c r="D10" i="7" s="1"/>
  <c r="E19" i="8"/>
  <c r="E8" i="4" s="1"/>
  <c r="E11" i="4" s="1"/>
  <c r="F19" i="8"/>
  <c r="F8" i="4" s="1"/>
  <c r="F11" i="4" s="1"/>
  <c r="F10" i="7" s="1"/>
  <c r="G19" i="8"/>
  <c r="G8" i="4" s="1"/>
  <c r="G11" i="4" s="1"/>
  <c r="G10" i="7" s="1"/>
  <c r="J17" i="8"/>
  <c r="D20" i="10"/>
  <c r="C8" i="7"/>
  <c r="C30" i="7"/>
  <c r="O8" i="7"/>
  <c r="G8" i="7"/>
  <c r="F33" i="7"/>
  <c r="N9" i="7"/>
  <c r="N8" i="7"/>
  <c r="F30" i="7"/>
  <c r="F31" i="7" s="1"/>
  <c r="F8" i="7"/>
  <c r="F9" i="7" s="1"/>
  <c r="G9" i="7"/>
  <c r="O9" i="7"/>
  <c r="M8" i="7"/>
  <c r="M9" i="7" s="1"/>
  <c r="E30" i="7"/>
  <c r="E8" i="7"/>
  <c r="E9" i="7" s="1"/>
  <c r="L8" i="7"/>
  <c r="D30" i="7"/>
  <c r="D8" i="7"/>
  <c r="Q9" i="7"/>
  <c r="K8" i="7"/>
  <c r="J8" i="7"/>
  <c r="Q8" i="7"/>
  <c r="I8" i="7"/>
  <c r="I9" i="7" s="1"/>
  <c r="D9" i="7"/>
  <c r="P8" i="7"/>
  <c r="H8" i="7"/>
  <c r="H9" i="7" s="1"/>
  <c r="N12" i="10"/>
  <c r="J16" i="8"/>
  <c r="M8" i="12"/>
  <c r="K8" i="10"/>
  <c r="L8" i="10" s="1"/>
  <c r="M8" i="10" s="1"/>
  <c r="N8" i="10" s="1"/>
  <c r="O8" i="10" s="1"/>
  <c r="P8" i="10" s="1"/>
  <c r="Q8" i="10" s="1"/>
  <c r="R8" i="10" s="1"/>
  <c r="L50" i="12"/>
  <c r="L7" i="12" s="1"/>
  <c r="L13" i="9" s="1"/>
  <c r="L8" i="8" s="1"/>
  <c r="G49" i="12"/>
  <c r="C28" i="9"/>
  <c r="C29" i="9" s="1"/>
  <c r="I19" i="10"/>
  <c r="K14" i="10"/>
  <c r="N50" i="12"/>
  <c r="N7" i="12" s="1"/>
  <c r="N13" i="9" s="1"/>
  <c r="N8" i="8" s="1"/>
  <c r="J26" i="12"/>
  <c r="J6" i="12" s="1"/>
  <c r="J19" i="10"/>
  <c r="K7" i="10"/>
  <c r="L26" i="12"/>
  <c r="L6" i="12" s="1"/>
  <c r="L8" i="12" s="1"/>
  <c r="G50" i="12"/>
  <c r="G7" i="12" s="1"/>
  <c r="G13" i="9" s="1"/>
  <c r="G8" i="8" s="1"/>
  <c r="O50" i="12"/>
  <c r="O7" i="12" s="1"/>
  <c r="O13" i="9" s="1"/>
  <c r="O8" i="8" s="1"/>
  <c r="H16" i="8"/>
  <c r="H19" i="8" s="1"/>
  <c r="H8" i="4" s="1"/>
  <c r="G25" i="12"/>
  <c r="F8" i="12"/>
  <c r="H50" i="12"/>
  <c r="H7" i="12" s="1"/>
  <c r="H13" i="9" s="1"/>
  <c r="H8" i="8" s="1"/>
  <c r="P50" i="12"/>
  <c r="P7" i="12" s="1"/>
  <c r="P13" i="9" s="1"/>
  <c r="P8" i="8" s="1"/>
  <c r="M7" i="11"/>
  <c r="L35" i="11"/>
  <c r="D7" i="9"/>
  <c r="I16" i="8"/>
  <c r="I17" i="8"/>
  <c r="H35" i="11"/>
  <c r="I35" i="11"/>
  <c r="K8" i="12"/>
  <c r="C21" i="9"/>
  <c r="C12" i="8" s="1"/>
  <c r="C13" i="8" s="1"/>
  <c r="C19" i="9"/>
  <c r="J35" i="11"/>
  <c r="K35" i="11"/>
  <c r="G26" i="12"/>
  <c r="G6" i="12" s="1"/>
  <c r="G8" i="12" s="1"/>
  <c r="O8" i="12"/>
  <c r="R50" i="12"/>
  <c r="R7" i="12" s="1"/>
  <c r="R13" i="9" s="1"/>
  <c r="R8" i="8" s="1"/>
  <c r="J49" i="12"/>
  <c r="J50" i="12" s="1"/>
  <c r="J7" i="12" s="1"/>
  <c r="J13" i="9" s="1"/>
  <c r="J8" i="8" s="1"/>
  <c r="H19" i="10"/>
  <c r="H20" i="10" s="1"/>
  <c r="C31" i="8" l="1"/>
  <c r="J19" i="8"/>
  <c r="J8" i="4" s="1"/>
  <c r="L11" i="10"/>
  <c r="J20" i="10"/>
  <c r="K9" i="7"/>
  <c r="L9" i="7"/>
  <c r="E17" i="7"/>
  <c r="E39" i="7"/>
  <c r="E16" i="7"/>
  <c r="E11" i="7"/>
  <c r="F11" i="7"/>
  <c r="E10" i="7"/>
  <c r="F39" i="7"/>
  <c r="F17" i="7"/>
  <c r="F16" i="7"/>
  <c r="C17" i="7"/>
  <c r="C16" i="7"/>
  <c r="D11" i="7"/>
  <c r="F32" i="7"/>
  <c r="P9" i="7"/>
  <c r="G17" i="7"/>
  <c r="G16" i="7"/>
  <c r="D39" i="7"/>
  <c r="D17" i="7"/>
  <c r="D16" i="7"/>
  <c r="J9" i="7"/>
  <c r="G11" i="7"/>
  <c r="C11" i="7"/>
  <c r="D86" i="4"/>
  <c r="D95" i="4"/>
  <c r="E86" i="4"/>
  <c r="E95" i="4"/>
  <c r="C86" i="4"/>
  <c r="C95" i="4"/>
  <c r="F86" i="4"/>
  <c r="F95" i="4"/>
  <c r="C54" i="4"/>
  <c r="F54" i="4"/>
  <c r="D45" i="4"/>
  <c r="E54" i="4"/>
  <c r="G76" i="4"/>
  <c r="G36" i="7" s="1"/>
  <c r="G34" i="4"/>
  <c r="G29" i="7" s="1"/>
  <c r="G18" i="4"/>
  <c r="E23" i="4"/>
  <c r="E18" i="4"/>
  <c r="F45" i="4"/>
  <c r="E45" i="4"/>
  <c r="C45" i="4"/>
  <c r="C18" i="4"/>
  <c r="D54" i="4"/>
  <c r="F18" i="4"/>
  <c r="D23" i="4"/>
  <c r="C23" i="4"/>
  <c r="D18" i="4"/>
  <c r="F23" i="4"/>
  <c r="G23" i="4"/>
  <c r="J8" i="12"/>
  <c r="L14" i="10"/>
  <c r="K17" i="8"/>
  <c r="D9" i="9"/>
  <c r="D12" i="9" s="1"/>
  <c r="I20" i="10"/>
  <c r="R8" i="12"/>
  <c r="O12" i="10"/>
  <c r="J24" i="8"/>
  <c r="J25" i="8" s="1"/>
  <c r="J9" i="4" s="1"/>
  <c r="L24" i="8"/>
  <c r="L25" i="8" s="1"/>
  <c r="L9" i="4" s="1"/>
  <c r="N7" i="11"/>
  <c r="M35" i="11"/>
  <c r="P8" i="12"/>
  <c r="I19" i="8"/>
  <c r="I8" i="4" s="1"/>
  <c r="I24" i="8"/>
  <c r="I25" i="8" s="1"/>
  <c r="I9" i="4" s="1"/>
  <c r="L7" i="10"/>
  <c r="K19" i="10"/>
  <c r="K20" i="10" s="1"/>
  <c r="K16" i="8"/>
  <c r="H8" i="12"/>
  <c r="K24" i="8"/>
  <c r="K25" i="8" s="1"/>
  <c r="K9" i="4" s="1"/>
  <c r="H24" i="8"/>
  <c r="H25" i="8" s="1"/>
  <c r="H9" i="4" s="1"/>
  <c r="H11" i="4" s="1"/>
  <c r="N8" i="12"/>
  <c r="H76" i="4" l="1"/>
  <c r="H34" i="4"/>
  <c r="H29" i="7" s="1"/>
  <c r="H18" i="4"/>
  <c r="H17" i="7"/>
  <c r="H23" i="4"/>
  <c r="H16" i="7"/>
  <c r="H10" i="7"/>
  <c r="H11" i="7"/>
  <c r="I11" i="4"/>
  <c r="I76" i="4" s="1"/>
  <c r="J11" i="4"/>
  <c r="J34" i="4" s="1"/>
  <c r="J29" i="7" s="1"/>
  <c r="I34" i="4"/>
  <c r="I29" i="7" s="1"/>
  <c r="I11" i="7"/>
  <c r="I16" i="7"/>
  <c r="I18" i="4"/>
  <c r="I17" i="7"/>
  <c r="I23" i="4"/>
  <c r="I10" i="7"/>
  <c r="K19" i="8"/>
  <c r="K8" i="4" s="1"/>
  <c r="K11" i="4" s="1"/>
  <c r="M11" i="10"/>
  <c r="H77" i="4"/>
  <c r="H36" i="7"/>
  <c r="I77" i="4"/>
  <c r="I36" i="7"/>
  <c r="D98" i="4"/>
  <c r="F98" i="4"/>
  <c r="C98" i="4"/>
  <c r="E98" i="4"/>
  <c r="G77" i="4"/>
  <c r="D18" i="9"/>
  <c r="E7" i="9"/>
  <c r="D7" i="8"/>
  <c r="D11" i="8" s="1"/>
  <c r="D28" i="9"/>
  <c r="D29" i="9" s="1"/>
  <c r="N35" i="11"/>
  <c r="O7" i="11"/>
  <c r="P12" i="10"/>
  <c r="L19" i="10"/>
  <c r="L20" i="10" s="1"/>
  <c r="M7" i="10"/>
  <c r="L16" i="8"/>
  <c r="M24" i="8"/>
  <c r="M25" i="8" s="1"/>
  <c r="M9" i="4" s="1"/>
  <c r="M14" i="10"/>
  <c r="L17" i="8"/>
  <c r="J10" i="7" l="1"/>
  <c r="J16" i="7"/>
  <c r="J76" i="4"/>
  <c r="J23" i="4"/>
  <c r="J18" i="4"/>
  <c r="J11" i="7"/>
  <c r="J17" i="7"/>
  <c r="K10" i="7"/>
  <c r="K11" i="7"/>
  <c r="K16" i="7"/>
  <c r="K17" i="7"/>
  <c r="K23" i="4"/>
  <c r="K18" i="4"/>
  <c r="K76" i="4"/>
  <c r="K34" i="4"/>
  <c r="K29" i="7" s="1"/>
  <c r="N11" i="10"/>
  <c r="P7" i="11"/>
  <c r="O35" i="11"/>
  <c r="N24" i="8"/>
  <c r="N25" i="8" s="1"/>
  <c r="N9" i="4" s="1"/>
  <c r="N14" i="10"/>
  <c r="M17" i="8"/>
  <c r="L19" i="8"/>
  <c r="L8" i="4" s="1"/>
  <c r="L11" i="4" s="1"/>
  <c r="Q12" i="10"/>
  <c r="M16" i="8"/>
  <c r="M19" i="10"/>
  <c r="M20" i="10" s="1"/>
  <c r="N7" i="10"/>
  <c r="E9" i="9"/>
  <c r="E12" i="9" s="1"/>
  <c r="D21" i="9"/>
  <c r="D12" i="8" s="1"/>
  <c r="D13" i="8" s="1"/>
  <c r="D31" i="8" s="1"/>
  <c r="D19" i="9"/>
  <c r="J77" i="4" l="1"/>
  <c r="J36" i="7"/>
  <c r="L10" i="7"/>
  <c r="L76" i="4"/>
  <c r="L18" i="4"/>
  <c r="L34" i="4"/>
  <c r="L29" i="7" s="1"/>
  <c r="L17" i="7"/>
  <c r="L23" i="4"/>
  <c r="L16" i="7"/>
  <c r="L11" i="7"/>
  <c r="K77" i="4"/>
  <c r="K36" i="7"/>
  <c r="O11" i="10"/>
  <c r="E7" i="8"/>
  <c r="E11" i="8" s="1"/>
  <c r="E18" i="9"/>
  <c r="F7" i="9"/>
  <c r="E28" i="9"/>
  <c r="E29" i="9" s="1"/>
  <c r="O14" i="10"/>
  <c r="N17" i="8"/>
  <c r="O7" i="10"/>
  <c r="N19" i="10"/>
  <c r="N20" i="10" s="1"/>
  <c r="N16" i="8"/>
  <c r="M19" i="8"/>
  <c r="M8" i="4" s="1"/>
  <c r="M11" i="4" s="1"/>
  <c r="O24" i="8"/>
  <c r="O25" i="8" s="1"/>
  <c r="O9" i="4" s="1"/>
  <c r="P35" i="11"/>
  <c r="Q7" i="11"/>
  <c r="R12" i="10"/>
  <c r="P11" i="10" l="1"/>
  <c r="M11" i="7"/>
  <c r="M34" i="4"/>
  <c r="M29" i="7" s="1"/>
  <c r="M10" i="7"/>
  <c r="M76" i="4"/>
  <c r="M18" i="4"/>
  <c r="M17" i="7"/>
  <c r="M16" i="7"/>
  <c r="M23" i="4"/>
  <c r="L77" i="4"/>
  <c r="L36" i="7"/>
  <c r="P24" i="8"/>
  <c r="P25" i="8" s="1"/>
  <c r="P9" i="4" s="1"/>
  <c r="P14" i="10"/>
  <c r="O17" i="8"/>
  <c r="N19" i="8"/>
  <c r="N8" i="4" s="1"/>
  <c r="N11" i="4" s="1"/>
  <c r="F9" i="9"/>
  <c r="F12" i="9" s="1"/>
  <c r="E19" i="9"/>
  <c r="E21" i="9"/>
  <c r="E12" i="8" s="1"/>
  <c r="R7" i="11"/>
  <c r="R35" i="11" s="1"/>
  <c r="Q35" i="11"/>
  <c r="O19" i="10"/>
  <c r="O20" i="10" s="1"/>
  <c r="P7" i="10"/>
  <c r="O16" i="8"/>
  <c r="E13" i="8"/>
  <c r="E31" i="8" s="1"/>
  <c r="O19" i="8" l="1"/>
  <c r="O8" i="4" s="1"/>
  <c r="O11" i="4" s="1"/>
  <c r="N10" i="7"/>
  <c r="N18" i="4"/>
  <c r="N11" i="7"/>
  <c r="N34" i="4"/>
  <c r="N29" i="7" s="1"/>
  <c r="N16" i="7"/>
  <c r="N76" i="4"/>
  <c r="N23" i="4"/>
  <c r="N17" i="7"/>
  <c r="M77" i="4"/>
  <c r="M36" i="7"/>
  <c r="Q11" i="10"/>
  <c r="F18" i="9"/>
  <c r="G7" i="9"/>
  <c r="F7" i="8"/>
  <c r="F11" i="8" s="1"/>
  <c r="F28" i="9"/>
  <c r="F29" i="9" s="1"/>
  <c r="P19" i="10"/>
  <c r="P20" i="10" s="1"/>
  <c r="Q7" i="10"/>
  <c r="P16" i="8"/>
  <c r="Q24" i="8"/>
  <c r="Q25" i="8" s="1"/>
  <c r="Q9" i="4" s="1"/>
  <c r="Q14" i="10"/>
  <c r="P17" i="8"/>
  <c r="R24" i="8"/>
  <c r="R25" i="8" s="1"/>
  <c r="N77" i="4" l="1"/>
  <c r="N36" i="7"/>
  <c r="R11" i="10"/>
  <c r="P19" i="8"/>
  <c r="P8" i="4" s="1"/>
  <c r="P11" i="4" s="1"/>
  <c r="O16" i="7"/>
  <c r="O17" i="7"/>
  <c r="O11" i="7"/>
  <c r="O18" i="4"/>
  <c r="O10" i="7"/>
  <c r="O34" i="4"/>
  <c r="O29" i="7" s="1"/>
  <c r="O23" i="4"/>
  <c r="O76" i="4"/>
  <c r="R14" i="10"/>
  <c r="R17" i="8" s="1"/>
  <c r="Q17" i="8"/>
  <c r="G9" i="9"/>
  <c r="G12" i="9"/>
  <c r="Q19" i="10"/>
  <c r="Q20" i="10" s="1"/>
  <c r="R7" i="10"/>
  <c r="Q16" i="8"/>
  <c r="F19" i="9"/>
  <c r="F21" i="9"/>
  <c r="F12" i="8" s="1"/>
  <c r="F13" i="8" s="1"/>
  <c r="F31" i="8" s="1"/>
  <c r="P10" i="7" l="1"/>
  <c r="P23" i="4"/>
  <c r="P11" i="7"/>
  <c r="P34" i="4"/>
  <c r="P29" i="7" s="1"/>
  <c r="P76" i="4"/>
  <c r="P18" i="4"/>
  <c r="P17" i="7"/>
  <c r="P16" i="7"/>
  <c r="O77" i="4"/>
  <c r="O36" i="7"/>
  <c r="R19" i="10"/>
  <c r="R20" i="10" s="1"/>
  <c r="R16" i="8"/>
  <c r="R19" i="8" s="1"/>
  <c r="G18" i="9"/>
  <c r="H7" i="9"/>
  <c r="G7" i="8"/>
  <c r="G11" i="8" s="1"/>
  <c r="G28" i="9"/>
  <c r="G29" i="9" s="1"/>
  <c r="Q19" i="8"/>
  <c r="Q8" i="4" s="1"/>
  <c r="Q11" i="4" s="1"/>
  <c r="P36" i="7" l="1"/>
  <c r="P77" i="4"/>
  <c r="Q10" i="7"/>
  <c r="Q23" i="4"/>
  <c r="Q76" i="4"/>
  <c r="Q11" i="7"/>
  <c r="Q34" i="4"/>
  <c r="Q29" i="7" s="1"/>
  <c r="Q18" i="4"/>
  <c r="Q17" i="7"/>
  <c r="Q16" i="7"/>
  <c r="G21" i="9"/>
  <c r="G12" i="8" s="1"/>
  <c r="G13" i="8" s="1"/>
  <c r="G31" i="8" s="1"/>
  <c r="G19" i="9"/>
  <c r="H9" i="9"/>
  <c r="H12" i="9" s="1"/>
  <c r="Q77" i="4" l="1"/>
  <c r="Q36" i="7"/>
  <c r="H18" i="9"/>
  <c r="H19" i="9" s="1"/>
  <c r="I7" i="9"/>
  <c r="H7" i="8"/>
  <c r="H11" i="8" s="1"/>
  <c r="H13" i="8" s="1"/>
  <c r="H31" i="8" s="1"/>
  <c r="I9" i="9" l="1"/>
  <c r="I12" i="9" s="1"/>
  <c r="I7" i="8" l="1"/>
  <c r="I11" i="8" s="1"/>
  <c r="I13" i="8" s="1"/>
  <c r="I31" i="8" s="1"/>
  <c r="I18" i="9"/>
  <c r="I19" i="9" s="1"/>
  <c r="J7" i="9"/>
  <c r="J9" i="9" l="1"/>
  <c r="J12" i="9" s="1"/>
  <c r="K7" i="9" l="1"/>
  <c r="J7" i="8"/>
  <c r="J11" i="8" s="1"/>
  <c r="J13" i="8" s="1"/>
  <c r="J31" i="8" s="1"/>
  <c r="J18" i="9"/>
  <c r="J19" i="9" s="1"/>
  <c r="K9" i="9" l="1"/>
  <c r="K12" i="9" s="1"/>
  <c r="K18" i="9" l="1"/>
  <c r="K19" i="9" s="1"/>
  <c r="K7" i="8"/>
  <c r="K11" i="8" s="1"/>
  <c r="K13" i="8" s="1"/>
  <c r="K31" i="8" s="1"/>
  <c r="L7" i="9"/>
  <c r="L9" i="9" l="1"/>
  <c r="L12" i="9" s="1"/>
  <c r="M7" i="9" l="1"/>
  <c r="L18" i="9"/>
  <c r="L19" i="9" s="1"/>
  <c r="L7" i="8"/>
  <c r="L11" i="8" s="1"/>
  <c r="L13" i="8" s="1"/>
  <c r="L31" i="8" s="1"/>
  <c r="M9" i="9" l="1"/>
  <c r="M12" i="9" s="1"/>
  <c r="M7" i="8" l="1"/>
  <c r="M11" i="8" s="1"/>
  <c r="M13" i="8" s="1"/>
  <c r="M31" i="8" s="1"/>
  <c r="M18" i="9"/>
  <c r="M19" i="9" s="1"/>
  <c r="N7" i="9"/>
  <c r="N12" i="9" l="1"/>
  <c r="N9" i="9"/>
  <c r="N18" i="9" l="1"/>
  <c r="N19" i="9" s="1"/>
  <c r="O7" i="9"/>
  <c r="N7" i="8"/>
  <c r="N11" i="8" s="1"/>
  <c r="N13" i="8" s="1"/>
  <c r="N31" i="8" s="1"/>
  <c r="O9" i="9" l="1"/>
  <c r="O12" i="9" s="1"/>
  <c r="O18" i="9" l="1"/>
  <c r="O19" i="9" s="1"/>
  <c r="P7" i="9"/>
  <c r="O7" i="8"/>
  <c r="O11" i="8" s="1"/>
  <c r="O13" i="8" s="1"/>
  <c r="O31" i="8" s="1"/>
  <c r="P9" i="9" l="1"/>
  <c r="P12" i="9" s="1"/>
  <c r="P18" i="9" l="1"/>
  <c r="P19" i="9" s="1"/>
  <c r="Q7" i="9"/>
  <c r="P7" i="8"/>
  <c r="P11" i="8" s="1"/>
  <c r="P13" i="8" s="1"/>
  <c r="P31" i="8" s="1"/>
  <c r="Q9" i="9" l="1"/>
  <c r="Q12" i="9"/>
  <c r="Q18" i="9" l="1"/>
  <c r="Q19" i="9" s="1"/>
  <c r="R7" i="9"/>
  <c r="Q7" i="8"/>
  <c r="Q11" i="8" s="1"/>
  <c r="Q13" i="8" s="1"/>
  <c r="Q31" i="8" s="1"/>
  <c r="R9" i="9" l="1"/>
  <c r="R12" i="9" s="1"/>
  <c r="R7" i="8" l="1"/>
  <c r="R11" i="8" s="1"/>
  <c r="R13" i="8" s="1"/>
  <c r="R31" i="8" s="1"/>
  <c r="R18" i="9"/>
  <c r="R19" i="9" s="1"/>
  <c r="I85" i="4" l="1"/>
  <c r="H85" i="4"/>
  <c r="G85" i="4"/>
  <c r="G87" i="4" l="1"/>
  <c r="G86" i="4"/>
  <c r="H86" i="4"/>
  <c r="H87" i="4"/>
  <c r="I87" i="4"/>
  <c r="I86" i="4"/>
  <c r="G28" i="7" l="1"/>
  <c r="H28" i="7"/>
  <c r="I28" i="7"/>
  <c r="J28" i="7"/>
  <c r="K28" i="7"/>
  <c r="L28" i="7"/>
  <c r="M28" i="7"/>
  <c r="N28" i="7"/>
  <c r="O28" i="7"/>
  <c r="P28" i="7"/>
  <c r="Q28" i="7"/>
  <c r="Q44" i="4" l="1"/>
  <c r="Q46" i="4" s="1"/>
  <c r="P44" i="4"/>
  <c r="P46" i="4" s="1"/>
  <c r="O44" i="4"/>
  <c r="O46" i="4" s="1"/>
  <c r="N44" i="4"/>
  <c r="N46" i="4" s="1"/>
  <c r="M44" i="4"/>
  <c r="M46" i="4" s="1"/>
  <c r="L44" i="4"/>
  <c r="L46" i="4" s="1"/>
  <c r="K44" i="4"/>
  <c r="K46" i="4" s="1"/>
  <c r="J44" i="4"/>
  <c r="J46" i="4" s="1"/>
  <c r="I44" i="4"/>
  <c r="H44" i="4"/>
  <c r="H45" i="4" l="1"/>
  <c r="H46" i="4"/>
  <c r="I45" i="4"/>
  <c r="I46" i="4"/>
  <c r="L45" i="4"/>
  <c r="P45" i="4"/>
  <c r="M45" i="4"/>
  <c r="N45" i="4"/>
  <c r="O45" i="4"/>
  <c r="Q45" i="4"/>
  <c r="K45" i="4"/>
  <c r="J45" i="4"/>
  <c r="J85" i="4"/>
  <c r="G44" i="4"/>
  <c r="G45" i="4" l="1"/>
  <c r="G46" i="4"/>
  <c r="J86" i="4"/>
  <c r="J87" i="4"/>
  <c r="C25" i="4"/>
  <c r="C56" i="4" s="1"/>
  <c r="E25" i="4"/>
  <c r="E56" i="4" s="1"/>
  <c r="D25" i="4"/>
  <c r="D56" i="4" s="1"/>
  <c r="E21" i="7"/>
  <c r="D21" i="7"/>
  <c r="C15" i="7"/>
  <c r="C21" i="7" s="1"/>
  <c r="C26" i="7" l="1"/>
  <c r="D26" i="7"/>
  <c r="E26" i="7"/>
  <c r="C9" i="7" l="1"/>
  <c r="C20" i="7" s="1"/>
  <c r="C22" i="7" s="1"/>
  <c r="C23" i="7" s="1"/>
  <c r="E20" i="7" l="1"/>
  <c r="E22" i="7" s="1"/>
  <c r="E23" i="7" s="1"/>
  <c r="D20" i="7"/>
  <c r="D22" i="7" s="1"/>
  <c r="D23" i="7" s="1"/>
  <c r="E26" i="4" l="1"/>
  <c r="D26" i="4"/>
  <c r="D57" i="4" l="1"/>
  <c r="D65" i="4"/>
  <c r="D62" i="4"/>
  <c r="E65" i="4"/>
  <c r="E62" i="4"/>
  <c r="E57" i="4"/>
  <c r="D68" i="4" l="1"/>
  <c r="E68" i="4"/>
  <c r="C26" i="4"/>
  <c r="C38" i="7"/>
  <c r="C39" i="7" s="1"/>
  <c r="C33" i="7"/>
  <c r="C57" i="4"/>
  <c r="C62" i="4"/>
  <c r="C65" i="4"/>
  <c r="D40" i="7"/>
  <c r="D31" i="7"/>
  <c r="D32" i="7" s="1"/>
  <c r="D33" i="7"/>
  <c r="E33" i="7"/>
  <c r="E31" i="7"/>
  <c r="E32" i="7" s="1"/>
  <c r="E40" i="7"/>
  <c r="C68" i="4" l="1"/>
  <c r="C40" i="7"/>
  <c r="C31" i="7"/>
  <c r="C32" i="7" s="1"/>
  <c r="F21" i="7" l="1"/>
  <c r="Q94" i="4" l="1"/>
  <c r="Q37" i="7" s="1"/>
  <c r="Q38" i="7" s="1"/>
  <c r="Q39" i="7" s="1"/>
  <c r="P94" i="4"/>
  <c r="P37" i="7" s="1"/>
  <c r="P38" i="7" s="1"/>
  <c r="P39" i="7" s="1"/>
  <c r="O94" i="4"/>
  <c r="O37" i="7" s="1"/>
  <c r="O38" i="7" s="1"/>
  <c r="O39" i="7" s="1"/>
  <c r="N94" i="4"/>
  <c r="N37" i="7" s="1"/>
  <c r="N38" i="7" s="1"/>
  <c r="N39" i="7" s="1"/>
  <c r="M94" i="4"/>
  <c r="M37" i="7" s="1"/>
  <c r="M38" i="7" s="1"/>
  <c r="M39" i="7" s="1"/>
  <c r="L94" i="4"/>
  <c r="L37" i="7" s="1"/>
  <c r="L38" i="7" s="1"/>
  <c r="L39" i="7" s="1"/>
  <c r="K94" i="4"/>
  <c r="K37" i="7" s="1"/>
  <c r="K38" i="7" s="1"/>
  <c r="K39" i="7" s="1"/>
  <c r="J94" i="4"/>
  <c r="I94" i="4"/>
  <c r="H94" i="4"/>
  <c r="G94" i="4"/>
  <c r="G37" i="7" s="1"/>
  <c r="G38" i="7" s="1"/>
  <c r="G39" i="7" s="1"/>
  <c r="J97" i="4" l="1"/>
  <c r="J37" i="7"/>
  <c r="J38" i="7" s="1"/>
  <c r="J39" i="7" s="1"/>
  <c r="H97" i="4"/>
  <c r="H37" i="7"/>
  <c r="H38" i="7" s="1"/>
  <c r="H39" i="7" s="1"/>
  <c r="I97" i="4"/>
  <c r="I37" i="7"/>
  <c r="I38" i="7" s="1"/>
  <c r="I39" i="7" s="1"/>
  <c r="G95" i="4"/>
  <c r="G97" i="4"/>
  <c r="H95" i="4"/>
  <c r="P95" i="4"/>
  <c r="K95" i="4"/>
  <c r="N95" i="4"/>
  <c r="I95" i="4"/>
  <c r="I98" i="4" s="1"/>
  <c r="Q95" i="4"/>
  <c r="L95" i="4"/>
  <c r="M95" i="4"/>
  <c r="O95" i="4"/>
  <c r="J95" i="4"/>
  <c r="J98" i="4" s="1"/>
  <c r="H98" i="4" l="1"/>
  <c r="G98" i="4"/>
  <c r="D44" i="7"/>
  <c r="E44" i="7"/>
  <c r="Q85" i="4"/>
  <c r="P85" i="4"/>
  <c r="P97" i="4" s="1"/>
  <c r="O85" i="4"/>
  <c r="O97" i="4" s="1"/>
  <c r="N85" i="4"/>
  <c r="N97" i="4" s="1"/>
  <c r="M85" i="4"/>
  <c r="M97" i="4" s="1"/>
  <c r="L85" i="4"/>
  <c r="L97" i="4" s="1"/>
  <c r="K85" i="4"/>
  <c r="K97" i="4" s="1"/>
  <c r="Q53" i="4"/>
  <c r="P53" i="4"/>
  <c r="O53" i="4"/>
  <c r="N53" i="4"/>
  <c r="M53" i="4"/>
  <c r="L53" i="4"/>
  <c r="K53" i="4"/>
  <c r="J53" i="4"/>
  <c r="I53" i="4"/>
  <c r="H53" i="4"/>
  <c r="G53" i="4"/>
  <c r="M54" i="4" l="1"/>
  <c r="M30" i="7"/>
  <c r="O54" i="4"/>
  <c r="O30" i="7"/>
  <c r="N54" i="4"/>
  <c r="N30" i="7"/>
  <c r="G54" i="4"/>
  <c r="G30" i="7"/>
  <c r="H54" i="4"/>
  <c r="H30" i="7"/>
  <c r="P54" i="4"/>
  <c r="P30" i="7"/>
  <c r="I54" i="4"/>
  <c r="I30" i="7"/>
  <c r="Q54" i="4"/>
  <c r="Q30" i="7"/>
  <c r="Q31" i="7" s="1"/>
  <c r="Q32" i="7" s="1"/>
  <c r="J54" i="4"/>
  <c r="J30" i="7"/>
  <c r="K54" i="4"/>
  <c r="K30" i="7"/>
  <c r="L54" i="4"/>
  <c r="L30" i="7"/>
  <c r="M86" i="4"/>
  <c r="M98" i="4" s="1"/>
  <c r="M87" i="4"/>
  <c r="L86" i="4"/>
  <c r="L98" i="4" s="1"/>
  <c r="L87" i="4"/>
  <c r="O86" i="4"/>
  <c r="O98" i="4" s="1"/>
  <c r="O87" i="4"/>
  <c r="N87" i="4"/>
  <c r="N86" i="4"/>
  <c r="N98" i="4" s="1"/>
  <c r="Q87" i="4"/>
  <c r="Q86" i="4"/>
  <c r="P87" i="4"/>
  <c r="P86" i="4"/>
  <c r="P98" i="4" s="1"/>
  <c r="K86" i="4"/>
  <c r="K98" i="4" s="1"/>
  <c r="K87" i="4"/>
  <c r="P25" i="4"/>
  <c r="P56" i="4" s="1"/>
  <c r="H25" i="4"/>
  <c r="H56" i="4" s="1"/>
  <c r="M25" i="4"/>
  <c r="M56" i="4" s="1"/>
  <c r="N25" i="4"/>
  <c r="N56" i="4" s="1"/>
  <c r="I25" i="4"/>
  <c r="I56" i="4" s="1"/>
  <c r="Q25" i="4"/>
  <c r="Q56" i="4" s="1"/>
  <c r="L25" i="4"/>
  <c r="L56" i="4" s="1"/>
  <c r="K25" i="4"/>
  <c r="K56" i="4" s="1"/>
  <c r="J25" i="4"/>
  <c r="J56" i="4" s="1"/>
  <c r="F25" i="4"/>
  <c r="F56" i="4" s="1"/>
  <c r="G25" i="4"/>
  <c r="G56" i="4" s="1"/>
  <c r="O25" i="4"/>
  <c r="O56" i="4" s="1"/>
  <c r="F26" i="7" l="1"/>
  <c r="Q26" i="7"/>
  <c r="P26" i="7"/>
  <c r="O26" i="7"/>
  <c r="N26" i="7"/>
  <c r="M26" i="7"/>
  <c r="L26" i="7"/>
  <c r="K26" i="7"/>
  <c r="J26" i="7"/>
  <c r="I26" i="7"/>
  <c r="H26" i="7"/>
  <c r="G26" i="7"/>
  <c r="Q21" i="7" l="1"/>
  <c r="P21" i="7"/>
  <c r="P20" i="7" l="1"/>
  <c r="P22" i="7" s="1"/>
  <c r="P23" i="7" s="1"/>
  <c r="Q20" i="7"/>
  <c r="Q22" i="7" s="1"/>
  <c r="Q23" i="7" s="1"/>
  <c r="M26" i="4" l="1"/>
  <c r="M57" i="4" l="1"/>
  <c r="M62" i="4"/>
  <c r="M65" i="4"/>
  <c r="M31" i="7"/>
  <c r="M32" i="7" s="1"/>
  <c r="N26" i="4"/>
  <c r="M68" i="4" l="1"/>
  <c r="M35" i="4"/>
  <c r="N65" i="4"/>
  <c r="N62" i="4"/>
  <c r="N57" i="4"/>
  <c r="N31" i="7"/>
  <c r="N32" i="7" s="1"/>
  <c r="M44" i="7"/>
  <c r="N68" i="4" l="1"/>
  <c r="N35" i="4"/>
  <c r="O26" i="4"/>
  <c r="N44" i="7"/>
  <c r="O31" i="7" l="1"/>
  <c r="O32" i="7" s="1"/>
  <c r="O57" i="4"/>
  <c r="O62" i="4"/>
  <c r="O65" i="4"/>
  <c r="O68" i="4" l="1"/>
  <c r="O35" i="4"/>
  <c r="P26" i="4"/>
  <c r="O44" i="7"/>
  <c r="P33" i="7" l="1"/>
  <c r="P65" i="4"/>
  <c r="P62" i="4"/>
  <c r="P57" i="4"/>
  <c r="P40" i="7"/>
  <c r="Q26" i="4"/>
  <c r="P68" i="4" l="1"/>
  <c r="P31" i="7"/>
  <c r="P32" i="7" s="1"/>
  <c r="P35" i="4"/>
  <c r="P44" i="7"/>
  <c r="Q33" i="7"/>
  <c r="Q57" i="4"/>
  <c r="Q65" i="4"/>
  <c r="Q62" i="4"/>
  <c r="Q40" i="7"/>
  <c r="Q67" i="4" l="1"/>
  <c r="Q97" i="4" s="1"/>
  <c r="Q35" i="4"/>
  <c r="Q68" i="4" l="1"/>
  <c r="Q98" i="4"/>
  <c r="Q44" i="7"/>
  <c r="F26" i="4" l="1"/>
  <c r="F65" i="4" l="1"/>
  <c r="F57" i="4"/>
  <c r="F62" i="4"/>
  <c r="G26" i="4"/>
  <c r="H72" i="4" l="1"/>
  <c r="H73" i="4" s="1"/>
  <c r="P72" i="4"/>
  <c r="P73" i="4" s="1"/>
  <c r="I72" i="4"/>
  <c r="I73" i="4" s="1"/>
  <c r="Q72" i="4"/>
  <c r="Q73" i="4" s="1"/>
  <c r="J72" i="4"/>
  <c r="J73" i="4" s="1"/>
  <c r="G72" i="4"/>
  <c r="G73" i="4" s="1"/>
  <c r="K72" i="4"/>
  <c r="K73" i="4" s="1"/>
  <c r="L72" i="4"/>
  <c r="L73" i="4" s="1"/>
  <c r="M72" i="4"/>
  <c r="M73" i="4" s="1"/>
  <c r="N72" i="4"/>
  <c r="N73" i="4" s="1"/>
  <c r="O72" i="4"/>
  <c r="O73" i="4" s="1"/>
  <c r="F68" i="4"/>
  <c r="G30" i="4"/>
  <c r="G31" i="4" s="1"/>
  <c r="M30" i="4"/>
  <c r="M31" i="4" s="1"/>
  <c r="N30" i="4"/>
  <c r="N31" i="4" s="1"/>
  <c r="O30" i="4"/>
  <c r="O31" i="4" s="1"/>
  <c r="P30" i="4"/>
  <c r="P31" i="4" s="1"/>
  <c r="Q30" i="4"/>
  <c r="Q31" i="4" s="1"/>
  <c r="G31" i="7"/>
  <c r="G32" i="7" s="1"/>
  <c r="G65" i="4"/>
  <c r="G62" i="4"/>
  <c r="G57" i="4"/>
  <c r="F44" i="7"/>
  <c r="G68" i="4" l="1"/>
  <c r="G35" i="4"/>
  <c r="G44" i="7"/>
  <c r="H30" i="4" l="1"/>
  <c r="H31" i="4" s="1"/>
  <c r="H26" i="4"/>
  <c r="H31" i="7"/>
  <c r="H32" i="7" s="1"/>
  <c r="H65" i="4"/>
  <c r="H57" i="4"/>
  <c r="H62" i="4"/>
  <c r="I26" i="4"/>
  <c r="H68" i="4" l="1"/>
  <c r="I57" i="4"/>
  <c r="I30" i="4"/>
  <c r="I31" i="4" s="1"/>
  <c r="H35" i="4"/>
  <c r="H44" i="7"/>
  <c r="J26" i="4"/>
  <c r="I65" i="4"/>
  <c r="I62" i="4"/>
  <c r="I68" i="4" l="1"/>
  <c r="J57" i="4"/>
  <c r="J30" i="4"/>
  <c r="J31" i="4" s="1"/>
  <c r="I31" i="7"/>
  <c r="I32" i="7" s="1"/>
  <c r="I35" i="4"/>
  <c r="K26" i="4"/>
  <c r="J65" i="4"/>
  <c r="J62" i="4"/>
  <c r="J68" i="4" l="1"/>
  <c r="K57" i="4"/>
  <c r="K30" i="4"/>
  <c r="K31" i="4" s="1"/>
  <c r="J31" i="7"/>
  <c r="J32" i="7" s="1"/>
  <c r="I44" i="7"/>
  <c r="K31" i="7"/>
  <c r="K32" i="7" s="1"/>
  <c r="J35" i="4"/>
  <c r="L26" i="4"/>
  <c r="K62" i="4"/>
  <c r="K65" i="4"/>
  <c r="K68" i="4" l="1"/>
  <c r="L57" i="4"/>
  <c r="L30" i="4"/>
  <c r="L31" i="4" s="1"/>
  <c r="J44" i="7"/>
  <c r="K35" i="4"/>
  <c r="L65" i="4"/>
  <c r="L62" i="4"/>
  <c r="L68" i="4" l="1"/>
  <c r="K44" i="7"/>
  <c r="L31" i="7"/>
  <c r="L32" i="7" s="1"/>
  <c r="L35" i="4"/>
  <c r="L44" i="7" l="1"/>
  <c r="I33" i="7" l="1"/>
  <c r="K40" i="7" l="1"/>
  <c r="I40" i="7"/>
  <c r="M40" i="7"/>
  <c r="L40" i="7"/>
  <c r="J40" i="7"/>
  <c r="O40" i="7"/>
  <c r="N40" i="7"/>
  <c r="H40" i="7"/>
  <c r="G40" i="7"/>
  <c r="H33" i="7" l="1"/>
  <c r="O33" i="7"/>
  <c r="N33" i="7"/>
  <c r="L33" i="7"/>
  <c r="J21" i="7"/>
  <c r="K21" i="7"/>
  <c r="H21" i="7"/>
  <c r="J33" i="7"/>
  <c r="L21" i="7"/>
  <c r="N21" i="7"/>
  <c r="G33" i="7"/>
  <c r="M21" i="7"/>
  <c r="G21" i="7"/>
  <c r="K33" i="7"/>
  <c r="M33" i="7"/>
  <c r="O21" i="7"/>
  <c r="I21" i="7"/>
  <c r="O20" i="7"/>
  <c r="F20" i="7"/>
  <c r="F22" i="7" s="1"/>
  <c r="F23" i="7" s="1"/>
  <c r="H20" i="7" l="1"/>
  <c r="H22" i="7" s="1"/>
  <c r="H23" i="7" s="1"/>
  <c r="L20" i="7"/>
  <c r="O22" i="7"/>
  <c r="O23" i="7" s="1"/>
  <c r="K20" i="7"/>
  <c r="K22" i="7" s="1"/>
  <c r="K23" i="7" s="1"/>
  <c r="G20" i="7"/>
  <c r="G22" i="7" s="1"/>
  <c r="G23" i="7" s="1"/>
  <c r="J20" i="7"/>
  <c r="J22" i="7" s="1"/>
  <c r="J23" i="7" s="1"/>
  <c r="L22" i="7"/>
  <c r="L23" i="7" s="1"/>
  <c r="N20" i="7"/>
  <c r="N22" i="7" s="1"/>
  <c r="N23" i="7" s="1"/>
  <c r="I20" i="7"/>
  <c r="I22" i="7" s="1"/>
  <c r="I23" i="7" s="1"/>
  <c r="M20" i="7"/>
  <c r="M22" i="7" s="1"/>
  <c r="M23" i="7" s="1"/>
  <c r="C44" i="7" l="1"/>
  <c r="C43" i="7"/>
  <c r="Q43" i="7"/>
  <c r="Q45" i="7" s="1"/>
  <c r="Q46" i="7" s="1"/>
  <c r="H43" i="7"/>
  <c r="H45" i="7" s="1"/>
  <c r="H46" i="7" s="1"/>
  <c r="I43" i="7"/>
  <c r="I45" i="7" s="1"/>
  <c r="I46" i="7" s="1"/>
  <c r="F43" i="7"/>
  <c r="F45" i="7" s="1"/>
  <c r="F46" i="7" s="1"/>
  <c r="D43" i="7"/>
  <c r="D45" i="7" s="1"/>
  <c r="D46" i="7" s="1"/>
  <c r="P43" i="7"/>
  <c r="P45" i="7" s="1"/>
  <c r="P46" i="7" s="1"/>
  <c r="J43" i="7"/>
  <c r="J45" i="7" s="1"/>
  <c r="J46" i="7" s="1"/>
  <c r="O43" i="7"/>
  <c r="O45" i="7" s="1"/>
  <c r="O46" i="7" s="1"/>
  <c r="E43" i="7"/>
  <c r="E45" i="7" s="1"/>
  <c r="E46" i="7" s="1"/>
  <c r="N43" i="7"/>
  <c r="N45" i="7" s="1"/>
  <c r="N46" i="7" s="1"/>
  <c r="G43" i="7"/>
  <c r="G45" i="7" s="1"/>
  <c r="G46" i="7" s="1"/>
  <c r="L43" i="7"/>
  <c r="L45" i="7" s="1"/>
  <c r="L46" i="7" s="1"/>
  <c r="M43" i="7"/>
  <c r="M45" i="7" s="1"/>
  <c r="M46" i="7" s="1"/>
  <c r="K43" i="7"/>
  <c r="K45" i="7" s="1"/>
  <c r="K46" i="7" s="1"/>
  <c r="C45" i="7" l="1"/>
  <c r="C46" i="7" s="1"/>
</calcChain>
</file>

<file path=xl/sharedStrings.xml><?xml version="1.0" encoding="utf-8"?>
<sst xmlns="http://schemas.openxmlformats.org/spreadsheetml/2006/main" count="589" uniqueCount="434">
  <si>
    <t xml:space="preserve"> </t>
  </si>
  <si>
    <t>Property Tax Levy</t>
  </si>
  <si>
    <t>State Aid Cherry Sheet</t>
  </si>
  <si>
    <t>Available Funds/Other Financing Sources</t>
  </si>
  <si>
    <t>Prior Year GF Revenue</t>
  </si>
  <si>
    <t>Total Prior GF Revenues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</si>
  <si>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</si>
  <si>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</si>
  <si>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</si>
  <si>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</si>
  <si>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</si>
  <si>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</si>
  <si>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</si>
  <si>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</si>
  <si>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</si>
  <si>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</si>
  <si>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17.</t>
  </si>
  <si>
    <t>Total Excluded Debt Service</t>
  </si>
  <si>
    <t>Excluded Capital Leases</t>
  </si>
  <si>
    <t>Purpose 1</t>
  </si>
  <si>
    <t>Purpose 2</t>
  </si>
  <si>
    <t>Purpose 3</t>
  </si>
  <si>
    <t>A.</t>
  </si>
  <si>
    <t>B.</t>
  </si>
  <si>
    <t>C.</t>
  </si>
  <si>
    <t>D.</t>
  </si>
  <si>
    <t>E.</t>
  </si>
  <si>
    <t>General Fund Debt and Capital Planning Analysis</t>
  </si>
  <si>
    <t>BUDGET YEAR</t>
  </si>
  <si>
    <t>Excluded Debt Service</t>
  </si>
  <si>
    <t>Capital Expenditures and Reserves as % of Prior Year Revenue</t>
  </si>
  <si>
    <t>Cash Capital Spending Target % (Target = 3%)</t>
  </si>
  <si>
    <t>Tax Levy</t>
  </si>
  <si>
    <t>Local Receipts</t>
  </si>
  <si>
    <t>Other Available Funds</t>
  </si>
  <si>
    <t>Excluded Debt Service as % of Prior Year Revenue</t>
  </si>
  <si>
    <t>Cash Capital Expenditures (CIP) as % of Prior Year Revenue</t>
  </si>
  <si>
    <t>Current Debt Service and Cash Capital</t>
  </si>
  <si>
    <t>Total Capital Investment as % of Prior Year GF Revenue</t>
  </si>
  <si>
    <t>Combined Debt Service and Reserves Summary Based on Policy Target Levels</t>
  </si>
  <si>
    <t>Debt Service and Reserves</t>
  </si>
  <si>
    <t>*</t>
  </si>
  <si>
    <t>Cash Capital Spending and Reserves Target % (Target = 3%)</t>
  </si>
  <si>
    <t>Debt Service and Cash Capital Projections at Policy Targets</t>
  </si>
  <si>
    <t>Grand Total Capital Investment as % of Prior Year Revenue (Target = 6%)</t>
  </si>
  <si>
    <t>Grand Total Target Capital Investment</t>
  </si>
  <si>
    <t>Debt Service and Reserves Target</t>
  </si>
  <si>
    <t>Capital Expenditures and Reserves Target</t>
  </si>
  <si>
    <t>Capital Expenditures and Reserves Target Gap  (Target less Current)</t>
  </si>
  <si>
    <t xml:space="preserve">Gross Excluded Debt Service </t>
  </si>
  <si>
    <t>Total Debt (all) and Replacement Target as % of Prior Year Revenue</t>
  </si>
  <si>
    <t>Total target exceeded due to paydown of excluded debt</t>
  </si>
  <si>
    <t>Municipality of</t>
  </si>
  <si>
    <t>Revenue Projections</t>
  </si>
  <si>
    <t>Budget</t>
  </si>
  <si>
    <t>Projected</t>
  </si>
  <si>
    <t>PROPERTY TAX LEVY</t>
  </si>
  <si>
    <t>Levy Limit</t>
  </si>
  <si>
    <t>Debt Exclusion(s)</t>
  </si>
  <si>
    <t>Capital Expenditure Exclusion(s)</t>
  </si>
  <si>
    <t>All Other Adjustment</t>
  </si>
  <si>
    <t>Maximum Allowable Levy</t>
  </si>
  <si>
    <t>LESS Excess Tax Levy Capacity</t>
  </si>
  <si>
    <t>TOTAL Tax Levy</t>
  </si>
  <si>
    <t>STATE AID CHERRY SHEET</t>
  </si>
  <si>
    <t>Education Aid</t>
  </si>
  <si>
    <t>General Government Aid</t>
  </si>
  <si>
    <t>Offsets</t>
  </si>
  <si>
    <t>TOTAL Cherry Sheet</t>
  </si>
  <si>
    <t>MSBA School Construction</t>
  </si>
  <si>
    <t xml:space="preserve">ESTIMATED LOCAL </t>
  </si>
  <si>
    <t>Estimated Receipts</t>
  </si>
  <si>
    <t>TOTAL Estimated Local and Offset Receipts</t>
  </si>
  <si>
    <t>AVAILABLE FUNDS/OTHER FINANCING</t>
  </si>
  <si>
    <t>Free Cash</t>
  </si>
  <si>
    <t>TOTAL Available Funds</t>
  </si>
  <si>
    <t>TOTAL General Fund Revenues</t>
  </si>
  <si>
    <t>Tax Levy Limit / Excess Capacity / New Growth / Overlay Reserve</t>
  </si>
  <si>
    <t>LEVY LIMIT</t>
  </si>
  <si>
    <t>①</t>
  </si>
  <si>
    <t>Prior Year Tax Levy Limit</t>
  </si>
  <si>
    <t>②</t>
  </si>
  <si>
    <t>Amended Prior Growth</t>
  </si>
  <si>
    <t>③</t>
  </si>
  <si>
    <t>Proposition 2.5% Increase</t>
  </si>
  <si>
    <t>④</t>
  </si>
  <si>
    <t>New Growth</t>
  </si>
  <si>
    <t>⑤</t>
  </si>
  <si>
    <t>Override</t>
  </si>
  <si>
    <t>SUB-TOTAL Levy Limit</t>
  </si>
  <si>
    <t>⑥</t>
  </si>
  <si>
    <t xml:space="preserve">Debt Exclusion(s) </t>
  </si>
  <si>
    <t>⑦</t>
  </si>
  <si>
    <t>Capital Exclusion(s)</t>
  </si>
  <si>
    <t>Stabilization Fund Override</t>
  </si>
  <si>
    <t>Other Adjustment</t>
  </si>
  <si>
    <t>Water/Sewer</t>
  </si>
  <si>
    <t>⑧</t>
  </si>
  <si>
    <t>TOTAL Maximum Allowable Tax Levy</t>
  </si>
  <si>
    <t>Year-to-year percentage change</t>
  </si>
  <si>
    <t>⑨</t>
  </si>
  <si>
    <t>Excess Levy Capacity</t>
  </si>
  <si>
    <t>⑩</t>
  </si>
  <si>
    <t>TOTAL Levy  (Approved by DLS)</t>
  </si>
  <si>
    <t>LEVY CEILING</t>
  </si>
  <si>
    <t>⑪</t>
  </si>
  <si>
    <t>Total Taxable Property Value</t>
  </si>
  <si>
    <t>⑫</t>
  </si>
  <si>
    <t>Levy Ceiling</t>
  </si>
  <si>
    <t>Override Capacity</t>
  </si>
  <si>
    <t>DLS Gateway, Levy Limit Worksheet, Total Section I.</t>
  </si>
  <si>
    <t>DLS Gateway, Levy Limit worksheet (II)(A1) or DLS Gateway, Tax Rate, LA-13A Amended Tax Base Levy Growth</t>
  </si>
  <si>
    <t>Prior Year Levy Limit * .025</t>
  </si>
  <si>
    <t>DLS Gateway, Levy Limit worksheet (II)(C)</t>
  </si>
  <si>
    <t>DLS Gateway, Levy Limit worksheet (II)(D)</t>
  </si>
  <si>
    <t>DLS Gateway, Tax Rate, DE-1 and DLS Gateway, Levy Limit worksheet (III)(B)</t>
  </si>
  <si>
    <t>DLS Gateway, Levy Limit worksheet (III)(G)</t>
  </si>
  <si>
    <t>DLS Gateway, Tax Rate, Page 1 (Ic)</t>
  </si>
  <si>
    <t>DLS Gateway, Tax Rate, Page 1 column D or LA-4 Assessment/Classification</t>
  </si>
  <si>
    <t>2.5% of Total Taxable Value across all Property Classes</t>
  </si>
  <si>
    <t>State Aid and Assessments</t>
  </si>
  <si>
    <t>Projection</t>
  </si>
  <si>
    <t>Final Est</t>
  </si>
  <si>
    <t>Percent</t>
  </si>
  <si>
    <t>STATE AID</t>
  </si>
  <si>
    <t>Enter all amounts from the Preliminary Municipal Cherry Sheet Estimate</t>
  </si>
  <si>
    <t>Chapter 70 Education Aid</t>
  </si>
  <si>
    <t>https://dlsgateway.dor.state.ma.us/reports/rdPage.aspx?rdReport=CherrySheets.CSbyProgMunis.MuniBudgEst</t>
  </si>
  <si>
    <t>School Transportation</t>
  </si>
  <si>
    <t>Charter Tuition Reimbursement</t>
  </si>
  <si>
    <t>Smart Growth School Reimbursement</t>
  </si>
  <si>
    <t>School Choice Receiving Tuition (Offset)</t>
  </si>
  <si>
    <t>Hide rows that are not applicable to your community</t>
  </si>
  <si>
    <t>Unrestricted General Government Aid</t>
  </si>
  <si>
    <r>
      <t xml:space="preserve">If a row is deleted, the link to the </t>
    </r>
    <r>
      <rPr>
        <i/>
        <sz val="8"/>
        <color theme="1"/>
        <rFont val="Calibri"/>
        <family val="2"/>
        <scheme val="minor"/>
      </rPr>
      <t xml:space="preserve">Revenue </t>
    </r>
    <r>
      <rPr>
        <sz val="8"/>
        <color theme="1"/>
        <rFont val="Calibri"/>
        <family val="2"/>
        <scheme val="minor"/>
      </rPr>
      <t>worksheet will have an error</t>
    </r>
  </si>
  <si>
    <t>Regional Public Libraries</t>
  </si>
  <si>
    <t>Veterans Benefits</t>
  </si>
  <si>
    <t>Exemptions VBS and Elderly</t>
  </si>
  <si>
    <t>State Owned Land</t>
  </si>
  <si>
    <t>Public Libraries (offset)</t>
  </si>
  <si>
    <t>TOTAL Cherry Sheet Receipts</t>
  </si>
  <si>
    <t>MSBA construction reimbursement ends FY2024</t>
  </si>
  <si>
    <t>Prior years are available under Historical Cherry Sheets</t>
  </si>
  <si>
    <t>Previously "Lottery Aid" and "Additional Assistance"</t>
  </si>
  <si>
    <t>This reimbursement ends in FY2024. DLS Gateway, Tax Rate, Page 2 (IIIa. 2.)</t>
  </si>
  <si>
    <t>Local Receipt Projections</t>
  </si>
  <si>
    <t>BUDGET</t>
  </si>
  <si>
    <t>1. Motor Vehicle Excise</t>
  </si>
  <si>
    <t>For ease of use, hide rows that are not applicable to your community</t>
  </si>
  <si>
    <t>2a. Meals Excise</t>
  </si>
  <si>
    <t>2b. Room Excise</t>
  </si>
  <si>
    <t>2c. Other Excise-Boat</t>
  </si>
  <si>
    <t>2d. Cannabis</t>
  </si>
  <si>
    <t>3. Penalties/Interest on Taxes and Excises</t>
  </si>
  <si>
    <t>4. Payment In Lieu of Taxes</t>
  </si>
  <si>
    <t>5. Charges for Services-Water</t>
  </si>
  <si>
    <t>6. Charges for Services-Sewer</t>
  </si>
  <si>
    <t>7. Charges for Services-Hospital</t>
  </si>
  <si>
    <t>8. Charges for Services-Solid Waste Fees</t>
  </si>
  <si>
    <t>9. Other Charges for Services</t>
  </si>
  <si>
    <t>10. Fees</t>
  </si>
  <si>
    <t>10a. Cannabis Impact Fee</t>
  </si>
  <si>
    <t>10b. Community Impact Fee Short Term Rentals</t>
  </si>
  <si>
    <t>11. Rentals</t>
  </si>
  <si>
    <t>12. Dept. Revenue-Schools</t>
  </si>
  <si>
    <t>13. Dept. Revenue-Libraries</t>
  </si>
  <si>
    <t>14. Dept. Revenue-Cemeteries</t>
  </si>
  <si>
    <t>15. Dept. Revenue-Recreation</t>
  </si>
  <si>
    <t>16. Other Departmental Revenue</t>
  </si>
  <si>
    <t>17. Licenses/Permits</t>
  </si>
  <si>
    <t>18. Special Assessments</t>
  </si>
  <si>
    <t>19. Fines and Forfeits</t>
  </si>
  <si>
    <t>20. Investment Income</t>
  </si>
  <si>
    <t>21. Medicaid Reimbursement</t>
  </si>
  <si>
    <t>22. Misc. Recurring</t>
  </si>
  <si>
    <t>23. Misc. Non-Recurring</t>
  </si>
  <si>
    <r>
      <t>TOTAL Local Receipts-Budget</t>
    </r>
    <r>
      <rPr>
        <sz val="9"/>
        <rFont val="Calibri"/>
        <family val="2"/>
        <scheme val="minor"/>
      </rPr>
      <t xml:space="preserve"> </t>
    </r>
  </si>
  <si>
    <t>DLS, Gateway, Taxrate, Tax Rate Recap, page 3</t>
  </si>
  <si>
    <t>Debt</t>
  </si>
  <si>
    <t>Actual</t>
  </si>
  <si>
    <t>GF Gross Excluded Debt Service</t>
  </si>
  <si>
    <t>Total Debt</t>
  </si>
  <si>
    <t>Building Repairs</t>
  </si>
  <si>
    <t>DPW Equipment</t>
  </si>
  <si>
    <t>Recreation</t>
  </si>
  <si>
    <t>Police Equipment</t>
  </si>
  <si>
    <t>DPW Truck and Plow</t>
  </si>
  <si>
    <t>Debt Service Reserve to Remain at Target</t>
  </si>
  <si>
    <t>School Building Repair</t>
  </si>
  <si>
    <t>Municipal Building Windows</t>
  </si>
  <si>
    <t>Fire Equipment</t>
  </si>
  <si>
    <t>Land Purchase</t>
  </si>
  <si>
    <t>Water Project</t>
  </si>
  <si>
    <t>Public Safety Building</t>
  </si>
  <si>
    <t>Main Street Road Resurface</t>
  </si>
  <si>
    <t>Total GF Excluded Principal</t>
  </si>
  <si>
    <t>Total GF Excluded Interest</t>
  </si>
  <si>
    <t>Total GF Excluded Debt Service</t>
  </si>
  <si>
    <t>Capital Plan/One-Time Purchases</t>
  </si>
  <si>
    <t>Dept #</t>
  </si>
  <si>
    <t>Project Name</t>
  </si>
  <si>
    <t>General Government</t>
  </si>
  <si>
    <t xml:space="preserve">TOTAL General Government </t>
  </si>
  <si>
    <t>Subtotal Police</t>
  </si>
  <si>
    <t>Subtotal Fire</t>
  </si>
  <si>
    <t>Subtotal Other Services</t>
  </si>
  <si>
    <t>TOTAL Public Safety</t>
  </si>
  <si>
    <t>TOTAL Education</t>
  </si>
  <si>
    <t xml:space="preserve">TOTAL Public Works </t>
  </si>
  <si>
    <t>TOTAL Health &amp; Human Services</t>
  </si>
  <si>
    <t>TOTAL Culture &amp; Recreation</t>
  </si>
  <si>
    <t>TOTAL General Fund Capital</t>
  </si>
  <si>
    <t>Funding:</t>
  </si>
  <si>
    <t>Raise &amp; appropriate</t>
  </si>
  <si>
    <t>Free cash</t>
  </si>
  <si>
    <t>General Stabilization Fund</t>
  </si>
  <si>
    <t>____ Stab Fund</t>
  </si>
  <si>
    <t>Overlay surplus</t>
  </si>
  <si>
    <t>Borrowing</t>
  </si>
  <si>
    <t>Lease</t>
  </si>
  <si>
    <t>Grant</t>
  </si>
  <si>
    <t>Other</t>
  </si>
  <si>
    <t>Total Funding Sources</t>
  </si>
  <si>
    <t>Difference: General Fund Capital and Funding</t>
  </si>
  <si>
    <t>Cardiac Monitor Replacement</t>
  </si>
  <si>
    <t>Ambulance (lease)</t>
  </si>
  <si>
    <t>New firefighter turnout gear</t>
  </si>
  <si>
    <t>Broadcasting Technology</t>
  </si>
  <si>
    <t>Computer upgrades</t>
  </si>
  <si>
    <t>Police Station Cameras</t>
  </si>
  <si>
    <t>Evidence Room Upgrades</t>
  </si>
  <si>
    <t>Repave Cemetery Road</t>
  </si>
  <si>
    <t>Technology Upgrades</t>
  </si>
  <si>
    <t>Replace HVAC</t>
  </si>
  <si>
    <t>Replace 1980 Flatbed Trailer</t>
  </si>
  <si>
    <t>Gym Floor Replacement</t>
  </si>
  <si>
    <t>Server Replacement</t>
  </si>
  <si>
    <t>Replace Elementary School Roof</t>
  </si>
  <si>
    <t>Dump Truck</t>
  </si>
  <si>
    <t>Replace 1999,2002 Tractors</t>
  </si>
  <si>
    <t>Pickup Truck Replacement</t>
  </si>
  <si>
    <t>Outdoor Basketball Court</t>
  </si>
  <si>
    <t>Excluded</t>
  </si>
  <si>
    <t>F.</t>
  </si>
  <si>
    <t>G.</t>
  </si>
  <si>
    <t>Total Projected Excluded Debt Service</t>
  </si>
  <si>
    <t>Total Existing and Projected Debt Service</t>
  </si>
  <si>
    <t>Total Projected Cash Capital Expenditures</t>
  </si>
  <si>
    <t>Total Projected Capital Exclusions</t>
  </si>
  <si>
    <t>Total Existing and Projected Cash Capital Spending</t>
  </si>
  <si>
    <t>Excluded Debt as % of Prior Year Revenue (4/1)</t>
  </si>
  <si>
    <t>Total Existing Debt as % of Prior Year Revenue (5/1)</t>
  </si>
  <si>
    <t>9.</t>
  </si>
  <si>
    <t>10.</t>
  </si>
  <si>
    <t>Total Debt Service as % of Prior Year Revenues (11/1)</t>
  </si>
  <si>
    <t>Existing and Projected Excluded Debt Service as % of Prior Year Revenues ((4+10)/1)</t>
  </si>
  <si>
    <r>
      <t>Total Cash Capital Spending</t>
    </r>
    <r>
      <rPr>
        <sz val="10"/>
        <color theme="1"/>
        <rFont val="Calibri"/>
        <family val="2"/>
      </rPr>
      <t xml:space="preserve"> </t>
    </r>
  </si>
  <si>
    <t>13.</t>
  </si>
  <si>
    <t>14.</t>
  </si>
  <si>
    <t>Total Cash Capital Spending as % of Prior Year Revenue (14/1)</t>
  </si>
  <si>
    <t>Excluded Capital as % of Prior Year Revenue (13/1)</t>
  </si>
  <si>
    <t>16.</t>
  </si>
  <si>
    <t>18.</t>
  </si>
  <si>
    <t>19.</t>
  </si>
  <si>
    <t>20.</t>
  </si>
  <si>
    <t>Included Worksheets:</t>
  </si>
  <si>
    <t>GF Analysis:</t>
  </si>
  <si>
    <t xml:space="preserve">Summary: </t>
  </si>
  <si>
    <t>Debt Service (from Debt Schedules)</t>
  </si>
  <si>
    <t>Debt Service at Current % Level (1*3)</t>
  </si>
  <si>
    <t>Additional Debt Service to Current Level (6-2)</t>
  </si>
  <si>
    <t>Debt Service Target % (Target Goal = 3%)</t>
  </si>
  <si>
    <t>Debt Service Expenditures at Target % Level (1*7)</t>
  </si>
  <si>
    <t>Additional Debt Service to Target Goal (8-2)</t>
  </si>
  <si>
    <t>Projected Debt Service - "What if" Analysis</t>
  </si>
  <si>
    <t>▪ All percentages for the budget year are based on the prior year revenue.</t>
  </si>
  <si>
    <t>Revenues</t>
  </si>
  <si>
    <t>State Aid</t>
  </si>
  <si>
    <t>CIP</t>
  </si>
  <si>
    <t>▪ 1% increase to all categories</t>
  </si>
  <si>
    <t>▪ Subsequent years - Chapter 70 increases 0.5% annually, Unrestricted aid increases 1% annually</t>
  </si>
  <si>
    <t>▪ Includes expenditures as approved at town meeting and current CIP items</t>
  </si>
  <si>
    <t>Principal</t>
  </si>
  <si>
    <t>Interest</t>
  </si>
  <si>
    <t>Years</t>
  </si>
  <si>
    <t>Level Principal</t>
  </si>
  <si>
    <t>Balance</t>
  </si>
  <si>
    <t xml:space="preserve">Interest </t>
  </si>
  <si>
    <t xml:space="preserve">Total </t>
  </si>
  <si>
    <t>Payment</t>
  </si>
  <si>
    <t>Total Payments</t>
  </si>
  <si>
    <t>SAMPLE AMORTIZATION SCHEDULE</t>
  </si>
  <si>
    <t xml:space="preserve">▪ Sample amortization schedule for projected debt service calculations </t>
  </si>
  <si>
    <t>▪ Includes all issued and authorized debt payments (authorized based on amortization schedule)</t>
  </si>
  <si>
    <t>Percentage of total capital investment as a percentage of the prior year revenue</t>
  </si>
  <si>
    <t>Target gap amount of cash spending and reserves at policy target level and capital exclusions</t>
  </si>
  <si>
    <t>▪ Summary of the general fund debt and cash capital analysis. Includes graphic representation of the data.</t>
  </si>
  <si>
    <t>▪ All information on the Summary worksheet is linked from GF Analysis.</t>
  </si>
  <si>
    <t>For this tool, linked worksheets have been provided as noted.</t>
  </si>
  <si>
    <t>No direct input</t>
  </si>
  <si>
    <t>Input any multiyear capital leases</t>
  </si>
  <si>
    <t>Previously issued debt and authorized projects for which debt will be issued</t>
  </si>
  <si>
    <t>Amount of debt service at policy goal level and the additional amount of service required to either issue or reserve to reach this level is calculated</t>
  </si>
  <si>
    <t>For cash capital, the amount required to either expend or reserve to reach the target level is recalculated from Section E.</t>
  </si>
  <si>
    <t>Any entered projected "what if" amount is included with existing expenditures and presented as a percentage of the prior year revenue</t>
  </si>
  <si>
    <t>Capital Targets Workbook</t>
  </si>
  <si>
    <t>Total of issued and authorized within-levy and gross excluded debt service (from debt schedules)</t>
  </si>
  <si>
    <t>Total of authorized and issued within-levy and gross excluded debt service as a percentage of the prior year revenue</t>
  </si>
  <si>
    <t>Grand total of debt service and cash capital as the total amount and as a percentage of the prior year revenue</t>
  </si>
  <si>
    <t>Total of within-levy debt service at policy target level and gross excluded debt service as a percentage of the prior year revenue</t>
  </si>
  <si>
    <t>Target gap amount of within-levy debt service required by policy and actual and projected within-levy debt service</t>
  </si>
  <si>
    <t>Total of cash spending and reserves at policy target level and capital exclusions</t>
  </si>
  <si>
    <t>Total of cash spending and reserves at policy target level and capital exclusions as a percentage of the prior year revenue</t>
  </si>
  <si>
    <t>Grand total of debt service, cash capital, and reserves to target as the total amount and as a percentage of the prior year revenue</t>
  </si>
  <si>
    <t>▪ Analysis of current and anticipated general fund debt (excluded and within-levy) and cash capital.</t>
  </si>
  <si>
    <t>▪ The data for both already-issued debt and anticipated debt issuances comes from the community's debt schedules.</t>
  </si>
  <si>
    <t>▪ The data for cash capital expenditures (from base levy, free cash, and stabilization funds) comes from the community's capital improvement plan (CIP)</t>
  </si>
  <si>
    <t>▪ Target levels for within-levy and cash capital are by policy.</t>
  </si>
  <si>
    <t>▪ The reference numbers in Column B showing calculation sources refer to the numbers listed in Column A.</t>
  </si>
  <si>
    <t>Linked to the Revenues worksheet</t>
  </si>
  <si>
    <t>Linked to the Debt worksheet</t>
  </si>
  <si>
    <t>Within-levy Debt Service Targets</t>
  </si>
  <si>
    <t>Input debt service target percentage for each year (line # 7.)</t>
  </si>
  <si>
    <t>Zero additional debt service indicates that spending is at or above the target level</t>
  </si>
  <si>
    <t>Projected Debt Service - "What-if" Analysis</t>
  </si>
  <si>
    <t>For within-levy debt, the additional amount of debt service required to either issue or reserve to reach the target level is recalculated from Section C.</t>
  </si>
  <si>
    <t>Any entered projected "what-if" debt service amount is included with existing debt and is presented in total and as a percentage of the prior year revenue</t>
  </si>
  <si>
    <t xml:space="preserve">Pay-as-you-go Cash Capital </t>
  </si>
  <si>
    <t>Linked to the CIP worksheet</t>
  </si>
  <si>
    <t>Cash capital expenditures and planned expenditures are from the capital plan</t>
  </si>
  <si>
    <t>Input cash spending target percentage for each year (line # 16.)</t>
  </si>
  <si>
    <t>Amount of cash spending at policy goal level and the additional amount of service required to either expend or reserve to reach this level is calculated</t>
  </si>
  <si>
    <t>Zero additional cash spending indicates that spending is at or above the target level</t>
  </si>
  <si>
    <t xml:space="preserve">        ▪ Direct enter the amount for free cash and other available funds used in the budget</t>
  </si>
  <si>
    <t>▪ Statutory 2.5% increases included</t>
  </si>
  <si>
    <t>▪ Conservative new growth each year, based on new growth trend</t>
  </si>
  <si>
    <t>▪ Debt exclusion amounts linked from the Debt worksheet and includes projected new excluded debt</t>
  </si>
  <si>
    <t xml:space="preserve">▪ Capital exclusion data directly entered from the tax recap </t>
  </si>
  <si>
    <t>Amortization</t>
  </si>
  <si>
    <t>Total of within-levy debt service at policy target level and gross excluded debt service</t>
  </si>
  <si>
    <r>
      <rPr>
        <b/>
        <sz val="10"/>
        <rFont val="Calibri"/>
        <family val="2"/>
      </rPr>
      <t>PLEASE NOTE:</t>
    </r>
    <r>
      <rPr>
        <sz val="10"/>
        <rFont val="Calibri"/>
        <family val="2"/>
      </rPr>
      <t xml:space="preserve"> The source data in this workbook should be linked to the community's existing forecast to maintain updated revenue, debt and capital investment projections.</t>
    </r>
  </si>
  <si>
    <t>Within-levy Debt Service</t>
  </si>
  <si>
    <t xml:space="preserve">Total Within-levy and Excluded Debt Service </t>
  </si>
  <si>
    <t>Within-levy Debt Service as % of Prior Year Revenue</t>
  </si>
  <si>
    <t>Cash Capital Expenditures (CIP)</t>
  </si>
  <si>
    <t>Capital Exclusion Amounts</t>
  </si>
  <si>
    <t>Total Pay-as-you-go Cash Capital Investment - Existing and Planned</t>
  </si>
  <si>
    <t>Capital Exclusions as % of Prior Year Revenue</t>
  </si>
  <si>
    <t>Combined Debt Service and Cash Capital</t>
  </si>
  <si>
    <t xml:space="preserve">Pay-as-you-go Cash Capital and Reserves </t>
  </si>
  <si>
    <t>Grand Total Capital Investment</t>
  </si>
  <si>
    <t>Within-levy Debt Service Target % (Target = 3%)</t>
  </si>
  <si>
    <t>Within-levy Debt Service Target $</t>
  </si>
  <si>
    <t>Within-levy Debt Service Target Gap (Target less Current)</t>
  </si>
  <si>
    <t>Cash Capital Spending and Reserves Target $</t>
  </si>
  <si>
    <t>Capital Exclusion Spending</t>
  </si>
  <si>
    <t>Total Cash Capital at Target and Capital Exclusion Spending</t>
  </si>
  <si>
    <t>Within-levy Debt</t>
  </si>
  <si>
    <t>Within-levy Capital Leases</t>
  </si>
  <si>
    <t>Total Within-levy Debt Service</t>
  </si>
  <si>
    <t>Within-levy Debt as % of Prior Year Revenue (2/1)</t>
  </si>
  <si>
    <t>Total Existing Within-levy and Excluded Debt Service (2+4)</t>
  </si>
  <si>
    <t>Within-levy</t>
  </si>
  <si>
    <t>Total Projected Within-levy Debt Service</t>
  </si>
  <si>
    <t>Existing and Projected Within-levy Debt Service as % of Prior Year Revenues ((2+9)/1)</t>
  </si>
  <si>
    <t>Required Additional Within-levy Debt Service to Target Goal (8-2-9)</t>
  </si>
  <si>
    <t>Pay-as-you-go Cash Capital</t>
  </si>
  <si>
    <t>Cash Capital Expenditures</t>
  </si>
  <si>
    <t>Pay-as-you-go Cash Capital Spending Targets</t>
  </si>
  <si>
    <t>Projected Pay-as-you-go Cash Capital Expenditures - "What if" Analysis</t>
  </si>
  <si>
    <t>Projected Capital Exclusions</t>
  </si>
  <si>
    <t>Estimated Local Receipts</t>
  </si>
  <si>
    <t>GF Within-levy Debt Service</t>
  </si>
  <si>
    <t>General Fund Within-Levy Debt Service</t>
  </si>
  <si>
    <t>TOTAL GF Within-levy Debt Service Principal</t>
  </si>
  <si>
    <t>Total GF Within-levy Debt Service Interest</t>
  </si>
  <si>
    <t>Total GF Within-levy Debt Service</t>
  </si>
  <si>
    <t>Total of existing and anticipated cash capital expenditures (from base levy, stabilization funds and free cash) and voter approved capital exclusions</t>
  </si>
  <si>
    <t xml:space="preserve">Total Within-levy at Target and Gross Excluded Debt Service </t>
  </si>
  <si>
    <t>▪ Excluded debt service is presented in the gross amount - no reimbursements or adjustments are recognized.</t>
  </si>
  <si>
    <t>15.</t>
  </si>
  <si>
    <t>21.</t>
  </si>
  <si>
    <t>Cash Capital as % of Prior Year Revenue (12/1)</t>
  </si>
  <si>
    <t>Additional Cash Spending (Reserves) to Current Level (16-12)</t>
  </si>
  <si>
    <t>Spending at Current % Level (1*13)</t>
  </si>
  <si>
    <t>Cash Capital Spending Expenditures at Target % Level (1*17)</t>
  </si>
  <si>
    <t>Additional Cash Spending (Reserves) to Target Goal (18-12)</t>
  </si>
  <si>
    <t>Existing and Projected Cash Capital as % of Prior Year Revenues ((12+19)/1)</t>
  </si>
  <si>
    <t>Required Additional Cash Capital Spending to Target Goal (18-12-19)</t>
  </si>
  <si>
    <t>Existing and Projected Capital Exclusions as % of Prior Year Revenues (14+20/1)</t>
  </si>
  <si>
    <t>Total Debt Service as % of Prior Year Revenues (21/1)</t>
  </si>
  <si>
    <t xml:space="preserve">Previously included on the cherry sheet, these are older school construction prior grants that receive annual payments from the state, subject to appropriation. </t>
  </si>
  <si>
    <t>Year</t>
  </si>
  <si>
    <t>Fiscal</t>
  </si>
  <si>
    <t xml:space="preserve">Year </t>
  </si>
  <si>
    <t>Add rows for what-if as needed</t>
  </si>
  <si>
    <r>
      <t>DLS Gateway, LA-5 Options &amp; Certification (</t>
    </r>
    <r>
      <rPr>
        <b/>
        <sz val="9"/>
        <rFont val="Calibri"/>
        <family val="2"/>
        <scheme val="minor"/>
      </rPr>
      <t>calculated field</t>
    </r>
    <r>
      <rPr>
        <sz val="9"/>
        <rFont val="Calibri"/>
        <family val="2"/>
        <scheme val="minor"/>
      </rPr>
      <t>, verify against LA-5)</t>
    </r>
  </si>
  <si>
    <t xml:space="preserve">The following worksheets are provided for this tool and linked as noted. Communities with a forecast tool may want to replace or link to these sheets. </t>
  </si>
  <si>
    <t>▪ Summary of Tax Levy, State Aid, and Local Receipts worksheets (all linked)</t>
  </si>
  <si>
    <t>▪ Data is from the community debt schedule</t>
  </si>
  <si>
    <t>▪ Data is from the capital plan</t>
  </si>
  <si>
    <t>Note: For excluded capital leases,  a capital lease exclusion question must either be presented:</t>
  </si>
  <si>
    <t>2. as separate exclusion questions for each fiscal year of the agreement at a single election</t>
  </si>
  <si>
    <t>* Due to the uncertainty of the required affirmative vote for each year of the agreement, we do not recommend capital acquisitions under a lease purchase agreement as a capital outlay exclusion</t>
  </si>
  <si>
    <t>Enter a "what-if" projection for both cash capital and capital exclusion expenditures (capital exclusions subject to voter approval)</t>
  </si>
  <si>
    <t>Enter a projection, or "what-if," for within-levy and/or excluded debt (excluded debt and capital leases subject to voter approval)</t>
  </si>
  <si>
    <t>https://dlsgateway.dor.state.ma.us/DLSReports/DLSReportViewer.aspx?ReportName=TaxImpactCalculator_v2&amp;ReportTitle=Tax+Impact+Calculator</t>
  </si>
  <si>
    <t>Tax Impact</t>
  </si>
  <si>
    <t>1. to the voters in each year of the agreement to fund that year's payment on an excluded basis</t>
  </si>
  <si>
    <t>Reference</t>
  </si>
  <si>
    <t>FY0</t>
  </si>
  <si>
    <t>FY1</t>
  </si>
  <si>
    <t>FY2</t>
  </si>
  <si>
    <t>FY3</t>
  </si>
  <si>
    <t>FY4</t>
  </si>
  <si>
    <t>FY5</t>
  </si>
  <si>
    <t>FY6</t>
  </si>
  <si>
    <t>FY7</t>
  </si>
  <si>
    <t>FY8</t>
  </si>
  <si>
    <t>FY9</t>
  </si>
  <si>
    <t>FY10</t>
  </si>
  <si>
    <t>FY11</t>
  </si>
  <si>
    <t>FY-1</t>
  </si>
  <si>
    <t>FY-2</t>
  </si>
  <si>
    <t>FY-3</t>
  </si>
  <si>
    <t>FY-4</t>
  </si>
  <si>
    <t>Amount of debt service at the current level (FY0) and the additional amount of service required to either issue or reserve to maintain this level is calculated</t>
  </si>
  <si>
    <t>Amount of cash spending at the current level (FY0) and the additional amount required to either expend or reserve to maintain this level is calculated</t>
  </si>
  <si>
    <t>▪ FY-4 - FY0 revenue is the general fund revenue reported on the tax recap (exclusive of enterprise and CPA funds)</t>
  </si>
  <si>
    <t>▪ FY1 - FY11  is projected using the assumptions outlined below</t>
  </si>
  <si>
    <t>▪ Cherry sheet information from historical values thru FY1</t>
  </si>
  <si>
    <t xml:space="preserve">        ▪ No other available funds (e.g., free cash) included in the projections (after FY0)</t>
  </si>
  <si>
    <t>DLS website Trends in Municipal Cherry Sheet Aid</t>
  </si>
  <si>
    <t>Local Share of Racing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</si>
</sst>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;[Red]\(0.0%\)"/>
    <numFmt numFmtId="166" formatCode="0.0%"/>
    <numFmt numFmtId="167" formatCode="#,##0.0"/>
    <numFmt numFmtId="168" formatCode="0.000%"/>
  </numFmts>
  <fonts count="52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2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i/>
      <sz val="8"/>
      <color rgb="FFFF0000"/>
      <name val="Arial Narrow"/>
      <family val="2"/>
    </font>
    <font>
      <b/>
      <u/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Arial"/>
      <family val="2"/>
    </font>
    <font>
      <b/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0"/>
      <name val="Calibri Light"/>
      <family val="1"/>
      <scheme val="major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3"/>
      <name val="Calibri"/>
      <family val="2"/>
    </font>
    <font>
      <b/>
      <u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theme="5" tint="0.79998168889431442"/>
      </patternFill>
    </fill>
    <fill>
      <patternFill patternType="lightDown">
        <bgColor theme="0"/>
      </patternFill>
    </fill>
    <fill>
      <patternFill patternType="solid">
        <fgColor theme="4" tint="-0.249977111117893"/>
        <bgColor indexed="64"/>
      </patternFill>
    </fill>
    <fill>
      <patternFill patternType="lightDown">
        <bgColor theme="4" tint="0.79995117038483843"/>
      </patternFill>
    </fill>
    <fill>
      <patternFill patternType="lightUp">
        <fgColor theme="0" tint="-0.499984740745262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37" fillId="0" borderId="0"/>
    <xf numFmtId="0" fontId="43" fillId="0" borderId="0"/>
    <xf numFmtId="0" fontId="49" fillId="0" borderId="0"/>
  </cellStyleXfs>
  <cellXfs count="48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/>
    <xf numFmtId="0" fontId="1" fillId="0" borderId="1" xfId="0" applyFont="1" applyBorder="1" applyAlignment="1"/>
    <xf numFmtId="0" fontId="4" fillId="0" borderId="0" xfId="0" applyFont="1" applyBorder="1" applyAlignment="1"/>
    <xf numFmtId="0" fontId="1" fillId="3" borderId="1" xfId="0" applyFont="1" applyFill="1" applyBorder="1" applyAlignment="1">
      <alignment horizontal="left"/>
    </xf>
    <xf numFmtId="0" fontId="1" fillId="0" borderId="0" xfId="0" applyFont="1" applyFill="1"/>
    <xf numFmtId="0" fontId="3" fillId="3" borderId="1" xfId="0" applyFont="1" applyFill="1" applyBorder="1" applyAlignment="1">
      <alignment horizontal="left"/>
    </xf>
    <xf numFmtId="0" fontId="5" fillId="0" borderId="0" xfId="0" applyNumberFormat="1" applyFont="1" applyFill="1" applyBorder="1" applyAlignment="1" applyProtection="1"/>
    <xf numFmtId="41" fontId="1" fillId="0" borderId="1" xfId="0" applyNumberFormat="1" applyFont="1" applyBorder="1"/>
    <xf numFmtId="41" fontId="1" fillId="4" borderId="1" xfId="0" applyNumberFormat="1" applyFont="1" applyFill="1" applyBorder="1"/>
    <xf numFmtId="41" fontId="1" fillId="3" borderId="1" xfId="0" applyNumberFormat="1" applyFont="1" applyFill="1" applyBorder="1"/>
    <xf numFmtId="0" fontId="1" fillId="0" borderId="4" xfId="0" applyFont="1" applyBorder="1"/>
    <xf numFmtId="10" fontId="1" fillId="0" borderId="1" xfId="0" applyNumberFormat="1" applyFont="1" applyBorder="1"/>
    <xf numFmtId="0" fontId="2" fillId="5" borderId="1" xfId="0" applyFont="1" applyFill="1" applyBorder="1" applyAlignment="1">
      <alignment horizontal="left"/>
    </xf>
    <xf numFmtId="0" fontId="1" fillId="0" borderId="4" xfId="0" applyFont="1" applyBorder="1" applyAlignment="1"/>
    <xf numFmtId="41" fontId="1" fillId="0" borderId="0" xfId="0" applyNumberFormat="1" applyFont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Alignment="1">
      <alignment horizontal="center"/>
    </xf>
    <xf numFmtId="0" fontId="5" fillId="6" borderId="0" xfId="0" applyNumberFormat="1" applyFont="1" applyFill="1" applyBorder="1" applyAlignment="1" applyProtection="1"/>
    <xf numFmtId="0" fontId="7" fillId="6" borderId="0" xfId="0" applyFont="1" applyFill="1" applyAlignment="1">
      <alignment horizontal="center"/>
    </xf>
    <xf numFmtId="0" fontId="1" fillId="5" borderId="0" xfId="0" applyFont="1" applyFill="1" applyBorder="1" applyAlignment="1">
      <alignment horizontal="left"/>
    </xf>
    <xf numFmtId="41" fontId="1" fillId="5" borderId="0" xfId="0" applyNumberFormat="1" applyFont="1" applyFill="1" applyBorder="1"/>
    <xf numFmtId="0" fontId="1" fillId="5" borderId="0" xfId="0" applyFont="1" applyFill="1"/>
    <xf numFmtId="0" fontId="1" fillId="5" borderId="0" xfId="0" applyFont="1" applyFill="1" applyBorder="1"/>
    <xf numFmtId="49" fontId="1" fillId="5" borderId="0" xfId="0" applyNumberFormat="1" applyFont="1" applyFill="1" applyAlignment="1">
      <alignment horizontal="center"/>
    </xf>
    <xf numFmtId="49" fontId="4" fillId="5" borderId="0" xfId="0" applyNumberFormat="1" applyFont="1" applyFill="1"/>
    <xf numFmtId="0" fontId="4" fillId="0" borderId="0" xfId="0" applyFont="1"/>
    <xf numFmtId="0" fontId="1" fillId="5" borderId="0" xfId="0" applyFont="1" applyFill="1" applyAlignment="1">
      <alignment horizontal="left"/>
    </xf>
    <xf numFmtId="41" fontId="1" fillId="5" borderId="0" xfId="0" applyNumberFormat="1" applyFont="1" applyFill="1"/>
    <xf numFmtId="0" fontId="2" fillId="8" borderId="1" xfId="0" applyNumberFormat="1" applyFont="1" applyFill="1" applyBorder="1" applyAlignment="1" applyProtection="1"/>
    <xf numFmtId="10" fontId="1" fillId="8" borderId="1" xfId="0" applyNumberFormat="1" applyFont="1" applyFill="1" applyBorder="1"/>
    <xf numFmtId="0" fontId="1" fillId="9" borderId="1" xfId="0" applyFont="1" applyFill="1" applyBorder="1" applyAlignment="1"/>
    <xf numFmtId="0" fontId="1" fillId="10" borderId="1" xfId="0" applyFont="1" applyFill="1" applyBorder="1"/>
    <xf numFmtId="41" fontId="1" fillId="9" borderId="1" xfId="0" applyNumberFormat="1" applyFont="1" applyFill="1" applyBorder="1"/>
    <xf numFmtId="0" fontId="1" fillId="5" borderId="1" xfId="0" applyFont="1" applyFill="1" applyBorder="1" applyAlignment="1"/>
    <xf numFmtId="0" fontId="1" fillId="11" borderId="1" xfId="0" applyFont="1" applyFill="1" applyBorder="1"/>
    <xf numFmtId="41" fontId="1" fillId="5" borderId="1" xfId="0" applyNumberFormat="1" applyFont="1" applyFill="1" applyBorder="1"/>
    <xf numFmtId="0" fontId="4" fillId="3" borderId="1" xfId="0" applyFont="1" applyFill="1" applyBorder="1" applyAlignment="1"/>
    <xf numFmtId="0" fontId="2" fillId="8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1" fillId="5" borderId="1" xfId="0" applyFont="1" applyFill="1" applyBorder="1"/>
    <xf numFmtId="0" fontId="3" fillId="5" borderId="5" xfId="0" applyFont="1" applyFill="1" applyBorder="1" applyAlignment="1">
      <alignment horizontal="left"/>
    </xf>
    <xf numFmtId="0" fontId="6" fillId="0" borderId="0" xfId="0" applyFont="1"/>
    <xf numFmtId="0" fontId="6" fillId="5" borderId="0" xfId="0" applyFont="1" applyFill="1"/>
    <xf numFmtId="41" fontId="6" fillId="5" borderId="0" xfId="0" applyNumberFormat="1" applyFont="1" applyFill="1"/>
    <xf numFmtId="41" fontId="6" fillId="0" borderId="0" xfId="0" applyNumberFormat="1" applyFont="1"/>
    <xf numFmtId="41" fontId="6" fillId="3" borderId="1" xfId="0" applyNumberFormat="1" applyFont="1" applyFill="1" applyBorder="1"/>
    <xf numFmtId="0" fontId="8" fillId="0" borderId="0" xfId="0" applyFont="1"/>
    <xf numFmtId="0" fontId="4" fillId="5" borderId="0" xfId="0" applyFont="1" applyFill="1" applyBorder="1" applyAlignment="1"/>
    <xf numFmtId="41" fontId="6" fillId="0" borderId="1" xfId="0" applyNumberFormat="1" applyFont="1" applyBorder="1"/>
    <xf numFmtId="10" fontId="6" fillId="0" borderId="1" xfId="0" applyNumberFormat="1" applyFont="1" applyBorder="1"/>
    <xf numFmtId="49" fontId="8" fillId="0" borderId="0" xfId="0" applyNumberFormat="1" applyFont="1"/>
    <xf numFmtId="41" fontId="6" fillId="0" borderId="1" xfId="0" applyNumberFormat="1" applyFont="1" applyFill="1" applyBorder="1"/>
    <xf numFmtId="0" fontId="6" fillId="0" borderId="0" xfId="0" applyFont="1" applyFill="1"/>
    <xf numFmtId="41" fontId="2" fillId="5" borderId="1" xfId="0" applyNumberFormat="1" applyFont="1" applyFill="1" applyBorder="1"/>
    <xf numFmtId="41" fontId="2" fillId="3" borderId="1" xfId="0" applyNumberFormat="1" applyFont="1" applyFill="1" applyBorder="1"/>
    <xf numFmtId="10" fontId="2" fillId="5" borderId="1" xfId="0" applyNumberFormat="1" applyFont="1" applyFill="1" applyBorder="1"/>
    <xf numFmtId="0" fontId="2" fillId="5" borderId="0" xfId="0" applyFont="1" applyFill="1"/>
    <xf numFmtId="0" fontId="3" fillId="0" borderId="1" xfId="0" applyFont="1" applyBorder="1" applyAlignment="1"/>
    <xf numFmtId="10" fontId="6" fillId="0" borderId="1" xfId="0" applyNumberFormat="1" applyFont="1" applyFill="1" applyBorder="1"/>
    <xf numFmtId="10" fontId="6" fillId="3" borderId="1" xfId="0" applyNumberFormat="1" applyFont="1" applyFill="1" applyBorder="1"/>
    <xf numFmtId="49" fontId="9" fillId="12" borderId="0" xfId="0" applyNumberFormat="1" applyFont="1" applyFill="1"/>
    <xf numFmtId="0" fontId="10" fillId="12" borderId="0" xfId="0" applyFont="1" applyFill="1"/>
    <xf numFmtId="0" fontId="11" fillId="12" borderId="0" xfId="0" applyFont="1" applyFill="1" applyAlignment="1">
      <alignment horizontal="center"/>
    </xf>
    <xf numFmtId="49" fontId="11" fillId="12" borderId="0" xfId="0" applyNumberFormat="1" applyFont="1" applyFill="1"/>
    <xf numFmtId="0" fontId="9" fillId="12" borderId="0" xfId="0" applyFont="1" applyFill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4" fillId="5" borderId="0" xfId="0" applyNumberFormat="1" applyFont="1" applyFill="1" applyAlignment="1">
      <alignment horizontal="left"/>
    </xf>
    <xf numFmtId="0" fontId="5" fillId="6" borderId="0" xfId="0" applyNumberFormat="1" applyFont="1" applyFill="1" applyBorder="1" applyAlignment="1" applyProtection="1">
      <alignment horizontal="center"/>
    </xf>
    <xf numFmtId="41" fontId="1" fillId="13" borderId="1" xfId="0" applyNumberFormat="1" applyFont="1" applyFill="1" applyBorder="1"/>
    <xf numFmtId="0" fontId="5" fillId="0" borderId="0" xfId="0" applyFont="1"/>
    <xf numFmtId="41" fontId="6" fillId="3" borderId="7" xfId="0" applyNumberFormat="1" applyFont="1" applyFill="1" applyBorder="1"/>
    <xf numFmtId="10" fontId="6" fillId="0" borderId="7" xfId="0" applyNumberFormat="1" applyFont="1" applyFill="1" applyBorder="1"/>
    <xf numFmtId="41" fontId="6" fillId="0" borderId="7" xfId="0" applyNumberFormat="1" applyFont="1" applyBorder="1"/>
    <xf numFmtId="41" fontId="2" fillId="5" borderId="7" xfId="0" applyNumberFormat="1" applyFont="1" applyFill="1" applyBorder="1"/>
    <xf numFmtId="10" fontId="6" fillId="3" borderId="7" xfId="0" applyNumberFormat="1" applyFont="1" applyFill="1" applyBorder="1"/>
    <xf numFmtId="41" fontId="2" fillId="3" borderId="7" xfId="0" applyNumberFormat="1" applyFont="1" applyFill="1" applyBorder="1"/>
    <xf numFmtId="10" fontId="2" fillId="5" borderId="7" xfId="0" applyNumberFormat="1" applyFont="1" applyFill="1" applyBorder="1"/>
    <xf numFmtId="10" fontId="2" fillId="3" borderId="1" xfId="0" applyNumberFormat="1" applyFont="1" applyFill="1" applyBorder="1"/>
    <xf numFmtId="0" fontId="7" fillId="3" borderId="1" xfId="0" applyFont="1" applyFill="1" applyBorder="1"/>
    <xf numFmtId="10" fontId="2" fillId="3" borderId="7" xfId="0" applyNumberFormat="1" applyFont="1" applyFill="1" applyBorder="1"/>
    <xf numFmtId="0" fontId="6" fillId="0" borderId="8" xfId="0" applyFont="1" applyBorder="1"/>
    <xf numFmtId="0" fontId="11" fillId="12" borderId="8" xfId="0" applyFont="1" applyFill="1" applyBorder="1" applyAlignment="1">
      <alignment horizontal="center"/>
    </xf>
    <xf numFmtId="0" fontId="10" fillId="12" borderId="8" xfId="0" applyFont="1" applyFill="1" applyBorder="1"/>
    <xf numFmtId="41" fontId="2" fillId="5" borderId="9" xfId="0" applyNumberFormat="1" applyFont="1" applyFill="1" applyBorder="1"/>
    <xf numFmtId="41" fontId="2" fillId="3" borderId="9" xfId="0" applyNumberFormat="1" applyFont="1" applyFill="1" applyBorder="1"/>
    <xf numFmtId="10" fontId="2" fillId="5" borderId="9" xfId="0" applyNumberFormat="1" applyFont="1" applyFill="1" applyBorder="1"/>
    <xf numFmtId="10" fontId="2" fillId="3" borderId="9" xfId="0" applyNumberFormat="1" applyFont="1" applyFill="1" applyBorder="1"/>
    <xf numFmtId="0" fontId="2" fillId="5" borderId="8" xfId="0" applyFont="1" applyFill="1" applyBorder="1"/>
    <xf numFmtId="0" fontId="9" fillId="12" borderId="8" xfId="0" applyFont="1" applyFill="1" applyBorder="1" applyAlignment="1">
      <alignment horizontal="center"/>
    </xf>
    <xf numFmtId="41" fontId="6" fillId="3" borderId="9" xfId="0" applyNumberFormat="1" applyFont="1" applyFill="1" applyBorder="1"/>
    <xf numFmtId="0" fontId="6" fillId="0" borderId="8" xfId="0" applyFont="1" applyFill="1" applyBorder="1"/>
    <xf numFmtId="41" fontId="6" fillId="0" borderId="9" xfId="0" applyNumberFormat="1" applyFont="1" applyBorder="1"/>
    <xf numFmtId="10" fontId="6" fillId="3" borderId="9" xfId="0" applyNumberFormat="1" applyFont="1" applyFill="1" applyBorder="1"/>
    <xf numFmtId="41" fontId="6" fillId="9" borderId="1" xfId="0" applyNumberFormat="1" applyFont="1" applyFill="1" applyBorder="1"/>
    <xf numFmtId="10" fontId="6" fillId="0" borderId="7" xfId="0" applyNumberFormat="1" applyFont="1" applyBorder="1"/>
    <xf numFmtId="41" fontId="6" fillId="0" borderId="7" xfId="0" applyNumberFormat="1" applyFont="1" applyFill="1" applyBorder="1"/>
    <xf numFmtId="41" fontId="6" fillId="0" borderId="9" xfId="0" applyNumberFormat="1" applyFont="1" applyFill="1" applyBorder="1"/>
    <xf numFmtId="0" fontId="3" fillId="5" borderId="1" xfId="0" applyFont="1" applyFill="1" applyBorder="1" applyAlignment="1">
      <alignment horizontal="left"/>
    </xf>
    <xf numFmtId="0" fontId="3" fillId="0" borderId="0" xfId="0" applyFont="1" applyBorder="1" applyAlignment="1"/>
    <xf numFmtId="10" fontId="2" fillId="5" borderId="0" xfId="0" applyNumberFormat="1" applyFont="1" applyFill="1" applyBorder="1"/>
    <xf numFmtId="10" fontId="2" fillId="5" borderId="8" xfId="0" applyNumberFormat="1" applyFont="1" applyFill="1" applyBorder="1"/>
    <xf numFmtId="41" fontId="1" fillId="0" borderId="7" xfId="0" applyNumberFormat="1" applyFont="1" applyBorder="1"/>
    <xf numFmtId="41" fontId="1" fillId="4" borderId="7" xfId="0" applyNumberFormat="1" applyFont="1" applyFill="1" applyBorder="1"/>
    <xf numFmtId="41" fontId="1" fillId="3" borderId="7" xfId="0" applyNumberFormat="1" applyFont="1" applyFill="1" applyBorder="1"/>
    <xf numFmtId="10" fontId="1" fillId="8" borderId="7" xfId="0" applyNumberFormat="1" applyFont="1" applyFill="1" applyBorder="1"/>
    <xf numFmtId="41" fontId="1" fillId="5" borderId="7" xfId="0" applyNumberFormat="1" applyFont="1" applyFill="1" applyBorder="1"/>
    <xf numFmtId="41" fontId="1" fillId="9" borderId="7" xfId="0" applyNumberFormat="1" applyFont="1" applyFill="1" applyBorder="1"/>
    <xf numFmtId="10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41" fontId="1" fillId="0" borderId="9" xfId="0" applyNumberFormat="1" applyFont="1" applyBorder="1"/>
    <xf numFmtId="41" fontId="1" fillId="4" borderId="9" xfId="0" applyNumberFormat="1" applyFont="1" applyFill="1" applyBorder="1"/>
    <xf numFmtId="0" fontId="1" fillId="0" borderId="8" xfId="0" applyFont="1" applyBorder="1"/>
    <xf numFmtId="0" fontId="4" fillId="7" borderId="8" xfId="0" applyFont="1" applyFill="1" applyBorder="1" applyAlignment="1">
      <alignment horizontal="center"/>
    </xf>
    <xf numFmtId="41" fontId="1" fillId="3" borderId="9" xfId="0" applyNumberFormat="1" applyFont="1" applyFill="1" applyBorder="1"/>
    <xf numFmtId="10" fontId="1" fillId="8" borderId="9" xfId="0" applyNumberFormat="1" applyFont="1" applyFill="1" applyBorder="1"/>
    <xf numFmtId="41" fontId="1" fillId="13" borderId="9" xfId="0" applyNumberFormat="1" applyFont="1" applyFill="1" applyBorder="1"/>
    <xf numFmtId="0" fontId="1" fillId="0" borderId="10" xfId="0" applyFont="1" applyBorder="1"/>
    <xf numFmtId="41" fontId="1" fillId="5" borderId="8" xfId="0" applyNumberFormat="1" applyFont="1" applyFill="1" applyBorder="1"/>
    <xf numFmtId="41" fontId="1" fillId="5" borderId="9" xfId="0" applyNumberFormat="1" applyFont="1" applyFill="1" applyBorder="1"/>
    <xf numFmtId="0" fontId="1" fillId="11" borderId="9" xfId="0" applyFont="1" applyFill="1" applyBorder="1"/>
    <xf numFmtId="0" fontId="1" fillId="10" borderId="9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0" xfId="0" applyFont="1"/>
    <xf numFmtId="0" fontId="1" fillId="0" borderId="0" xfId="0" applyFont="1" applyFill="1" applyBorder="1"/>
    <xf numFmtId="0" fontId="1" fillId="0" borderId="8" xfId="0" applyFont="1" applyFill="1" applyBorder="1"/>
    <xf numFmtId="41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1" fillId="0" borderId="4" xfId="0" applyNumberFormat="1" applyFont="1" applyFill="1" applyBorder="1" applyAlignment="1">
      <alignment horizontal="center"/>
    </xf>
    <xf numFmtId="0" fontId="4" fillId="0" borderId="4" xfId="0" applyFont="1" applyFill="1" applyBorder="1"/>
    <xf numFmtId="41" fontId="1" fillId="0" borderId="4" xfId="0" applyNumberFormat="1" applyFont="1" applyFill="1" applyBorder="1"/>
    <xf numFmtId="0" fontId="13" fillId="0" borderId="0" xfId="1" applyFont="1"/>
    <xf numFmtId="0" fontId="14" fillId="0" borderId="0" xfId="1" applyFont="1"/>
    <xf numFmtId="164" fontId="15" fillId="0" borderId="0" xfId="2" applyNumberFormat="1" applyFont="1"/>
    <xf numFmtId="164" fontId="15" fillId="0" borderId="0" xfId="2" applyNumberFormat="1" applyFont="1" applyFill="1"/>
    <xf numFmtId="0" fontId="15" fillId="0" borderId="0" xfId="1" applyFont="1"/>
    <xf numFmtId="0" fontId="16" fillId="0" borderId="0" xfId="1" applyFont="1" applyAlignment="1">
      <alignment horizontal="left"/>
    </xf>
    <xf numFmtId="0" fontId="17" fillId="0" borderId="0" xfId="1" applyFont="1" applyProtection="1">
      <protection locked="0"/>
    </xf>
    <xf numFmtId="3" fontId="18" fillId="0" borderId="0" xfId="1" applyNumberFormat="1" applyFont="1" applyAlignment="1">
      <alignment horizontal="left"/>
    </xf>
    <xf numFmtId="164" fontId="19" fillId="0" borderId="0" xfId="2" applyNumberFormat="1" applyFont="1"/>
    <xf numFmtId="164" fontId="19" fillId="0" borderId="0" xfId="2" applyNumberFormat="1" applyFont="1" applyProtection="1">
      <protection locked="0"/>
    </xf>
    <xf numFmtId="164" fontId="19" fillId="0" borderId="0" xfId="2" applyNumberFormat="1" applyFont="1" applyFill="1" applyProtection="1">
      <protection locked="0"/>
    </xf>
    <xf numFmtId="0" fontId="19" fillId="0" borderId="0" xfId="1" applyFont="1" applyProtection="1">
      <protection locked="0"/>
    </xf>
    <xf numFmtId="0" fontId="19" fillId="0" borderId="0" xfId="1" applyFont="1"/>
    <xf numFmtId="164" fontId="18" fillId="0" borderId="0" xfId="2" applyNumberFormat="1" applyFont="1" applyAlignment="1">
      <alignment horizontal="center"/>
    </xf>
    <xf numFmtId="164" fontId="18" fillId="0" borderId="0" xfId="2" applyNumberFormat="1" applyFont="1" applyAlignment="1" applyProtection="1">
      <alignment horizontal="center"/>
      <protection locked="0"/>
    </xf>
    <xf numFmtId="0" fontId="20" fillId="0" borderId="0" xfId="1" applyFont="1"/>
    <xf numFmtId="0" fontId="19" fillId="0" borderId="1" xfId="1" applyFont="1" applyBorder="1"/>
    <xf numFmtId="41" fontId="18" fillId="0" borderId="1" xfId="1" applyNumberFormat="1" applyFont="1" applyBorder="1" applyAlignment="1">
      <alignment horizontal="right"/>
    </xf>
    <xf numFmtId="3" fontId="18" fillId="0" borderId="1" xfId="1" applyNumberFormat="1" applyFont="1" applyBorder="1" applyAlignment="1">
      <alignment horizontal="left"/>
    </xf>
    <xf numFmtId="41" fontId="18" fillId="0" borderId="2" xfId="1" applyNumberFormat="1" applyFont="1" applyBorder="1" applyAlignment="1">
      <alignment horizontal="right"/>
    </xf>
    <xf numFmtId="3" fontId="20" fillId="0" borderId="1" xfId="1" applyNumberFormat="1" applyFont="1" applyBorder="1" applyAlignment="1">
      <alignment horizontal="right"/>
    </xf>
    <xf numFmtId="41" fontId="18" fillId="0" borderId="1" xfId="1" applyNumberFormat="1" applyFont="1" applyBorder="1"/>
    <xf numFmtId="3" fontId="18" fillId="0" borderId="1" xfId="1" applyNumberFormat="1" applyFont="1" applyBorder="1"/>
    <xf numFmtId="3" fontId="21" fillId="3" borderId="3" xfId="1" applyNumberFormat="1" applyFont="1" applyFill="1" applyBorder="1" applyAlignment="1">
      <alignment horizontal="right"/>
    </xf>
    <xf numFmtId="41" fontId="19" fillId="3" borderId="3" xfId="1" applyNumberFormat="1" applyFont="1" applyFill="1" applyBorder="1" applyAlignment="1">
      <alignment horizontal="right"/>
    </xf>
    <xf numFmtId="41" fontId="18" fillId="0" borderId="0" xfId="1" applyNumberFormat="1" applyFont="1" applyAlignment="1">
      <alignment horizontal="right"/>
    </xf>
    <xf numFmtId="41" fontId="22" fillId="0" borderId="0" xfId="2" applyNumberFormat="1" applyFont="1" applyProtection="1">
      <protection locked="0"/>
    </xf>
    <xf numFmtId="41" fontId="19" fillId="0" borderId="0" xfId="2" applyNumberFormat="1" applyFont="1" applyProtection="1">
      <protection locked="0"/>
    </xf>
    <xf numFmtId="41" fontId="18" fillId="0" borderId="1" xfId="2" applyNumberFormat="1" applyFont="1" applyBorder="1"/>
    <xf numFmtId="0" fontId="18" fillId="0" borderId="1" xfId="1" applyFont="1" applyBorder="1"/>
    <xf numFmtId="3" fontId="20" fillId="3" borderId="1" xfId="1" applyNumberFormat="1" applyFont="1" applyFill="1" applyBorder="1" applyAlignment="1">
      <alignment horizontal="right"/>
    </xf>
    <xf numFmtId="41" fontId="19" fillId="3" borderId="3" xfId="2" applyNumberFormat="1" applyFont="1" applyFill="1" applyBorder="1" applyAlignment="1">
      <alignment horizontal="right"/>
    </xf>
    <xf numFmtId="3" fontId="24" fillId="0" borderId="0" xfId="3" applyNumberFormat="1" applyFont="1" applyAlignment="1">
      <alignment horizontal="left"/>
    </xf>
    <xf numFmtId="41" fontId="19" fillId="0" borderId="0" xfId="1" applyNumberFormat="1" applyFont="1" applyAlignment="1">
      <alignment horizontal="right"/>
    </xf>
    <xf numFmtId="41" fontId="19" fillId="0" borderId="0" xfId="2" applyNumberFormat="1" applyFont="1" applyAlignment="1">
      <alignment horizontal="right"/>
    </xf>
    <xf numFmtId="0" fontId="25" fillId="0" borderId="0" xfId="1" applyFont="1" applyAlignment="1">
      <alignment horizontal="center" readingOrder="1"/>
    </xf>
    <xf numFmtId="3" fontId="21" fillId="3" borderId="1" xfId="3" applyNumberFormat="1" applyFont="1" applyFill="1" applyBorder="1" applyAlignment="1">
      <alignment horizontal="left"/>
    </xf>
    <xf numFmtId="41" fontId="19" fillId="3" borderId="1" xfId="1" applyNumberFormat="1" applyFont="1" applyFill="1" applyBorder="1" applyAlignment="1">
      <alignment horizontal="right"/>
    </xf>
    <xf numFmtId="41" fontId="22" fillId="14" borderId="1" xfId="1" applyNumberFormat="1" applyFont="1" applyFill="1" applyBorder="1"/>
    <xf numFmtId="41" fontId="20" fillId="0" borderId="0" xfId="2" applyNumberFormat="1" applyFont="1"/>
    <xf numFmtId="41" fontId="20" fillId="0" borderId="0" xfId="2" applyNumberFormat="1" applyFont="1" applyProtection="1">
      <protection locked="0"/>
    </xf>
    <xf numFmtId="3" fontId="21" fillId="3" borderId="1" xfId="1" applyNumberFormat="1" applyFont="1" applyFill="1" applyBorder="1" applyAlignment="1">
      <alignment horizontal="right"/>
    </xf>
    <xf numFmtId="41" fontId="19" fillId="3" borderId="1" xfId="2" applyNumberFormat="1" applyFont="1" applyFill="1" applyBorder="1" applyAlignment="1">
      <alignment horizontal="right"/>
    </xf>
    <xf numFmtId="3" fontId="20" fillId="0" borderId="0" xfId="1" applyNumberFormat="1" applyFont="1" applyAlignment="1">
      <alignment horizontal="right"/>
    </xf>
    <xf numFmtId="41" fontId="19" fillId="0" borderId="0" xfId="2" applyNumberFormat="1" applyFont="1"/>
    <xf numFmtId="41" fontId="19" fillId="0" borderId="1" xfId="2" applyNumberFormat="1" applyFont="1" applyBorder="1"/>
    <xf numFmtId="41" fontId="18" fillId="3" borderId="2" xfId="2" applyNumberFormat="1" applyFont="1" applyFill="1" applyBorder="1" applyAlignment="1">
      <alignment horizontal="right"/>
    </xf>
    <xf numFmtId="41" fontId="18" fillId="3" borderId="2" xfId="2" applyNumberFormat="1" applyFont="1" applyFill="1" applyBorder="1" applyAlignment="1" applyProtection="1">
      <alignment horizontal="right"/>
      <protection locked="0"/>
    </xf>
    <xf numFmtId="3" fontId="20" fillId="4" borderId="13" xfId="1" applyNumberFormat="1" applyFont="1" applyFill="1" applyBorder="1" applyAlignment="1">
      <alignment horizontal="left"/>
    </xf>
    <xf numFmtId="41" fontId="19" fillId="4" borderId="13" xfId="1" applyNumberFormat="1" applyFont="1" applyFill="1" applyBorder="1"/>
    <xf numFmtId="3" fontId="18" fillId="0" borderId="0" xfId="1" applyNumberFormat="1" applyFont="1" applyAlignment="1">
      <alignment horizontal="right"/>
    </xf>
    <xf numFmtId="41" fontId="19" fillId="0" borderId="0" xfId="2" applyNumberFormat="1" applyFont="1" applyFill="1" applyProtection="1">
      <protection locked="0"/>
    </xf>
    <xf numFmtId="0" fontId="25" fillId="15" borderId="0" xfId="1" applyFont="1" applyFill="1" applyAlignment="1" applyProtection="1">
      <alignment horizontal="center" readingOrder="1"/>
      <protection locked="0"/>
    </xf>
    <xf numFmtId="0" fontId="14" fillId="15" borderId="0" xfId="1" applyFont="1" applyFill="1" applyAlignment="1">
      <alignment readingOrder="1"/>
    </xf>
    <xf numFmtId="0" fontId="22" fillId="15" borderId="0" xfId="1" applyFont="1" applyFill="1" applyAlignment="1">
      <alignment readingOrder="1"/>
    </xf>
    <xf numFmtId="0" fontId="22" fillId="15" borderId="0" xfId="1" applyFont="1" applyFill="1" applyAlignment="1" applyProtection="1">
      <alignment readingOrder="1"/>
      <protection locked="0"/>
    </xf>
    <xf numFmtId="0" fontId="22" fillId="0" borderId="0" xfId="1" applyFont="1" applyAlignment="1" applyProtection="1">
      <alignment readingOrder="1"/>
      <protection locked="0"/>
    </xf>
    <xf numFmtId="0" fontId="26" fillId="15" borderId="14" xfId="1" applyFont="1" applyFill="1" applyBorder="1" applyAlignment="1">
      <alignment horizontal="left" readingOrder="1"/>
    </xf>
    <xf numFmtId="0" fontId="22" fillId="15" borderId="0" xfId="1" applyFont="1" applyFill="1"/>
    <xf numFmtId="0" fontId="22" fillId="15" borderId="0" xfId="1" applyFont="1" applyFill="1" applyProtection="1">
      <protection locked="0"/>
    </xf>
    <xf numFmtId="0" fontId="22" fillId="0" borderId="0" xfId="1" applyFont="1" applyProtection="1">
      <protection locked="0"/>
    </xf>
    <xf numFmtId="0" fontId="26" fillId="15" borderId="0" xfId="1" applyFont="1" applyFill="1" applyAlignment="1">
      <alignment horizontal="left" readingOrder="1"/>
    </xf>
    <xf numFmtId="0" fontId="19" fillId="15" borderId="0" xfId="1" applyFont="1" applyFill="1" applyAlignment="1">
      <alignment horizontal="center"/>
    </xf>
    <xf numFmtId="38" fontId="19" fillId="15" borderId="0" xfId="1" applyNumberFormat="1" applyFont="1" applyFill="1" applyAlignment="1">
      <alignment horizontal="center"/>
    </xf>
    <xf numFmtId="0" fontId="20" fillId="15" borderId="0" xfId="1" applyFont="1" applyFill="1"/>
    <xf numFmtId="38" fontId="19" fillId="15" borderId="15" xfId="1" applyNumberFormat="1" applyFont="1" applyFill="1" applyBorder="1" applyAlignment="1">
      <alignment horizontal="center"/>
    </xf>
    <xf numFmtId="0" fontId="25" fillId="15" borderId="0" xfId="1" applyFont="1" applyFill="1" applyAlignment="1">
      <alignment horizontal="center" readingOrder="1"/>
    </xf>
    <xf numFmtId="3" fontId="18" fillId="15" borderId="1" xfId="1" applyNumberFormat="1" applyFont="1" applyFill="1" applyBorder="1"/>
    <xf numFmtId="41" fontId="18" fillId="15" borderId="1" xfId="1" applyNumberFormat="1" applyFont="1" applyFill="1" applyBorder="1"/>
    <xf numFmtId="0" fontId="17" fillId="15" borderId="0" xfId="1" applyFont="1" applyFill="1" applyAlignment="1">
      <alignment horizontal="center" readingOrder="1"/>
    </xf>
    <xf numFmtId="3" fontId="18" fillId="15" borderId="16" xfId="1" applyNumberFormat="1" applyFont="1" applyFill="1" applyBorder="1"/>
    <xf numFmtId="41" fontId="18" fillId="15" borderId="1" xfId="2" applyNumberFormat="1" applyFont="1" applyFill="1" applyBorder="1"/>
    <xf numFmtId="3" fontId="18" fillId="15" borderId="1" xfId="1" applyNumberFormat="1" applyFont="1" applyFill="1" applyBorder="1" applyAlignment="1">
      <alignment horizontal="left"/>
    </xf>
    <xf numFmtId="41" fontId="18" fillId="15" borderId="1" xfId="1" applyNumberFormat="1" applyFont="1" applyFill="1" applyBorder="1" applyAlignment="1">
      <alignment horizontal="right"/>
    </xf>
    <xf numFmtId="0" fontId="25" fillId="15" borderId="0" xfId="1" applyFont="1" applyFill="1" applyAlignment="1">
      <alignment horizontal="center" wrapText="1" readingOrder="1"/>
    </xf>
    <xf numFmtId="3" fontId="20" fillId="16" borderId="1" xfId="1" applyNumberFormat="1" applyFont="1" applyFill="1" applyBorder="1" applyAlignment="1">
      <alignment horizontal="right"/>
    </xf>
    <xf numFmtId="41" fontId="18" fillId="16" borderId="3" xfId="1" applyNumberFormat="1" applyFont="1" applyFill="1" applyBorder="1"/>
    <xf numFmtId="41" fontId="18" fillId="16" borderId="1" xfId="1" applyNumberFormat="1" applyFont="1" applyFill="1" applyBorder="1"/>
    <xf numFmtId="3" fontId="19" fillId="15" borderId="1" xfId="1" applyNumberFormat="1" applyFont="1" applyFill="1" applyBorder="1" applyAlignment="1">
      <alignment horizontal="left"/>
    </xf>
    <xf numFmtId="41" fontId="19" fillId="15" borderId="1" xfId="2" applyNumberFormat="1" applyFont="1" applyFill="1" applyBorder="1"/>
    <xf numFmtId="37" fontId="27" fillId="0" borderId="0" xfId="3" applyNumberFormat="1" applyFont="1" applyFill="1" applyBorder="1" applyAlignment="1" applyProtection="1">
      <alignment horizontal="center"/>
      <protection locked="0"/>
    </xf>
    <xf numFmtId="41" fontId="17" fillId="15" borderId="0" xfId="1" applyNumberFormat="1" applyFont="1" applyFill="1" applyAlignment="1" applyProtection="1">
      <alignment horizontal="center"/>
      <protection locked="0"/>
    </xf>
    <xf numFmtId="41" fontId="19" fillId="15" borderId="1" xfId="1" applyNumberFormat="1" applyFont="1" applyFill="1" applyBorder="1"/>
    <xf numFmtId="0" fontId="22" fillId="0" borderId="1" xfId="1" applyFont="1" applyBorder="1" applyProtection="1">
      <protection locked="0"/>
    </xf>
    <xf numFmtId="3" fontId="21" fillId="17" borderId="1" xfId="1" applyNumberFormat="1" applyFont="1" applyFill="1" applyBorder="1" applyAlignment="1">
      <alignment horizontal="right"/>
    </xf>
    <xf numFmtId="41" fontId="21" fillId="17" borderId="1" xfId="1" applyNumberFormat="1" applyFont="1" applyFill="1" applyBorder="1"/>
    <xf numFmtId="3" fontId="28" fillId="18" borderId="0" xfId="1" applyNumberFormat="1" applyFont="1" applyFill="1" applyAlignment="1" applyProtection="1">
      <alignment horizontal="right"/>
      <protection locked="0"/>
    </xf>
    <xf numFmtId="165" fontId="29" fillId="18" borderId="0" xfId="4" applyNumberFormat="1" applyFont="1" applyFill="1"/>
    <xf numFmtId="3" fontId="16" fillId="15" borderId="0" xfId="1" applyNumberFormat="1" applyFont="1" applyFill="1" applyProtection="1">
      <protection locked="0"/>
    </xf>
    <xf numFmtId="165" fontId="29" fillId="15" borderId="0" xfId="4" applyNumberFormat="1" applyFont="1" applyFill="1" applyProtection="1">
      <protection locked="0"/>
    </xf>
    <xf numFmtId="41" fontId="29" fillId="15" borderId="0" xfId="4" applyNumberFormat="1" applyFont="1" applyFill="1" applyProtection="1">
      <protection locked="0"/>
    </xf>
    <xf numFmtId="41" fontId="29" fillId="15" borderId="0" xfId="2" applyNumberFormat="1" applyFont="1" applyFill="1" applyProtection="1">
      <protection locked="0"/>
    </xf>
    <xf numFmtId="41" fontId="29" fillId="0" borderId="0" xfId="4" applyNumberFormat="1" applyFont="1" applyFill="1" applyProtection="1">
      <protection locked="0"/>
    </xf>
    <xf numFmtId="3" fontId="22" fillId="16" borderId="1" xfId="1" applyNumberFormat="1" applyFont="1" applyFill="1" applyBorder="1" applyProtection="1">
      <protection locked="0"/>
    </xf>
    <xf numFmtId="3" fontId="16" fillId="19" borderId="17" xfId="1" applyNumberFormat="1" applyFont="1" applyFill="1" applyBorder="1" applyAlignment="1" applyProtection="1">
      <alignment horizontal="right"/>
      <protection locked="0"/>
    </xf>
    <xf numFmtId="41" fontId="19" fillId="19" borderId="17" xfId="1" applyNumberFormat="1" applyFont="1" applyFill="1" applyBorder="1" applyAlignment="1">
      <alignment horizontal="right"/>
    </xf>
    <xf numFmtId="3" fontId="30" fillId="15" borderId="0" xfId="1" applyNumberFormat="1" applyFont="1" applyFill="1" applyAlignment="1" applyProtection="1">
      <alignment horizontal="center" readingOrder="1"/>
      <protection locked="0"/>
    </xf>
    <xf numFmtId="38" fontId="21" fillId="15" borderId="0" xfId="1" applyNumberFormat="1" applyFont="1" applyFill="1" applyProtection="1">
      <protection locked="0"/>
    </xf>
    <xf numFmtId="3" fontId="16" fillId="0" borderId="0" xfId="1" applyNumberFormat="1" applyFont="1" applyProtection="1">
      <protection locked="0"/>
    </xf>
    <xf numFmtId="3" fontId="30" fillId="15" borderId="0" xfId="1" applyNumberFormat="1" applyFont="1" applyFill="1" applyAlignment="1" applyProtection="1">
      <alignment horizontal="center"/>
      <protection locked="0"/>
    </xf>
    <xf numFmtId="3" fontId="22" fillId="15" borderId="1" xfId="1" applyNumberFormat="1" applyFont="1" applyFill="1" applyBorder="1" applyProtection="1">
      <protection locked="0"/>
    </xf>
    <xf numFmtId="41" fontId="22" fillId="15" borderId="1" xfId="2" applyNumberFormat="1" applyFont="1" applyFill="1" applyBorder="1" applyProtection="1">
      <protection locked="0"/>
    </xf>
    <xf numFmtId="41" fontId="31" fillId="15" borderId="0" xfId="1" applyNumberFormat="1" applyFont="1" applyFill="1" applyAlignment="1" applyProtection="1">
      <alignment horizontal="center"/>
      <protection locked="0"/>
    </xf>
    <xf numFmtId="3" fontId="28" fillId="16" borderId="1" xfId="1" applyNumberFormat="1" applyFont="1" applyFill="1" applyBorder="1" applyProtection="1">
      <protection locked="0"/>
    </xf>
    <xf numFmtId="41" fontId="29" fillId="16" borderId="1" xfId="2" applyNumberFormat="1" applyFont="1" applyFill="1" applyBorder="1"/>
    <xf numFmtId="0" fontId="25" fillId="0" borderId="0" xfId="1" applyFont="1" applyAlignment="1">
      <alignment horizontal="center" wrapText="1" readingOrder="1"/>
    </xf>
    <xf numFmtId="3" fontId="28" fillId="0" borderId="0" xfId="1" applyNumberFormat="1" applyFont="1" applyProtection="1">
      <protection locked="0"/>
    </xf>
    <xf numFmtId="164" fontId="32" fillId="0" borderId="0" xfId="2" applyNumberFormat="1" applyFont="1" applyFill="1" applyBorder="1"/>
    <xf numFmtId="166" fontId="29" fillId="0" borderId="0" xfId="4" applyNumberFormat="1" applyFont="1" applyFill="1" applyBorder="1" applyProtection="1">
      <protection locked="0"/>
    </xf>
    <xf numFmtId="0" fontId="25" fillId="0" borderId="0" xfId="1" applyFont="1" applyAlignment="1" applyProtection="1">
      <alignment horizontal="center" readingOrder="1"/>
      <protection locked="0"/>
    </xf>
    <xf numFmtId="3" fontId="19" fillId="0" borderId="0" xfId="1" applyNumberFormat="1" applyFont="1" applyAlignment="1">
      <alignment readingOrder="1"/>
    </xf>
    <xf numFmtId="38" fontId="21" fillId="0" borderId="0" xfId="1" applyNumberFormat="1" applyFont="1" applyProtection="1">
      <protection locked="0"/>
    </xf>
    <xf numFmtId="3" fontId="22" fillId="0" borderId="0" xfId="1" applyNumberFormat="1" applyFont="1" applyProtection="1">
      <protection locked="0"/>
    </xf>
    <xf numFmtId="0" fontId="17" fillId="0" borderId="0" xfId="1" applyFont="1" applyAlignment="1">
      <alignment horizontal="center" readingOrder="1"/>
    </xf>
    <xf numFmtId="3" fontId="22" fillId="0" borderId="0" xfId="1" applyNumberFormat="1" applyFont="1" applyAlignment="1" applyProtection="1">
      <alignment readingOrder="1"/>
      <protection locked="0"/>
    </xf>
    <xf numFmtId="164" fontId="19" fillId="0" borderId="0" xfId="2" applyNumberFormat="1" applyFont="1" applyAlignment="1">
      <alignment horizontal="right" vertical="center"/>
    </xf>
    <xf numFmtId="0" fontId="22" fillId="0" borderId="0" xfId="1" applyFont="1" applyAlignment="1">
      <alignment horizontal="center" vertical="center" wrapText="1" shrinkToFit="1"/>
    </xf>
    <xf numFmtId="41" fontId="17" fillId="0" borderId="0" xfId="1" applyNumberFormat="1" applyFont="1" applyAlignment="1" applyProtection="1">
      <alignment horizontal="center" readingOrder="1"/>
      <protection locked="0"/>
    </xf>
    <xf numFmtId="0" fontId="12" fillId="0" borderId="0" xfId="1"/>
    <xf numFmtId="0" fontId="22" fillId="0" borderId="0" xfId="1" applyFont="1"/>
    <xf numFmtId="41" fontId="17" fillId="0" borderId="0" xfId="1" applyNumberFormat="1" applyFont="1" applyAlignment="1" applyProtection="1">
      <alignment horizontal="center"/>
      <protection locked="0"/>
    </xf>
    <xf numFmtId="3" fontId="21" fillId="0" borderId="0" xfId="1" applyNumberFormat="1" applyFont="1" applyProtection="1">
      <protection locked="0"/>
    </xf>
    <xf numFmtId="41" fontId="21" fillId="0" borderId="0" xfId="1" applyNumberFormat="1" applyFont="1" applyProtection="1">
      <protection locked="0"/>
    </xf>
    <xf numFmtId="0" fontId="25" fillId="15" borderId="0" xfId="1" applyFont="1" applyFill="1" applyAlignment="1" applyProtection="1">
      <alignment horizontal="center"/>
      <protection locked="0"/>
    </xf>
    <xf numFmtId="0" fontId="33" fillId="15" borderId="0" xfId="1" applyFont="1" applyFill="1"/>
    <xf numFmtId="0" fontId="22" fillId="15" borderId="0" xfId="1" applyFont="1" applyFill="1" applyAlignment="1" applyProtection="1">
      <alignment horizontal="center" wrapText="1"/>
      <protection locked="0"/>
    </xf>
    <xf numFmtId="0" fontId="25" fillId="15" borderId="0" xfId="1" applyFont="1" applyFill="1" applyProtection="1">
      <protection locked="0"/>
    </xf>
    <xf numFmtId="0" fontId="30" fillId="15" borderId="0" xfId="1" applyFont="1" applyFill="1" applyAlignment="1" applyProtection="1">
      <alignment horizontal="center"/>
      <protection locked="0"/>
    </xf>
    <xf numFmtId="0" fontId="21" fillId="15" borderId="0" xfId="1" quotePrefix="1" applyFont="1" applyFill="1"/>
    <xf numFmtId="0" fontId="16" fillId="15" borderId="0" xfId="1" applyFont="1" applyFill="1"/>
    <xf numFmtId="0" fontId="16" fillId="15" borderId="0" xfId="1" applyFont="1" applyFill="1" applyProtection="1">
      <protection locked="0"/>
    </xf>
    <xf numFmtId="0" fontId="25" fillId="15" borderId="0" xfId="1" applyFont="1" applyFill="1"/>
    <xf numFmtId="0" fontId="22" fillId="15" borderId="0" xfId="1" applyFont="1" applyFill="1" applyAlignment="1" applyProtection="1">
      <alignment horizontal="center"/>
      <protection locked="0"/>
    </xf>
    <xf numFmtId="10" fontId="19" fillId="15" borderId="0" xfId="4" applyNumberFormat="1" applyFont="1" applyFill="1"/>
    <xf numFmtId="10" fontId="19" fillId="15" borderId="0" xfId="4" applyNumberFormat="1" applyFont="1" applyFill="1" applyAlignment="1">
      <alignment horizontal="center"/>
    </xf>
    <xf numFmtId="0" fontId="25" fillId="15" borderId="0" xfId="1" applyFont="1" applyFill="1" applyAlignment="1" applyProtection="1">
      <alignment horizontal="left"/>
      <protection locked="0"/>
    </xf>
    <xf numFmtId="0" fontId="25" fillId="15" borderId="0" xfId="1" applyFont="1" applyFill="1" applyAlignment="1" applyProtection="1">
      <alignment horizontal="center" wrapText="1"/>
      <protection locked="0"/>
    </xf>
    <xf numFmtId="0" fontId="22" fillId="15" borderId="0" xfId="1" applyFont="1" applyFill="1" applyAlignment="1">
      <alignment horizontal="center" wrapText="1"/>
    </xf>
    <xf numFmtId="0" fontId="19" fillId="15" borderId="0" xfId="1" applyFont="1" applyFill="1" applyAlignment="1" applyProtection="1">
      <alignment horizontal="center" wrapText="1"/>
      <protection locked="0"/>
    </xf>
    <xf numFmtId="0" fontId="25" fillId="15" borderId="0" xfId="1" applyFont="1" applyFill="1" applyAlignment="1">
      <alignment horizontal="center"/>
    </xf>
    <xf numFmtId="0" fontId="21" fillId="15" borderId="0" xfId="1" applyFont="1" applyFill="1"/>
    <xf numFmtId="164" fontId="22" fillId="15" borderId="0" xfId="2" applyNumberFormat="1" applyFont="1" applyFill="1"/>
    <xf numFmtId="0" fontId="17" fillId="15" borderId="0" xfId="1" applyFont="1" applyFill="1" applyAlignment="1">
      <alignment horizontal="center"/>
    </xf>
    <xf numFmtId="41" fontId="22" fillId="15" borderId="1" xfId="2" applyNumberFormat="1" applyFont="1" applyFill="1" applyBorder="1" applyAlignment="1">
      <alignment horizontal="right" vertical="center"/>
    </xf>
    <xf numFmtId="3" fontId="19" fillId="0" borderId="1" xfId="1" applyNumberFormat="1" applyFont="1" applyBorder="1" applyAlignment="1">
      <alignment horizontal="right" vertical="center" wrapText="1"/>
    </xf>
    <xf numFmtId="41" fontId="19" fillId="15" borderId="1" xfId="2" applyNumberFormat="1" applyFont="1" applyFill="1" applyBorder="1" applyProtection="1">
      <protection locked="0"/>
    </xf>
    <xf numFmtId="10" fontId="22" fillId="15" borderId="0" xfId="1" applyNumberFormat="1" applyFont="1" applyFill="1" applyAlignment="1" applyProtection="1">
      <alignment horizontal="center"/>
      <protection locked="0"/>
    </xf>
    <xf numFmtId="10" fontId="19" fillId="20" borderId="0" xfId="1" applyNumberFormat="1" applyFont="1" applyFill="1" applyAlignment="1">
      <alignment horizontal="center"/>
    </xf>
    <xf numFmtId="0" fontId="34" fillId="0" borderId="0" xfId="3" applyFont="1"/>
    <xf numFmtId="3" fontId="18" fillId="15" borderId="0" xfId="1" applyNumberFormat="1" applyFont="1" applyFill="1"/>
    <xf numFmtId="3" fontId="35" fillId="15" borderId="0" xfId="1" applyNumberFormat="1" applyFont="1" applyFill="1"/>
    <xf numFmtId="41" fontId="19" fillId="15" borderId="1" xfId="2" applyNumberFormat="1" applyFont="1" applyFill="1" applyBorder="1" applyAlignment="1">
      <alignment horizontal="right" vertical="center"/>
    </xf>
    <xf numFmtId="10" fontId="19" fillId="19" borderId="0" xfId="1" applyNumberFormat="1" applyFont="1" applyFill="1" applyAlignment="1">
      <alignment horizontal="center"/>
    </xf>
    <xf numFmtId="3" fontId="18" fillId="15" borderId="18" xfId="1" applyNumberFormat="1" applyFont="1" applyFill="1" applyBorder="1"/>
    <xf numFmtId="41" fontId="22" fillId="15" borderId="18" xfId="2" applyNumberFormat="1" applyFont="1" applyFill="1" applyBorder="1" applyAlignment="1">
      <alignment horizontal="right" vertical="center"/>
    </xf>
    <xf numFmtId="41" fontId="19" fillId="15" borderId="18" xfId="2" applyNumberFormat="1" applyFont="1" applyFill="1" applyBorder="1" applyProtection="1">
      <protection locked="0"/>
    </xf>
    <xf numFmtId="41" fontId="22" fillId="15" borderId="18" xfId="2" applyNumberFormat="1" applyFont="1" applyFill="1" applyBorder="1" applyProtection="1">
      <protection locked="0"/>
    </xf>
    <xf numFmtId="3" fontId="18" fillId="15" borderId="3" xfId="1" applyNumberFormat="1" applyFont="1" applyFill="1" applyBorder="1"/>
    <xf numFmtId="41" fontId="22" fillId="15" borderId="3" xfId="2" applyNumberFormat="1" applyFont="1" applyFill="1" applyBorder="1" applyAlignment="1">
      <alignment horizontal="right" vertical="center"/>
    </xf>
    <xf numFmtId="41" fontId="22" fillId="15" borderId="3" xfId="2" applyNumberFormat="1" applyFont="1" applyFill="1" applyBorder="1" applyProtection="1">
      <protection locked="0"/>
    </xf>
    <xf numFmtId="164" fontId="22" fillId="15" borderId="0" xfId="1" applyNumberFormat="1" applyFont="1" applyFill="1"/>
    <xf numFmtId="0" fontId="18" fillId="15" borderId="1" xfId="1" applyFont="1" applyFill="1" applyBorder="1"/>
    <xf numFmtId="10" fontId="22" fillId="15" borderId="0" xfId="4" applyNumberFormat="1" applyFont="1" applyFill="1"/>
    <xf numFmtId="0" fontId="30" fillId="15" borderId="0" xfId="1" applyFont="1" applyFill="1" applyAlignment="1">
      <alignment horizontal="center"/>
    </xf>
    <xf numFmtId="41" fontId="21" fillId="17" borderId="1" xfId="2" applyNumberFormat="1" applyFont="1" applyFill="1" applyBorder="1"/>
    <xf numFmtId="0" fontId="30" fillId="15" borderId="0" xfId="1" applyFont="1" applyFill="1"/>
    <xf numFmtId="165" fontId="22" fillId="18" borderId="0" xfId="4" applyNumberFormat="1" applyFont="1" applyFill="1"/>
    <xf numFmtId="0" fontId="19" fillId="15" borderId="0" xfId="1" applyFont="1" applyFill="1" applyAlignment="1">
      <alignment horizontal="right"/>
    </xf>
    <xf numFmtId="165" fontId="22" fillId="15" borderId="0" xfId="4" applyNumberFormat="1" applyFont="1" applyFill="1"/>
    <xf numFmtId="0" fontId="22" fillId="16" borderId="1" xfId="1" applyFont="1" applyFill="1" applyBorder="1"/>
    <xf numFmtId="41" fontId="22" fillId="16" borderId="1" xfId="2" applyNumberFormat="1" applyFont="1" applyFill="1" applyBorder="1"/>
    <xf numFmtId="41" fontId="22" fillId="16" borderId="5" xfId="2" applyNumberFormat="1" applyFont="1" applyFill="1" applyBorder="1"/>
    <xf numFmtId="0" fontId="22" fillId="15" borderId="0" xfId="1" applyFont="1" applyFill="1" applyAlignment="1">
      <alignment horizontal="left"/>
    </xf>
    <xf numFmtId="0" fontId="25" fillId="15" borderId="0" xfId="1" applyFont="1" applyFill="1" applyAlignment="1">
      <alignment horizontal="left"/>
    </xf>
    <xf numFmtId="0" fontId="18" fillId="15" borderId="0" xfId="1" applyFont="1" applyFill="1"/>
    <xf numFmtId="164" fontId="22" fillId="15" borderId="0" xfId="2" applyNumberFormat="1" applyFont="1" applyFill="1" applyBorder="1"/>
    <xf numFmtId="0" fontId="19" fillId="15" borderId="0" xfId="1" applyFont="1" applyFill="1" applyProtection="1">
      <protection locked="0"/>
    </xf>
    <xf numFmtId="0" fontId="17" fillId="15" borderId="0" xfId="1" applyFont="1" applyFill="1" applyProtection="1">
      <protection locked="0"/>
    </xf>
    <xf numFmtId="0" fontId="25" fillId="15" borderId="0" xfId="1" applyFont="1" applyFill="1" applyAlignment="1">
      <alignment horizontal="center" wrapText="1"/>
    </xf>
    <xf numFmtId="3" fontId="22" fillId="15" borderId="0" xfId="1" applyNumberFormat="1" applyFont="1" applyFill="1" applyProtection="1">
      <protection locked="0"/>
    </xf>
    <xf numFmtId="0" fontId="19" fillId="15" borderId="0" xfId="1" applyFont="1" applyFill="1"/>
    <xf numFmtId="164" fontId="19" fillId="15" borderId="0" xfId="2" applyNumberFormat="1" applyFont="1" applyFill="1" applyBorder="1"/>
    <xf numFmtId="164" fontId="19" fillId="15" borderId="0" xfId="2" applyNumberFormat="1" applyFont="1" applyFill="1" applyBorder="1" applyProtection="1">
      <protection locked="0"/>
    </xf>
    <xf numFmtId="167" fontId="19" fillId="15" borderId="0" xfId="1" applyNumberFormat="1" applyFont="1" applyFill="1" applyProtection="1">
      <protection locked="0"/>
    </xf>
    <xf numFmtId="41" fontId="22" fillId="15" borderId="0" xfId="1" applyNumberFormat="1" applyFont="1" applyFill="1"/>
    <xf numFmtId="0" fontId="25" fillId="0" borderId="0" xfId="1" applyFont="1" applyProtection="1">
      <protection locked="0"/>
    </xf>
    <xf numFmtId="0" fontId="28" fillId="0" borderId="0" xfId="1" applyFont="1" applyProtection="1">
      <protection locked="0"/>
    </xf>
    <xf numFmtId="0" fontId="22" fillId="0" borderId="0" xfId="1" applyFont="1" applyAlignment="1" applyProtection="1">
      <alignment horizontal="right"/>
      <protection locked="0"/>
    </xf>
    <xf numFmtId="0" fontId="21" fillId="0" borderId="0" xfId="1" quotePrefix="1" applyFont="1"/>
    <xf numFmtId="0" fontId="29" fillId="0" borderId="0" xfId="1" applyFont="1" applyProtection="1">
      <protection locked="0"/>
    </xf>
    <xf numFmtId="0" fontId="19" fillId="0" borderId="0" xfId="1" applyFont="1" applyAlignment="1" applyProtection="1">
      <alignment horizontal="right" wrapText="1"/>
      <protection locked="0"/>
    </xf>
    <xf numFmtId="0" fontId="19" fillId="0" borderId="0" xfId="1" applyFont="1" applyAlignment="1" applyProtection="1">
      <alignment wrapText="1"/>
      <protection locked="0"/>
    </xf>
    <xf numFmtId="0" fontId="19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 wrapText="1"/>
      <protection locked="0"/>
    </xf>
    <xf numFmtId="0" fontId="17" fillId="0" borderId="0" xfId="1" applyFont="1" applyAlignment="1" applyProtection="1">
      <alignment horizontal="center"/>
      <protection locked="0"/>
    </xf>
    <xf numFmtId="0" fontId="19" fillId="0" borderId="0" xfId="1" quotePrefix="1" applyFont="1" applyAlignment="1">
      <alignment horizontal="left"/>
    </xf>
    <xf numFmtId="164" fontId="19" fillId="0" borderId="0" xfId="2" applyNumberFormat="1" applyFont="1" applyAlignment="1" applyProtection="1">
      <alignment horizontal="center" wrapText="1"/>
      <protection locked="0"/>
    </xf>
    <xf numFmtId="10" fontId="19" fillId="0" borderId="0" xfId="4" applyNumberFormat="1" applyFont="1" applyAlignment="1">
      <alignment horizontal="center"/>
    </xf>
    <xf numFmtId="0" fontId="19" fillId="0" borderId="0" xfId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 wrapText="1"/>
      <protection locked="0"/>
    </xf>
    <xf numFmtId="0" fontId="21" fillId="0" borderId="0" xfId="1" applyFont="1" applyAlignment="1">
      <alignment horizontal="center" wrapText="1"/>
    </xf>
    <xf numFmtId="164" fontId="19" fillId="0" borderId="0" xfId="2" applyNumberFormat="1" applyFont="1" applyAlignment="1" applyProtection="1">
      <alignment horizontal="center"/>
      <protection locked="0"/>
    </xf>
    <xf numFmtId="3" fontId="19" fillId="0" borderId="1" xfId="1" applyNumberFormat="1" applyFont="1" applyBorder="1"/>
    <xf numFmtId="41" fontId="19" fillId="0" borderId="1" xfId="2" applyNumberFormat="1" applyFont="1" applyBorder="1" applyProtection="1">
      <protection locked="0"/>
    </xf>
    <xf numFmtId="41" fontId="19" fillId="0" borderId="7" xfId="2" applyNumberFormat="1" applyFont="1" applyBorder="1" applyProtection="1">
      <protection locked="0"/>
    </xf>
    <xf numFmtId="10" fontId="22" fillId="0" borderId="0" xfId="1" applyNumberFormat="1" applyFont="1" applyAlignment="1" applyProtection="1">
      <alignment horizontal="right"/>
      <protection locked="0"/>
    </xf>
    <xf numFmtId="10" fontId="19" fillId="2" borderId="0" xfId="1" applyNumberFormat="1" applyFont="1" applyFill="1" applyProtection="1">
      <protection locked="0"/>
    </xf>
    <xf numFmtId="3" fontId="19" fillId="0" borderId="1" xfId="1" applyNumberFormat="1" applyFont="1" applyBorder="1" applyAlignment="1">
      <alignment horizontal="left"/>
    </xf>
    <xf numFmtId="10" fontId="19" fillId="0" borderId="0" xfId="4" applyNumberFormat="1" applyFont="1" applyProtection="1">
      <protection locked="0"/>
    </xf>
    <xf numFmtId="41" fontId="19" fillId="21" borderId="1" xfId="5" applyNumberFormat="1" applyFont="1" applyFill="1" applyBorder="1" applyAlignment="1">
      <alignment horizontal="right" vertical="center"/>
    </xf>
    <xf numFmtId="0" fontId="17" fillId="0" borderId="0" xfId="1" applyFont="1"/>
    <xf numFmtId="41" fontId="19" fillId="3" borderId="5" xfId="2" applyNumberFormat="1" applyFont="1" applyFill="1" applyBorder="1"/>
    <xf numFmtId="41" fontId="19" fillId="3" borderId="1" xfId="2" applyNumberFormat="1" applyFont="1" applyFill="1" applyBorder="1"/>
    <xf numFmtId="41" fontId="19" fillId="3" borderId="7" xfId="2" applyNumberFormat="1" applyFont="1" applyFill="1" applyBorder="1"/>
    <xf numFmtId="10" fontId="19" fillId="0" borderId="0" xfId="1" applyNumberFormat="1" applyFont="1"/>
    <xf numFmtId="164" fontId="17" fillId="0" borderId="0" xfId="2" applyNumberFormat="1" applyFont="1" applyAlignment="1">
      <alignment horizontal="left"/>
    </xf>
    <xf numFmtId="164" fontId="19" fillId="0" borderId="0" xfId="2" applyNumberFormat="1" applyFont="1" applyAlignment="1"/>
    <xf numFmtId="166" fontId="19" fillId="0" borderId="0" xfId="1" applyNumberFormat="1" applyFont="1"/>
    <xf numFmtId="49" fontId="40" fillId="0" borderId="0" xfId="1" applyNumberFormat="1" applyFont="1"/>
    <xf numFmtId="164" fontId="40" fillId="0" borderId="0" xfId="2" applyNumberFormat="1" applyFont="1"/>
    <xf numFmtId="164" fontId="40" fillId="0" borderId="0" xfId="2" applyNumberFormat="1" applyFont="1" applyProtection="1">
      <protection locked="0"/>
    </xf>
    <xf numFmtId="49" fontId="21" fillId="0" borderId="0" xfId="1" applyNumberFormat="1" applyFont="1" applyAlignment="1">
      <alignment horizontal="left"/>
    </xf>
    <xf numFmtId="164" fontId="21" fillId="0" borderId="0" xfId="2" applyNumberFormat="1" applyFont="1" applyAlignment="1">
      <alignment horizontal="left"/>
    </xf>
    <xf numFmtId="164" fontId="21" fillId="0" borderId="0" xfId="2" applyNumberFormat="1" applyFont="1" applyAlignment="1" applyProtection="1">
      <alignment horizontal="left"/>
      <protection locked="0"/>
    </xf>
    <xf numFmtId="49" fontId="19" fillId="0" borderId="0" xfId="1" applyNumberFormat="1" applyFont="1"/>
    <xf numFmtId="164" fontId="19" fillId="0" borderId="0" xfId="2" applyNumberFormat="1" applyFont="1" applyAlignment="1">
      <alignment horizontal="center"/>
    </xf>
    <xf numFmtId="49" fontId="19" fillId="0" borderId="1" xfId="1" applyNumberFormat="1" applyFont="1" applyBorder="1" applyAlignment="1">
      <alignment horizontal="left"/>
    </xf>
    <xf numFmtId="41" fontId="19" fillId="0" borderId="1" xfId="1" applyNumberFormat="1" applyFont="1" applyBorder="1" applyAlignment="1">
      <alignment horizontal="left"/>
    </xf>
    <xf numFmtId="41" fontId="19" fillId="0" borderId="0" xfId="1" applyNumberFormat="1" applyFont="1" applyProtection="1">
      <protection locked="0"/>
    </xf>
    <xf numFmtId="49" fontId="19" fillId="0" borderId="1" xfId="1" applyNumberFormat="1" applyFont="1" applyBorder="1"/>
    <xf numFmtId="41" fontId="19" fillId="0" borderId="1" xfId="1" applyNumberFormat="1" applyFont="1" applyBorder="1"/>
    <xf numFmtId="49" fontId="21" fillId="4" borderId="17" xfId="1" applyNumberFormat="1" applyFont="1" applyFill="1" applyBorder="1" applyAlignment="1">
      <alignment horizontal="right"/>
    </xf>
    <xf numFmtId="41" fontId="19" fillId="4" borderId="17" xfId="1" applyNumberFormat="1" applyFont="1" applyFill="1" applyBorder="1"/>
    <xf numFmtId="49" fontId="21" fillId="0" borderId="0" xfId="1" applyNumberFormat="1" applyFont="1"/>
    <xf numFmtId="49" fontId="3" fillId="0" borderId="1" xfId="1" applyNumberFormat="1" applyFont="1" applyBorder="1" applyAlignment="1">
      <alignment vertical="center"/>
    </xf>
    <xf numFmtId="41" fontId="19" fillId="0" borderId="1" xfId="2" applyNumberFormat="1" applyFont="1" applyFill="1" applyBorder="1" applyProtection="1">
      <protection locked="0"/>
    </xf>
    <xf numFmtId="41" fontId="22" fillId="0" borderId="1" xfId="2" applyNumberFormat="1" applyFont="1" applyFill="1" applyBorder="1" applyProtection="1">
      <protection locked="0"/>
    </xf>
    <xf numFmtId="49" fontId="21" fillId="8" borderId="1" xfId="1" applyNumberFormat="1" applyFont="1" applyFill="1" applyBorder="1"/>
    <xf numFmtId="41" fontId="19" fillId="8" borderId="1" xfId="2" applyNumberFormat="1" applyFont="1" applyFill="1" applyBorder="1"/>
    <xf numFmtId="49" fontId="19" fillId="5" borderId="1" xfId="1" applyNumberFormat="1" applyFont="1" applyFill="1" applyBorder="1"/>
    <xf numFmtId="41" fontId="19" fillId="0" borderId="1" xfId="2" applyNumberFormat="1" applyFont="1" applyFill="1" applyBorder="1"/>
    <xf numFmtId="49" fontId="21" fillId="8" borderId="1" xfId="1" applyNumberFormat="1" applyFont="1" applyFill="1" applyBorder="1" applyAlignment="1">
      <alignment horizontal="left"/>
    </xf>
    <xf numFmtId="49" fontId="21" fillId="3" borderId="17" xfId="1" applyNumberFormat="1" applyFont="1" applyFill="1" applyBorder="1" applyAlignment="1">
      <alignment horizontal="right"/>
    </xf>
    <xf numFmtId="41" fontId="19" fillId="3" borderId="17" xfId="2" applyNumberFormat="1" applyFont="1" applyFill="1" applyBorder="1"/>
    <xf numFmtId="49" fontId="19" fillId="5" borderId="0" xfId="1" applyNumberFormat="1" applyFont="1" applyFill="1"/>
    <xf numFmtId="41" fontId="19" fillId="0" borderId="0" xfId="2" applyNumberFormat="1" applyFont="1" applyBorder="1"/>
    <xf numFmtId="41" fontId="19" fillId="8" borderId="1" xfId="2" applyNumberFormat="1" applyFont="1" applyFill="1" applyBorder="1" applyProtection="1">
      <protection locked="0"/>
    </xf>
    <xf numFmtId="0" fontId="41" fillId="0" borderId="0" xfId="1" applyFont="1" applyProtection="1">
      <protection locked="0"/>
    </xf>
    <xf numFmtId="41" fontId="19" fillId="3" borderId="17" xfId="2" applyNumberFormat="1" applyFont="1" applyFill="1" applyBorder="1" applyProtection="1">
      <protection locked="0"/>
    </xf>
    <xf numFmtId="41" fontId="19" fillId="3" borderId="1" xfId="2" applyNumberFormat="1" applyFont="1" applyFill="1" applyBorder="1" applyProtection="1">
      <protection locked="0"/>
    </xf>
    <xf numFmtId="41" fontId="42" fillId="0" borderId="0" xfId="2" applyNumberFormat="1" applyFont="1"/>
    <xf numFmtId="0" fontId="22" fillId="0" borderId="0" xfId="1" applyFont="1" applyAlignment="1">
      <alignment wrapText="1"/>
    </xf>
    <xf numFmtId="3" fontId="22" fillId="0" borderId="0" xfId="2" applyNumberFormat="1" applyFont="1"/>
    <xf numFmtId="0" fontId="22" fillId="5" borderId="0" xfId="1" applyFont="1" applyFill="1"/>
    <xf numFmtId="0" fontId="19" fillId="5" borderId="0" xfId="1" applyFont="1" applyFill="1" applyProtection="1">
      <protection locked="0"/>
    </xf>
    <xf numFmtId="3" fontId="22" fillId="0" borderId="0" xfId="2" applyNumberFormat="1" applyFont="1" applyFill="1"/>
    <xf numFmtId="3" fontId="19" fillId="0" borderId="0" xfId="2" applyNumberFormat="1" applyFont="1" applyFill="1" applyAlignment="1">
      <alignment horizontal="center"/>
    </xf>
    <xf numFmtId="3" fontId="19" fillId="5" borderId="0" xfId="2" applyNumberFormat="1" applyFont="1" applyFill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 vertical="center"/>
    </xf>
    <xf numFmtId="0" fontId="19" fillId="0" borderId="0" xfId="1" applyFont="1" applyAlignment="1">
      <alignment horizontal="center"/>
    </xf>
    <xf numFmtId="0" fontId="39" fillId="0" borderId="0" xfId="1" applyFont="1" applyAlignment="1">
      <alignment wrapText="1"/>
    </xf>
    <xf numFmtId="41" fontId="19" fillId="0" borderId="1" xfId="2" applyNumberFormat="1" applyFont="1" applyFill="1" applyBorder="1" applyAlignment="1">
      <alignment horizontal="right"/>
    </xf>
    <xf numFmtId="0" fontId="19" fillId="0" borderId="0" xfId="1" applyFont="1" applyAlignment="1">
      <alignment wrapText="1"/>
    </xf>
    <xf numFmtId="41" fontId="19" fillId="0" borderId="1" xfId="2" applyNumberFormat="1" applyFont="1" applyFill="1" applyBorder="1" applyAlignment="1">
      <alignment horizontal="center"/>
    </xf>
    <xf numFmtId="43" fontId="21" fillId="3" borderId="0" xfId="2" applyFont="1" applyFill="1" applyAlignment="1">
      <alignment horizontal="right" wrapText="1"/>
    </xf>
    <xf numFmtId="41" fontId="39" fillId="3" borderId="1" xfId="2" applyNumberFormat="1" applyFont="1" applyFill="1" applyBorder="1" applyAlignment="1">
      <alignment horizontal="left"/>
    </xf>
    <xf numFmtId="0" fontId="26" fillId="0" borderId="0" xfId="1" applyFont="1" applyAlignment="1">
      <alignment horizontal="right" wrapText="1"/>
    </xf>
    <xf numFmtId="41" fontId="39" fillId="3" borderId="1" xfId="2" applyNumberFormat="1" applyFont="1" applyFill="1" applyBorder="1"/>
    <xf numFmtId="43" fontId="21" fillId="0" borderId="0" xfId="2" applyFont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41" fontId="39" fillId="3" borderId="7" xfId="2" applyNumberFormat="1" applyFont="1" applyFill="1" applyBorder="1" applyAlignment="1">
      <alignment horizontal="left"/>
    </xf>
    <xf numFmtId="41" fontId="19" fillId="22" borderId="1" xfId="2" applyNumberFormat="1" applyFont="1" applyFill="1" applyBorder="1" applyAlignment="1">
      <alignment horizontal="right"/>
    </xf>
    <xf numFmtId="0" fontId="21" fillId="0" borderId="0" xfId="1" applyFont="1"/>
    <xf numFmtId="0" fontId="39" fillId="0" borderId="0" xfId="1" applyFont="1" applyAlignment="1">
      <alignment horizontal="left" wrapText="1"/>
    </xf>
    <xf numFmtId="0" fontId="39" fillId="5" borderId="0" xfId="1" applyFont="1" applyFill="1" applyAlignment="1">
      <alignment horizontal="left" wrapText="1"/>
    </xf>
    <xf numFmtId="0" fontId="22" fillId="0" borderId="15" xfId="1" applyFont="1" applyBorder="1" applyAlignment="1">
      <alignment wrapText="1"/>
    </xf>
    <xf numFmtId="41" fontId="19" fillId="0" borderId="15" xfId="2" applyNumberFormat="1" applyFont="1" applyBorder="1" applyAlignment="1">
      <alignment horizontal="right"/>
    </xf>
    <xf numFmtId="0" fontId="21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8" fillId="0" borderId="0" xfId="1" applyFont="1"/>
    <xf numFmtId="41" fontId="22" fillId="0" borderId="0" xfId="1" applyNumberFormat="1" applyFont="1"/>
    <xf numFmtId="3" fontId="22" fillId="0" borderId="0" xfId="1" applyNumberFormat="1" applyFont="1"/>
    <xf numFmtId="41" fontId="1" fillId="0" borderId="10" xfId="0" applyNumberFormat="1" applyFont="1" applyFill="1" applyBorder="1"/>
    <xf numFmtId="41" fontId="1" fillId="0" borderId="8" xfId="0" applyNumberFormat="1" applyFont="1" applyFill="1" applyBorder="1"/>
    <xf numFmtId="41" fontId="6" fillId="9" borderId="7" xfId="0" applyNumberFormat="1" applyFont="1" applyFill="1" applyBorder="1"/>
    <xf numFmtId="41" fontId="6" fillId="9" borderId="9" xfId="0" applyNumberFormat="1" applyFont="1" applyFill="1" applyBorder="1"/>
    <xf numFmtId="49" fontId="4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9" borderId="1" xfId="0" applyFont="1" applyFill="1" applyBorder="1"/>
    <xf numFmtId="0" fontId="1" fillId="0" borderId="1" xfId="0" applyFont="1" applyBorder="1"/>
    <xf numFmtId="0" fontId="44" fillId="23" borderId="0" xfId="6" applyFont="1" applyFill="1"/>
    <xf numFmtId="0" fontId="45" fillId="23" borderId="0" xfId="6" applyFont="1" applyFill="1"/>
    <xf numFmtId="40" fontId="45" fillId="23" borderId="0" xfId="6" applyNumberFormat="1" applyFont="1" applyFill="1"/>
    <xf numFmtId="0" fontId="46" fillId="0" borderId="0" xfId="6" applyFont="1"/>
    <xf numFmtId="0" fontId="44" fillId="23" borderId="4" xfId="6" applyFont="1" applyFill="1" applyBorder="1"/>
    <xf numFmtId="0" fontId="45" fillId="23" borderId="4" xfId="6" applyFont="1" applyFill="1" applyBorder="1"/>
    <xf numFmtId="40" fontId="45" fillId="23" borderId="4" xfId="6" applyNumberFormat="1" applyFont="1" applyFill="1" applyBorder="1"/>
    <xf numFmtId="0" fontId="1" fillId="24" borderId="0" xfId="6" applyFont="1" applyFill="1"/>
    <xf numFmtId="40" fontId="1" fillId="24" borderId="0" xfId="6" applyNumberFormat="1" applyFont="1" applyFill="1"/>
    <xf numFmtId="0" fontId="1" fillId="0" borderId="0" xfId="6" applyFont="1"/>
    <xf numFmtId="168" fontId="1" fillId="24" borderId="0" xfId="6" applyNumberFormat="1" applyFont="1" applyFill="1"/>
    <xf numFmtId="38" fontId="1" fillId="24" borderId="0" xfId="6" applyNumberFormat="1" applyFont="1" applyFill="1"/>
    <xf numFmtId="40" fontId="1" fillId="24" borderId="0" xfId="6" applyNumberFormat="1" applyFont="1" applyFill="1" applyAlignment="1">
      <alignment horizontal="center"/>
    </xf>
    <xf numFmtId="0" fontId="1" fillId="24" borderId="0" xfId="6" applyFont="1" applyFill="1" applyAlignment="1">
      <alignment horizontal="center"/>
    </xf>
    <xf numFmtId="40" fontId="1" fillId="24" borderId="15" xfId="6" applyNumberFormat="1" applyFont="1" applyFill="1" applyBorder="1" applyAlignment="1">
      <alignment horizontal="center"/>
    </xf>
    <xf numFmtId="0" fontId="1" fillId="24" borderId="15" xfId="6" applyFont="1" applyFill="1" applyBorder="1" applyAlignment="1">
      <alignment horizontal="center"/>
    </xf>
    <xf numFmtId="40" fontId="1" fillId="0" borderId="0" xfId="6" applyNumberFormat="1" applyFont="1"/>
    <xf numFmtId="40" fontId="46" fillId="0" borderId="0" xfId="6" applyNumberFormat="1" applyFont="1"/>
    <xf numFmtId="41" fontId="19" fillId="21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/>
    <xf numFmtId="0" fontId="7" fillId="3" borderId="6" xfId="0" applyFont="1" applyFill="1" applyBorder="1"/>
    <xf numFmtId="0" fontId="48" fillId="0" borderId="0" xfId="1" applyFont="1"/>
    <xf numFmtId="0" fontId="3" fillId="0" borderId="1" xfId="0" applyFont="1" applyBorder="1"/>
    <xf numFmtId="0" fontId="3" fillId="5" borderId="1" xfId="0" applyFont="1" applyFill="1" applyBorder="1"/>
    <xf numFmtId="0" fontId="4" fillId="5" borderId="0" xfId="0" applyFont="1" applyFill="1"/>
    <xf numFmtId="0" fontId="3" fillId="5" borderId="6" xfId="0" applyFont="1" applyFill="1" applyBorder="1"/>
    <xf numFmtId="164" fontId="19" fillId="0" borderId="0" xfId="2" quotePrefix="1" applyNumberFormat="1" applyFont="1" applyBorder="1" applyAlignment="1" applyProtection="1">
      <alignment horizontal="center"/>
      <protection locked="0"/>
    </xf>
    <xf numFmtId="164" fontId="19" fillId="0" borderId="0" xfId="2" applyNumberFormat="1" applyFont="1" applyBorder="1" applyAlignment="1" applyProtection="1">
      <alignment horizontal="center"/>
      <protection locked="0"/>
    </xf>
    <xf numFmtId="0" fontId="17" fillId="5" borderId="0" xfId="1" applyFont="1" applyFill="1"/>
    <xf numFmtId="3" fontId="38" fillId="19" borderId="0" xfId="1" applyNumberFormat="1" applyFont="1" applyFill="1" applyAlignment="1">
      <alignment horizontal="right"/>
    </xf>
    <xf numFmtId="166" fontId="29" fillId="19" borderId="0" xfId="1" applyNumberFormat="1" applyFont="1" applyFill="1"/>
    <xf numFmtId="10" fontId="19" fillId="5" borderId="0" xfId="1" applyNumberFormat="1" applyFont="1" applyFill="1" applyAlignment="1">
      <alignment horizontal="right"/>
    </xf>
    <xf numFmtId="10" fontId="19" fillId="5" borderId="0" xfId="1" applyNumberFormat="1" applyFont="1" applyFill="1"/>
    <xf numFmtId="0" fontId="19" fillId="5" borderId="0" xfId="1" applyFont="1" applyFill="1"/>
    <xf numFmtId="0" fontId="50" fillId="0" borderId="0" xfId="3" applyFont="1"/>
    <xf numFmtId="0" fontId="51" fillId="0" borderId="0" xfId="0" applyFont="1" applyFill="1"/>
    <xf numFmtId="49" fontId="47" fillId="0" borderId="0" xfId="0" applyNumberFormat="1" applyFont="1" applyFill="1" applyAlignment="1">
      <alignment horizontal="center"/>
    </xf>
    <xf numFmtId="0" fontId="16" fillId="0" borderId="0" xfId="1" applyFont="1"/>
    <xf numFmtId="0" fontId="21" fillId="22" borderId="1" xfId="1" applyFont="1" applyFill="1" applyBorder="1" applyAlignment="1">
      <alignment wrapText="1"/>
    </xf>
    <xf numFmtId="0" fontId="44" fillId="23" borderId="0" xfId="6" applyFont="1" applyFill="1" applyAlignment="1">
      <alignment horizontal="center"/>
    </xf>
  </cellXfs>
  <cellStyles count="8">
    <cellStyle name="Comma 2" xfId="2" xr:uid="{EC8DD461-F712-4472-B049-D5684893E0F5}"/>
    <cellStyle name="Hyperlink" xfId="3" builtinId="8"/>
    <cellStyle name="Normal" xfId="0" builtinId="0"/>
    <cellStyle name="Normal 2" xfId="1" xr:uid="{E19D3596-16FE-47DC-A457-A77A1EC16EFB}"/>
    <cellStyle name="Normal 2 2" xfId="5" xr:uid="{CA4FEC8F-FE53-40D5-9886-E3242A4D2BB2}"/>
    <cellStyle name="Normal 3" xfId="6" xr:uid="{3393056C-0BE6-4084-B8DB-AF11A5DF2F80}"/>
    <cellStyle name="Normal 4" xfId="7" xr:uid="{AEDB8004-F5A0-4931-B051-7FB8F31C6796}"/>
    <cellStyle name="Percent 2" xfId="4" xr:uid="{D8D59B10-70A8-465B-8885-93F14D3DBEE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latin typeface="Calibri" panose="020F0502020204030204" pitchFamily="34" charset="0"/>
              </a:rPr>
              <a:t>Current Debt Service and Cash Capital</a:t>
            </a:r>
          </a:p>
        </c:rich>
      </c:tx>
      <c:layout>
        <c:manualLayout>
          <c:xMode val="edge"/>
          <c:yMode val="edge"/>
          <c:x val="0.38369931047516348"/>
          <c:y val="1.237751217203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51626753127532E-2"/>
          <c:y val="8.016502050086366E-2"/>
          <c:w val="0.8912087667760753"/>
          <c:h val="0.61731363803671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Summary!$B$7</c:f>
              <c:strCache>
                <c:ptCount val="1"/>
                <c:pt idx="0">
                  <c:v>Within-levy Debt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Summary!$C$5:$Q$6</c:f>
              <c:strCache>
                <c:ptCount val="15"/>
                <c:pt idx="0">
                  <c:v>FY-3</c:v>
                </c:pt>
                <c:pt idx="1">
                  <c:v>FY-2</c:v>
                </c:pt>
                <c:pt idx="2">
                  <c:v>FY-1</c:v>
                </c:pt>
                <c:pt idx="3">
                  <c:v>FY0</c:v>
                </c:pt>
                <c:pt idx="4">
                  <c:v>FY1</c:v>
                </c:pt>
                <c:pt idx="5">
                  <c:v>FY2</c:v>
                </c:pt>
                <c:pt idx="6">
                  <c:v>FY3</c:v>
                </c:pt>
                <c:pt idx="7">
                  <c:v>FY4</c:v>
                </c:pt>
                <c:pt idx="8">
                  <c:v>FY5</c:v>
                </c:pt>
                <c:pt idx="9">
                  <c:v>FY6</c:v>
                </c:pt>
                <c:pt idx="10">
                  <c:v>FY7</c:v>
                </c:pt>
                <c:pt idx="11">
                  <c:v>FY8</c:v>
                </c:pt>
                <c:pt idx="12">
                  <c:v>FY9</c:v>
                </c:pt>
                <c:pt idx="13">
                  <c:v>FY10</c:v>
                </c:pt>
                <c:pt idx="14">
                  <c:v>FY11</c:v>
                </c:pt>
              </c:strCache>
            </c:strRef>
          </c:cat>
          <c:val>
            <c:numRef>
              <c:f>Summary!$C$7:$Q$7</c:f>
              <c:numCache>
                <c:formatCode>_(* #,##0_);_(* \(#,##0\);_(* "-"_);_(@_)</c:formatCode>
                <c:ptCount val="15"/>
                <c:pt idx="0">
                  <c:v>155050</c:v>
                </c:pt>
                <c:pt idx="1">
                  <c:v>155190</c:v>
                </c:pt>
                <c:pt idx="2">
                  <c:v>155510</c:v>
                </c:pt>
                <c:pt idx="3">
                  <c:v>154610</c:v>
                </c:pt>
                <c:pt idx="4">
                  <c:v>154510</c:v>
                </c:pt>
                <c:pt idx="5">
                  <c:v>176310</c:v>
                </c:pt>
                <c:pt idx="6">
                  <c:v>196268</c:v>
                </c:pt>
                <c:pt idx="7">
                  <c:v>190410</c:v>
                </c:pt>
                <c:pt idx="8">
                  <c:v>189803</c:v>
                </c:pt>
                <c:pt idx="9">
                  <c:v>149396</c:v>
                </c:pt>
                <c:pt idx="10">
                  <c:v>131528</c:v>
                </c:pt>
                <c:pt idx="11">
                  <c:v>134061</c:v>
                </c:pt>
                <c:pt idx="12">
                  <c:v>141794</c:v>
                </c:pt>
                <c:pt idx="13">
                  <c:v>126520</c:v>
                </c:pt>
                <c:pt idx="14">
                  <c:v>22660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B-4CCC-835F-F41F13DD13BE}"/>
            </c:ext>
          </c:extLst>
        </c:ser>
        <c:ser>
          <c:idx val="1"/>
          <c:order val="1"/>
          <c:tx>
            <c:strRef>
              <c:f>Summary!$B$8</c:f>
              <c:strCache>
                <c:ptCount val="1"/>
                <c:pt idx="0">
                  <c:v>Excluded 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Summary!$C$5:$Q$6</c:f>
              <c:strCache>
                <c:ptCount val="15"/>
                <c:pt idx="0">
                  <c:v>FY-3</c:v>
                </c:pt>
                <c:pt idx="1">
                  <c:v>FY-2</c:v>
                </c:pt>
                <c:pt idx="2">
                  <c:v>FY-1</c:v>
                </c:pt>
                <c:pt idx="3">
                  <c:v>FY0</c:v>
                </c:pt>
                <c:pt idx="4">
                  <c:v>FY1</c:v>
                </c:pt>
                <c:pt idx="5">
                  <c:v>FY2</c:v>
                </c:pt>
                <c:pt idx="6">
                  <c:v>FY3</c:v>
                </c:pt>
                <c:pt idx="7">
                  <c:v>FY4</c:v>
                </c:pt>
                <c:pt idx="8">
                  <c:v>FY5</c:v>
                </c:pt>
                <c:pt idx="9">
                  <c:v>FY6</c:v>
                </c:pt>
                <c:pt idx="10">
                  <c:v>FY7</c:v>
                </c:pt>
                <c:pt idx="11">
                  <c:v>FY8</c:v>
                </c:pt>
                <c:pt idx="12">
                  <c:v>FY9</c:v>
                </c:pt>
                <c:pt idx="13">
                  <c:v>FY10</c:v>
                </c:pt>
                <c:pt idx="14">
                  <c:v>FY11</c:v>
                </c:pt>
              </c:strCache>
            </c:strRef>
          </c:cat>
          <c:val>
            <c:numRef>
              <c:f>Summary!$C$8:$Q$8</c:f>
              <c:numCache>
                <c:formatCode>_(* #,##0_);_(* \(#,##0\);_(* "-"_);_(@_)</c:formatCode>
                <c:ptCount val="15"/>
                <c:pt idx="0">
                  <c:v>1552837</c:v>
                </c:pt>
                <c:pt idx="1">
                  <c:v>1498272.5</c:v>
                </c:pt>
                <c:pt idx="2">
                  <c:v>1227878</c:v>
                </c:pt>
                <c:pt idx="3">
                  <c:v>1005353</c:v>
                </c:pt>
                <c:pt idx="4">
                  <c:v>964578</c:v>
                </c:pt>
                <c:pt idx="5">
                  <c:v>834934</c:v>
                </c:pt>
                <c:pt idx="6">
                  <c:v>655840</c:v>
                </c:pt>
                <c:pt idx="7">
                  <c:v>960053</c:v>
                </c:pt>
                <c:pt idx="8">
                  <c:v>893146</c:v>
                </c:pt>
                <c:pt idx="9">
                  <c:v>866840</c:v>
                </c:pt>
                <c:pt idx="10">
                  <c:v>848994</c:v>
                </c:pt>
                <c:pt idx="11">
                  <c:v>831147</c:v>
                </c:pt>
                <c:pt idx="12">
                  <c:v>813301</c:v>
                </c:pt>
                <c:pt idx="13">
                  <c:v>795455</c:v>
                </c:pt>
                <c:pt idx="14">
                  <c:v>777609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B-4CCC-835F-F41F13DD13BE}"/>
            </c:ext>
          </c:extLst>
        </c:ser>
        <c:ser>
          <c:idx val="2"/>
          <c:order val="2"/>
          <c:tx>
            <c:strRef>
              <c:f>Summary!$B$13</c:f>
              <c:strCache>
                <c:ptCount val="1"/>
                <c:pt idx="0">
                  <c:v>Cash Capital Expenditures (CIP)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Summary!$C$13:$Q$13</c:f>
              <c:numCache>
                <c:formatCode>_(* #,##0_);_(* \(#,##0\);_(* "-"_);_(@_)</c:formatCode>
                <c:ptCount val="15"/>
                <c:pt idx="0">
                  <c:v>88000</c:v>
                </c:pt>
                <c:pt idx="1">
                  <c:v>250000</c:v>
                </c:pt>
                <c:pt idx="2">
                  <c:v>282500</c:v>
                </c:pt>
                <c:pt idx="3">
                  <c:v>305000</c:v>
                </c:pt>
                <c:pt idx="4">
                  <c:v>570000</c:v>
                </c:pt>
                <c:pt idx="5">
                  <c:v>482000</c:v>
                </c:pt>
                <c:pt idx="6">
                  <c:v>602000</c:v>
                </c:pt>
                <c:pt idx="7">
                  <c:v>280000</c:v>
                </c:pt>
                <c:pt idx="8">
                  <c:v>115000</c:v>
                </c:pt>
                <c:pt idx="9">
                  <c:v>110000</c:v>
                </c:pt>
                <c:pt idx="10">
                  <c:v>0</c:v>
                </c:pt>
                <c:pt idx="11">
                  <c:v>140000</c:v>
                </c:pt>
                <c:pt idx="12">
                  <c:v>90000</c:v>
                </c:pt>
                <c:pt idx="13">
                  <c:v>72000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B-4CCC-835F-F41F13DD13BE}"/>
            </c:ext>
          </c:extLst>
        </c:ser>
        <c:ser>
          <c:idx val="3"/>
          <c:order val="3"/>
          <c:tx>
            <c:strRef>
              <c:f>Summary!$B$14</c:f>
              <c:strCache>
                <c:ptCount val="1"/>
                <c:pt idx="0">
                  <c:v>Capital Exclusion Amounts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Summary!$C$14:$Q$14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FB-4CCC-835F-F41F13DD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526000"/>
        <c:axId val="716517800"/>
      </c:barChart>
      <c:lineChart>
        <c:grouping val="standard"/>
        <c:varyColors val="0"/>
        <c:ser>
          <c:idx val="4"/>
          <c:order val="4"/>
          <c:tx>
            <c:strRef>
              <c:f>Summary!$B$23</c:f>
              <c:strCache>
                <c:ptCount val="1"/>
                <c:pt idx="0">
                  <c:v>Total Capital Investment as % of Prior Year GF Revenue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Summary!$C$23:$Q$23</c:f>
              <c:numCache>
                <c:formatCode>0.00%</c:formatCode>
                <c:ptCount val="15"/>
                <c:pt idx="0">
                  <c:v>4.8749060042153763E-2</c:v>
                </c:pt>
                <c:pt idx="1">
                  <c:v>5.0635551874810593E-2</c:v>
                </c:pt>
                <c:pt idx="2">
                  <c:v>4.6097523955880626E-2</c:v>
                </c:pt>
                <c:pt idx="3">
                  <c:v>3.6948670921478736E-2</c:v>
                </c:pt>
                <c:pt idx="4">
                  <c:v>4.1043114359355468E-2</c:v>
                </c:pt>
                <c:pt idx="5">
                  <c:v>3.7070919604303178E-2</c:v>
                </c:pt>
                <c:pt idx="6">
                  <c:v>3.5402720290813879E-2</c:v>
                </c:pt>
                <c:pt idx="7">
                  <c:v>3.4190074854204548E-2</c:v>
                </c:pt>
                <c:pt idx="8">
                  <c:v>2.7788414452254901E-2</c:v>
                </c:pt>
                <c:pt idx="9">
                  <c:v>2.557720731554676E-2</c:v>
                </c:pt>
                <c:pt idx="10">
                  <c:v>2.177956840850161E-2</c:v>
                </c:pt>
                <c:pt idx="11">
                  <c:v>2.4005122871636156E-2</c:v>
                </c:pt>
                <c:pt idx="12">
                  <c:v>2.2195616178191102E-2</c:v>
                </c:pt>
                <c:pt idx="13">
                  <c:v>2.0640595056544718E-2</c:v>
                </c:pt>
                <c:pt idx="14">
                  <c:v>1.624808371308446E-2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B-4CCC-835F-F41F13DD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544368"/>
        <c:axId val="716546664"/>
      </c:lineChart>
      <c:catAx>
        <c:axId val="7165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17800"/>
        <c:crosses val="autoZero"/>
        <c:auto val="1"/>
        <c:lblAlgn val="ctr"/>
        <c:lblOffset val="100"/>
        <c:noMultiLvlLbl val="0"/>
      </c:catAx>
      <c:valAx>
        <c:axId val="71651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260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580036619049926E-2"/>
                <c:y val="0.3476036866359447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71654666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44368"/>
        <c:crosses val="max"/>
        <c:crossBetween val="between"/>
      </c:valAx>
      <c:catAx>
        <c:axId val="7165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716546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85570804760456"/>
          <c:y val="0.79547606803148496"/>
          <c:w val="0.72816455753727849"/>
          <c:h val="0.1768739992001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latin typeface="Calibri" panose="020F0502020204030204" pitchFamily="34" charset="0"/>
              </a:rPr>
              <a:t>Debt Service and Cash Capital Projections at Policy Targets</a:t>
            </a:r>
          </a:p>
        </c:rich>
      </c:tx>
      <c:layout>
        <c:manualLayout>
          <c:xMode val="edge"/>
          <c:yMode val="edge"/>
          <c:x val="0.31881550010272425"/>
          <c:y val="8.251674781354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51626753127532E-2"/>
          <c:y val="8.016502050086366E-2"/>
          <c:w val="0.8912087667760753"/>
          <c:h val="0.61318780064603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Summary!$B$29</c:f>
              <c:strCache>
                <c:ptCount val="1"/>
                <c:pt idx="0">
                  <c:v>Within-levy Debt Service Target 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Summary!$C$5:$Q$6</c:f>
              <c:strCache>
                <c:ptCount val="15"/>
                <c:pt idx="0">
                  <c:v>FY-3</c:v>
                </c:pt>
                <c:pt idx="1">
                  <c:v>FY-2</c:v>
                </c:pt>
                <c:pt idx="2">
                  <c:v>FY-1</c:v>
                </c:pt>
                <c:pt idx="3">
                  <c:v>FY0</c:v>
                </c:pt>
                <c:pt idx="4">
                  <c:v>FY1</c:v>
                </c:pt>
                <c:pt idx="5">
                  <c:v>FY2</c:v>
                </c:pt>
                <c:pt idx="6">
                  <c:v>FY3</c:v>
                </c:pt>
                <c:pt idx="7">
                  <c:v>FY4</c:v>
                </c:pt>
                <c:pt idx="8">
                  <c:v>FY5</c:v>
                </c:pt>
                <c:pt idx="9">
                  <c:v>FY6</c:v>
                </c:pt>
                <c:pt idx="10">
                  <c:v>FY7</c:v>
                </c:pt>
                <c:pt idx="11">
                  <c:v>FY8</c:v>
                </c:pt>
                <c:pt idx="12">
                  <c:v>FY9</c:v>
                </c:pt>
                <c:pt idx="13">
                  <c:v>FY10</c:v>
                </c:pt>
                <c:pt idx="14">
                  <c:v>FY11</c:v>
                </c:pt>
              </c:strCache>
            </c:strRef>
          </c:cat>
          <c:val>
            <c:numRef>
              <c:f>Summary!$C$29:$Q$29</c:f>
              <c:numCache>
                <c:formatCode>General</c:formatCode>
                <c:ptCount val="15"/>
                <c:pt idx="4" formatCode="_(* #,##0_);_(* \(#,##0\);_(* &quot;-&quot;_);_(@_)">
                  <c:v>205769.96</c:v>
                </c:pt>
                <c:pt idx="5" formatCode="_(* #,##0_);_(* \(#,##0\);_(* &quot;-&quot;_);_(@_)">
                  <c:v>302105.53499999997</c:v>
                </c:pt>
                <c:pt idx="6" formatCode="_(* #,##0_);_(* \(#,##0\);_(* &quot;-&quot;_);_(@_)">
                  <c:v>410733.40920000005</c:v>
                </c:pt>
                <c:pt idx="7" formatCode="_(* #,##0_);_(* \(#,##0\);_(* &quot;-&quot;_);_(@_)">
                  <c:v>627578.18143124995</c:v>
                </c:pt>
                <c:pt idx="8" formatCode="_(* #,##0_);_(* \(#,##0\);_(* &quot;-&quot;_);_(@_)">
                  <c:v>862193.12876470503</c:v>
                </c:pt>
                <c:pt idx="9" formatCode="_(* #,##0_);_(* \(#,##0\);_(* &quot;-&quot;_);_(@_)">
                  <c:v>990737.95224693022</c:v>
                </c:pt>
                <c:pt idx="10" formatCode="_(* #,##0_);_(* \(#,##0\);_(* &quot;-&quot;_);_(@_)">
                  <c:v>1238057.3615717068</c:v>
                </c:pt>
                <c:pt idx="11" formatCode="_(* #,##0_);_(* \(#,##0\);_(* &quot;-&quot;_);_(@_)">
                  <c:v>1266113.9108732436</c:v>
                </c:pt>
                <c:pt idx="12" formatCode="_(* #,##0_);_(* \(#,##0\);_(* &quot;-&quot;_);_(@_)">
                  <c:v>1412569.4798600178</c:v>
                </c:pt>
                <c:pt idx="13" formatCode="_(* #,##0_);_(* \(#,##0\);_(* &quot;-&quot;_);_(@_)">
                  <c:v>1444689.4538801059</c:v>
                </c:pt>
                <c:pt idx="14" formatCode="_(* #,##0_);_(* \(#,##0\);_(* &quot;-&quot;_);_(@_)">
                  <c:v>1477593.9380880026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F-434B-9E44-1B1356CAE697}"/>
            </c:ext>
          </c:extLst>
        </c:ser>
        <c:ser>
          <c:idx val="1"/>
          <c:order val="1"/>
          <c:tx>
            <c:strRef>
              <c:f>Summary!$B$30</c:f>
              <c:strCache>
                <c:ptCount val="1"/>
                <c:pt idx="0">
                  <c:v>Gross Excluded Debt Service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Summary!$C$5:$Q$6</c:f>
              <c:strCache>
                <c:ptCount val="15"/>
                <c:pt idx="0">
                  <c:v>FY-3</c:v>
                </c:pt>
                <c:pt idx="1">
                  <c:v>FY-2</c:v>
                </c:pt>
                <c:pt idx="2">
                  <c:v>FY-1</c:v>
                </c:pt>
                <c:pt idx="3">
                  <c:v>FY0</c:v>
                </c:pt>
                <c:pt idx="4">
                  <c:v>FY1</c:v>
                </c:pt>
                <c:pt idx="5">
                  <c:v>FY2</c:v>
                </c:pt>
                <c:pt idx="6">
                  <c:v>FY3</c:v>
                </c:pt>
                <c:pt idx="7">
                  <c:v>FY4</c:v>
                </c:pt>
                <c:pt idx="8">
                  <c:v>FY5</c:v>
                </c:pt>
                <c:pt idx="9">
                  <c:v>FY6</c:v>
                </c:pt>
                <c:pt idx="10">
                  <c:v>FY7</c:v>
                </c:pt>
                <c:pt idx="11">
                  <c:v>FY8</c:v>
                </c:pt>
                <c:pt idx="12">
                  <c:v>FY9</c:v>
                </c:pt>
                <c:pt idx="13">
                  <c:v>FY10</c:v>
                </c:pt>
                <c:pt idx="14">
                  <c:v>FY11</c:v>
                </c:pt>
              </c:strCache>
            </c:strRef>
          </c:cat>
          <c:val>
            <c:numRef>
              <c:f>Summary!$C$30:$Q$30</c:f>
              <c:numCache>
                <c:formatCode>_(* #,##0_);_(* \(#,##0\);_(* "-"_);_(@_)</c:formatCode>
                <c:ptCount val="15"/>
                <c:pt idx="0">
                  <c:v>1552837</c:v>
                </c:pt>
                <c:pt idx="1">
                  <c:v>1498272.5</c:v>
                </c:pt>
                <c:pt idx="2">
                  <c:v>1227878</c:v>
                </c:pt>
                <c:pt idx="3">
                  <c:v>1005353</c:v>
                </c:pt>
                <c:pt idx="4">
                  <c:v>964578</c:v>
                </c:pt>
                <c:pt idx="5">
                  <c:v>834934</c:v>
                </c:pt>
                <c:pt idx="6">
                  <c:v>655840</c:v>
                </c:pt>
                <c:pt idx="7">
                  <c:v>960053</c:v>
                </c:pt>
                <c:pt idx="8">
                  <c:v>893146</c:v>
                </c:pt>
                <c:pt idx="9">
                  <c:v>866840</c:v>
                </c:pt>
                <c:pt idx="10">
                  <c:v>1348994</c:v>
                </c:pt>
                <c:pt idx="11">
                  <c:v>1331147</c:v>
                </c:pt>
                <c:pt idx="12">
                  <c:v>1313301</c:v>
                </c:pt>
                <c:pt idx="13">
                  <c:v>1295455</c:v>
                </c:pt>
                <c:pt idx="14">
                  <c:v>1277609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F-434B-9E44-1B1356CAE697}"/>
            </c:ext>
          </c:extLst>
        </c:ser>
        <c:ser>
          <c:idx val="2"/>
          <c:order val="2"/>
          <c:tx>
            <c:strRef>
              <c:f>Summary!$B$36</c:f>
              <c:strCache>
                <c:ptCount val="1"/>
                <c:pt idx="0">
                  <c:v>Cash Capital Spending and Reserves Target $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Summary!$C$36:$Q$36</c:f>
              <c:numCache>
                <c:formatCode>General</c:formatCode>
                <c:ptCount val="15"/>
                <c:pt idx="4" formatCode="_(* #,##0_);_(* \(#,##0\);_(* &quot;-&quot;_);_(@_)">
                  <c:v>514424.9</c:v>
                </c:pt>
                <c:pt idx="5" formatCode="_(* #,##0_);_(* \(#,##0\);_(* &quot;-&quot;_);_(@_)">
                  <c:v>604211.06999999995</c:v>
                </c:pt>
                <c:pt idx="6" formatCode="_(* #,##0_);_(* \(#,##0\);_(* &quot;-&quot;_);_(@_)">
                  <c:v>616100.11380000005</c:v>
                </c:pt>
                <c:pt idx="7" formatCode="_(* #,##0_);_(* \(#,##0\);_(* &quot;-&quot;_);_(@_)">
                  <c:v>627578.18143124995</c:v>
                </c:pt>
                <c:pt idx="8" formatCode="_(* #,##0_);_(* \(#,##0\);_(* &quot;-&quot;_);_(@_)">
                  <c:v>862193.12876470503</c:v>
                </c:pt>
                <c:pt idx="9" formatCode="_(* #,##0_);_(* \(#,##0\);_(* &quot;-&quot;_);_(@_)">
                  <c:v>880655.95755282685</c:v>
                </c:pt>
                <c:pt idx="10" formatCode="_(* #,##0_);_(* \(#,##0\);_(* &quot;-&quot;_);_(@_)">
                  <c:v>900405.35387033224</c:v>
                </c:pt>
                <c:pt idx="11" formatCode="_(* #,##0_);_(* \(#,##0\);_(* &quot;-&quot;_);_(@_)">
                  <c:v>1151012.6462484032</c:v>
                </c:pt>
                <c:pt idx="12" formatCode="_(* #,##0_);_(* \(#,##0\);_(* &quot;-&quot;_);_(@_)">
                  <c:v>1177141.2332166815</c:v>
                </c:pt>
                <c:pt idx="13" formatCode="_(* #,##0_);_(* \(#,##0\);_(* &quot;-&quot;_);_(@_)">
                  <c:v>1444689.4538801059</c:v>
                </c:pt>
                <c:pt idx="14" formatCode="_(* #,##0_);_(* \(#,##0\);_(* &quot;-&quot;_);_(@_)">
                  <c:v>1477593.9380880026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F-434B-9E44-1B1356CAE697}"/>
            </c:ext>
          </c:extLst>
        </c:ser>
        <c:ser>
          <c:idx val="3"/>
          <c:order val="3"/>
          <c:tx>
            <c:strRef>
              <c:f>Summary!$B$37</c:f>
              <c:strCache>
                <c:ptCount val="1"/>
                <c:pt idx="0">
                  <c:v>Capital Exclusion Spending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Summary!$C$37:$Q$37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150000</c:v>
                </c:pt>
                <c:pt idx="3">
                  <c:v>0</c:v>
                </c:pt>
                <c:pt idx="4">
                  <c:v>0</c:v>
                </c:pt>
                <c:pt idx="5">
                  <c:v>1000000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F-434B-9E44-1B1356CA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526000"/>
        <c:axId val="716517800"/>
      </c:barChart>
      <c:lineChart>
        <c:grouping val="standard"/>
        <c:varyColors val="0"/>
        <c:ser>
          <c:idx val="4"/>
          <c:order val="4"/>
          <c:tx>
            <c:strRef>
              <c:f>Summary!$B$46</c:f>
              <c:strCache>
                <c:ptCount val="1"/>
                <c:pt idx="0">
                  <c:v>Grand Total Capital Investment as % of Prior Year Revenue (Target = 6%)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Summary!$C$46:$Q$46</c:f>
              <c:numCache>
                <c:formatCode>0.00%</c:formatCode>
                <c:ptCount val="15"/>
                <c:pt idx="0">
                  <c:v>4.2151507388091744E-2</c:v>
                </c:pt>
                <c:pt idx="1">
                  <c:v>3.9856763606507695E-2</c:v>
                </c:pt>
                <c:pt idx="2">
                  <c:v>3.4978348947336452E-2</c:v>
                </c:pt>
                <c:pt idx="3">
                  <c:v>2.5356583857013053E-2</c:v>
                </c:pt>
                <c:pt idx="4">
                  <c:v>4.093826086178954E-2</c:v>
                </c:pt>
                <c:pt idx="5">
                  <c:v>6.8053634096773494E-2</c:v>
                </c:pt>
                <c:pt idx="6">
                  <c:v>4.0967534788012565E-2</c:v>
                </c:pt>
                <c:pt idx="7">
                  <c:v>5.294661514069475E-2</c:v>
                </c:pt>
                <c:pt idx="8">
                  <c:v>6.0718003199112525E-2</c:v>
                </c:pt>
                <c:pt idx="9">
                  <c:v>6.2186234847233221E-2</c:v>
                </c:pt>
                <c:pt idx="10">
                  <c:v>7.7464148795904852E-2</c:v>
                </c:pt>
                <c:pt idx="11">
                  <c:v>8.1412518996614072E-2</c:v>
                </c:pt>
                <c:pt idx="12">
                  <c:v>8.2891746609097317E-2</c:v>
                </c:pt>
                <c:pt idx="13">
                  <c:v>8.6901040840037372E-2</c:v>
                </c:pt>
                <c:pt idx="14">
                  <c:v>8.5939650273333251E-2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8F-434B-9E44-1B1356CA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544368"/>
        <c:axId val="716546664"/>
      </c:lineChart>
      <c:catAx>
        <c:axId val="7165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17800"/>
        <c:crosses val="autoZero"/>
        <c:auto val="1"/>
        <c:lblAlgn val="ctr"/>
        <c:lblOffset val="100"/>
        <c:noMultiLvlLbl val="0"/>
      </c:catAx>
      <c:valAx>
        <c:axId val="71651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260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580036619049926E-2"/>
                <c:y val="0.3476036866359447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71654666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44368"/>
        <c:crosses val="max"/>
        <c:crossBetween val="between"/>
      </c:valAx>
      <c:catAx>
        <c:axId val="7165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716546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320764849048269"/>
          <c:y val="0.78722439325013005"/>
          <c:w val="0.81097467509298105"/>
          <c:h val="0.18512567398152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>
                <a:latin typeface="Calibri" panose="020F0502020204030204" pitchFamily="34" charset="0"/>
              </a:rPr>
              <a:t>Debt Service and Cash Capital Target Gaps</a:t>
            </a:r>
          </a:p>
        </c:rich>
      </c:tx>
      <c:layout>
        <c:manualLayout>
          <c:xMode val="edge"/>
          <c:yMode val="edge"/>
          <c:x val="0.3679118234237303"/>
          <c:y val="4.12583739067749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51626753127532E-2"/>
          <c:y val="8.016502050086366E-2"/>
          <c:w val="0.8912087667760753"/>
          <c:h val="0.74521459714771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Summary!$B$33</c:f>
              <c:strCache>
                <c:ptCount val="1"/>
                <c:pt idx="0">
                  <c:v>Within-levy Debt Service Target Gap (Target less Current)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Summary!$C$5:$Q$6</c:f>
              <c:strCache>
                <c:ptCount val="15"/>
                <c:pt idx="0">
                  <c:v>FY-3</c:v>
                </c:pt>
                <c:pt idx="1">
                  <c:v>FY-2</c:v>
                </c:pt>
                <c:pt idx="2">
                  <c:v>FY-1</c:v>
                </c:pt>
                <c:pt idx="3">
                  <c:v>FY0</c:v>
                </c:pt>
                <c:pt idx="4">
                  <c:v>FY1</c:v>
                </c:pt>
                <c:pt idx="5">
                  <c:v>FY2</c:v>
                </c:pt>
                <c:pt idx="6">
                  <c:v>FY3</c:v>
                </c:pt>
                <c:pt idx="7">
                  <c:v>FY4</c:v>
                </c:pt>
                <c:pt idx="8">
                  <c:v>FY5</c:v>
                </c:pt>
                <c:pt idx="9">
                  <c:v>FY6</c:v>
                </c:pt>
                <c:pt idx="10">
                  <c:v>FY7</c:v>
                </c:pt>
                <c:pt idx="11">
                  <c:v>FY8</c:v>
                </c:pt>
                <c:pt idx="12">
                  <c:v>FY9</c:v>
                </c:pt>
                <c:pt idx="13">
                  <c:v>FY10</c:v>
                </c:pt>
                <c:pt idx="14">
                  <c:v>FY11</c:v>
                </c:pt>
              </c:strCache>
            </c:strRef>
          </c:cat>
          <c:val>
            <c:numRef>
              <c:f>Summary!$C$33:$Q$33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51259.959999999992</c:v>
                </c:pt>
                <c:pt idx="5">
                  <c:v>125795.53499999997</c:v>
                </c:pt>
                <c:pt idx="6">
                  <c:v>214465.40920000005</c:v>
                </c:pt>
                <c:pt idx="7">
                  <c:v>437168.18143124995</c:v>
                </c:pt>
                <c:pt idx="8">
                  <c:v>672390.12876470503</c:v>
                </c:pt>
                <c:pt idx="9">
                  <c:v>841341.95224693022</c:v>
                </c:pt>
                <c:pt idx="10">
                  <c:v>1106529.3615717068</c:v>
                </c:pt>
                <c:pt idx="11">
                  <c:v>1132052.9108732436</c:v>
                </c:pt>
                <c:pt idx="12">
                  <c:v>1270775.4798600178</c:v>
                </c:pt>
                <c:pt idx="13">
                  <c:v>1318169.4538801059</c:v>
                </c:pt>
                <c:pt idx="14">
                  <c:v>1454933.9380880026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0-4E09-B148-DCEC57B510EC}"/>
            </c:ext>
          </c:extLst>
        </c:ser>
        <c:ser>
          <c:idx val="2"/>
          <c:order val="1"/>
          <c:tx>
            <c:strRef>
              <c:f>Summary!$B$40</c:f>
              <c:strCache>
                <c:ptCount val="1"/>
                <c:pt idx="0">
                  <c:v>Capital Expenditures and Reserves Target Gap  (Target less Current)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Summary!$C$40:$Q$40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122211.06999999995</c:v>
                </c:pt>
                <c:pt idx="6">
                  <c:v>14100.11380000005</c:v>
                </c:pt>
                <c:pt idx="7">
                  <c:v>347578.18143124995</c:v>
                </c:pt>
                <c:pt idx="8">
                  <c:v>747193.12876470503</c:v>
                </c:pt>
                <c:pt idx="9">
                  <c:v>770655.95755282685</c:v>
                </c:pt>
                <c:pt idx="10">
                  <c:v>900405.35387033224</c:v>
                </c:pt>
                <c:pt idx="11">
                  <c:v>1011012.6462484032</c:v>
                </c:pt>
                <c:pt idx="12">
                  <c:v>1087141.2332166815</c:v>
                </c:pt>
                <c:pt idx="13">
                  <c:v>1372689.4538801059</c:v>
                </c:pt>
                <c:pt idx="14">
                  <c:v>1477593.9380880026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0-4E09-B148-DCEC57B5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526000"/>
        <c:axId val="716517800"/>
      </c:barChart>
      <c:catAx>
        <c:axId val="7165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17800"/>
        <c:crosses val="autoZero"/>
        <c:auto val="1"/>
        <c:lblAlgn val="ctr"/>
        <c:lblOffset val="100"/>
        <c:noMultiLvlLbl val="0"/>
      </c:catAx>
      <c:valAx>
        <c:axId val="71651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5260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580036619049926E-2"/>
                <c:y val="0.3476036866359447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0765551507632"/>
          <c:y val="0.85736362889164741"/>
          <c:w val="0.81097467509298105"/>
          <c:h val="0.12736395051204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51689052013091E-2"/>
          <c:y val="0.106893210929279"/>
          <c:w val="0.38343463133842343"/>
          <c:h val="0.873771544685946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448-4BED-9D06-9D68F6A90B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448-4BED-9D06-9D68F6A90B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448-4BED-9D06-9D68F6A90B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448-4BED-9D06-9D68F6A90B19}"/>
              </c:ext>
            </c:extLst>
          </c:dPt>
          <c:dLbls>
            <c:dLbl>
              <c:idx val="1"/>
              <c:layout>
                <c:manualLayout>
                  <c:x val="-9.1751170994324852E-2"/>
                  <c:y val="-0.2217159548604811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61983152119581E-2"/>
                      <c:h val="8.8709677419354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F448-4BED-9D06-9D68F6A90B19}"/>
                </c:ext>
              </c:extLst>
            </c:dLbl>
            <c:dLbl>
              <c:idx val="2"/>
              <c:layout>
                <c:manualLayout>
                  <c:x val="8.7705542876943099E-2"/>
                  <c:y val="0.149419064552414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48-4BED-9D06-9D68F6A90B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48-4BED-9D06-9D68F6A90B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(Summary!$B$7:$B$8,Summary!$B$13:$B$14)</c:f>
              <c:strCache>
                <c:ptCount val="4"/>
                <c:pt idx="0">
                  <c:v>Within-levy Debt Service</c:v>
                </c:pt>
                <c:pt idx="1">
                  <c:v>Excluded Debt Service</c:v>
                </c:pt>
                <c:pt idx="2">
                  <c:v>Cash Capital Expenditures (CIP)</c:v>
                </c:pt>
                <c:pt idx="3">
                  <c:v>Capital Exclusion Amounts</c:v>
                </c:pt>
              </c:strCache>
            </c:strRef>
          </c:cat>
          <c:val>
            <c:numRef>
              <c:f>(Summary!$F$7:$F$8,Summary!$F$13:$F$14)</c:f>
              <c:numCache>
                <c:formatCode>_(* #,##0_);_(* \(#,##0\);_(* "-"_);_(@_)</c:formatCode>
                <c:ptCount val="4"/>
                <c:pt idx="0">
                  <c:v>154610</c:v>
                </c:pt>
                <c:pt idx="1">
                  <c:v>1005353</c:v>
                </c:pt>
                <c:pt idx="2">
                  <c:v>305000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8-4BED-9D06-9D68F6A90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540523102290513"/>
          <c:y val="0.34101164773758125"/>
          <c:w val="0.42762381561181939"/>
          <c:h val="0.30876011466308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51689052013091E-2"/>
          <c:y val="0.106893210929279"/>
          <c:w val="0.38343463133842343"/>
          <c:h val="0.873771544685946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4-4DF3-8F64-4212F77636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E4-4DF3-8F64-4212F77636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E4-4DF3-8F64-4212F77636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E4-4DF3-8F64-4212F77636DC}"/>
              </c:ext>
            </c:extLst>
          </c:dPt>
          <c:dLbls>
            <c:dLbl>
              <c:idx val="0"/>
              <c:layout>
                <c:manualLayout>
                  <c:x val="-5.9029980060005564E-3"/>
                  <c:y val="9.422759439304839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4-4DF3-8F64-4212F77636DC}"/>
                </c:ext>
              </c:extLst>
            </c:dLbl>
            <c:dLbl>
              <c:idx val="1"/>
              <c:layout>
                <c:manualLayout>
                  <c:x val="9.3432844259746128E-2"/>
                  <c:y val="-0.301564836041064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4-4DF3-8F64-4212F77636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4-4DF3-8F64-4212F77636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4-4DF3-8F64-4212F77636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(Summary!$B$7:$B$8,Summary!$B$13:$B$14)</c:f>
              <c:strCache>
                <c:ptCount val="4"/>
                <c:pt idx="0">
                  <c:v>Within-levy Debt Service</c:v>
                </c:pt>
                <c:pt idx="1">
                  <c:v>Excluded Debt Service</c:v>
                </c:pt>
                <c:pt idx="2">
                  <c:v>Cash Capital Expenditures (CIP)</c:v>
                </c:pt>
                <c:pt idx="3">
                  <c:v>Capital Exclusion Amounts</c:v>
                </c:pt>
              </c:strCache>
            </c:strRef>
          </c:cat>
          <c:val>
            <c:numRef>
              <c:f>(Summary!$Q$7:$Q$8,Summary!$Q$13:$Q$14)</c:f>
              <c:numCache>
                <c:formatCode>_(* #,##0_);_(* \(#,##0\);_(* "-"_);_(@_)</c:formatCode>
                <c:ptCount val="4"/>
                <c:pt idx="0">
                  <c:v>22660</c:v>
                </c:pt>
                <c:pt idx="1">
                  <c:v>777609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E4-4DF3-8F64-4212F776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320259169631132"/>
          <c:y val="0.37323269574042023"/>
          <c:w val="0.4945947647498638"/>
          <c:h val="0.32221378541721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51689052013091E-2"/>
          <c:y val="0.106893210929279"/>
          <c:w val="0.38343463133842343"/>
          <c:h val="0.873771544685946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5-4010-AF45-50CFD9395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5-4010-AF45-50CFD9395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5-4010-AF45-50CFD9395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5-4010-AF45-50CFD939502A}"/>
              </c:ext>
            </c:extLst>
          </c:dPt>
          <c:dLbls>
            <c:dLbl>
              <c:idx val="0"/>
              <c:layout>
                <c:manualLayout>
                  <c:x val="-0.12942091807223946"/>
                  <c:y val="2.3874088069645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5-4010-AF45-50CFD939502A}"/>
                </c:ext>
              </c:extLst>
            </c:dLbl>
            <c:dLbl>
              <c:idx val="1"/>
              <c:layout>
                <c:manualLayout>
                  <c:x val="-5.2798406604184431E-3"/>
                  <c:y val="-0.157359176256814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5-4010-AF45-50CFD939502A}"/>
                </c:ext>
              </c:extLst>
            </c:dLbl>
            <c:dLbl>
              <c:idx val="2"/>
              <c:layout>
                <c:manualLayout>
                  <c:x val="0.12987462795702728"/>
                  <c:y val="1.9281665566775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5-4010-AF45-50CFD93950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(Summary!$B$29:$B$30,Summary!$B$36:$B$37)</c:f>
              <c:strCache>
                <c:ptCount val="4"/>
                <c:pt idx="0">
                  <c:v>Within-levy Debt Service Target $</c:v>
                </c:pt>
                <c:pt idx="1">
                  <c:v>Gross Excluded Debt Service </c:v>
                </c:pt>
                <c:pt idx="2">
                  <c:v>Cash Capital Spending and Reserves Target $</c:v>
                </c:pt>
                <c:pt idx="3">
                  <c:v>Capital Exclusion Spending</c:v>
                </c:pt>
              </c:strCache>
            </c:strRef>
          </c:cat>
          <c:val>
            <c:numRef>
              <c:f>(Summary!$Q$29:$Q$30,Summary!$Q$36:$Q$37)</c:f>
              <c:numCache>
                <c:formatCode>_(* #,##0_);_(* \(#,##0\);_(* "-"_);_(@_)</c:formatCode>
                <c:ptCount val="4"/>
                <c:pt idx="0">
                  <c:v>1477593.9380880026</c:v>
                </c:pt>
                <c:pt idx="1">
                  <c:v>1277609</c:v>
                </c:pt>
                <c:pt idx="2">
                  <c:v>1477593.9380880026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75-4010-AF45-50CFD939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540523102290513"/>
          <c:y val="0.34101164773758125"/>
          <c:w val="0.42762381561181939"/>
          <c:h val="0.30876011466308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469899</xdr:colOff>
      <xdr:row>1</xdr:row>
      <xdr:rowOff>25400</xdr:rowOff>
    </xdr:from>
    <xdr:to>
      <xdr:col>16</xdr:col>
      <xdr:colOff>533399</xdr:colOff>
      <xdr:row>3</xdr:row>
      <xdr:rowOff>85725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413BB88-F1A0-4B2A-958D-F655B530F4C9}"/>
            </a:ext>
          </a:extLst>
        </xdr:cNvPr>
        <xdr:cNvSpPr/>
      </xdr:nvSpPr>
      <xdr:spPr>
        <a:xfrm rot="5400000">
          <a:off x="11253786" y="-3557587"/>
          <a:ext cx="384175" cy="7874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190502</xdr:colOff>
      <xdr:row>1</xdr:row>
      <xdr:rowOff>22224</xdr:rowOff>
    </xdr:from>
    <xdr:to>
      <xdr:col>5</xdr:col>
      <xdr:colOff>654050</xdr:colOff>
      <xdr:row>3</xdr:row>
      <xdr:rowOff>85724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1A54466-1FF1-4F01-8BE1-0AE6E1158F38}"/>
            </a:ext>
          </a:extLst>
        </xdr:cNvPr>
        <xdr:cNvSpPr/>
      </xdr:nvSpPr>
      <xdr:spPr>
        <a:xfrm rot="5400000">
          <a:off x="5314951" y="-1025525"/>
          <a:ext cx="387350" cy="280669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314325</xdr:colOff>
      <xdr:row>0</xdr:row>
      <xdr:rowOff>104775</xdr:rowOff>
    </xdr:from>
    <xdr:ext cx="92506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E3DCE3D-709D-4091-9B5B-F3A7DC4BF695}"/>
            </a:ext>
          </a:extLst>
        </xdr:cNvPr>
        <xdr:cNvSpPr txBox="1"/>
      </xdr:nvSpPr>
      <xdr:spPr>
        <a:xfrm>
          <a:off x="5010150" y="104775"/>
          <a:ext cx="9250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Current</a:t>
          </a:r>
          <a:r>
            <a:rPr lang="en-US" sz="1100" baseline="0"/>
            <a:t> Data</a:t>
          </a:r>
          <a:endParaRPr lang="en-US" sz="1100"/>
        </a:p>
      </xdr:txBody>
    </xdr:sp>
    <xdr:clientData/>
  </xdr:oneCellAnchor>
  <xdr:oneCellAnchor>
    <xdr:from>
      <xdr:col>8</xdr:col>
      <xdr:colOff>196850</xdr:colOff>
      <xdr:row>0</xdr:row>
      <xdr:rowOff>82550</xdr:rowOff>
    </xdr:from>
    <xdr:ext cx="380944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FBEC83-8D63-4D1E-8C39-41E31073C4A7}"/>
            </a:ext>
          </a:extLst>
        </xdr:cNvPr>
        <xdr:cNvSpPr txBox="1"/>
      </xdr:nvSpPr>
      <xdr:spPr>
        <a:xfrm>
          <a:off x="9578975" y="82550"/>
          <a:ext cx="38094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Based</a:t>
          </a:r>
          <a:r>
            <a:rPr lang="en-US" sz="1100" baseline="0"/>
            <a:t> on Projected Revenues and Anticipated Capital Spending</a:t>
          </a:r>
          <a:endParaRPr lang="en-US" sz="1100"/>
        </a:p>
      </xdr:txBody>
    </xdr:sp>
    <xdr:clientData/>
  </xdr:oneCellAnchor>
  <xdr:twoCellAnchor>
    <xdr:from>
      <xdr:col>1</xdr:col>
      <xdr:colOff>360362</xdr:colOff>
      <xdr:row>49</xdr:row>
      <xdr:rowOff>65086</xdr:rowOff>
    </xdr:from>
    <xdr:to>
      <xdr:col>9</xdr:col>
      <xdr:colOff>444500</xdr:colOff>
      <xdr:row>68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CB0EE5-54C2-4D71-981D-AED873FB4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72</xdr:row>
      <xdr:rowOff>9525</xdr:rowOff>
    </xdr:from>
    <xdr:to>
      <xdr:col>9</xdr:col>
      <xdr:colOff>360363</xdr:colOff>
      <xdr:row>91</xdr:row>
      <xdr:rowOff>11113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7EE930-B46E-4021-B7C5-BC1858235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93</xdr:row>
      <xdr:rowOff>123825</xdr:rowOff>
    </xdr:from>
    <xdr:to>
      <xdr:col>9</xdr:col>
      <xdr:colOff>458788</xdr:colOff>
      <xdr:row>112</xdr:row>
      <xdr:rowOff>125413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E81D06C-37F5-4363-8972-30038E3D1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406401</xdr:colOff>
      <xdr:row>49</xdr:row>
      <xdr:rowOff>26987</xdr:rowOff>
    </xdr:from>
    <xdr:to>
      <xdr:col>18</xdr:col>
      <xdr:colOff>168275</xdr:colOff>
      <xdr:row>66</xdr:row>
      <xdr:rowOff>30162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872145-D91B-4820-90D5-8D96F3E0E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49</xdr:row>
      <xdr:rowOff>0</xdr:rowOff>
    </xdr:from>
    <xdr:to>
      <xdr:col>30</xdr:col>
      <xdr:colOff>428624</xdr:colOff>
      <xdr:row>66</xdr:row>
      <xdr:rowOff>3175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A724DA-9779-491D-A501-7A7432454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34925</xdr:colOff>
      <xdr:row>71</xdr:row>
      <xdr:rowOff>15875</xdr:rowOff>
    </xdr:from>
    <xdr:to>
      <xdr:col>30</xdr:col>
      <xdr:colOff>469899</xdr:colOff>
      <xdr:row>88</xdr:row>
      <xdr:rowOff>25400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2C7F097-FDD5-4252-B98F-0C45282D7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0.37683</cdr:x>
      <cdr:y>0.00058</cdr:y>
    </cdr:from>
    <cdr:to>
      <cdr:x>0.86242</cdr:x>
      <cdr:y>0.09389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0047C9-1355-4423-A797-AAFC6D2A9664}"/>
            </a:ext>
          </a:extLst>
        </cdr:cNvPr>
        <cdr:cNvSpPr txBox="1"/>
      </cdr:nvSpPr>
      <cdr:spPr>
        <a:xfrm xmlns:a="http://schemas.openxmlformats.org/drawingml/2006/main">
          <a:off x="2365375" y="1588"/>
          <a:ext cx="30480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FY2020 Current Debt Service and Cash Capital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0.37683</cdr:x>
      <cdr:y>0.00058</cdr:y>
    </cdr:from>
    <cdr:to>
      <cdr:x>0.86242</cdr:x>
      <cdr:y>0.09389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0047C9-1355-4423-A797-AAFC6D2A9664}"/>
            </a:ext>
          </a:extLst>
        </cdr:cNvPr>
        <cdr:cNvSpPr txBox="1"/>
      </cdr:nvSpPr>
      <cdr:spPr>
        <a:xfrm xmlns:a="http://schemas.openxmlformats.org/drawingml/2006/main">
          <a:off x="2365375" y="1588"/>
          <a:ext cx="30480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FY2031 Current Debt Service and Cash Capital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0.29114</cdr:x>
      <cdr:y>0.00058</cdr:y>
    </cdr:from>
    <cdr:to>
      <cdr:x>1</cdr:x>
      <cdr:y>0.09389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0047C9-1355-4423-A797-AAFC6D2A9664}"/>
            </a:ext>
          </a:extLst>
        </cdr:cNvPr>
        <cdr:cNvSpPr txBox="1"/>
      </cdr:nvSpPr>
      <cdr:spPr>
        <a:xfrm xmlns:a="http://schemas.openxmlformats.org/drawingml/2006/main">
          <a:off x="1679575" y="1602"/>
          <a:ext cx="4089399" cy="257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FY2031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Debt Service and Cash Capital Projections at Policy Targets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507999</xdr:colOff>
      <xdr:row>2</xdr:row>
      <xdr:rowOff>85725</xdr:rowOff>
    </xdr:from>
    <xdr:to>
      <xdr:col>16</xdr:col>
      <xdr:colOff>571499</xdr:colOff>
      <xdr:row>4</xdr:row>
      <xdr:rowOff>53975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8C135DE9-B3DB-4D55-A5A8-1B2CE53AF5A7}"/>
            </a:ext>
          </a:extLst>
        </xdr:cNvPr>
        <xdr:cNvSpPr/>
      </xdr:nvSpPr>
      <xdr:spPr>
        <a:xfrm rot="5400000">
          <a:off x="13258799" y="-4003675"/>
          <a:ext cx="295275" cy="9115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285753</xdr:colOff>
      <xdr:row>2</xdr:row>
      <xdr:rowOff>76200</xdr:rowOff>
    </xdr:from>
    <xdr:to>
      <xdr:col>5</xdr:col>
      <xdr:colOff>749301</xdr:colOff>
      <xdr:row>4</xdr:row>
      <xdr:rowOff>47625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DDF7D411-DC96-4875-B127-1A1C5DEA8CD1}"/>
            </a:ext>
          </a:extLst>
        </xdr:cNvPr>
        <xdr:cNvSpPr/>
      </xdr:nvSpPr>
      <xdr:spPr>
        <a:xfrm rot="5400000">
          <a:off x="5989080" y="-1077538"/>
          <a:ext cx="285189" cy="322019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511175</xdr:colOff>
      <xdr:row>1</xdr:row>
      <xdr:rowOff>139700</xdr:rowOff>
    </xdr:from>
    <xdr:ext cx="92506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AEC9EE4-2790-4EE8-9219-9114E26E60DF}"/>
            </a:ext>
          </a:extLst>
        </xdr:cNvPr>
        <xdr:cNvSpPr txBox="1"/>
      </xdr:nvSpPr>
      <xdr:spPr>
        <a:xfrm>
          <a:off x="6140450" y="304800"/>
          <a:ext cx="9250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Current</a:t>
          </a:r>
          <a:r>
            <a:rPr lang="en-US" sz="1100" baseline="0"/>
            <a:t> Data</a:t>
          </a:r>
          <a:endParaRPr lang="en-US" sz="1100"/>
        </a:p>
      </xdr:txBody>
    </xdr:sp>
    <xdr:clientData/>
  </xdr:oneCellAnchor>
  <xdr:oneCellAnchor>
    <xdr:from>
      <xdr:col>9</xdr:col>
      <xdr:colOff>476250</xdr:colOff>
      <xdr:row>1</xdr:row>
      <xdr:rowOff>114300</xdr:rowOff>
    </xdr:from>
    <xdr:ext cx="380944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D11065E-DB4A-4F3E-B437-6CCEC0004938}"/>
            </a:ext>
          </a:extLst>
        </xdr:cNvPr>
        <xdr:cNvSpPr txBox="1"/>
      </xdr:nvSpPr>
      <xdr:spPr>
        <a:xfrm>
          <a:off x="11534775" y="276225"/>
          <a:ext cx="38094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Based</a:t>
          </a:r>
          <a:r>
            <a:rPr lang="en-US" sz="1100" baseline="0"/>
            <a:t> on Projected Revenues and Anticipated Capital Spending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lakez\AppData\Local\Microsoft\Windows\Temporary%20Internet%20Files\Content.Outlook\5HTEOIBV\Chapter70_Calcs-FY17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livast\Downloads\choice_tuition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lsgateway.dor.state.ma.us/DLSReports/DLSReportViewer.aspx?ReportName=TaxImpactCalculator_v2&amp;ReportTitle=Tax+Impact+Calculat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lsgateway.dor.state.ma.us/reports/rdPage.aspx?rdReport=CherrySheets.CSbyProgMunis.MuniBudgEs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BC6C-1C2C-4F4B-ADF3-DA66553AB6C3}">
  <sheetPr>
    <tabColor theme="7" tint="0.79998168889431442"/>
  </sheetPr>
  <dimension ref="A1:Q103"/>
  <sheetViews>
    <sheetView showGridLines="0" tabSelected="1" zoomScale="115" zoomScaleNormal="115" workbookViewId="0">
      <selection sqref="A1:Q1"/>
    </sheetView>
  </sheetViews>
  <sheetFormatPr defaultColWidth="8.88671875" defaultRowHeight="13" x14ac:dyDescent="0.3"/>
  <cols>
    <col min="1" max="1" width="3.6640625" style="463" customWidth="1"/>
    <col min="2" max="2" width="5.33203125" style="463" customWidth="1"/>
    <col min="3" max="3" width="11.44140625" style="463" customWidth="1"/>
    <col min="4" max="4" width="3.6640625" style="463" customWidth="1"/>
    <col min="5" max="5" width="5.88671875" style="463" customWidth="1"/>
    <col min="6" max="6" width="21.44140625" style="463" customWidth="1"/>
    <col min="7" max="16384" width="8.88671875" style="463"/>
  </cols>
  <sheetData>
    <row r="1" spans="1:17" ht="17" x14ac:dyDescent="0.4">
      <c r="A1" s="483" t="s">
        <v>305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</row>
    <row r="2" spans="1:17" x14ac:dyDescent="0.3">
      <c r="A2" s="465"/>
    </row>
    <row r="3" spans="1:17" x14ac:dyDescent="0.3">
      <c r="A3" s="465" t="s">
        <v>265</v>
      </c>
    </row>
    <row r="4" spans="1:17" x14ac:dyDescent="0.3">
      <c r="A4" s="465"/>
      <c r="B4" s="466" t="s">
        <v>267</v>
      </c>
      <c r="D4" s="463" t="s">
        <v>296</v>
      </c>
    </row>
    <row r="5" spans="1:17" x14ac:dyDescent="0.3">
      <c r="A5" s="465"/>
      <c r="B5" s="466"/>
      <c r="D5" s="463" t="s">
        <v>297</v>
      </c>
    </row>
    <row r="7" spans="1:17" x14ac:dyDescent="0.3">
      <c r="D7" s="466" t="s">
        <v>37</v>
      </c>
    </row>
    <row r="8" spans="1:17" x14ac:dyDescent="0.3">
      <c r="E8" s="463" t="s">
        <v>306</v>
      </c>
    </row>
    <row r="9" spans="1:17" x14ac:dyDescent="0.3">
      <c r="E9" s="463" t="s">
        <v>307</v>
      </c>
    </row>
    <row r="10" spans="1:17" x14ac:dyDescent="0.3">
      <c r="E10" s="463" t="s">
        <v>377</v>
      </c>
    </row>
    <row r="11" spans="1:17" x14ac:dyDescent="0.3">
      <c r="E11" s="463" t="s">
        <v>294</v>
      </c>
    </row>
    <row r="12" spans="1:17" x14ac:dyDescent="0.3">
      <c r="E12" s="463" t="s">
        <v>308</v>
      </c>
    </row>
    <row r="14" spans="1:17" x14ac:dyDescent="0.3">
      <c r="D14" s="466" t="s">
        <v>43</v>
      </c>
    </row>
    <row r="15" spans="1:17" x14ac:dyDescent="0.3">
      <c r="D15" s="466"/>
      <c r="E15" s="463" t="s">
        <v>339</v>
      </c>
    </row>
    <row r="16" spans="1:17" x14ac:dyDescent="0.3">
      <c r="E16" s="463" t="s">
        <v>309</v>
      </c>
    </row>
    <row r="17" spans="1:5" x14ac:dyDescent="0.3">
      <c r="E17" s="463" t="s">
        <v>310</v>
      </c>
    </row>
    <row r="18" spans="1:5" x14ac:dyDescent="0.3">
      <c r="D18" s="466"/>
      <c r="E18" s="463" t="s">
        <v>311</v>
      </c>
    </row>
    <row r="19" spans="1:5" x14ac:dyDescent="0.3">
      <c r="E19" s="463" t="s">
        <v>312</v>
      </c>
    </row>
    <row r="20" spans="1:5" x14ac:dyDescent="0.3">
      <c r="E20" s="463" t="s">
        <v>295</v>
      </c>
    </row>
    <row r="21" spans="1:5" x14ac:dyDescent="0.3">
      <c r="E21" s="463" t="s">
        <v>313</v>
      </c>
    </row>
    <row r="22" spans="1:5" x14ac:dyDescent="0.3">
      <c r="A22" s="465"/>
      <c r="B22" s="466"/>
    </row>
    <row r="23" spans="1:5" x14ac:dyDescent="0.3">
      <c r="A23" s="465"/>
      <c r="B23" s="466" t="s">
        <v>266</v>
      </c>
      <c r="D23" s="463" t="s">
        <v>314</v>
      </c>
    </row>
    <row r="24" spans="1:5" x14ac:dyDescent="0.3">
      <c r="A24" s="465"/>
      <c r="D24" s="463" t="s">
        <v>315</v>
      </c>
    </row>
    <row r="25" spans="1:5" x14ac:dyDescent="0.3">
      <c r="A25" s="465"/>
      <c r="D25" s="463" t="s">
        <v>379</v>
      </c>
    </row>
    <row r="26" spans="1:5" x14ac:dyDescent="0.3">
      <c r="A26" s="465"/>
      <c r="D26" s="463" t="s">
        <v>316</v>
      </c>
    </row>
    <row r="27" spans="1:5" x14ac:dyDescent="0.3">
      <c r="A27" s="465"/>
      <c r="D27" s="463" t="s">
        <v>317</v>
      </c>
    </row>
    <row r="28" spans="1:5" x14ac:dyDescent="0.3">
      <c r="D28" s="463" t="s">
        <v>318</v>
      </c>
    </row>
    <row r="29" spans="1:5" x14ac:dyDescent="0.3">
      <c r="D29" s="463" t="s">
        <v>275</v>
      </c>
    </row>
    <row r="31" spans="1:5" x14ac:dyDescent="0.3">
      <c r="D31" s="463" t="s">
        <v>340</v>
      </c>
    </row>
    <row r="32" spans="1:5" x14ac:dyDescent="0.3">
      <c r="D32" s="463" t="s">
        <v>298</v>
      </c>
    </row>
    <row r="33" spans="4:5" x14ac:dyDescent="0.3">
      <c r="D33" s="466"/>
    </row>
    <row r="34" spans="4:5" x14ac:dyDescent="0.3">
      <c r="D34" s="466" t="s">
        <v>22</v>
      </c>
      <c r="E34" s="461" t="s">
        <v>4</v>
      </c>
    </row>
    <row r="35" spans="4:5" x14ac:dyDescent="0.3">
      <c r="D35" s="466"/>
      <c r="E35" s="462" t="s">
        <v>319</v>
      </c>
    </row>
    <row r="36" spans="4:5" x14ac:dyDescent="0.3">
      <c r="D36" s="466"/>
      <c r="E36" s="462" t="s">
        <v>299</v>
      </c>
    </row>
    <row r="38" spans="4:5" x14ac:dyDescent="0.3">
      <c r="D38" s="466" t="s">
        <v>23</v>
      </c>
      <c r="E38" s="461" t="s">
        <v>268</v>
      </c>
    </row>
    <row r="39" spans="4:5" x14ac:dyDescent="0.3">
      <c r="D39" s="466"/>
      <c r="E39" s="462" t="s">
        <v>320</v>
      </c>
    </row>
    <row r="40" spans="4:5" x14ac:dyDescent="0.3">
      <c r="E40" s="463" t="s">
        <v>301</v>
      </c>
    </row>
    <row r="41" spans="4:5" x14ac:dyDescent="0.3">
      <c r="E41" s="463" t="s">
        <v>300</v>
      </c>
    </row>
    <row r="43" spans="4:5" x14ac:dyDescent="0.3">
      <c r="D43" s="465" t="s">
        <v>24</v>
      </c>
      <c r="E43" s="461" t="s">
        <v>321</v>
      </c>
    </row>
    <row r="44" spans="4:5" x14ac:dyDescent="0.3">
      <c r="D44" s="465"/>
      <c r="E44" s="462" t="s">
        <v>322</v>
      </c>
    </row>
    <row r="45" spans="4:5" x14ac:dyDescent="0.3">
      <c r="E45" s="463" t="s">
        <v>426</v>
      </c>
    </row>
    <row r="46" spans="4:5" x14ac:dyDescent="0.3">
      <c r="E46" s="463" t="s">
        <v>302</v>
      </c>
    </row>
    <row r="47" spans="4:5" x14ac:dyDescent="0.3">
      <c r="E47" s="463" t="s">
        <v>323</v>
      </c>
    </row>
    <row r="49" spans="4:6" x14ac:dyDescent="0.3">
      <c r="D49" s="465" t="s">
        <v>25</v>
      </c>
      <c r="E49" s="461" t="s">
        <v>324</v>
      </c>
    </row>
    <row r="50" spans="4:6" x14ac:dyDescent="0.3">
      <c r="E50" s="463" t="s">
        <v>405</v>
      </c>
    </row>
    <row r="51" spans="4:6" x14ac:dyDescent="0.3">
      <c r="E51" s="463" t="s">
        <v>401</v>
      </c>
    </row>
    <row r="52" spans="4:6" x14ac:dyDescent="0.3">
      <c r="F52" s="463" t="s">
        <v>408</v>
      </c>
    </row>
    <row r="53" spans="4:6" x14ac:dyDescent="0.3">
      <c r="F53" s="463" t="s">
        <v>402</v>
      </c>
    </row>
    <row r="54" spans="4:6" x14ac:dyDescent="0.3">
      <c r="F54" s="463" t="s">
        <v>403</v>
      </c>
    </row>
    <row r="55" spans="4:6" x14ac:dyDescent="0.3">
      <c r="E55" s="463" t="s">
        <v>325</v>
      </c>
    </row>
    <row r="56" spans="4:6" x14ac:dyDescent="0.3">
      <c r="E56" s="463" t="s">
        <v>326</v>
      </c>
    </row>
    <row r="57" spans="4:6" x14ac:dyDescent="0.3">
      <c r="E57" s="463" t="s">
        <v>395</v>
      </c>
    </row>
    <row r="59" spans="4:6" x14ac:dyDescent="0.3">
      <c r="D59" s="465" t="s">
        <v>26</v>
      </c>
      <c r="E59" s="466" t="s">
        <v>327</v>
      </c>
    </row>
    <row r="60" spans="4:6" x14ac:dyDescent="0.3">
      <c r="D60" s="466"/>
      <c r="E60" s="462" t="s">
        <v>328</v>
      </c>
    </row>
    <row r="61" spans="4:6" x14ac:dyDescent="0.3">
      <c r="E61" s="464" t="s">
        <v>329</v>
      </c>
    </row>
    <row r="63" spans="4:6" x14ac:dyDescent="0.3">
      <c r="D63" s="465" t="s">
        <v>243</v>
      </c>
      <c r="E63" s="13" t="s">
        <v>368</v>
      </c>
    </row>
    <row r="64" spans="4:6" x14ac:dyDescent="0.3">
      <c r="D64" s="465"/>
      <c r="E64" s="462" t="s">
        <v>330</v>
      </c>
    </row>
    <row r="65" spans="1:5" x14ac:dyDescent="0.3">
      <c r="E65" s="463" t="s">
        <v>427</v>
      </c>
    </row>
    <row r="66" spans="1:5" x14ac:dyDescent="0.3">
      <c r="E66" s="463" t="s">
        <v>331</v>
      </c>
    </row>
    <row r="67" spans="1:5" x14ac:dyDescent="0.3">
      <c r="E67" s="463" t="s">
        <v>332</v>
      </c>
    </row>
    <row r="69" spans="1:5" x14ac:dyDescent="0.3">
      <c r="D69" s="465" t="s">
        <v>244</v>
      </c>
      <c r="E69" s="32" t="s">
        <v>369</v>
      </c>
    </row>
    <row r="70" spans="1:5" x14ac:dyDescent="0.3">
      <c r="E70" s="463" t="s">
        <v>404</v>
      </c>
    </row>
    <row r="71" spans="1:5" x14ac:dyDescent="0.3">
      <c r="E71" s="463" t="s">
        <v>303</v>
      </c>
    </row>
    <row r="72" spans="1:5" x14ac:dyDescent="0.3">
      <c r="E72" s="463" t="s">
        <v>304</v>
      </c>
    </row>
    <row r="73" spans="1:5" x14ac:dyDescent="0.3">
      <c r="E73" s="463" t="s">
        <v>395</v>
      </c>
    </row>
    <row r="75" spans="1:5" x14ac:dyDescent="0.3">
      <c r="B75" s="482" t="s">
        <v>397</v>
      </c>
    </row>
    <row r="77" spans="1:5" x14ac:dyDescent="0.3">
      <c r="A77" s="465"/>
      <c r="B77" s="466" t="s">
        <v>276</v>
      </c>
      <c r="D77" s="463" t="s">
        <v>398</v>
      </c>
    </row>
    <row r="78" spans="1:5" x14ac:dyDescent="0.3">
      <c r="D78" s="463" t="s">
        <v>428</v>
      </c>
    </row>
    <row r="79" spans="1:5" x14ac:dyDescent="0.3">
      <c r="D79" s="463" t="s">
        <v>429</v>
      </c>
    </row>
    <row r="80" spans="1:5" x14ac:dyDescent="0.3">
      <c r="A80" s="465"/>
      <c r="B80" s="466"/>
      <c r="D80" s="463" t="s">
        <v>333</v>
      </c>
    </row>
    <row r="81" spans="1:4" x14ac:dyDescent="0.3">
      <c r="D81" s="463" t="s">
        <v>431</v>
      </c>
    </row>
    <row r="83" spans="1:4" x14ac:dyDescent="0.3">
      <c r="A83" s="465"/>
      <c r="B83" s="466" t="s">
        <v>32</v>
      </c>
      <c r="D83" s="463" t="s">
        <v>334</v>
      </c>
    </row>
    <row r="84" spans="1:4" x14ac:dyDescent="0.3">
      <c r="D84" s="463" t="s">
        <v>335</v>
      </c>
    </row>
    <row r="85" spans="1:4" x14ac:dyDescent="0.3">
      <c r="D85" s="463" t="s">
        <v>336</v>
      </c>
    </row>
    <row r="86" spans="1:4" x14ac:dyDescent="0.3">
      <c r="D86" s="463" t="s">
        <v>337</v>
      </c>
    </row>
    <row r="88" spans="1:4" x14ac:dyDescent="0.3">
      <c r="A88" s="465"/>
      <c r="B88" s="466" t="s">
        <v>277</v>
      </c>
      <c r="D88" s="463" t="s">
        <v>430</v>
      </c>
    </row>
    <row r="89" spans="1:4" x14ac:dyDescent="0.3">
      <c r="D89" s="463" t="s">
        <v>280</v>
      </c>
    </row>
    <row r="91" spans="1:4" x14ac:dyDescent="0.3">
      <c r="A91" s="465"/>
      <c r="B91" s="466" t="s">
        <v>33</v>
      </c>
      <c r="D91" s="463" t="s">
        <v>279</v>
      </c>
    </row>
    <row r="93" spans="1:4" x14ac:dyDescent="0.3">
      <c r="A93" s="465"/>
      <c r="B93" s="466" t="s">
        <v>178</v>
      </c>
      <c r="D93" s="463" t="s">
        <v>399</v>
      </c>
    </row>
    <row r="94" spans="1:4" x14ac:dyDescent="0.3">
      <c r="A94" s="465"/>
      <c r="B94" s="466"/>
      <c r="D94" s="463" t="s">
        <v>293</v>
      </c>
    </row>
    <row r="96" spans="1:4" x14ac:dyDescent="0.3">
      <c r="A96" s="465"/>
      <c r="B96" s="466" t="s">
        <v>278</v>
      </c>
      <c r="D96" s="463" t="s">
        <v>400</v>
      </c>
    </row>
    <row r="97" spans="1:4" x14ac:dyDescent="0.3">
      <c r="D97" s="463" t="s">
        <v>281</v>
      </c>
    </row>
    <row r="99" spans="1:4" x14ac:dyDescent="0.3">
      <c r="B99" s="482" t="s">
        <v>409</v>
      </c>
    </row>
    <row r="101" spans="1:4" x14ac:dyDescent="0.3">
      <c r="A101" s="465"/>
      <c r="B101" s="466" t="s">
        <v>338</v>
      </c>
      <c r="D101" s="463" t="s">
        <v>292</v>
      </c>
    </row>
    <row r="103" spans="1:4" x14ac:dyDescent="0.3">
      <c r="B103" s="466" t="s">
        <v>407</v>
      </c>
      <c r="D103" s="481" t="s">
        <v>406</v>
      </c>
    </row>
  </sheetData>
  <mergeCells count="1">
    <mergeCell ref="A1:Q1"/>
  </mergeCells>
  <hyperlinks>
    <hyperlink ref="D103" r:id="rId1" xr:uid="{DE0686BD-5C38-48FF-9074-D90F98FEEBD7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B160-B758-4054-8666-A467486326A6}">
  <sheetPr>
    <tabColor theme="4"/>
  </sheetPr>
  <dimension ref="A1:U48"/>
  <sheetViews>
    <sheetView showGridLines="0" zoomScale="85" zoomScaleNormal="85" workbookViewId="0"/>
  </sheetViews>
  <sheetFormatPr defaultColWidth="9.33203125" defaultRowHeight="13" x14ac:dyDescent="0.3"/>
  <cols>
    <col min="1" max="1" width="2.6640625" style="50" customWidth="1"/>
    <col min="2" max="2" width="82.6640625" style="50" bestFit="1" customWidth="1"/>
    <col min="3" max="6" width="13.6640625" style="50" customWidth="1"/>
    <col min="7" max="7" width="14.33203125" style="50" bestFit="1" customWidth="1"/>
    <col min="8" max="17" width="13.6640625" style="50" customWidth="1"/>
    <col min="18" max="16384" width="9.33203125" style="50"/>
  </cols>
  <sheetData>
    <row r="1" spans="1:21" s="150" customFormat="1" x14ac:dyDescent="0.3">
      <c r="A1" s="468" t="str">
        <f>'GF Analysis'!A1</f>
        <v>Municipality of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9"/>
    </row>
    <row r="2" spans="1:21" x14ac:dyDescent="0.3">
      <c r="A2" s="31" t="s">
        <v>27</v>
      </c>
    </row>
    <row r="3" spans="1:21" x14ac:dyDescent="0.3">
      <c r="A3" s="59"/>
      <c r="F3" s="92"/>
    </row>
    <row r="4" spans="1:21" x14ac:dyDescent="0.3">
      <c r="F4" s="92"/>
    </row>
    <row r="5" spans="1:21" x14ac:dyDescent="0.3">
      <c r="A5" s="69" t="s">
        <v>37</v>
      </c>
      <c r="B5" s="70"/>
      <c r="C5" s="71" t="str">
        <f>'GF Analysis'!C13</f>
        <v>FY-3</v>
      </c>
      <c r="D5" s="71" t="str">
        <f>'GF Analysis'!D13</f>
        <v>FY-2</v>
      </c>
      <c r="E5" s="71" t="str">
        <f>'GF Analysis'!E13</f>
        <v>FY-1</v>
      </c>
      <c r="F5" s="93" t="str">
        <f>'GF Analysis'!F13</f>
        <v>FY0</v>
      </c>
      <c r="G5" s="71" t="str">
        <f>'GF Analysis'!G13</f>
        <v>FY1</v>
      </c>
      <c r="H5" s="71" t="str">
        <f>'GF Analysis'!H13</f>
        <v>FY2</v>
      </c>
      <c r="I5" s="71" t="str">
        <f>'GF Analysis'!I13</f>
        <v>FY3</v>
      </c>
      <c r="J5" s="71" t="str">
        <f>'GF Analysis'!J13</f>
        <v>FY4</v>
      </c>
      <c r="K5" s="71" t="str">
        <f>'GF Analysis'!K13</f>
        <v>FY5</v>
      </c>
      <c r="L5" s="71" t="str">
        <f>'GF Analysis'!L13</f>
        <v>FY6</v>
      </c>
      <c r="M5" s="71" t="str">
        <f>'GF Analysis'!M13</f>
        <v>FY7</v>
      </c>
      <c r="N5" s="71" t="str">
        <f>'GF Analysis'!N13</f>
        <v>FY8</v>
      </c>
      <c r="O5" s="71" t="str">
        <f>'GF Analysis'!O13</f>
        <v>FY9</v>
      </c>
      <c r="P5" s="71" t="str">
        <f>'GF Analysis'!P13</f>
        <v>FY10</v>
      </c>
      <c r="Q5" s="71" t="str">
        <f>'GF Analysis'!Q13</f>
        <v>FY11</v>
      </c>
      <c r="R5" s="51"/>
    </row>
    <row r="6" spans="1:21" x14ac:dyDescent="0.3">
      <c r="A6" s="70"/>
      <c r="B6" s="70"/>
      <c r="C6" s="70"/>
      <c r="D6" s="70"/>
      <c r="E6" s="70"/>
      <c r="F6" s="94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21" x14ac:dyDescent="0.3">
      <c r="B7" s="109" t="s">
        <v>341</v>
      </c>
      <c r="C7" s="62">
        <f>'GF Analysis'!C17</f>
        <v>155050</v>
      </c>
      <c r="D7" s="62">
        <f>'GF Analysis'!D17</f>
        <v>155190</v>
      </c>
      <c r="E7" s="62">
        <f>'GF Analysis'!E17</f>
        <v>155510</v>
      </c>
      <c r="F7" s="95">
        <f>'GF Analysis'!F17</f>
        <v>154610</v>
      </c>
      <c r="G7" s="85">
        <f>'GF Analysis'!G17</f>
        <v>154510</v>
      </c>
      <c r="H7" s="62">
        <f>'GF Analysis'!H17</f>
        <v>176310</v>
      </c>
      <c r="I7" s="62">
        <f>'GF Analysis'!I17</f>
        <v>196268</v>
      </c>
      <c r="J7" s="62">
        <f>'GF Analysis'!J17</f>
        <v>190410</v>
      </c>
      <c r="K7" s="62">
        <f>'GF Analysis'!K17</f>
        <v>189803</v>
      </c>
      <c r="L7" s="62">
        <f>'GF Analysis'!L17</f>
        <v>149396</v>
      </c>
      <c r="M7" s="62">
        <f>'GF Analysis'!M17</f>
        <v>131528</v>
      </c>
      <c r="N7" s="62">
        <f>'GF Analysis'!N17</f>
        <v>134061</v>
      </c>
      <c r="O7" s="62">
        <f>'GF Analysis'!O17</f>
        <v>141794</v>
      </c>
      <c r="P7" s="62">
        <f>'GF Analysis'!P17</f>
        <v>126520</v>
      </c>
      <c r="Q7" s="62">
        <f>'GF Analysis'!Q17</f>
        <v>22660</v>
      </c>
      <c r="R7" s="52"/>
      <c r="S7" s="52"/>
      <c r="T7" s="52"/>
      <c r="U7" s="53"/>
    </row>
    <row r="8" spans="1:21" x14ac:dyDescent="0.3">
      <c r="B8" s="109" t="s">
        <v>29</v>
      </c>
      <c r="C8" s="62">
        <f>'GF Analysis'!C22</f>
        <v>1552837</v>
      </c>
      <c r="D8" s="62">
        <f>'GF Analysis'!D22</f>
        <v>1498272.5</v>
      </c>
      <c r="E8" s="62">
        <f>'GF Analysis'!E22</f>
        <v>1227878</v>
      </c>
      <c r="F8" s="95">
        <f>'GF Analysis'!F22</f>
        <v>1005353</v>
      </c>
      <c r="G8" s="85">
        <f>'GF Analysis'!G22</f>
        <v>964578</v>
      </c>
      <c r="H8" s="62">
        <f>'GF Analysis'!H22</f>
        <v>834934</v>
      </c>
      <c r="I8" s="62">
        <f>'GF Analysis'!I22</f>
        <v>655840</v>
      </c>
      <c r="J8" s="62">
        <f>'GF Analysis'!J22</f>
        <v>960053</v>
      </c>
      <c r="K8" s="62">
        <f>'GF Analysis'!K22</f>
        <v>893146</v>
      </c>
      <c r="L8" s="62">
        <f>'GF Analysis'!L22</f>
        <v>866840</v>
      </c>
      <c r="M8" s="62">
        <f>'GF Analysis'!M22</f>
        <v>848994</v>
      </c>
      <c r="N8" s="62">
        <f>'GF Analysis'!N22</f>
        <v>831147</v>
      </c>
      <c r="O8" s="62">
        <f>'GF Analysis'!O22</f>
        <v>813301</v>
      </c>
      <c r="P8" s="62">
        <f>'GF Analysis'!P22</f>
        <v>795455</v>
      </c>
      <c r="Q8" s="62">
        <f>'GF Analysis'!Q22</f>
        <v>777609</v>
      </c>
      <c r="R8" s="51"/>
      <c r="S8" s="51"/>
      <c r="T8" s="51"/>
    </row>
    <row r="9" spans="1:21" x14ac:dyDescent="0.3">
      <c r="B9" s="467" t="s">
        <v>342</v>
      </c>
      <c r="C9" s="63">
        <f>SUM(C7:C8)</f>
        <v>1707887</v>
      </c>
      <c r="D9" s="63">
        <f t="shared" ref="D9:Q9" si="0">SUM(D7:D8)</f>
        <v>1653462.5</v>
      </c>
      <c r="E9" s="63">
        <f t="shared" si="0"/>
        <v>1383388</v>
      </c>
      <c r="F9" s="96">
        <f t="shared" si="0"/>
        <v>1159963</v>
      </c>
      <c r="G9" s="87">
        <f t="shared" si="0"/>
        <v>1119088</v>
      </c>
      <c r="H9" s="63">
        <f t="shared" si="0"/>
        <v>1011244</v>
      </c>
      <c r="I9" s="63">
        <f t="shared" si="0"/>
        <v>852108</v>
      </c>
      <c r="J9" s="63">
        <f t="shared" si="0"/>
        <v>1150463</v>
      </c>
      <c r="K9" s="63">
        <f t="shared" si="0"/>
        <v>1082949</v>
      </c>
      <c r="L9" s="63">
        <f t="shared" si="0"/>
        <v>1016236</v>
      </c>
      <c r="M9" s="63">
        <f t="shared" si="0"/>
        <v>980522</v>
      </c>
      <c r="N9" s="63">
        <f t="shared" si="0"/>
        <v>965208</v>
      </c>
      <c r="O9" s="63">
        <f t="shared" si="0"/>
        <v>955095</v>
      </c>
      <c r="P9" s="63">
        <f t="shared" si="0"/>
        <v>921975</v>
      </c>
      <c r="Q9" s="63">
        <f t="shared" si="0"/>
        <v>800269</v>
      </c>
      <c r="R9" s="51"/>
      <c r="S9" s="51"/>
      <c r="T9" s="51"/>
    </row>
    <row r="10" spans="1:21" x14ac:dyDescent="0.3">
      <c r="B10" s="109" t="s">
        <v>343</v>
      </c>
      <c r="C10" s="64">
        <f>C7/'GF Analysis'!C$11</f>
        <v>4.2088069903818788E-3</v>
      </c>
      <c r="D10" s="64">
        <f>D7/'GF Analysis'!D$11</f>
        <v>4.1283352288011225E-3</v>
      </c>
      <c r="E10" s="64">
        <f>E7/'GF Analysis'!E$11</f>
        <v>3.9477247222179986E-3</v>
      </c>
      <c r="F10" s="97">
        <f>F7/'GF Analysis'!F$11</f>
        <v>3.8995073671961871E-3</v>
      </c>
      <c r="G10" s="88">
        <f>G7/'GF Analysis'!G$11</f>
        <v>3.7544352926928691E-3</v>
      </c>
      <c r="H10" s="64">
        <f>H7/'GF Analysis'!H$11</f>
        <v>4.377030033560954E-3</v>
      </c>
      <c r="I10" s="64">
        <f>I7/'GF Analysis'!I$11</f>
        <v>4.7784766372494054E-3</v>
      </c>
      <c r="J10" s="64">
        <f>J7/'GF Analysis'!J$11</f>
        <v>4.5510664400191317E-3</v>
      </c>
      <c r="K10" s="64">
        <f>K7/'GF Analysis'!K$11</f>
        <v>4.4027954681554364E-3</v>
      </c>
      <c r="L10" s="64">
        <f>L7/'GF Analysis'!L$11</f>
        <v>3.3928345960468533E-3</v>
      </c>
      <c r="M10" s="64">
        <f>M7/'GF Analysis'!M$11</f>
        <v>2.9215286078572429E-3</v>
      </c>
      <c r="N10" s="64">
        <f>N7/'GF Analysis'!N$11</f>
        <v>2.9118055400380875E-3</v>
      </c>
      <c r="O10" s="64">
        <f>O7/'GF Analysis'!O$11</f>
        <v>3.0114058534108658E-3</v>
      </c>
      <c r="P10" s="64">
        <f>P7/'GF Analysis'!P$11</f>
        <v>2.6272774330883949E-3</v>
      </c>
      <c r="Q10" s="64">
        <f>Q7/'GF Analysis'!Q$11</f>
        <v>4.600722718717004E-4</v>
      </c>
      <c r="R10" s="51"/>
      <c r="S10" s="51"/>
      <c r="T10" s="51"/>
    </row>
    <row r="11" spans="1:21" x14ac:dyDescent="0.3">
      <c r="B11" s="49" t="s">
        <v>35</v>
      </c>
      <c r="C11" s="64">
        <f>C8/'GF Analysis'!C$11</f>
        <v>4.2151507388091744E-2</v>
      </c>
      <c r="D11" s="64">
        <f>D8/'GF Analysis'!D$11</f>
        <v>3.9856763606507695E-2</v>
      </c>
      <c r="E11" s="64">
        <f>E8/'GF Analysis'!E$11</f>
        <v>3.1170499237782725E-2</v>
      </c>
      <c r="F11" s="97">
        <f>F8/'GF Analysis'!F$11</f>
        <v>2.5356583857013053E-2</v>
      </c>
      <c r="G11" s="88">
        <f>G8/'GF Analysis'!G$11</f>
        <v>2.3438260861789545E-2</v>
      </c>
      <c r="H11" s="64">
        <f>H8/'GF Analysis'!H$11</f>
        <v>2.072787246350849E-2</v>
      </c>
      <c r="I11" s="64">
        <f>I8/'GF Analysis'!I$11</f>
        <v>1.5967534788012563E-2</v>
      </c>
      <c r="J11" s="64">
        <f>J8/'GF Analysis'!J$11</f>
        <v>2.2946615140694751E-2</v>
      </c>
      <c r="K11" s="64">
        <f>K8/'GF Analysis'!K$11</f>
        <v>2.0718003199112527E-2</v>
      </c>
      <c r="L11" s="64">
        <f>L8/'GF Analysis'!L$11</f>
        <v>1.9686234847233221E-2</v>
      </c>
      <c r="M11" s="64">
        <f>M8/'GF Analysis'!M$11</f>
        <v>1.8858039800644367E-2</v>
      </c>
      <c r="N11" s="64">
        <f>N8/'GF Analysis'!N$11</f>
        <v>1.8052516684091843E-2</v>
      </c>
      <c r="O11" s="64">
        <f>O8/'GF Analysis'!O$11</f>
        <v>1.7272799920905756E-2</v>
      </c>
      <c r="P11" s="64">
        <f>P8/'GF Analysis'!P$11</f>
        <v>1.6518186615059511E-2</v>
      </c>
      <c r="Q11" s="64">
        <f>Q8/'GF Analysis'!Q$11</f>
        <v>1.5788011441212758E-2</v>
      </c>
      <c r="R11" s="51"/>
      <c r="S11" s="51"/>
      <c r="T11" s="51"/>
    </row>
    <row r="12" spans="1:21" x14ac:dyDescent="0.3">
      <c r="F12" s="92"/>
    </row>
    <row r="13" spans="1:21" x14ac:dyDescent="0.3">
      <c r="A13" s="55"/>
      <c r="B13" s="469" t="s">
        <v>344</v>
      </c>
      <c r="C13" s="62">
        <f>'GF Analysis'!C61</f>
        <v>88000</v>
      </c>
      <c r="D13" s="62">
        <f>'GF Analysis'!D61</f>
        <v>250000</v>
      </c>
      <c r="E13" s="62">
        <f>'GF Analysis'!E61</f>
        <v>282500</v>
      </c>
      <c r="F13" s="95">
        <f>'GF Analysis'!F61</f>
        <v>305000</v>
      </c>
      <c r="G13" s="85">
        <f>'GF Analysis'!G61</f>
        <v>570000</v>
      </c>
      <c r="H13" s="62">
        <f>'GF Analysis'!H61</f>
        <v>482000</v>
      </c>
      <c r="I13" s="62">
        <f>'GF Analysis'!I61</f>
        <v>602000</v>
      </c>
      <c r="J13" s="62">
        <f>'GF Analysis'!J61</f>
        <v>280000</v>
      </c>
      <c r="K13" s="62">
        <f>'GF Analysis'!K61</f>
        <v>115000</v>
      </c>
      <c r="L13" s="62">
        <f>'GF Analysis'!L61</f>
        <v>110000</v>
      </c>
      <c r="M13" s="62">
        <f>'GF Analysis'!M61</f>
        <v>0</v>
      </c>
      <c r="N13" s="62">
        <f>'GF Analysis'!N61</f>
        <v>140000</v>
      </c>
      <c r="O13" s="62">
        <f>'GF Analysis'!O61</f>
        <v>90000</v>
      </c>
      <c r="P13" s="62">
        <f>'GF Analysis'!P61</f>
        <v>72000</v>
      </c>
      <c r="Q13" s="62">
        <f>'GF Analysis'!Q61</f>
        <v>0</v>
      </c>
      <c r="R13" s="51"/>
      <c r="S13" s="51"/>
      <c r="T13" s="51"/>
    </row>
    <row r="14" spans="1:21" x14ac:dyDescent="0.3">
      <c r="B14" s="470" t="s">
        <v>345</v>
      </c>
      <c r="C14" s="62">
        <f>'GF Analysis'!C64</f>
        <v>0</v>
      </c>
      <c r="D14" s="62">
        <f>'GF Analysis'!D64</f>
        <v>0</v>
      </c>
      <c r="E14" s="62">
        <f>'GF Analysis'!E64</f>
        <v>150000</v>
      </c>
      <c r="F14" s="95">
        <f>'GF Analysis'!F64</f>
        <v>0</v>
      </c>
      <c r="G14" s="85">
        <f>'GF Analysis'!G64</f>
        <v>0</v>
      </c>
      <c r="H14" s="62">
        <f>'GF Analysis'!H64</f>
        <v>0</v>
      </c>
      <c r="I14" s="62">
        <f>'GF Analysis'!I64</f>
        <v>0</v>
      </c>
      <c r="J14" s="62">
        <f>'GF Analysis'!J64</f>
        <v>0</v>
      </c>
      <c r="K14" s="62">
        <f>'GF Analysis'!K64</f>
        <v>0</v>
      </c>
      <c r="L14" s="62">
        <f>'GF Analysis'!L64</f>
        <v>0</v>
      </c>
      <c r="M14" s="62">
        <f>'GF Analysis'!M64</f>
        <v>0</v>
      </c>
      <c r="N14" s="62">
        <f>'GF Analysis'!N64</f>
        <v>0</v>
      </c>
      <c r="O14" s="62">
        <f>'GF Analysis'!O64</f>
        <v>0</v>
      </c>
      <c r="P14" s="62">
        <f>'GF Analysis'!P64</f>
        <v>0</v>
      </c>
      <c r="Q14" s="62">
        <f>'GF Analysis'!Q64</f>
        <v>0</v>
      </c>
      <c r="R14" s="51"/>
      <c r="S14" s="51"/>
      <c r="T14" s="51"/>
    </row>
    <row r="15" spans="1:21" x14ac:dyDescent="0.3">
      <c r="B15" s="467" t="s">
        <v>346</v>
      </c>
      <c r="C15" s="63">
        <f>SUM(C13:C14)</f>
        <v>88000</v>
      </c>
      <c r="D15" s="63">
        <f t="shared" ref="D15:Q15" si="1">SUM(D13:D14)</f>
        <v>250000</v>
      </c>
      <c r="E15" s="63">
        <f t="shared" si="1"/>
        <v>432500</v>
      </c>
      <c r="F15" s="96">
        <f t="shared" si="1"/>
        <v>305000</v>
      </c>
      <c r="G15" s="87">
        <f t="shared" si="1"/>
        <v>570000</v>
      </c>
      <c r="H15" s="63">
        <f t="shared" si="1"/>
        <v>482000</v>
      </c>
      <c r="I15" s="63">
        <f t="shared" si="1"/>
        <v>602000</v>
      </c>
      <c r="J15" s="63">
        <f t="shared" si="1"/>
        <v>280000</v>
      </c>
      <c r="K15" s="63">
        <f t="shared" si="1"/>
        <v>115000</v>
      </c>
      <c r="L15" s="63">
        <f t="shared" si="1"/>
        <v>110000</v>
      </c>
      <c r="M15" s="63">
        <f t="shared" si="1"/>
        <v>0</v>
      </c>
      <c r="N15" s="63">
        <f t="shared" si="1"/>
        <v>140000</v>
      </c>
      <c r="O15" s="63">
        <f t="shared" si="1"/>
        <v>90000</v>
      </c>
      <c r="P15" s="63">
        <f t="shared" si="1"/>
        <v>72000</v>
      </c>
      <c r="Q15" s="63">
        <f t="shared" si="1"/>
        <v>0</v>
      </c>
      <c r="R15" s="51"/>
      <c r="S15" s="51"/>
      <c r="T15" s="51"/>
    </row>
    <row r="16" spans="1:21" s="51" customFormat="1" x14ac:dyDescent="0.3">
      <c r="B16" s="66" t="s">
        <v>36</v>
      </c>
      <c r="C16" s="64">
        <f>C13/'GF Analysis'!C$11</f>
        <v>2.3887456636801376E-3</v>
      </c>
      <c r="D16" s="64">
        <f>D13/'GF Analysis'!D$11</f>
        <v>6.6504530395017757E-3</v>
      </c>
      <c r="E16" s="64">
        <f>E13/'GF Analysis'!E$11</f>
        <v>7.1714502863261817E-3</v>
      </c>
      <c r="F16" s="97">
        <f>F13/'GF Analysis'!F$11</f>
        <v>7.6925796972694971E-3</v>
      </c>
      <c r="G16" s="88">
        <f>G13/'GF Analysis'!G$11</f>
        <v>1.3850418204873054E-2</v>
      </c>
      <c r="H16" s="64">
        <f>H13/'GF Analysis'!H$11</f>
        <v>1.1966017107233735E-2</v>
      </c>
      <c r="I16" s="64">
        <f>I13/'GF Analysis'!I$11</f>
        <v>1.4656708865551909E-2</v>
      </c>
      <c r="J16" s="64">
        <f>J13/'GF Analysis'!J$11</f>
        <v>6.692393273490662E-3</v>
      </c>
      <c r="K16" s="64">
        <f>K13/'GF Analysis'!K$11</f>
        <v>2.6676157849869347E-3</v>
      </c>
      <c r="L16" s="64">
        <f>L13/'GF Analysis'!L$11</f>
        <v>2.4981378722666861E-3</v>
      </c>
      <c r="M16" s="64">
        <f>M13/'GF Analysis'!M$11</f>
        <v>0</v>
      </c>
      <c r="N16" s="64">
        <f>N13/'GF Analysis'!N$11</f>
        <v>3.0408006475062268E-3</v>
      </c>
      <c r="O16" s="64">
        <f>O13/'GF Analysis'!O$11</f>
        <v>1.9114104038744793E-3</v>
      </c>
      <c r="P16" s="64">
        <f>P13/'GF Analysis'!P$11</f>
        <v>1.4951310083968104E-3</v>
      </c>
      <c r="Q16" s="64">
        <f>Q13/'GF Analysis'!Q$11</f>
        <v>0</v>
      </c>
    </row>
    <row r="17" spans="1:20" s="51" customFormat="1" x14ac:dyDescent="0.3">
      <c r="B17" s="469" t="s">
        <v>347</v>
      </c>
      <c r="C17" s="64">
        <f>C14/'GF Analysis'!C$11</f>
        <v>0</v>
      </c>
      <c r="D17" s="64">
        <f>D14/'GF Analysis'!D$11</f>
        <v>0</v>
      </c>
      <c r="E17" s="64">
        <f>E14/'GF Analysis'!E$11</f>
        <v>3.8078497095537247E-3</v>
      </c>
      <c r="F17" s="97">
        <f>F14/'GF Analysis'!F$11</f>
        <v>0</v>
      </c>
      <c r="G17" s="88">
        <f>G14/'GF Analysis'!G$11</f>
        <v>0</v>
      </c>
      <c r="H17" s="64">
        <f>H14/'GF Analysis'!H$11</f>
        <v>0</v>
      </c>
      <c r="I17" s="64">
        <f>I14/'GF Analysis'!I$11</f>
        <v>0</v>
      </c>
      <c r="J17" s="64">
        <f>J14/'GF Analysis'!J$11</f>
        <v>0</v>
      </c>
      <c r="K17" s="64">
        <f>K14/'GF Analysis'!K$11</f>
        <v>0</v>
      </c>
      <c r="L17" s="64">
        <f>L14/'GF Analysis'!L$11</f>
        <v>0</v>
      </c>
      <c r="M17" s="64">
        <f>M14/'GF Analysis'!M$11</f>
        <v>0</v>
      </c>
      <c r="N17" s="64">
        <f>N14/'GF Analysis'!N$11</f>
        <v>0</v>
      </c>
      <c r="O17" s="64">
        <f>O14/'GF Analysis'!O$11</f>
        <v>0</v>
      </c>
      <c r="P17" s="64">
        <f>P14/'GF Analysis'!P$11</f>
        <v>0</v>
      </c>
      <c r="Q17" s="64">
        <f>Q14/'GF Analysis'!Q$11</f>
        <v>0</v>
      </c>
    </row>
    <row r="18" spans="1:20" s="51" customFormat="1" x14ac:dyDescent="0.3">
      <c r="B18" s="110"/>
      <c r="C18" s="111"/>
      <c r="D18" s="111"/>
      <c r="E18" s="111"/>
      <c r="F18" s="112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20" x14ac:dyDescent="0.3">
      <c r="B19" s="471" t="s">
        <v>348</v>
      </c>
      <c r="F19" s="92"/>
    </row>
    <row r="20" spans="1:20" x14ac:dyDescent="0.3">
      <c r="B20" s="48" t="s">
        <v>40</v>
      </c>
      <c r="C20" s="57">
        <f>C9</f>
        <v>1707887</v>
      </c>
      <c r="D20" s="57">
        <f t="shared" ref="D20:Q20" si="2">D9</f>
        <v>1653462.5</v>
      </c>
      <c r="E20" s="57">
        <f t="shared" si="2"/>
        <v>1383388</v>
      </c>
      <c r="F20" s="103">
        <f t="shared" si="2"/>
        <v>1159963</v>
      </c>
      <c r="G20" s="84">
        <f t="shared" si="2"/>
        <v>1119088</v>
      </c>
      <c r="H20" s="57">
        <f t="shared" si="2"/>
        <v>1011244</v>
      </c>
      <c r="I20" s="57">
        <f t="shared" si="2"/>
        <v>852108</v>
      </c>
      <c r="J20" s="57">
        <f t="shared" si="2"/>
        <v>1150463</v>
      </c>
      <c r="K20" s="57">
        <f t="shared" si="2"/>
        <v>1082949</v>
      </c>
      <c r="L20" s="57">
        <f t="shared" si="2"/>
        <v>1016236</v>
      </c>
      <c r="M20" s="57">
        <f t="shared" si="2"/>
        <v>980522</v>
      </c>
      <c r="N20" s="57">
        <f t="shared" si="2"/>
        <v>965208</v>
      </c>
      <c r="O20" s="57">
        <f t="shared" si="2"/>
        <v>955095</v>
      </c>
      <c r="P20" s="57">
        <f t="shared" si="2"/>
        <v>921975</v>
      </c>
      <c r="Q20" s="57">
        <f t="shared" si="2"/>
        <v>800269</v>
      </c>
    </row>
    <row r="21" spans="1:20" x14ac:dyDescent="0.3">
      <c r="B21" s="48" t="s">
        <v>349</v>
      </c>
      <c r="C21" s="57">
        <f>C15</f>
        <v>88000</v>
      </c>
      <c r="D21" s="57">
        <f t="shared" ref="D21:Q21" si="3">D15</f>
        <v>250000</v>
      </c>
      <c r="E21" s="57">
        <f t="shared" si="3"/>
        <v>432500</v>
      </c>
      <c r="F21" s="103">
        <f t="shared" si="3"/>
        <v>305000</v>
      </c>
      <c r="G21" s="84">
        <f t="shared" si="3"/>
        <v>570000</v>
      </c>
      <c r="H21" s="57">
        <f t="shared" si="3"/>
        <v>482000</v>
      </c>
      <c r="I21" s="57">
        <f t="shared" si="3"/>
        <v>602000</v>
      </c>
      <c r="J21" s="57">
        <f t="shared" si="3"/>
        <v>280000</v>
      </c>
      <c r="K21" s="57">
        <f t="shared" si="3"/>
        <v>115000</v>
      </c>
      <c r="L21" s="57">
        <f t="shared" si="3"/>
        <v>110000</v>
      </c>
      <c r="M21" s="57">
        <f t="shared" si="3"/>
        <v>0</v>
      </c>
      <c r="N21" s="57">
        <f t="shared" si="3"/>
        <v>140000</v>
      </c>
      <c r="O21" s="57">
        <f t="shared" si="3"/>
        <v>90000</v>
      </c>
      <c r="P21" s="57">
        <f t="shared" si="3"/>
        <v>72000</v>
      </c>
      <c r="Q21" s="57">
        <f t="shared" si="3"/>
        <v>0</v>
      </c>
    </row>
    <row r="22" spans="1:20" x14ac:dyDescent="0.3">
      <c r="B22" s="45" t="s">
        <v>350</v>
      </c>
      <c r="C22" s="54">
        <f>SUM(C20:C21)</f>
        <v>1795887</v>
      </c>
      <c r="D22" s="54">
        <f t="shared" ref="D22:Q22" si="4">SUM(D20:D21)</f>
        <v>1903462.5</v>
      </c>
      <c r="E22" s="54">
        <f t="shared" si="4"/>
        <v>1815888</v>
      </c>
      <c r="F22" s="101">
        <f t="shared" si="4"/>
        <v>1464963</v>
      </c>
      <c r="G22" s="82">
        <f t="shared" si="4"/>
        <v>1689088</v>
      </c>
      <c r="H22" s="54">
        <f t="shared" si="4"/>
        <v>1493244</v>
      </c>
      <c r="I22" s="54">
        <f t="shared" si="4"/>
        <v>1454108</v>
      </c>
      <c r="J22" s="54">
        <f t="shared" si="4"/>
        <v>1430463</v>
      </c>
      <c r="K22" s="54">
        <f t="shared" si="4"/>
        <v>1197949</v>
      </c>
      <c r="L22" s="54">
        <f t="shared" si="4"/>
        <v>1126236</v>
      </c>
      <c r="M22" s="54">
        <f t="shared" si="4"/>
        <v>980522</v>
      </c>
      <c r="N22" s="54">
        <f t="shared" si="4"/>
        <v>1105208</v>
      </c>
      <c r="O22" s="54">
        <f t="shared" si="4"/>
        <v>1045095</v>
      </c>
      <c r="P22" s="54">
        <f t="shared" si="4"/>
        <v>993975</v>
      </c>
      <c r="Q22" s="54">
        <f t="shared" si="4"/>
        <v>800269</v>
      </c>
    </row>
    <row r="23" spans="1:20" s="51" customFormat="1" x14ac:dyDescent="0.3">
      <c r="B23" s="90" t="s">
        <v>38</v>
      </c>
      <c r="C23" s="89">
        <f>C22/'GF Analysis'!C$11</f>
        <v>4.8749060042153763E-2</v>
      </c>
      <c r="D23" s="89">
        <f>D22/'GF Analysis'!D$11</f>
        <v>5.0635551874810593E-2</v>
      </c>
      <c r="E23" s="89">
        <f>E22/'GF Analysis'!E$11</f>
        <v>4.6097523955880626E-2</v>
      </c>
      <c r="F23" s="98">
        <f>F22/'GF Analysis'!F$11</f>
        <v>3.6948670921478736E-2</v>
      </c>
      <c r="G23" s="91">
        <f>G22/'GF Analysis'!G$11</f>
        <v>4.1043114359355468E-2</v>
      </c>
      <c r="H23" s="89">
        <f>H22/'GF Analysis'!H$11</f>
        <v>3.7070919604303178E-2</v>
      </c>
      <c r="I23" s="89">
        <f>I22/'GF Analysis'!I$11</f>
        <v>3.5402720290813879E-2</v>
      </c>
      <c r="J23" s="89">
        <f>J22/'GF Analysis'!J$11</f>
        <v>3.4190074854204548E-2</v>
      </c>
      <c r="K23" s="89">
        <f>K22/'GF Analysis'!K$11</f>
        <v>2.7788414452254901E-2</v>
      </c>
      <c r="L23" s="89">
        <f>L22/'GF Analysis'!L$11</f>
        <v>2.557720731554676E-2</v>
      </c>
      <c r="M23" s="89">
        <f>M22/'GF Analysis'!M$11</f>
        <v>2.177956840850161E-2</v>
      </c>
      <c r="N23" s="89">
        <f>N22/'GF Analysis'!N$11</f>
        <v>2.4005122871636156E-2</v>
      </c>
      <c r="O23" s="89">
        <f>O22/'GF Analysis'!O$11</f>
        <v>2.2195616178191102E-2</v>
      </c>
      <c r="P23" s="89">
        <f>P22/'GF Analysis'!P$11</f>
        <v>2.0640595056544718E-2</v>
      </c>
      <c r="Q23" s="89">
        <f>Q22/'GF Analysis'!Q$11</f>
        <v>1.624808371308446E-2</v>
      </c>
    </row>
    <row r="24" spans="1:20" x14ac:dyDescent="0.3">
      <c r="B24" s="65"/>
      <c r="C24" s="65"/>
      <c r="D24" s="65"/>
      <c r="E24" s="65"/>
      <c r="F24" s="99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51"/>
      <c r="S24" s="51"/>
      <c r="T24" s="51"/>
    </row>
    <row r="25" spans="1:20" x14ac:dyDescent="0.3">
      <c r="F25" s="92"/>
    </row>
    <row r="26" spans="1:20" x14ac:dyDescent="0.3">
      <c r="A26" s="72" t="s">
        <v>43</v>
      </c>
      <c r="B26" s="70"/>
      <c r="C26" s="73" t="str">
        <f t="shared" ref="C26:Q26" si="5">C5</f>
        <v>FY-3</v>
      </c>
      <c r="D26" s="73" t="str">
        <f t="shared" si="5"/>
        <v>FY-2</v>
      </c>
      <c r="E26" s="73" t="str">
        <f t="shared" si="5"/>
        <v>FY-1</v>
      </c>
      <c r="F26" s="100" t="str">
        <f t="shared" si="5"/>
        <v>FY0</v>
      </c>
      <c r="G26" s="73" t="str">
        <f t="shared" si="5"/>
        <v>FY1</v>
      </c>
      <c r="H26" s="73" t="str">
        <f t="shared" si="5"/>
        <v>FY2</v>
      </c>
      <c r="I26" s="73" t="str">
        <f t="shared" si="5"/>
        <v>FY3</v>
      </c>
      <c r="J26" s="73" t="str">
        <f t="shared" si="5"/>
        <v>FY4</v>
      </c>
      <c r="K26" s="73" t="str">
        <f t="shared" si="5"/>
        <v>FY5</v>
      </c>
      <c r="L26" s="73" t="str">
        <f t="shared" si="5"/>
        <v>FY6</v>
      </c>
      <c r="M26" s="73" t="str">
        <f t="shared" si="5"/>
        <v>FY7</v>
      </c>
      <c r="N26" s="73" t="str">
        <f t="shared" si="5"/>
        <v>FY8</v>
      </c>
      <c r="O26" s="73" t="str">
        <f t="shared" si="5"/>
        <v>FY9</v>
      </c>
      <c r="P26" s="73" t="str">
        <f t="shared" si="5"/>
        <v>FY10</v>
      </c>
      <c r="Q26" s="73" t="str">
        <f t="shared" si="5"/>
        <v>FY11</v>
      </c>
    </row>
    <row r="27" spans="1:20" x14ac:dyDescent="0.3">
      <c r="A27" s="70"/>
      <c r="B27" s="70"/>
      <c r="C27" s="70"/>
      <c r="D27" s="70"/>
      <c r="E27" s="70"/>
      <c r="F27" s="94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20" x14ac:dyDescent="0.3">
      <c r="B28" s="441" t="s">
        <v>351</v>
      </c>
      <c r="C28" s="41"/>
      <c r="D28" s="41"/>
      <c r="E28" s="41"/>
      <c r="F28" s="132"/>
      <c r="G28" s="106">
        <f>'GF Analysis'!G33</f>
        <v>5.0000000000000001E-3</v>
      </c>
      <c r="H28" s="58">
        <f>'GF Analysis'!H33</f>
        <v>7.4999999999999997E-3</v>
      </c>
      <c r="I28" s="58">
        <f>'GF Analysis'!I33</f>
        <v>0.01</v>
      </c>
      <c r="J28" s="58">
        <f>'GF Analysis'!J33</f>
        <v>1.4999999999999999E-2</v>
      </c>
      <c r="K28" s="58">
        <f>'GF Analysis'!K33</f>
        <v>0.02</v>
      </c>
      <c r="L28" s="58">
        <f>'GF Analysis'!L33</f>
        <v>2.2499999999999999E-2</v>
      </c>
      <c r="M28" s="58">
        <f>'GF Analysis'!M33</f>
        <v>2.75E-2</v>
      </c>
      <c r="N28" s="58">
        <f>'GF Analysis'!N33</f>
        <v>2.75E-2</v>
      </c>
      <c r="O28" s="58">
        <f>'GF Analysis'!O33</f>
        <v>0.03</v>
      </c>
      <c r="P28" s="58">
        <f>'GF Analysis'!P33</f>
        <v>0.03</v>
      </c>
      <c r="Q28" s="58">
        <f>'GF Analysis'!Q33</f>
        <v>0.03</v>
      </c>
    </row>
    <row r="29" spans="1:20" x14ac:dyDescent="0.3">
      <c r="B29" s="49" t="s">
        <v>352</v>
      </c>
      <c r="C29" s="41"/>
      <c r="D29" s="41"/>
      <c r="E29" s="41"/>
      <c r="F29" s="132"/>
      <c r="G29" s="107">
        <f>'GF Analysis'!G34</f>
        <v>205769.96</v>
      </c>
      <c r="H29" s="60">
        <f>'GF Analysis'!H34</f>
        <v>302105.53499999997</v>
      </c>
      <c r="I29" s="60">
        <f>'GF Analysis'!I34</f>
        <v>410733.40920000005</v>
      </c>
      <c r="J29" s="60">
        <f>'GF Analysis'!J34</f>
        <v>627578.18143124995</v>
      </c>
      <c r="K29" s="60">
        <f>'GF Analysis'!K34</f>
        <v>862193.12876470503</v>
      </c>
      <c r="L29" s="60">
        <f>'GF Analysis'!L34</f>
        <v>990737.95224693022</v>
      </c>
      <c r="M29" s="60">
        <f>'GF Analysis'!M34</f>
        <v>1238057.3615717068</v>
      </c>
      <c r="N29" s="60">
        <f>'GF Analysis'!N34</f>
        <v>1266113.9108732436</v>
      </c>
      <c r="O29" s="60">
        <f>'GF Analysis'!O34</f>
        <v>1412569.4798600178</v>
      </c>
      <c r="P29" s="60">
        <f>'GF Analysis'!P34</f>
        <v>1444689.4538801059</v>
      </c>
      <c r="Q29" s="60">
        <f>'GF Analysis'!Q34</f>
        <v>1477593.9380880026</v>
      </c>
    </row>
    <row r="30" spans="1:20" x14ac:dyDescent="0.3">
      <c r="B30" s="49" t="s">
        <v>49</v>
      </c>
      <c r="C30" s="60">
        <f>'GF Analysis'!C22+'GF Analysis'!C53</f>
        <v>1552837</v>
      </c>
      <c r="D30" s="60">
        <f>'GF Analysis'!D22+'GF Analysis'!D53</f>
        <v>1498272.5</v>
      </c>
      <c r="E30" s="60">
        <f>'GF Analysis'!E22+'GF Analysis'!E53</f>
        <v>1227878</v>
      </c>
      <c r="F30" s="108">
        <f>'GF Analysis'!F22+'GF Analysis'!F53</f>
        <v>1005353</v>
      </c>
      <c r="G30" s="107">
        <f>'GF Analysis'!G22+'GF Analysis'!G53</f>
        <v>964578</v>
      </c>
      <c r="H30" s="60">
        <f>'GF Analysis'!H22+'GF Analysis'!H53</f>
        <v>834934</v>
      </c>
      <c r="I30" s="60">
        <f>'GF Analysis'!I22+'GF Analysis'!I53</f>
        <v>655840</v>
      </c>
      <c r="J30" s="60">
        <f>'GF Analysis'!J22+'GF Analysis'!J53</f>
        <v>960053</v>
      </c>
      <c r="K30" s="60">
        <f>'GF Analysis'!K22+'GF Analysis'!K53</f>
        <v>893146</v>
      </c>
      <c r="L30" s="60">
        <f>'GF Analysis'!L22+'GF Analysis'!L53</f>
        <v>866840</v>
      </c>
      <c r="M30" s="60">
        <f>'GF Analysis'!M22+'GF Analysis'!M53</f>
        <v>1348994</v>
      </c>
      <c r="N30" s="60">
        <f>'GF Analysis'!N22+'GF Analysis'!N53</f>
        <v>1331147</v>
      </c>
      <c r="O30" s="60">
        <f>'GF Analysis'!O22+'GF Analysis'!O53</f>
        <v>1313301</v>
      </c>
      <c r="P30" s="60">
        <f>'GF Analysis'!P22+'GF Analysis'!P53</f>
        <v>1295455</v>
      </c>
      <c r="Q30" s="60">
        <f>'GF Analysis'!Q22+'GF Analysis'!Q53</f>
        <v>1277609</v>
      </c>
    </row>
    <row r="31" spans="1:20" x14ac:dyDescent="0.3">
      <c r="B31" s="45" t="s">
        <v>378</v>
      </c>
      <c r="C31" s="54">
        <f t="shared" ref="C31:P31" si="6">SUM(C29:C30)</f>
        <v>1552837</v>
      </c>
      <c r="D31" s="54">
        <f t="shared" si="6"/>
        <v>1498272.5</v>
      </c>
      <c r="E31" s="54">
        <f t="shared" si="6"/>
        <v>1227878</v>
      </c>
      <c r="F31" s="101">
        <f t="shared" si="6"/>
        <v>1005353</v>
      </c>
      <c r="G31" s="82">
        <f t="shared" si="6"/>
        <v>1170347.96</v>
      </c>
      <c r="H31" s="54">
        <f t="shared" si="6"/>
        <v>1137039.5349999999</v>
      </c>
      <c r="I31" s="54">
        <f t="shared" si="6"/>
        <v>1066573.4092000001</v>
      </c>
      <c r="J31" s="54">
        <f t="shared" si="6"/>
        <v>1587631.1814312499</v>
      </c>
      <c r="K31" s="54">
        <f t="shared" si="6"/>
        <v>1755339.128764705</v>
      </c>
      <c r="L31" s="54">
        <f t="shared" si="6"/>
        <v>1857577.9522469302</v>
      </c>
      <c r="M31" s="54">
        <f t="shared" si="6"/>
        <v>2587051.3615717068</v>
      </c>
      <c r="N31" s="54">
        <f t="shared" si="6"/>
        <v>2597260.9108732436</v>
      </c>
      <c r="O31" s="54">
        <f t="shared" si="6"/>
        <v>2725870.479860018</v>
      </c>
      <c r="P31" s="54">
        <f t="shared" si="6"/>
        <v>2740144.4538801061</v>
      </c>
      <c r="Q31" s="54">
        <f t="shared" ref="Q31" si="7">SUM(Q29:Q30)</f>
        <v>2755202.9380880026</v>
      </c>
    </row>
    <row r="32" spans="1:20" s="61" customFormat="1" x14ac:dyDescent="0.3">
      <c r="B32" s="48" t="s">
        <v>50</v>
      </c>
      <c r="C32" s="64">
        <f>C31/'GF Analysis'!C$11</f>
        <v>4.2151507388091744E-2</v>
      </c>
      <c r="D32" s="64">
        <f>D31/'GF Analysis'!D$11</f>
        <v>3.9856763606507695E-2</v>
      </c>
      <c r="E32" s="64">
        <f>E31/'GF Analysis'!E$11</f>
        <v>3.1170499237782725E-2</v>
      </c>
      <c r="F32" s="97">
        <f>F31/'GF Analysis'!F$11</f>
        <v>2.5356583857013053E-2</v>
      </c>
      <c r="G32" s="88">
        <f>G31/'GF Analysis'!G$11</f>
        <v>2.8438260861789542E-2</v>
      </c>
      <c r="H32" s="64">
        <f>H31/'GF Analysis'!H$11</f>
        <v>2.8227872463508486E-2</v>
      </c>
      <c r="I32" s="64">
        <f>I31/'GF Analysis'!I$11</f>
        <v>2.5967534788012565E-2</v>
      </c>
      <c r="J32" s="64">
        <f>J31/'GF Analysis'!J$11</f>
        <v>3.7946615140694751E-2</v>
      </c>
      <c r="K32" s="64">
        <f>K31/'GF Analysis'!K$11</f>
        <v>4.0718003199112528E-2</v>
      </c>
      <c r="L32" s="64">
        <f>L31/'GF Analysis'!L$11</f>
        <v>4.2186234847233224E-2</v>
      </c>
      <c r="M32" s="64">
        <f>M31/'GF Analysis'!M$11</f>
        <v>5.7464148795904856E-2</v>
      </c>
      <c r="N32" s="64">
        <f>N31/'GF Analysis'!N$11</f>
        <v>5.6412518996614085E-2</v>
      </c>
      <c r="O32" s="64">
        <f>O31/'GF Analysis'!O$11</f>
        <v>5.7891746609097315E-2</v>
      </c>
      <c r="P32" s="64">
        <f>P31/'GF Analysis'!P$11</f>
        <v>5.6901040840037366E-2</v>
      </c>
      <c r="Q32" s="64">
        <f>Q31/'GF Analysis'!Q$11</f>
        <v>5.5939650273333245E-2</v>
      </c>
    </row>
    <row r="33" spans="1:17" x14ac:dyDescent="0.3">
      <c r="B33" s="440" t="s">
        <v>353</v>
      </c>
      <c r="C33" s="105">
        <f>IFERROR(IF(C7&gt;C29,0,C29-C7),"")</f>
        <v>0</v>
      </c>
      <c r="D33" s="105">
        <f>IFERROR(IF(D7&gt;D29,0,D29-D7),"")</f>
        <v>0</v>
      </c>
      <c r="E33" s="105">
        <f t="shared" ref="E33:Q33" si="8">IFERROR(IF(E7&gt;E29,0,E29-E7),"")</f>
        <v>0</v>
      </c>
      <c r="F33" s="432">
        <f t="shared" si="8"/>
        <v>0</v>
      </c>
      <c r="G33" s="431">
        <f>IFERROR(IF(G7&gt;G29,0,G29-G7),"")</f>
        <v>51259.959999999992</v>
      </c>
      <c r="H33" s="105">
        <f t="shared" si="8"/>
        <v>125795.53499999997</v>
      </c>
      <c r="I33" s="105">
        <f t="shared" si="8"/>
        <v>214465.40920000005</v>
      </c>
      <c r="J33" s="105">
        <f t="shared" si="8"/>
        <v>437168.18143124995</v>
      </c>
      <c r="K33" s="105">
        <f t="shared" si="8"/>
        <v>672390.12876470503</v>
      </c>
      <c r="L33" s="105">
        <f t="shared" si="8"/>
        <v>841341.95224693022</v>
      </c>
      <c r="M33" s="105">
        <f t="shared" si="8"/>
        <v>1106529.3615717068</v>
      </c>
      <c r="N33" s="105">
        <f t="shared" si="8"/>
        <v>1132052.9108732436</v>
      </c>
      <c r="O33" s="105">
        <f t="shared" si="8"/>
        <v>1270775.4798600178</v>
      </c>
      <c r="P33" s="105">
        <f t="shared" si="8"/>
        <v>1318169.4538801059</v>
      </c>
      <c r="Q33" s="105">
        <f t="shared" si="8"/>
        <v>1454933.9380880026</v>
      </c>
    </row>
    <row r="34" spans="1:17" s="61" customFormat="1" x14ac:dyDescent="0.3">
      <c r="F34" s="102"/>
    </row>
    <row r="35" spans="1:17" s="61" customFormat="1" x14ac:dyDescent="0.3">
      <c r="B35" s="441" t="s">
        <v>42</v>
      </c>
      <c r="C35" s="41"/>
      <c r="D35" s="41"/>
      <c r="E35" s="41"/>
      <c r="F35" s="132"/>
      <c r="G35" s="83">
        <f>'GF Analysis'!G75</f>
        <v>1.2500000000000001E-2</v>
      </c>
      <c r="H35" s="67">
        <f>'GF Analysis'!H75</f>
        <v>1.4999999999999999E-2</v>
      </c>
      <c r="I35" s="67">
        <f>'GF Analysis'!I75</f>
        <v>1.4999999999999999E-2</v>
      </c>
      <c r="J35" s="67">
        <f>'GF Analysis'!J75</f>
        <v>1.4999999999999999E-2</v>
      </c>
      <c r="K35" s="67">
        <f>'GF Analysis'!K75</f>
        <v>0.02</v>
      </c>
      <c r="L35" s="67">
        <f>'GF Analysis'!L75</f>
        <v>0.02</v>
      </c>
      <c r="M35" s="67">
        <f>'GF Analysis'!M75</f>
        <v>0.02</v>
      </c>
      <c r="N35" s="67">
        <f>'GF Analysis'!N75</f>
        <v>2.5000000000000001E-2</v>
      </c>
      <c r="O35" s="67">
        <f>'GF Analysis'!O75</f>
        <v>2.5000000000000001E-2</v>
      </c>
      <c r="P35" s="67">
        <f>'GF Analysis'!P75</f>
        <v>0.03</v>
      </c>
      <c r="Q35" s="67">
        <f>'GF Analysis'!Q75</f>
        <v>0.03</v>
      </c>
    </row>
    <row r="36" spans="1:17" x14ac:dyDescent="0.3">
      <c r="B36" s="472" t="s">
        <v>354</v>
      </c>
      <c r="C36" s="41"/>
      <c r="D36" s="41"/>
      <c r="E36" s="41"/>
      <c r="F36" s="132"/>
      <c r="G36" s="107">
        <f>'GF Analysis'!G76</f>
        <v>514424.9</v>
      </c>
      <c r="H36" s="60">
        <f>'GF Analysis'!H76</f>
        <v>604211.06999999995</v>
      </c>
      <c r="I36" s="60">
        <f>'GF Analysis'!I76</f>
        <v>616100.11380000005</v>
      </c>
      <c r="J36" s="60">
        <f>'GF Analysis'!J76</f>
        <v>627578.18143124995</v>
      </c>
      <c r="K36" s="60">
        <f>'GF Analysis'!K76</f>
        <v>862193.12876470503</v>
      </c>
      <c r="L36" s="60">
        <f>'GF Analysis'!L76</f>
        <v>880655.95755282685</v>
      </c>
      <c r="M36" s="60">
        <f>'GF Analysis'!M76</f>
        <v>900405.35387033224</v>
      </c>
      <c r="N36" s="60">
        <f>'GF Analysis'!N76</f>
        <v>1151012.6462484032</v>
      </c>
      <c r="O36" s="60">
        <f>'GF Analysis'!O76</f>
        <v>1177141.2332166815</v>
      </c>
      <c r="P36" s="60">
        <f>'GF Analysis'!P76</f>
        <v>1444689.4538801059</v>
      </c>
      <c r="Q36" s="60">
        <f>'GF Analysis'!Q76</f>
        <v>1477593.9380880026</v>
      </c>
    </row>
    <row r="37" spans="1:17" x14ac:dyDescent="0.3">
      <c r="B37" s="441" t="s">
        <v>355</v>
      </c>
      <c r="C37" s="60">
        <f>'GF Analysis'!C64+'GF Analysis'!C94</f>
        <v>0</v>
      </c>
      <c r="D37" s="60">
        <f>'GF Analysis'!D64+'GF Analysis'!D94</f>
        <v>0</v>
      </c>
      <c r="E37" s="60">
        <f>'GF Analysis'!E64+'GF Analysis'!E94</f>
        <v>150000</v>
      </c>
      <c r="F37" s="108">
        <f>'GF Analysis'!F64+'GF Analysis'!F94</f>
        <v>0</v>
      </c>
      <c r="G37" s="107">
        <f>'GF Analysis'!G64+'GF Analysis'!G94</f>
        <v>0</v>
      </c>
      <c r="H37" s="60">
        <f>'GF Analysis'!H64+'GF Analysis'!H94</f>
        <v>1000000</v>
      </c>
      <c r="I37" s="60">
        <f>'GF Analysis'!I64+'GF Analysis'!I94</f>
        <v>0</v>
      </c>
      <c r="J37" s="60">
        <f>'GF Analysis'!J64+'GF Analysis'!J94</f>
        <v>0</v>
      </c>
      <c r="K37" s="60">
        <f>'GF Analysis'!K64+'GF Analysis'!K94</f>
        <v>0</v>
      </c>
      <c r="L37" s="60">
        <f>'GF Analysis'!L64+'GF Analysis'!L94</f>
        <v>0</v>
      </c>
      <c r="M37" s="60">
        <f>'GF Analysis'!M64+'GF Analysis'!M94</f>
        <v>0</v>
      </c>
      <c r="N37" s="60">
        <f>'GF Analysis'!N64+'GF Analysis'!N94</f>
        <v>0</v>
      </c>
      <c r="O37" s="60">
        <f>'GF Analysis'!O64+'GF Analysis'!O94</f>
        <v>0</v>
      </c>
      <c r="P37" s="60">
        <f>'GF Analysis'!P64+'GF Analysis'!P94</f>
        <v>0</v>
      </c>
      <c r="Q37" s="60">
        <f>'GF Analysis'!Q64+'GF Analysis'!Q94</f>
        <v>0</v>
      </c>
    </row>
    <row r="38" spans="1:17" x14ac:dyDescent="0.3">
      <c r="B38" s="45" t="s">
        <v>356</v>
      </c>
      <c r="C38" s="54">
        <f t="shared" ref="C38" si="9">SUM(C36:C37)</f>
        <v>0</v>
      </c>
      <c r="D38" s="54">
        <f t="shared" ref="D38:Q38" si="10">SUM(D36:D37)</f>
        <v>0</v>
      </c>
      <c r="E38" s="54">
        <f t="shared" si="10"/>
        <v>150000</v>
      </c>
      <c r="F38" s="101">
        <f t="shared" si="10"/>
        <v>0</v>
      </c>
      <c r="G38" s="82">
        <f t="shared" si="10"/>
        <v>514424.9</v>
      </c>
      <c r="H38" s="54">
        <f t="shared" si="10"/>
        <v>1604211.0699999998</v>
      </c>
      <c r="I38" s="54">
        <f t="shared" si="10"/>
        <v>616100.11380000005</v>
      </c>
      <c r="J38" s="54">
        <f t="shared" si="10"/>
        <v>627578.18143124995</v>
      </c>
      <c r="K38" s="54">
        <f t="shared" si="10"/>
        <v>862193.12876470503</v>
      </c>
      <c r="L38" s="54">
        <f t="shared" si="10"/>
        <v>880655.95755282685</v>
      </c>
      <c r="M38" s="54">
        <f t="shared" si="10"/>
        <v>900405.35387033224</v>
      </c>
      <c r="N38" s="54">
        <f t="shared" si="10"/>
        <v>1151012.6462484032</v>
      </c>
      <c r="O38" s="54">
        <f t="shared" si="10"/>
        <v>1177141.2332166815</v>
      </c>
      <c r="P38" s="54">
        <f t="shared" si="10"/>
        <v>1444689.4538801059</v>
      </c>
      <c r="Q38" s="54">
        <f t="shared" si="10"/>
        <v>1477593.9380880026</v>
      </c>
    </row>
    <row r="39" spans="1:17" x14ac:dyDescent="0.3">
      <c r="B39" s="470" t="s">
        <v>30</v>
      </c>
      <c r="C39" s="64">
        <f>C38/'GF Analysis'!C$11</f>
        <v>0</v>
      </c>
      <c r="D39" s="64">
        <f>D38/'GF Analysis'!D$11</f>
        <v>0</v>
      </c>
      <c r="E39" s="64">
        <f>E38/'GF Analysis'!E$11</f>
        <v>3.8078497095537247E-3</v>
      </c>
      <c r="F39" s="97">
        <f>F38/'GF Analysis'!F$11</f>
        <v>0</v>
      </c>
      <c r="G39" s="88">
        <f>G38/'GF Analysis'!G$11</f>
        <v>1.2500000000000001E-2</v>
      </c>
      <c r="H39" s="64">
        <f>H38/'GF Analysis'!H$11</f>
        <v>3.9825761633265004E-2</v>
      </c>
      <c r="I39" s="64">
        <f>I38/'GF Analysis'!I$11</f>
        <v>1.5000000000000001E-2</v>
      </c>
      <c r="J39" s="64">
        <f>J38/'GF Analysis'!J$11</f>
        <v>1.4999999999999998E-2</v>
      </c>
      <c r="K39" s="64">
        <f>K38/'GF Analysis'!K$11</f>
        <v>0.02</v>
      </c>
      <c r="L39" s="64">
        <f>L38/'GF Analysis'!L$11</f>
        <v>0.02</v>
      </c>
      <c r="M39" s="64">
        <f>M38/'GF Analysis'!M$11</f>
        <v>0.02</v>
      </c>
      <c r="N39" s="64">
        <f>N38/'GF Analysis'!N$11</f>
        <v>2.5000000000000001E-2</v>
      </c>
      <c r="O39" s="64">
        <f>O38/'GF Analysis'!O$11</f>
        <v>2.5000000000000001E-2</v>
      </c>
      <c r="P39" s="64">
        <f>P38/'GF Analysis'!P$11</f>
        <v>0.03</v>
      </c>
      <c r="Q39" s="64">
        <f>Q38/'GF Analysis'!Q$11</f>
        <v>3.0000000000000002E-2</v>
      </c>
    </row>
    <row r="40" spans="1:17" x14ac:dyDescent="0.3">
      <c r="B40" s="440" t="s">
        <v>48</v>
      </c>
      <c r="C40" s="105">
        <f>IFERROR(IF(C13&gt;C36,0,C36-C13),"")</f>
        <v>0</v>
      </c>
      <c r="D40" s="105">
        <f>IFERROR(IF(D13&gt;D36,0,D36-D13),"")</f>
        <v>0</v>
      </c>
      <c r="E40" s="105">
        <f>IFERROR(IF(E13&gt;E36,0,E36-E13),"")</f>
        <v>0</v>
      </c>
      <c r="F40" s="432">
        <f t="shared" ref="F40:Q40" si="11">IFERROR(IF(F13&gt;F36,0,F36-F13),"")</f>
        <v>0</v>
      </c>
      <c r="G40" s="431">
        <f t="shared" si="11"/>
        <v>0</v>
      </c>
      <c r="H40" s="105">
        <f t="shared" si="11"/>
        <v>122211.06999999995</v>
      </c>
      <c r="I40" s="105">
        <f t="shared" si="11"/>
        <v>14100.11380000005</v>
      </c>
      <c r="J40" s="105">
        <f t="shared" si="11"/>
        <v>347578.18143124995</v>
      </c>
      <c r="K40" s="105">
        <f t="shared" si="11"/>
        <v>747193.12876470503</v>
      </c>
      <c r="L40" s="105">
        <f t="shared" si="11"/>
        <v>770655.95755282685</v>
      </c>
      <c r="M40" s="105">
        <f t="shared" si="11"/>
        <v>900405.35387033224</v>
      </c>
      <c r="N40" s="105">
        <f t="shared" si="11"/>
        <v>1011012.6462484032</v>
      </c>
      <c r="O40" s="105">
        <f t="shared" si="11"/>
        <v>1087141.2332166815</v>
      </c>
      <c r="P40" s="105">
        <f t="shared" si="11"/>
        <v>1372689.4538801059</v>
      </c>
      <c r="Q40" s="105">
        <f t="shared" si="11"/>
        <v>1477593.9380880026</v>
      </c>
    </row>
    <row r="41" spans="1:17" x14ac:dyDescent="0.3">
      <c r="F41" s="92"/>
    </row>
    <row r="42" spans="1:17" x14ac:dyDescent="0.3">
      <c r="B42" s="56" t="s">
        <v>39</v>
      </c>
      <c r="F42" s="92"/>
    </row>
    <row r="43" spans="1:17" x14ac:dyDescent="0.3">
      <c r="B43" s="40" t="s">
        <v>46</v>
      </c>
      <c r="C43" s="57">
        <f t="shared" ref="C43:Q43" si="12">C31</f>
        <v>1552837</v>
      </c>
      <c r="D43" s="57">
        <f t="shared" si="12"/>
        <v>1498272.5</v>
      </c>
      <c r="E43" s="57">
        <f t="shared" si="12"/>
        <v>1227878</v>
      </c>
      <c r="F43" s="103">
        <f t="shared" si="12"/>
        <v>1005353</v>
      </c>
      <c r="G43" s="84">
        <f t="shared" si="12"/>
        <v>1170347.96</v>
      </c>
      <c r="H43" s="57">
        <f t="shared" si="12"/>
        <v>1137039.5349999999</v>
      </c>
      <c r="I43" s="57">
        <f t="shared" si="12"/>
        <v>1066573.4092000001</v>
      </c>
      <c r="J43" s="57">
        <f t="shared" si="12"/>
        <v>1587631.1814312499</v>
      </c>
      <c r="K43" s="57">
        <f t="shared" si="12"/>
        <v>1755339.128764705</v>
      </c>
      <c r="L43" s="57">
        <f t="shared" si="12"/>
        <v>1857577.9522469302</v>
      </c>
      <c r="M43" s="57">
        <f t="shared" si="12"/>
        <v>2587051.3615717068</v>
      </c>
      <c r="N43" s="57">
        <f t="shared" si="12"/>
        <v>2597260.9108732436</v>
      </c>
      <c r="O43" s="57">
        <f t="shared" si="12"/>
        <v>2725870.479860018</v>
      </c>
      <c r="P43" s="57">
        <f t="shared" si="12"/>
        <v>2740144.4538801061</v>
      </c>
      <c r="Q43" s="57">
        <f t="shared" si="12"/>
        <v>2755202.9380880026</v>
      </c>
    </row>
    <row r="44" spans="1:17" x14ac:dyDescent="0.3">
      <c r="B44" s="40" t="s">
        <v>47</v>
      </c>
      <c r="C44" s="57">
        <f t="shared" ref="C44:Q44" si="13">C38</f>
        <v>0</v>
      </c>
      <c r="D44" s="57">
        <f t="shared" si="13"/>
        <v>0</v>
      </c>
      <c r="E44" s="57">
        <f t="shared" si="13"/>
        <v>150000</v>
      </c>
      <c r="F44" s="103">
        <f t="shared" si="13"/>
        <v>0</v>
      </c>
      <c r="G44" s="84">
        <f t="shared" si="13"/>
        <v>514424.9</v>
      </c>
      <c r="H44" s="57">
        <f t="shared" si="13"/>
        <v>1604211.0699999998</v>
      </c>
      <c r="I44" s="57">
        <f t="shared" si="13"/>
        <v>616100.11380000005</v>
      </c>
      <c r="J44" s="57">
        <f t="shared" si="13"/>
        <v>627578.18143124995</v>
      </c>
      <c r="K44" s="57">
        <f t="shared" si="13"/>
        <v>862193.12876470503</v>
      </c>
      <c r="L44" s="57">
        <f t="shared" si="13"/>
        <v>880655.95755282685</v>
      </c>
      <c r="M44" s="57">
        <f t="shared" si="13"/>
        <v>900405.35387033224</v>
      </c>
      <c r="N44" s="57">
        <f t="shared" si="13"/>
        <v>1151012.6462484032</v>
      </c>
      <c r="O44" s="57">
        <f t="shared" si="13"/>
        <v>1177141.2332166815</v>
      </c>
      <c r="P44" s="57">
        <f t="shared" si="13"/>
        <v>1444689.4538801059</v>
      </c>
      <c r="Q44" s="57">
        <f t="shared" si="13"/>
        <v>1477593.9380880026</v>
      </c>
    </row>
    <row r="45" spans="1:17" x14ac:dyDescent="0.3">
      <c r="B45" s="43" t="s">
        <v>45</v>
      </c>
      <c r="C45" s="54">
        <f t="shared" ref="C45:E45" si="14">SUM(C43:C44)</f>
        <v>1552837</v>
      </c>
      <c r="D45" s="54">
        <f t="shared" si="14"/>
        <v>1498272.5</v>
      </c>
      <c r="E45" s="54">
        <f t="shared" si="14"/>
        <v>1377878</v>
      </c>
      <c r="F45" s="101">
        <f>SUM(F43:F44)</f>
        <v>1005353</v>
      </c>
      <c r="G45" s="82">
        <f t="shared" ref="G45:Q45" si="15">SUM(G43:G44)</f>
        <v>1684772.8599999999</v>
      </c>
      <c r="H45" s="54">
        <f t="shared" si="15"/>
        <v>2741250.6049999995</v>
      </c>
      <c r="I45" s="54">
        <f t="shared" si="15"/>
        <v>1682673.523</v>
      </c>
      <c r="J45" s="54">
        <f t="shared" si="15"/>
        <v>2215209.3628624999</v>
      </c>
      <c r="K45" s="54">
        <f t="shared" si="15"/>
        <v>2617532.2575294101</v>
      </c>
      <c r="L45" s="54">
        <f t="shared" si="15"/>
        <v>2738233.9097997569</v>
      </c>
      <c r="M45" s="54">
        <f t="shared" si="15"/>
        <v>3487456.7154420391</v>
      </c>
      <c r="N45" s="54">
        <f t="shared" si="15"/>
        <v>3748273.5571216466</v>
      </c>
      <c r="O45" s="54">
        <f t="shared" si="15"/>
        <v>3903011.7130766995</v>
      </c>
      <c r="P45" s="54">
        <f t="shared" si="15"/>
        <v>4184833.9077602122</v>
      </c>
      <c r="Q45" s="54">
        <f t="shared" si="15"/>
        <v>4232796.8761760052</v>
      </c>
    </row>
    <row r="46" spans="1:17" x14ac:dyDescent="0.3">
      <c r="A46" s="50" t="s">
        <v>41</v>
      </c>
      <c r="B46" s="43" t="s">
        <v>44</v>
      </c>
      <c r="C46" s="68">
        <f>C45/'GF Analysis'!C$11</f>
        <v>4.2151507388091744E-2</v>
      </c>
      <c r="D46" s="68">
        <f>D45/'GF Analysis'!D$11</f>
        <v>3.9856763606507695E-2</v>
      </c>
      <c r="E46" s="68">
        <f>E45/'GF Analysis'!E$11</f>
        <v>3.4978348947336452E-2</v>
      </c>
      <c r="F46" s="104">
        <f>F45/'GF Analysis'!F$11</f>
        <v>2.5356583857013053E-2</v>
      </c>
      <c r="G46" s="86">
        <f>G45/'GF Analysis'!G$11</f>
        <v>4.093826086178954E-2</v>
      </c>
      <c r="H46" s="68">
        <f>H45/'GF Analysis'!H$11</f>
        <v>6.8053634096773494E-2</v>
      </c>
      <c r="I46" s="68">
        <f>I45/'GF Analysis'!I$11</f>
        <v>4.0967534788012565E-2</v>
      </c>
      <c r="J46" s="68">
        <f>J45/'GF Analysis'!J$11</f>
        <v>5.294661514069475E-2</v>
      </c>
      <c r="K46" s="68">
        <f>K45/'GF Analysis'!K$11</f>
        <v>6.0718003199112525E-2</v>
      </c>
      <c r="L46" s="68">
        <f>L45/'GF Analysis'!L$11</f>
        <v>6.2186234847233221E-2</v>
      </c>
      <c r="M46" s="68">
        <f>M45/'GF Analysis'!M$11</f>
        <v>7.7464148795904852E-2</v>
      </c>
      <c r="N46" s="68">
        <f>N45/'GF Analysis'!N$11</f>
        <v>8.1412518996614072E-2</v>
      </c>
      <c r="O46" s="68">
        <f>O45/'GF Analysis'!O$11</f>
        <v>8.2891746609097317E-2</v>
      </c>
      <c r="P46" s="68">
        <f>P45/'GF Analysis'!P$11</f>
        <v>8.6901040840037372E-2</v>
      </c>
      <c r="Q46" s="68">
        <f>Q45/'GF Analysis'!Q$11</f>
        <v>8.5939650273333251E-2</v>
      </c>
    </row>
    <row r="47" spans="1:17" x14ac:dyDescent="0.3">
      <c r="F47" s="92"/>
    </row>
    <row r="48" spans="1:17" x14ac:dyDescent="0.3">
      <c r="A48" s="50" t="s">
        <v>41</v>
      </c>
      <c r="B48" s="50" t="s">
        <v>51</v>
      </c>
    </row>
  </sheetData>
  <pageMargins left="0.2" right="0.2" top="0.55000000000000004" bottom="0.75" header="0.3" footer="0.3"/>
  <pageSetup scale="84" orientation="landscape" r:id="rId1"/>
  <headerFooter>
    <oddFooter>&amp;CPage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104"/>
  <sheetViews>
    <sheetView showGridLines="0" zoomScale="85" zoomScaleNormal="85" workbookViewId="0"/>
  </sheetViews>
  <sheetFormatPr defaultColWidth="9.33203125" defaultRowHeight="13" x14ac:dyDescent="0.3"/>
  <cols>
    <col min="1" max="1" width="4" style="30" customWidth="1"/>
    <col min="2" max="2" width="73.21875" style="7" customWidth="1"/>
    <col min="3" max="5" width="16" style="7" customWidth="1"/>
    <col min="6" max="17" width="16" style="4" customWidth="1"/>
    <col min="18" max="18" width="12.109375" style="4" customWidth="1"/>
    <col min="19" max="16384" width="9.33203125" style="4"/>
  </cols>
  <sheetData>
    <row r="1" spans="1:18" x14ac:dyDescent="0.3">
      <c r="A1" s="468" t="s">
        <v>52</v>
      </c>
      <c r="B1" s="76"/>
      <c r="C1" s="76"/>
      <c r="D1" s="76"/>
      <c r="E1" s="76"/>
    </row>
    <row r="2" spans="1:18" x14ac:dyDescent="0.3">
      <c r="A2" s="31" t="s">
        <v>27</v>
      </c>
      <c r="B2" s="77"/>
      <c r="C2" s="77"/>
      <c r="D2" s="77"/>
      <c r="E2" s="77"/>
    </row>
    <row r="3" spans="1:18" s="50" customFormat="1" x14ac:dyDescent="0.3">
      <c r="A3" s="78"/>
      <c r="F3" s="92"/>
    </row>
    <row r="4" spans="1:18" s="50" customFormat="1" x14ac:dyDescent="0.3">
      <c r="F4" s="92"/>
    </row>
    <row r="5" spans="1:18" s="2" customFormat="1" x14ac:dyDescent="0.3">
      <c r="A5" s="30"/>
      <c r="B5" s="1"/>
      <c r="C5" s="1"/>
      <c r="D5" s="1"/>
      <c r="E5" s="1"/>
      <c r="F5" s="120"/>
    </row>
    <row r="6" spans="1:18" s="11" customFormat="1" x14ac:dyDescent="0.3">
      <c r="A6" s="433" t="s">
        <v>22</v>
      </c>
      <c r="B6" s="24" t="s">
        <v>4</v>
      </c>
      <c r="C6" s="79" t="s">
        <v>425</v>
      </c>
      <c r="D6" s="79" t="s">
        <v>424</v>
      </c>
      <c r="E6" s="79" t="s">
        <v>423</v>
      </c>
      <c r="F6" s="121" t="s">
        <v>422</v>
      </c>
      <c r="G6" s="25" t="s">
        <v>410</v>
      </c>
      <c r="H6" s="25" t="s">
        <v>411</v>
      </c>
      <c r="I6" s="25" t="s">
        <v>412</v>
      </c>
      <c r="J6" s="25" t="s">
        <v>413</v>
      </c>
      <c r="K6" s="25" t="s">
        <v>414</v>
      </c>
      <c r="L6" s="25" t="s">
        <v>415</v>
      </c>
      <c r="M6" s="25" t="s">
        <v>416</v>
      </c>
      <c r="N6" s="25" t="s">
        <v>417</v>
      </c>
      <c r="O6" s="25" t="s">
        <v>418</v>
      </c>
      <c r="P6" s="25" t="s">
        <v>419</v>
      </c>
      <c r="Q6" s="25" t="s">
        <v>420</v>
      </c>
      <c r="R6" s="25" t="s">
        <v>421</v>
      </c>
    </row>
    <row r="7" spans="1:18" s="137" customFormat="1" x14ac:dyDescent="0.3">
      <c r="A7" s="434"/>
      <c r="B7" s="3" t="s">
        <v>1</v>
      </c>
      <c r="C7" s="14">
        <f>Revenues!C13</f>
        <v>27973452</v>
      </c>
      <c r="D7" s="14">
        <f>Revenues!D13</f>
        <v>28421506</v>
      </c>
      <c r="E7" s="14">
        <f>Revenues!E13</f>
        <v>29945879</v>
      </c>
      <c r="F7" s="14">
        <f>Revenues!F13</f>
        <v>30625963</v>
      </c>
      <c r="G7" s="14">
        <f>Revenues!G13</f>
        <v>31402851</v>
      </c>
      <c r="H7" s="14">
        <f>Revenues!H13</f>
        <v>32388514</v>
      </c>
      <c r="I7" s="14">
        <f>Revenues!I13</f>
        <v>33119468</v>
      </c>
      <c r="J7" s="14">
        <f>Revenues!J13</f>
        <v>33822487</v>
      </c>
      <c r="K7" s="14">
        <f>Revenues!K13</f>
        <v>35030866</v>
      </c>
      <c r="L7" s="14">
        <f>Revenues!L13</f>
        <v>35890729</v>
      </c>
      <c r="M7" s="14">
        <f>Revenues!M13</f>
        <v>36814363</v>
      </c>
      <c r="N7" s="14">
        <f>Revenues!N13</f>
        <v>37770205</v>
      </c>
      <c r="O7" s="14">
        <f>Revenues!O13</f>
        <v>38750388</v>
      </c>
      <c r="P7" s="14">
        <f>Revenues!P13</f>
        <v>39755523</v>
      </c>
      <c r="Q7" s="14">
        <f>Revenues!Q13</f>
        <v>40786233</v>
      </c>
    </row>
    <row r="8" spans="1:18" s="137" customFormat="1" x14ac:dyDescent="0.3">
      <c r="A8" s="434"/>
      <c r="B8" s="3" t="s">
        <v>2</v>
      </c>
      <c r="C8" s="14">
        <f>Revenues!C19+Revenues!C21</f>
        <v>3936012</v>
      </c>
      <c r="D8" s="14">
        <f>Revenues!D19+Revenues!D21</f>
        <v>4171581</v>
      </c>
      <c r="E8" s="14">
        <f>Revenues!E19+Revenues!E21</f>
        <v>4395723</v>
      </c>
      <c r="F8" s="122">
        <f>Revenues!F19+Revenues!F21</f>
        <v>4455553</v>
      </c>
      <c r="G8" s="113">
        <f>Revenues!G19+Revenues!G21</f>
        <v>4620995</v>
      </c>
      <c r="H8" s="14">
        <f>Revenues!H19+Revenues!H21</f>
        <v>4751269</v>
      </c>
      <c r="I8" s="14">
        <f>Revenues!I19+Revenues!I21</f>
        <v>4781905.9199999999</v>
      </c>
      <c r="J8" s="14">
        <f>Revenues!J19+Revenues!J21</f>
        <v>4812772.42875</v>
      </c>
      <c r="K8" s="14">
        <f>Revenues!K19+Revenues!K21</f>
        <v>4843870.4382352494</v>
      </c>
      <c r="L8" s="14">
        <f>Revenues!L19+Revenues!L21</f>
        <v>4875201.8776413407</v>
      </c>
      <c r="M8" s="14">
        <f>Revenues!M19+Revenues!M21</f>
        <v>4906768.6935166111</v>
      </c>
      <c r="N8" s="14">
        <f>Revenues!N19+Revenues!N21</f>
        <v>4938572.8499361286</v>
      </c>
      <c r="O8" s="14">
        <f>Revenues!O19+Revenues!O21</f>
        <v>4970616.3286672626</v>
      </c>
      <c r="P8" s="14">
        <f>Revenues!P19+Revenues!P21</f>
        <v>5002901.1293368675</v>
      </c>
      <c r="Q8" s="14">
        <f>Revenues!Q19+Revenues!Q21</f>
        <v>5035429.2696000831</v>
      </c>
    </row>
    <row r="9" spans="1:18" s="137" customFormat="1" x14ac:dyDescent="0.3">
      <c r="A9" s="434"/>
      <c r="B9" s="3" t="s">
        <v>371</v>
      </c>
      <c r="C9" s="14">
        <f>Revenues!C25</f>
        <v>3082000</v>
      </c>
      <c r="D9" s="14">
        <f>Revenues!D25</f>
        <v>3188000</v>
      </c>
      <c r="E9" s="14">
        <f>Revenues!E25</f>
        <v>2948000</v>
      </c>
      <c r="F9" s="122">
        <f>Revenues!F25</f>
        <v>3148879</v>
      </c>
      <c r="G9" s="113">
        <f>Revenues!G25</f>
        <v>3110252</v>
      </c>
      <c r="H9" s="14">
        <f>Revenues!H25</f>
        <v>3140955</v>
      </c>
      <c r="I9" s="14">
        <f>Revenues!I25</f>
        <v>3171967</v>
      </c>
      <c r="J9" s="14">
        <f>Revenues!J25</f>
        <v>3203286</v>
      </c>
      <c r="K9" s="14">
        <f>Revenues!K25</f>
        <v>3234920</v>
      </c>
      <c r="L9" s="14">
        <f>Revenues!L25</f>
        <v>3266867</v>
      </c>
      <c r="M9" s="14">
        <f>Revenues!M25</f>
        <v>3299136</v>
      </c>
      <c r="N9" s="14">
        <f>Revenues!N25</f>
        <v>3331728</v>
      </c>
      <c r="O9" s="14">
        <f>Revenues!O25</f>
        <v>3364645</v>
      </c>
      <c r="P9" s="14">
        <f>Revenues!P25</f>
        <v>3397891</v>
      </c>
      <c r="Q9" s="14">
        <f>Revenues!Q25</f>
        <v>3431469</v>
      </c>
    </row>
    <row r="10" spans="1:18" s="137" customFormat="1" x14ac:dyDescent="0.3">
      <c r="A10" s="434"/>
      <c r="B10" s="3" t="s">
        <v>3</v>
      </c>
      <c r="C10" s="14">
        <f>Revenues!C30</f>
        <v>1847954</v>
      </c>
      <c r="D10" s="14">
        <f>Revenues!D30</f>
        <v>1810337</v>
      </c>
      <c r="E10" s="14">
        <f>Revenues!E30</f>
        <v>2102709</v>
      </c>
      <c r="F10" s="122">
        <f>Revenues!F30</f>
        <v>1418203</v>
      </c>
      <c r="G10" s="113">
        <f>Revenues!G30</f>
        <v>2019894</v>
      </c>
      <c r="H10" s="14">
        <f>Revenues!H30</f>
        <v>0</v>
      </c>
      <c r="I10" s="14">
        <f>Revenues!I30</f>
        <v>0</v>
      </c>
      <c r="J10" s="14">
        <f>Revenues!J30</f>
        <v>0</v>
      </c>
      <c r="K10" s="14">
        <f>Revenues!K30</f>
        <v>0</v>
      </c>
      <c r="L10" s="14">
        <f>Revenues!L30</f>
        <v>0</v>
      </c>
      <c r="M10" s="14">
        <f>Revenues!M30</f>
        <v>0</v>
      </c>
      <c r="N10" s="14">
        <f>Revenues!N30</f>
        <v>0</v>
      </c>
      <c r="O10" s="14">
        <f>Revenues!O30</f>
        <v>0</v>
      </c>
      <c r="P10" s="14">
        <f>Revenues!P30</f>
        <v>0</v>
      </c>
      <c r="Q10" s="14">
        <f>Revenues!Q30</f>
        <v>0</v>
      </c>
    </row>
    <row r="11" spans="1:18" s="137" customFormat="1" x14ac:dyDescent="0.3">
      <c r="A11" s="434" t="s">
        <v>6</v>
      </c>
      <c r="B11" s="47" t="s">
        <v>5</v>
      </c>
      <c r="C11" s="15">
        <f>SUM(C7:C10)</f>
        <v>36839418</v>
      </c>
      <c r="D11" s="15">
        <f>SUM(D7:D10)</f>
        <v>37591424</v>
      </c>
      <c r="E11" s="15">
        <f>SUM(E7:E10)</f>
        <v>39392311</v>
      </c>
      <c r="F11" s="123">
        <f>SUM(F7:F10)</f>
        <v>39648598</v>
      </c>
      <c r="G11" s="114">
        <f t="shared" ref="G11:Q11" si="0">SUM(G7:G10)</f>
        <v>41153992</v>
      </c>
      <c r="H11" s="15">
        <f t="shared" si="0"/>
        <v>40280738</v>
      </c>
      <c r="I11" s="15">
        <f t="shared" si="0"/>
        <v>41073340.920000002</v>
      </c>
      <c r="J11" s="15">
        <f t="shared" si="0"/>
        <v>41838545.428750001</v>
      </c>
      <c r="K11" s="15">
        <f t="shared" si="0"/>
        <v>43109656.438235253</v>
      </c>
      <c r="L11" s="15">
        <f t="shared" si="0"/>
        <v>44032797.877641343</v>
      </c>
      <c r="M11" s="15">
        <f t="shared" si="0"/>
        <v>45020267.693516612</v>
      </c>
      <c r="N11" s="15">
        <f t="shared" si="0"/>
        <v>46040505.849936128</v>
      </c>
      <c r="O11" s="15">
        <f t="shared" si="0"/>
        <v>47085649.328667261</v>
      </c>
      <c r="P11" s="15">
        <f t="shared" si="0"/>
        <v>48156315.129336864</v>
      </c>
      <c r="Q11" s="15">
        <f t="shared" si="0"/>
        <v>49253131.269600086</v>
      </c>
    </row>
    <row r="12" spans="1:18" s="137" customFormat="1" x14ac:dyDescent="0.3">
      <c r="A12" s="434"/>
      <c r="B12" s="7"/>
      <c r="C12" s="7"/>
      <c r="D12" s="7"/>
      <c r="E12" s="7"/>
      <c r="F12" s="124"/>
    </row>
    <row r="13" spans="1:18" s="2" customFormat="1" x14ac:dyDescent="0.3">
      <c r="A13" s="434"/>
      <c r="B13" s="22" t="s">
        <v>28</v>
      </c>
      <c r="C13" s="23" t="str">
        <f t="shared" ref="C13:Q13" si="1">D6</f>
        <v>FY-3</v>
      </c>
      <c r="D13" s="23" t="str">
        <f t="shared" si="1"/>
        <v>FY-2</v>
      </c>
      <c r="E13" s="23" t="str">
        <f t="shared" si="1"/>
        <v>FY-1</v>
      </c>
      <c r="F13" s="125" t="str">
        <f t="shared" si="1"/>
        <v>FY0</v>
      </c>
      <c r="G13" s="23" t="str">
        <f t="shared" si="1"/>
        <v>FY1</v>
      </c>
      <c r="H13" s="23" t="str">
        <f t="shared" si="1"/>
        <v>FY2</v>
      </c>
      <c r="I13" s="23" t="str">
        <f t="shared" si="1"/>
        <v>FY3</v>
      </c>
      <c r="J13" s="23" t="str">
        <f t="shared" si="1"/>
        <v>FY4</v>
      </c>
      <c r="K13" s="23" t="str">
        <f t="shared" si="1"/>
        <v>FY5</v>
      </c>
      <c r="L13" s="23" t="str">
        <f t="shared" si="1"/>
        <v>FY6</v>
      </c>
      <c r="M13" s="23" t="str">
        <f t="shared" si="1"/>
        <v>FY7</v>
      </c>
      <c r="N13" s="23" t="str">
        <f t="shared" si="1"/>
        <v>FY8</v>
      </c>
      <c r="O13" s="23" t="str">
        <f t="shared" si="1"/>
        <v>FY9</v>
      </c>
      <c r="P13" s="23" t="str">
        <f t="shared" si="1"/>
        <v>FY10</v>
      </c>
      <c r="Q13" s="23" t="str">
        <f t="shared" si="1"/>
        <v>FY11</v>
      </c>
    </row>
    <row r="14" spans="1:18" s="137" customFormat="1" x14ac:dyDescent="0.3">
      <c r="A14" s="433" t="s">
        <v>23</v>
      </c>
      <c r="B14" s="81" t="s">
        <v>268</v>
      </c>
      <c r="C14" s="13"/>
      <c r="D14" s="13"/>
      <c r="E14" s="13"/>
      <c r="F14" s="124"/>
    </row>
    <row r="15" spans="1:18" s="137" customFormat="1" x14ac:dyDescent="0.3">
      <c r="A15" s="434"/>
      <c r="B15" s="5" t="s">
        <v>357</v>
      </c>
      <c r="C15" s="14">
        <f>Debt!D6</f>
        <v>155050</v>
      </c>
      <c r="D15" s="14">
        <f>Debt!E6</f>
        <v>155190</v>
      </c>
      <c r="E15" s="14">
        <f>Debt!F6</f>
        <v>155510</v>
      </c>
      <c r="F15" s="122">
        <f>Debt!G6</f>
        <v>154610</v>
      </c>
      <c r="G15" s="113">
        <f>Debt!H6</f>
        <v>154510</v>
      </c>
      <c r="H15" s="14">
        <f>Debt!I6</f>
        <v>176310</v>
      </c>
      <c r="I15" s="14">
        <f>Debt!J6</f>
        <v>196268</v>
      </c>
      <c r="J15" s="14">
        <f>Debt!K6</f>
        <v>190410</v>
      </c>
      <c r="K15" s="14">
        <f>Debt!L6</f>
        <v>189803</v>
      </c>
      <c r="L15" s="14">
        <f>Debt!M6</f>
        <v>149396</v>
      </c>
      <c r="M15" s="14">
        <f>Debt!N6</f>
        <v>131528</v>
      </c>
      <c r="N15" s="14">
        <f>Debt!O6</f>
        <v>134061</v>
      </c>
      <c r="O15" s="14">
        <f>Debt!P6</f>
        <v>141794</v>
      </c>
      <c r="P15" s="14">
        <f>Debt!Q6</f>
        <v>126520</v>
      </c>
      <c r="Q15" s="14">
        <f>Debt!R6</f>
        <v>22660</v>
      </c>
    </row>
    <row r="16" spans="1:18" s="137" customFormat="1" x14ac:dyDescent="0.3">
      <c r="A16" s="434"/>
      <c r="B16" s="6" t="s">
        <v>358</v>
      </c>
      <c r="C16" s="14">
        <v>0</v>
      </c>
      <c r="D16" s="14">
        <v>0</v>
      </c>
      <c r="E16" s="14">
        <v>0</v>
      </c>
      <c r="F16" s="122">
        <v>0</v>
      </c>
      <c r="G16" s="1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s="137" customFormat="1" x14ac:dyDescent="0.3">
      <c r="A17" s="434" t="s">
        <v>7</v>
      </c>
      <c r="B17" s="12" t="s">
        <v>359</v>
      </c>
      <c r="C17" s="16">
        <f t="shared" ref="C17:E17" si="2">SUM(C15:C16)</f>
        <v>155050</v>
      </c>
      <c r="D17" s="16">
        <f t="shared" si="2"/>
        <v>155190</v>
      </c>
      <c r="E17" s="16">
        <f t="shared" si="2"/>
        <v>155510</v>
      </c>
      <c r="F17" s="126">
        <f>SUM(F15:F16)</f>
        <v>154610</v>
      </c>
      <c r="G17" s="115">
        <f t="shared" ref="G17:Q17" si="3">SUM(G15:G16)</f>
        <v>154510</v>
      </c>
      <c r="H17" s="16">
        <f t="shared" si="3"/>
        <v>176310</v>
      </c>
      <c r="I17" s="16">
        <f>SUM(I15:I16)</f>
        <v>196268</v>
      </c>
      <c r="J17" s="16">
        <f t="shared" si="3"/>
        <v>190410</v>
      </c>
      <c r="K17" s="16">
        <f t="shared" si="3"/>
        <v>189803</v>
      </c>
      <c r="L17" s="16">
        <f t="shared" si="3"/>
        <v>149396</v>
      </c>
      <c r="M17" s="16">
        <f t="shared" si="3"/>
        <v>131528</v>
      </c>
      <c r="N17" s="16">
        <f t="shared" si="3"/>
        <v>134061</v>
      </c>
      <c r="O17" s="16">
        <f t="shared" si="3"/>
        <v>141794</v>
      </c>
      <c r="P17" s="16">
        <f t="shared" si="3"/>
        <v>126520</v>
      </c>
      <c r="Q17" s="16">
        <f t="shared" si="3"/>
        <v>22660</v>
      </c>
    </row>
    <row r="18" spans="1:17" s="137" customFormat="1" x14ac:dyDescent="0.3">
      <c r="A18" s="434" t="s">
        <v>8</v>
      </c>
      <c r="B18" s="44" t="s">
        <v>360</v>
      </c>
      <c r="C18" s="36">
        <f t="shared" ref="C18:Q18" si="4">IFERROR(C17/C$11,"")</f>
        <v>4.2088069903818788E-3</v>
      </c>
      <c r="D18" s="36">
        <f t="shared" si="4"/>
        <v>4.1283352288011225E-3</v>
      </c>
      <c r="E18" s="36">
        <f t="shared" si="4"/>
        <v>3.9477247222179986E-3</v>
      </c>
      <c r="F18" s="127">
        <f t="shared" si="4"/>
        <v>3.8995073671961871E-3</v>
      </c>
      <c r="G18" s="116">
        <f t="shared" si="4"/>
        <v>3.7544352926928691E-3</v>
      </c>
      <c r="H18" s="36">
        <f t="shared" si="4"/>
        <v>4.377030033560954E-3</v>
      </c>
      <c r="I18" s="36">
        <f t="shared" si="4"/>
        <v>4.7784766372494054E-3</v>
      </c>
      <c r="J18" s="36">
        <f t="shared" si="4"/>
        <v>4.5510664400191317E-3</v>
      </c>
      <c r="K18" s="36">
        <f t="shared" si="4"/>
        <v>4.4027954681554364E-3</v>
      </c>
      <c r="L18" s="36">
        <f t="shared" si="4"/>
        <v>3.3928345960468533E-3</v>
      </c>
      <c r="M18" s="36">
        <f t="shared" si="4"/>
        <v>2.9215286078572429E-3</v>
      </c>
      <c r="N18" s="36">
        <f t="shared" si="4"/>
        <v>2.9118055400380875E-3</v>
      </c>
      <c r="O18" s="36">
        <f t="shared" si="4"/>
        <v>3.0114058534108658E-3</v>
      </c>
      <c r="P18" s="36">
        <f t="shared" si="4"/>
        <v>2.6272774330883949E-3</v>
      </c>
      <c r="Q18" s="36">
        <f t="shared" si="4"/>
        <v>4.600722718717004E-4</v>
      </c>
    </row>
    <row r="19" spans="1:17" x14ac:dyDescent="0.3">
      <c r="A19" s="434"/>
      <c r="F19" s="135"/>
    </row>
    <row r="20" spans="1:17" x14ac:dyDescent="0.3">
      <c r="A20" s="434"/>
      <c r="B20" s="5" t="s">
        <v>29</v>
      </c>
      <c r="C20" s="14">
        <f>Debt!D7</f>
        <v>1552837</v>
      </c>
      <c r="D20" s="14">
        <f>Debt!E7</f>
        <v>1498272.5</v>
      </c>
      <c r="E20" s="14">
        <f>Debt!F7</f>
        <v>1227878</v>
      </c>
      <c r="F20" s="122">
        <f>Debt!G7</f>
        <v>1005353</v>
      </c>
      <c r="G20" s="113">
        <f>Debt!H7</f>
        <v>964578</v>
      </c>
      <c r="H20" s="14">
        <f>Debt!I7</f>
        <v>834934</v>
      </c>
      <c r="I20" s="14">
        <f>Debt!J7</f>
        <v>655840</v>
      </c>
      <c r="J20" s="14">
        <f>Debt!K7</f>
        <v>960053</v>
      </c>
      <c r="K20" s="14">
        <f>Debt!L7</f>
        <v>893146</v>
      </c>
      <c r="L20" s="14">
        <f>Debt!M7</f>
        <v>866840</v>
      </c>
      <c r="M20" s="14">
        <f>Debt!N7</f>
        <v>848994</v>
      </c>
      <c r="N20" s="14">
        <f>Debt!O7</f>
        <v>831147</v>
      </c>
      <c r="O20" s="14">
        <f>Debt!P7</f>
        <v>813301</v>
      </c>
      <c r="P20" s="14">
        <f>Debt!Q7</f>
        <v>795455</v>
      </c>
      <c r="Q20" s="14">
        <f>Debt!R7</f>
        <v>777609</v>
      </c>
    </row>
    <row r="21" spans="1:17" x14ac:dyDescent="0.3">
      <c r="A21" s="434"/>
      <c r="B21" s="109" t="s">
        <v>18</v>
      </c>
      <c r="C21" s="14">
        <v>0</v>
      </c>
      <c r="D21" s="14">
        <v>0</v>
      </c>
      <c r="E21" s="14">
        <v>0</v>
      </c>
      <c r="F21" s="122">
        <v>0</v>
      </c>
      <c r="G21" s="113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</row>
    <row r="22" spans="1:17" x14ac:dyDescent="0.3">
      <c r="A22" s="434" t="s">
        <v>9</v>
      </c>
      <c r="B22" s="12" t="s">
        <v>17</v>
      </c>
      <c r="C22" s="16">
        <f t="shared" ref="C22:Q22" si="5">SUM(C20:C21)</f>
        <v>1552837</v>
      </c>
      <c r="D22" s="16">
        <f t="shared" si="5"/>
        <v>1498272.5</v>
      </c>
      <c r="E22" s="16">
        <f t="shared" si="5"/>
        <v>1227878</v>
      </c>
      <c r="F22" s="126">
        <f t="shared" si="5"/>
        <v>1005353</v>
      </c>
      <c r="G22" s="115">
        <f t="shared" si="5"/>
        <v>964578</v>
      </c>
      <c r="H22" s="16">
        <f t="shared" si="5"/>
        <v>834934</v>
      </c>
      <c r="I22" s="16">
        <f t="shared" si="5"/>
        <v>655840</v>
      </c>
      <c r="J22" s="16">
        <f t="shared" si="5"/>
        <v>960053</v>
      </c>
      <c r="K22" s="16">
        <f t="shared" si="5"/>
        <v>893146</v>
      </c>
      <c r="L22" s="16">
        <f t="shared" si="5"/>
        <v>866840</v>
      </c>
      <c r="M22" s="16">
        <f t="shared" si="5"/>
        <v>848994</v>
      </c>
      <c r="N22" s="16">
        <f t="shared" si="5"/>
        <v>831147</v>
      </c>
      <c r="O22" s="16">
        <f t="shared" si="5"/>
        <v>813301</v>
      </c>
      <c r="P22" s="16">
        <f t="shared" si="5"/>
        <v>795455</v>
      </c>
      <c r="Q22" s="16">
        <f t="shared" si="5"/>
        <v>777609</v>
      </c>
    </row>
    <row r="23" spans="1:17" x14ac:dyDescent="0.3">
      <c r="A23" s="434"/>
      <c r="B23" s="35" t="s">
        <v>250</v>
      </c>
      <c r="C23" s="36">
        <f t="shared" ref="C23:Q23" si="6">IFERROR(C22/C$11,"")</f>
        <v>4.2151507388091744E-2</v>
      </c>
      <c r="D23" s="36">
        <f t="shared" si="6"/>
        <v>3.9856763606507695E-2</v>
      </c>
      <c r="E23" s="36">
        <f t="shared" si="6"/>
        <v>3.1170499237782725E-2</v>
      </c>
      <c r="F23" s="127">
        <f t="shared" si="6"/>
        <v>2.5356583857013053E-2</v>
      </c>
      <c r="G23" s="116">
        <f t="shared" si="6"/>
        <v>2.3438260861789545E-2</v>
      </c>
      <c r="H23" s="36">
        <f t="shared" si="6"/>
        <v>2.072787246350849E-2</v>
      </c>
      <c r="I23" s="36">
        <f t="shared" si="6"/>
        <v>1.5967534788012563E-2</v>
      </c>
      <c r="J23" s="36">
        <f t="shared" si="6"/>
        <v>2.2946615140694751E-2</v>
      </c>
      <c r="K23" s="36">
        <f t="shared" si="6"/>
        <v>2.0718003199112527E-2</v>
      </c>
      <c r="L23" s="36">
        <f t="shared" si="6"/>
        <v>1.9686234847233221E-2</v>
      </c>
      <c r="M23" s="36">
        <f t="shared" si="6"/>
        <v>1.8858039800644367E-2</v>
      </c>
      <c r="N23" s="36">
        <f t="shared" si="6"/>
        <v>1.8052516684091843E-2</v>
      </c>
      <c r="O23" s="36">
        <f t="shared" si="6"/>
        <v>1.7272799920905756E-2</v>
      </c>
      <c r="P23" s="36">
        <f t="shared" si="6"/>
        <v>1.6518186615059511E-2</v>
      </c>
      <c r="Q23" s="36">
        <f t="shared" si="6"/>
        <v>1.5788011441212758E-2</v>
      </c>
    </row>
    <row r="24" spans="1:17" x14ac:dyDescent="0.3">
      <c r="A24" s="434" t="s">
        <v>0</v>
      </c>
      <c r="F24" s="124"/>
    </row>
    <row r="25" spans="1:17" x14ac:dyDescent="0.3">
      <c r="A25" s="434" t="s">
        <v>10</v>
      </c>
      <c r="B25" s="46" t="s">
        <v>361</v>
      </c>
      <c r="C25" s="15">
        <f t="shared" ref="C25:Q25" si="7">C17+C22</f>
        <v>1707887</v>
      </c>
      <c r="D25" s="15">
        <f t="shared" si="7"/>
        <v>1653462.5</v>
      </c>
      <c r="E25" s="15">
        <f t="shared" si="7"/>
        <v>1383388</v>
      </c>
      <c r="F25" s="123">
        <f t="shared" si="7"/>
        <v>1159963</v>
      </c>
      <c r="G25" s="114">
        <f t="shared" si="7"/>
        <v>1119088</v>
      </c>
      <c r="H25" s="15">
        <f t="shared" si="7"/>
        <v>1011244</v>
      </c>
      <c r="I25" s="15">
        <f t="shared" si="7"/>
        <v>852108</v>
      </c>
      <c r="J25" s="15">
        <f t="shared" si="7"/>
        <v>1150463</v>
      </c>
      <c r="K25" s="15">
        <f t="shared" si="7"/>
        <v>1082949</v>
      </c>
      <c r="L25" s="15">
        <f t="shared" si="7"/>
        <v>1016236</v>
      </c>
      <c r="M25" s="15">
        <f t="shared" si="7"/>
        <v>980522</v>
      </c>
      <c r="N25" s="15">
        <f t="shared" si="7"/>
        <v>965208</v>
      </c>
      <c r="O25" s="15">
        <f t="shared" si="7"/>
        <v>955095</v>
      </c>
      <c r="P25" s="15">
        <f t="shared" si="7"/>
        <v>921975</v>
      </c>
      <c r="Q25" s="15">
        <f t="shared" si="7"/>
        <v>800269</v>
      </c>
    </row>
    <row r="26" spans="1:17" s="136" customFormat="1" x14ac:dyDescent="0.3">
      <c r="A26" s="434" t="s">
        <v>0</v>
      </c>
      <c r="B26" s="35" t="s">
        <v>251</v>
      </c>
      <c r="C26" s="36">
        <f>IFERROR(C25/C$11,"")</f>
        <v>4.636031437847362E-2</v>
      </c>
      <c r="D26" s="36">
        <f t="shared" ref="D26:P26" si="8">IFERROR(D25/D$11,"")</f>
        <v>4.3985098835308822E-2</v>
      </c>
      <c r="E26" s="36">
        <f t="shared" si="8"/>
        <v>3.5118223960000722E-2</v>
      </c>
      <c r="F26" s="127">
        <f t="shared" si="8"/>
        <v>2.9256091224209239E-2</v>
      </c>
      <c r="G26" s="116">
        <f t="shared" si="8"/>
        <v>2.7192696154482412E-2</v>
      </c>
      <c r="H26" s="36">
        <f t="shared" si="8"/>
        <v>2.5104902497069443E-2</v>
      </c>
      <c r="I26" s="36">
        <f t="shared" si="8"/>
        <v>2.074601142526197E-2</v>
      </c>
      <c r="J26" s="36">
        <f t="shared" si="8"/>
        <v>2.7497681580713886E-2</v>
      </c>
      <c r="K26" s="36">
        <f t="shared" si="8"/>
        <v>2.5120798667267966E-2</v>
      </c>
      <c r="L26" s="36">
        <f t="shared" si="8"/>
        <v>2.3079069443280073E-2</v>
      </c>
      <c r="M26" s="36">
        <f t="shared" si="8"/>
        <v>2.177956840850161E-2</v>
      </c>
      <c r="N26" s="36">
        <f t="shared" si="8"/>
        <v>2.096432222412993E-2</v>
      </c>
      <c r="O26" s="36">
        <f t="shared" si="8"/>
        <v>2.0284205774316621E-2</v>
      </c>
      <c r="P26" s="36">
        <f t="shared" si="8"/>
        <v>1.9145464048147907E-2</v>
      </c>
      <c r="Q26" s="36">
        <f>IFERROR(Q25/Q$11,"")</f>
        <v>1.624808371308446E-2</v>
      </c>
    </row>
    <row r="27" spans="1:17" s="138" customFormat="1" ht="13.5" thickBot="1" x14ac:dyDescent="0.35">
      <c r="A27" s="143"/>
      <c r="B27" s="144"/>
      <c r="C27" s="145"/>
      <c r="D27" s="145"/>
      <c r="E27" s="145"/>
      <c r="F27" s="429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7" s="138" customFormat="1" x14ac:dyDescent="0.3">
      <c r="A28" s="435"/>
      <c r="B28" s="142"/>
      <c r="C28" s="140"/>
      <c r="D28" s="140"/>
      <c r="E28" s="140"/>
      <c r="F28" s="43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1:17" s="136" customFormat="1" x14ac:dyDescent="0.3">
      <c r="A29" s="433" t="s">
        <v>24</v>
      </c>
      <c r="B29" s="81" t="s">
        <v>321</v>
      </c>
      <c r="C29" s="13"/>
      <c r="D29" s="13"/>
      <c r="E29" s="13"/>
      <c r="F29" s="124"/>
    </row>
    <row r="30" spans="1:17" s="136" customFormat="1" x14ac:dyDescent="0.3">
      <c r="A30" s="434" t="s">
        <v>11</v>
      </c>
      <c r="B30" s="48" t="s">
        <v>269</v>
      </c>
      <c r="C30" s="41"/>
      <c r="D30" s="41"/>
      <c r="E30" s="41"/>
      <c r="F30" s="132"/>
      <c r="G30" s="117">
        <f t="shared" ref="G30:Q30" si="9">IFERROR(G$11*$F18,"")</f>
        <v>160480.29499353294</v>
      </c>
      <c r="H30" s="42">
        <f t="shared" si="9"/>
        <v>157075.03458709939</v>
      </c>
      <c r="I30" s="42">
        <f t="shared" si="9"/>
        <v>160165.79551290063</v>
      </c>
      <c r="J30" s="42">
        <f t="shared" si="9"/>
        <v>163149.71613218298</v>
      </c>
      <c r="K30" s="42">
        <f t="shared" si="9"/>
        <v>168106.42287819492</v>
      </c>
      <c r="L30" s="42">
        <f t="shared" si="9"/>
        <v>171706.21972212303</v>
      </c>
      <c r="M30" s="42">
        <f t="shared" si="9"/>
        <v>175556.86554401251</v>
      </c>
      <c r="N30" s="42">
        <f t="shared" si="9"/>
        <v>179535.29175126509</v>
      </c>
      <c r="O30" s="42">
        <f t="shared" si="9"/>
        <v>183610.83644635419</v>
      </c>
      <c r="P30" s="42">
        <f t="shared" si="9"/>
        <v>187785.90562387029</v>
      </c>
      <c r="Q30" s="42">
        <f t="shared" si="9"/>
        <v>192062.94824328643</v>
      </c>
    </row>
    <row r="31" spans="1:17" s="136" customFormat="1" x14ac:dyDescent="0.3">
      <c r="A31" s="434" t="s">
        <v>0</v>
      </c>
      <c r="B31" s="440" t="s">
        <v>270</v>
      </c>
      <c r="C31" s="38"/>
      <c r="D31" s="38"/>
      <c r="E31" s="38"/>
      <c r="F31" s="133"/>
      <c r="G31" s="118">
        <f t="shared" ref="G31:Q31" si="10">IFERROR(IF(G17&gt;G30,0,G30-G17),"")</f>
        <v>5970.294993532938</v>
      </c>
      <c r="H31" s="39">
        <f t="shared" si="10"/>
        <v>0</v>
      </c>
      <c r="I31" s="39">
        <f t="shared" si="10"/>
        <v>0</v>
      </c>
      <c r="J31" s="39">
        <f t="shared" si="10"/>
        <v>0</v>
      </c>
      <c r="K31" s="39">
        <f t="shared" si="10"/>
        <v>0</v>
      </c>
      <c r="L31" s="39">
        <f t="shared" si="10"/>
        <v>22310.219722123031</v>
      </c>
      <c r="M31" s="39">
        <f t="shared" si="10"/>
        <v>44028.865544012515</v>
      </c>
      <c r="N31" s="39">
        <f t="shared" si="10"/>
        <v>45474.291751265089</v>
      </c>
      <c r="O31" s="39">
        <f t="shared" si="10"/>
        <v>41816.836446354195</v>
      </c>
      <c r="P31" s="39">
        <f t="shared" si="10"/>
        <v>61265.905623870291</v>
      </c>
      <c r="Q31" s="39">
        <f t="shared" si="10"/>
        <v>169402.94824328643</v>
      </c>
    </row>
    <row r="32" spans="1:17" x14ac:dyDescent="0.3">
      <c r="A32" s="434"/>
      <c r="B32" s="439"/>
      <c r="F32" s="134"/>
    </row>
    <row r="33" spans="1:17" x14ac:dyDescent="0.3">
      <c r="A33" s="434" t="s">
        <v>12</v>
      </c>
      <c r="B33" s="441" t="s">
        <v>271</v>
      </c>
      <c r="C33" s="41"/>
      <c r="D33" s="41"/>
      <c r="E33" s="41"/>
      <c r="F33" s="132"/>
      <c r="G33" s="119">
        <v>5.0000000000000001E-3</v>
      </c>
      <c r="H33" s="18">
        <v>7.4999999999999997E-3</v>
      </c>
      <c r="I33" s="18">
        <v>0.01</v>
      </c>
      <c r="J33" s="18">
        <v>1.4999999999999999E-2</v>
      </c>
      <c r="K33" s="18">
        <v>0.02</v>
      </c>
      <c r="L33" s="18">
        <v>2.2499999999999999E-2</v>
      </c>
      <c r="M33" s="18">
        <v>2.75E-2</v>
      </c>
      <c r="N33" s="18">
        <v>2.75E-2</v>
      </c>
      <c r="O33" s="18">
        <v>0.03</v>
      </c>
      <c r="P33" s="18">
        <v>0.03</v>
      </c>
      <c r="Q33" s="18">
        <v>0.03</v>
      </c>
    </row>
    <row r="34" spans="1:17" x14ac:dyDescent="0.3">
      <c r="A34" s="434" t="s">
        <v>13</v>
      </c>
      <c r="B34" s="441" t="s">
        <v>272</v>
      </c>
      <c r="C34" s="41"/>
      <c r="D34" s="41"/>
      <c r="E34" s="41"/>
      <c r="F34" s="132"/>
      <c r="G34" s="113">
        <f>G$11*G33</f>
        <v>205769.96</v>
      </c>
      <c r="H34" s="113">
        <f t="shared" ref="H34:Q34" si="11">H$11*H33</f>
        <v>302105.53499999997</v>
      </c>
      <c r="I34" s="113">
        <f t="shared" si="11"/>
        <v>410733.40920000005</v>
      </c>
      <c r="J34" s="113">
        <f t="shared" si="11"/>
        <v>627578.18143124995</v>
      </c>
      <c r="K34" s="113">
        <f t="shared" si="11"/>
        <v>862193.12876470503</v>
      </c>
      <c r="L34" s="113">
        <f t="shared" si="11"/>
        <v>990737.95224693022</v>
      </c>
      <c r="M34" s="113">
        <f t="shared" si="11"/>
        <v>1238057.3615717068</v>
      </c>
      <c r="N34" s="113">
        <f t="shared" si="11"/>
        <v>1266113.9108732436</v>
      </c>
      <c r="O34" s="113">
        <f t="shared" si="11"/>
        <v>1412569.4798600178</v>
      </c>
      <c r="P34" s="113">
        <f t="shared" si="11"/>
        <v>1444689.4538801059</v>
      </c>
      <c r="Q34" s="113">
        <f t="shared" si="11"/>
        <v>1477593.9380880026</v>
      </c>
    </row>
    <row r="35" spans="1:17" x14ac:dyDescent="0.3">
      <c r="A35" s="434"/>
      <c r="B35" s="440" t="s">
        <v>273</v>
      </c>
      <c r="C35" s="38"/>
      <c r="D35" s="38"/>
      <c r="E35" s="38"/>
      <c r="F35" s="133"/>
      <c r="G35" s="118">
        <f t="shared" ref="G35:Q35" si="12">IFERROR(IF(G17&gt;G34,0,G34-G17),"")</f>
        <v>51259.959999999992</v>
      </c>
      <c r="H35" s="39">
        <f t="shared" si="12"/>
        <v>125795.53499999997</v>
      </c>
      <c r="I35" s="39">
        <f t="shared" si="12"/>
        <v>214465.40920000005</v>
      </c>
      <c r="J35" s="39">
        <f t="shared" si="12"/>
        <v>437168.18143124995</v>
      </c>
      <c r="K35" s="39">
        <f t="shared" si="12"/>
        <v>672390.12876470503</v>
      </c>
      <c r="L35" s="39">
        <f t="shared" si="12"/>
        <v>841341.95224693022</v>
      </c>
      <c r="M35" s="39">
        <f t="shared" si="12"/>
        <v>1106529.3615717068</v>
      </c>
      <c r="N35" s="39">
        <f t="shared" si="12"/>
        <v>1132052.9108732436</v>
      </c>
      <c r="O35" s="39">
        <f t="shared" si="12"/>
        <v>1270775.4798600178</v>
      </c>
      <c r="P35" s="39">
        <f t="shared" si="12"/>
        <v>1318169.4538801059</v>
      </c>
      <c r="Q35" s="39">
        <f t="shared" si="12"/>
        <v>1454933.9380880026</v>
      </c>
    </row>
    <row r="36" spans="1:17" s="138" customFormat="1" ht="13.5" thickBot="1" x14ac:dyDescent="0.35">
      <c r="A36" s="436"/>
      <c r="B36" s="144"/>
      <c r="C36" s="145"/>
      <c r="D36" s="145"/>
      <c r="E36" s="145"/>
      <c r="F36" s="429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s="138" customFormat="1" x14ac:dyDescent="0.3">
      <c r="A37" s="141"/>
      <c r="B37" s="142"/>
      <c r="C37" s="140"/>
      <c r="D37" s="140"/>
      <c r="E37" s="140"/>
      <c r="F37" s="43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</row>
    <row r="38" spans="1:17" s="11" customFormat="1" x14ac:dyDescent="0.3">
      <c r="A38" s="74" t="s">
        <v>25</v>
      </c>
      <c r="B38" s="81" t="s">
        <v>274</v>
      </c>
      <c r="C38" s="138"/>
      <c r="D38" s="138"/>
      <c r="E38" s="138"/>
      <c r="F38" s="139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</row>
    <row r="39" spans="1:17" x14ac:dyDescent="0.3">
      <c r="B39" s="81" t="s">
        <v>362</v>
      </c>
      <c r="C39" s="32"/>
      <c r="D39" s="32"/>
      <c r="E39" s="32"/>
      <c r="F39" s="124"/>
    </row>
    <row r="40" spans="1:17" x14ac:dyDescent="0.3">
      <c r="B40" s="5" t="s">
        <v>19</v>
      </c>
      <c r="C40" s="14">
        <v>0</v>
      </c>
      <c r="D40" s="14">
        <v>0</v>
      </c>
      <c r="E40" s="14">
        <v>0</v>
      </c>
      <c r="F40" s="122">
        <v>0</v>
      </c>
      <c r="G40" s="113">
        <v>0</v>
      </c>
      <c r="H40" s="113">
        <v>0</v>
      </c>
      <c r="I40" s="113">
        <v>0</v>
      </c>
      <c r="J40" s="14">
        <v>100000</v>
      </c>
      <c r="K40" s="14">
        <v>100000</v>
      </c>
      <c r="L40" s="14">
        <v>100000</v>
      </c>
      <c r="M40" s="14">
        <v>100000</v>
      </c>
      <c r="N40" s="14">
        <v>100000</v>
      </c>
      <c r="O40" s="14">
        <v>100000</v>
      </c>
      <c r="P40" s="14">
        <v>100000</v>
      </c>
      <c r="Q40" s="14">
        <v>100000</v>
      </c>
    </row>
    <row r="41" spans="1:17" x14ac:dyDescent="0.3">
      <c r="B41" s="5" t="s">
        <v>20</v>
      </c>
      <c r="C41" s="14">
        <v>0</v>
      </c>
      <c r="D41" s="14">
        <v>0</v>
      </c>
      <c r="E41" s="14">
        <v>0</v>
      </c>
      <c r="F41" s="122">
        <v>0</v>
      </c>
      <c r="G41" s="113">
        <v>0</v>
      </c>
      <c r="H41" s="113">
        <v>0</v>
      </c>
      <c r="I41" s="113">
        <v>0</v>
      </c>
      <c r="J41" s="14">
        <v>0</v>
      </c>
      <c r="K41" s="14">
        <v>250000</v>
      </c>
      <c r="L41" s="14">
        <v>250000</v>
      </c>
      <c r="M41" s="14">
        <v>250000</v>
      </c>
      <c r="N41" s="14">
        <v>250000</v>
      </c>
      <c r="O41" s="14">
        <v>250000</v>
      </c>
      <c r="P41" s="14">
        <v>250000</v>
      </c>
      <c r="Q41" s="14">
        <v>250000</v>
      </c>
    </row>
    <row r="42" spans="1:17" x14ac:dyDescent="0.3">
      <c r="B42" s="5" t="s">
        <v>21</v>
      </c>
      <c r="C42" s="14">
        <v>0</v>
      </c>
      <c r="D42" s="14">
        <v>0</v>
      </c>
      <c r="E42" s="14">
        <v>0</v>
      </c>
      <c r="F42" s="122">
        <v>0</v>
      </c>
      <c r="G42" s="113">
        <v>0</v>
      </c>
      <c r="H42" s="113">
        <v>0</v>
      </c>
      <c r="I42" s="113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</row>
    <row r="43" spans="1:17" x14ac:dyDescent="0.3">
      <c r="B43" s="5"/>
      <c r="C43" s="14">
        <v>0</v>
      </c>
      <c r="D43" s="14">
        <v>0</v>
      </c>
      <c r="E43" s="14">
        <v>0</v>
      </c>
      <c r="F43" s="122">
        <v>0</v>
      </c>
      <c r="G43" s="113">
        <v>0</v>
      </c>
      <c r="H43" s="113">
        <v>0</v>
      </c>
      <c r="I43" s="113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</row>
    <row r="44" spans="1:17" x14ac:dyDescent="0.3">
      <c r="A44" s="434" t="s">
        <v>252</v>
      </c>
      <c r="B44" s="10" t="s">
        <v>363</v>
      </c>
      <c r="C44" s="80"/>
      <c r="D44" s="80"/>
      <c r="E44" s="80"/>
      <c r="F44" s="128"/>
      <c r="G44" s="115">
        <f t="shared" ref="G44" si="13">SUM(G40:G43)</f>
        <v>0</v>
      </c>
      <c r="H44" s="16">
        <f>SUM(H40:H43)</f>
        <v>0</v>
      </c>
      <c r="I44" s="16">
        <f t="shared" ref="I44:Q44" si="14">SUM(I40:I43)</f>
        <v>0</v>
      </c>
      <c r="J44" s="16">
        <f t="shared" si="14"/>
        <v>100000</v>
      </c>
      <c r="K44" s="16">
        <f t="shared" si="14"/>
        <v>350000</v>
      </c>
      <c r="L44" s="16">
        <f t="shared" si="14"/>
        <v>350000</v>
      </c>
      <c r="M44" s="16">
        <f t="shared" si="14"/>
        <v>350000</v>
      </c>
      <c r="N44" s="16">
        <f t="shared" si="14"/>
        <v>350000</v>
      </c>
      <c r="O44" s="16">
        <f t="shared" si="14"/>
        <v>350000</v>
      </c>
      <c r="P44" s="16">
        <f t="shared" si="14"/>
        <v>350000</v>
      </c>
      <c r="Q44" s="16">
        <f t="shared" si="14"/>
        <v>350000</v>
      </c>
    </row>
    <row r="45" spans="1:17" s="137" customFormat="1" x14ac:dyDescent="0.3">
      <c r="A45" s="434"/>
      <c r="B45" s="44" t="s">
        <v>364</v>
      </c>
      <c r="C45" s="36">
        <f t="shared" ref="C45:Q45" si="15">IFERROR((C44+C17)/C$11,"")</f>
        <v>4.2088069903818788E-3</v>
      </c>
      <c r="D45" s="36">
        <f t="shared" si="15"/>
        <v>4.1283352288011225E-3</v>
      </c>
      <c r="E45" s="36">
        <f t="shared" si="15"/>
        <v>3.9477247222179986E-3</v>
      </c>
      <c r="F45" s="127">
        <f t="shared" si="15"/>
        <v>3.8995073671961871E-3</v>
      </c>
      <c r="G45" s="116">
        <f t="shared" si="15"/>
        <v>3.7544352926928691E-3</v>
      </c>
      <c r="H45" s="36">
        <f t="shared" si="15"/>
        <v>4.377030033560954E-3</v>
      </c>
      <c r="I45" s="36">
        <f t="shared" si="15"/>
        <v>4.7784766372494054E-3</v>
      </c>
      <c r="J45" s="36">
        <f t="shared" si="15"/>
        <v>6.9412068948372261E-3</v>
      </c>
      <c r="K45" s="36">
        <f t="shared" si="15"/>
        <v>1.2521626118115673E-2</v>
      </c>
      <c r="L45" s="36">
        <f t="shared" si="15"/>
        <v>1.1341455098713583E-2</v>
      </c>
      <c r="M45" s="36">
        <f t="shared" si="15"/>
        <v>1.0695804904539585E-2</v>
      </c>
      <c r="N45" s="36">
        <f t="shared" si="15"/>
        <v>1.0513807158803654E-2</v>
      </c>
      <c r="O45" s="36">
        <f t="shared" si="15"/>
        <v>1.0444668535144953E-2</v>
      </c>
      <c r="P45" s="36">
        <f t="shared" si="15"/>
        <v>9.8952753905728903E-3</v>
      </c>
      <c r="Q45" s="36">
        <f t="shared" si="15"/>
        <v>7.5662194543560405E-3</v>
      </c>
    </row>
    <row r="46" spans="1:17" s="137" customFormat="1" x14ac:dyDescent="0.3">
      <c r="A46" s="434"/>
      <c r="B46" s="440" t="s">
        <v>365</v>
      </c>
      <c r="C46" s="38"/>
      <c r="D46" s="38"/>
      <c r="E46" s="38"/>
      <c r="F46" s="133"/>
      <c r="G46" s="118">
        <f t="shared" ref="G46:Q46" si="16">IFERROR(IF((G44+G17)&gt;G34,0,(G34-G17-G44)),"")</f>
        <v>51259.959999999992</v>
      </c>
      <c r="H46" s="118">
        <f t="shared" si="16"/>
        <v>125795.53499999997</v>
      </c>
      <c r="I46" s="118">
        <f t="shared" si="16"/>
        <v>214465.40920000005</v>
      </c>
      <c r="J46" s="118">
        <f t="shared" si="16"/>
        <v>337168.18143124995</v>
      </c>
      <c r="K46" s="118">
        <f t="shared" si="16"/>
        <v>322390.12876470503</v>
      </c>
      <c r="L46" s="118">
        <f t="shared" si="16"/>
        <v>491341.95224693022</v>
      </c>
      <c r="M46" s="118">
        <f t="shared" si="16"/>
        <v>756529.36157170683</v>
      </c>
      <c r="N46" s="118">
        <f t="shared" si="16"/>
        <v>782052.91087324359</v>
      </c>
      <c r="O46" s="118">
        <f t="shared" si="16"/>
        <v>920775.47986001777</v>
      </c>
      <c r="P46" s="118">
        <f t="shared" si="16"/>
        <v>968169.45388010587</v>
      </c>
      <c r="Q46" s="118">
        <f t="shared" si="16"/>
        <v>1104933.9380880026</v>
      </c>
    </row>
    <row r="47" spans="1:17" s="137" customFormat="1" x14ac:dyDescent="0.3">
      <c r="A47" s="434"/>
      <c r="B47" s="7"/>
      <c r="C47" s="7"/>
      <c r="D47" s="7"/>
      <c r="E47" s="7"/>
      <c r="F47" s="124"/>
    </row>
    <row r="48" spans="1:17" x14ac:dyDescent="0.3">
      <c r="A48" s="434"/>
      <c r="B48" s="9" t="s">
        <v>242</v>
      </c>
      <c r="C48" s="9"/>
      <c r="D48" s="9"/>
      <c r="E48" s="9"/>
      <c r="F48" s="124"/>
    </row>
    <row r="49" spans="1:18" x14ac:dyDescent="0.3">
      <c r="A49" s="434"/>
      <c r="B49" s="5" t="s">
        <v>19</v>
      </c>
      <c r="C49" s="14">
        <v>0</v>
      </c>
      <c r="D49" s="14">
        <v>0</v>
      </c>
      <c r="E49" s="14">
        <v>0</v>
      </c>
      <c r="F49" s="122">
        <v>0</v>
      </c>
      <c r="G49" s="1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500000</v>
      </c>
      <c r="N49" s="14">
        <v>500000</v>
      </c>
      <c r="O49" s="14">
        <v>500000</v>
      </c>
      <c r="P49" s="14">
        <v>500000</v>
      </c>
      <c r="Q49" s="14">
        <v>500000</v>
      </c>
    </row>
    <row r="50" spans="1:18" x14ac:dyDescent="0.3">
      <c r="A50" s="434"/>
      <c r="B50" s="5" t="s">
        <v>20</v>
      </c>
      <c r="C50" s="14">
        <v>0</v>
      </c>
      <c r="D50" s="14">
        <v>0</v>
      </c>
      <c r="E50" s="14">
        <v>0</v>
      </c>
      <c r="F50" s="122">
        <v>0</v>
      </c>
      <c r="G50" s="113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</row>
    <row r="51" spans="1:18" x14ac:dyDescent="0.3">
      <c r="A51" s="434"/>
      <c r="B51" s="5" t="s">
        <v>21</v>
      </c>
      <c r="C51" s="14">
        <v>0</v>
      </c>
      <c r="D51" s="14">
        <v>0</v>
      </c>
      <c r="E51" s="14">
        <v>0</v>
      </c>
      <c r="F51" s="122">
        <v>0</v>
      </c>
      <c r="G51" s="113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</row>
    <row r="52" spans="1:18" x14ac:dyDescent="0.3">
      <c r="A52" s="434"/>
      <c r="B52" s="19"/>
      <c r="C52" s="14">
        <v>0</v>
      </c>
      <c r="D52" s="14">
        <v>0</v>
      </c>
      <c r="E52" s="14">
        <v>0</v>
      </c>
      <c r="F52" s="122">
        <v>0</v>
      </c>
      <c r="G52" s="113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</row>
    <row r="53" spans="1:18" x14ac:dyDescent="0.3">
      <c r="A53" s="434" t="s">
        <v>253</v>
      </c>
      <c r="B53" s="10" t="s">
        <v>245</v>
      </c>
      <c r="C53" s="80"/>
      <c r="D53" s="80"/>
      <c r="E53" s="80"/>
      <c r="F53" s="128"/>
      <c r="G53" s="115">
        <f>SUM(G49:G52)</f>
        <v>0</v>
      </c>
      <c r="H53" s="16">
        <f t="shared" ref="H53:I53" si="17">SUM(H49:H52)</f>
        <v>0</v>
      </c>
      <c r="I53" s="16">
        <f t="shared" si="17"/>
        <v>0</v>
      </c>
      <c r="J53" s="16">
        <f>SUM(J49:J52)</f>
        <v>0</v>
      </c>
      <c r="K53" s="16">
        <f t="shared" ref="K53:Q53" si="18">SUM(K49:K52)</f>
        <v>0</v>
      </c>
      <c r="L53" s="16">
        <f t="shared" si="18"/>
        <v>0</v>
      </c>
      <c r="M53" s="16">
        <f t="shared" si="18"/>
        <v>500000</v>
      </c>
      <c r="N53" s="16">
        <f t="shared" si="18"/>
        <v>500000</v>
      </c>
      <c r="O53" s="16">
        <f t="shared" si="18"/>
        <v>500000</v>
      </c>
      <c r="P53" s="16">
        <f t="shared" si="18"/>
        <v>500000</v>
      </c>
      <c r="Q53" s="16">
        <f t="shared" si="18"/>
        <v>500000</v>
      </c>
    </row>
    <row r="54" spans="1:18" s="137" customFormat="1" x14ac:dyDescent="0.3">
      <c r="A54" s="434"/>
      <c r="B54" s="44" t="s">
        <v>255</v>
      </c>
      <c r="C54" s="36">
        <f>IFERROR((C53+C22)/C$11,"")</f>
        <v>4.2151507388091744E-2</v>
      </c>
      <c r="D54" s="36">
        <f t="shared" ref="D54:Q54" si="19">IFERROR((D53+D22)/D$11,"")</f>
        <v>3.9856763606507695E-2</v>
      </c>
      <c r="E54" s="36">
        <f t="shared" si="19"/>
        <v>3.1170499237782725E-2</v>
      </c>
      <c r="F54" s="127">
        <f t="shared" si="19"/>
        <v>2.5356583857013053E-2</v>
      </c>
      <c r="G54" s="116">
        <f t="shared" si="19"/>
        <v>2.3438260861789545E-2</v>
      </c>
      <c r="H54" s="36">
        <f t="shared" si="19"/>
        <v>2.072787246350849E-2</v>
      </c>
      <c r="I54" s="36">
        <f t="shared" si="19"/>
        <v>1.5967534788012563E-2</v>
      </c>
      <c r="J54" s="36">
        <f t="shared" si="19"/>
        <v>2.2946615140694751E-2</v>
      </c>
      <c r="K54" s="36">
        <f t="shared" si="19"/>
        <v>2.0718003199112527E-2</v>
      </c>
      <c r="L54" s="36">
        <f t="shared" si="19"/>
        <v>1.9686234847233221E-2</v>
      </c>
      <c r="M54" s="36">
        <f t="shared" si="19"/>
        <v>2.9964148795904855E-2</v>
      </c>
      <c r="N54" s="36">
        <f t="shared" si="19"/>
        <v>2.8912518996614081E-2</v>
      </c>
      <c r="O54" s="36">
        <f t="shared" si="19"/>
        <v>2.7891746609097309E-2</v>
      </c>
      <c r="P54" s="36">
        <f t="shared" si="19"/>
        <v>2.690104084003736E-2</v>
      </c>
      <c r="Q54" s="36">
        <f t="shared" si="19"/>
        <v>2.5939650273333243E-2</v>
      </c>
    </row>
    <row r="55" spans="1:18" s="29" customFormat="1" x14ac:dyDescent="0.3">
      <c r="A55" s="437"/>
      <c r="B55" s="26"/>
      <c r="C55" s="26"/>
      <c r="D55" s="26"/>
      <c r="E55" s="26"/>
      <c r="F55" s="130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8" x14ac:dyDescent="0.3">
      <c r="A56" s="434" t="s">
        <v>14</v>
      </c>
      <c r="B56" s="46" t="s">
        <v>246</v>
      </c>
      <c r="C56" s="15">
        <f>C25+C44+C53</f>
        <v>1707887</v>
      </c>
      <c r="D56" s="15">
        <f t="shared" ref="D56:Q56" si="20">D25+D44+D53</f>
        <v>1653462.5</v>
      </c>
      <c r="E56" s="15">
        <f t="shared" si="20"/>
        <v>1383388</v>
      </c>
      <c r="F56" s="123">
        <f t="shared" si="20"/>
        <v>1159963</v>
      </c>
      <c r="G56" s="114">
        <f>G25+G44+G53</f>
        <v>1119088</v>
      </c>
      <c r="H56" s="15">
        <f t="shared" si="20"/>
        <v>1011244</v>
      </c>
      <c r="I56" s="15">
        <f t="shared" si="20"/>
        <v>852108</v>
      </c>
      <c r="J56" s="15">
        <f t="shared" si="20"/>
        <v>1250463</v>
      </c>
      <c r="K56" s="15">
        <f t="shared" si="20"/>
        <v>1432949</v>
      </c>
      <c r="L56" s="15">
        <f t="shared" si="20"/>
        <v>1366236</v>
      </c>
      <c r="M56" s="15">
        <f t="shared" si="20"/>
        <v>1830522</v>
      </c>
      <c r="N56" s="15">
        <f t="shared" si="20"/>
        <v>1815208</v>
      </c>
      <c r="O56" s="15">
        <f t="shared" si="20"/>
        <v>1805095</v>
      </c>
      <c r="P56" s="15">
        <f t="shared" si="20"/>
        <v>1771975</v>
      </c>
      <c r="Q56" s="15">
        <f t="shared" si="20"/>
        <v>1650269</v>
      </c>
    </row>
    <row r="57" spans="1:18" x14ac:dyDescent="0.3">
      <c r="B57" s="44" t="s">
        <v>254</v>
      </c>
      <c r="C57" s="36">
        <f t="shared" ref="C57:Q57" si="21">IFERROR(C56/C$11,"")</f>
        <v>4.636031437847362E-2</v>
      </c>
      <c r="D57" s="36">
        <f t="shared" si="21"/>
        <v>4.3985098835308822E-2</v>
      </c>
      <c r="E57" s="36">
        <f t="shared" si="21"/>
        <v>3.5118223960000722E-2</v>
      </c>
      <c r="F57" s="127">
        <f t="shared" si="21"/>
        <v>2.9256091224209239E-2</v>
      </c>
      <c r="G57" s="116">
        <f t="shared" si="21"/>
        <v>2.7192696154482412E-2</v>
      </c>
      <c r="H57" s="36">
        <f t="shared" si="21"/>
        <v>2.5104902497069443E-2</v>
      </c>
      <c r="I57" s="36">
        <f t="shared" si="21"/>
        <v>2.074601142526197E-2</v>
      </c>
      <c r="J57" s="36">
        <f t="shared" si="21"/>
        <v>2.9887822035531978E-2</v>
      </c>
      <c r="K57" s="36">
        <f t="shared" si="21"/>
        <v>3.3239629317228202E-2</v>
      </c>
      <c r="L57" s="36">
        <f t="shared" si="21"/>
        <v>3.1027689945946804E-2</v>
      </c>
      <c r="M57" s="36">
        <f t="shared" si="21"/>
        <v>4.0659953700444437E-2</v>
      </c>
      <c r="N57" s="36">
        <f t="shared" si="21"/>
        <v>3.9426326155417732E-2</v>
      </c>
      <c r="O57" s="36">
        <f t="shared" si="21"/>
        <v>3.8336415144242263E-2</v>
      </c>
      <c r="P57" s="36">
        <f t="shared" si="21"/>
        <v>3.6796316230610249E-2</v>
      </c>
      <c r="Q57" s="36">
        <f t="shared" si="21"/>
        <v>3.3505869727689284E-2</v>
      </c>
    </row>
    <row r="58" spans="1:18" ht="13.5" thickBot="1" x14ac:dyDescent="0.35">
      <c r="A58" s="75"/>
      <c r="B58" s="17"/>
      <c r="C58" s="17"/>
      <c r="D58" s="17"/>
      <c r="E58" s="17"/>
      <c r="F58" s="129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x14ac:dyDescent="0.3">
      <c r="B59" s="4"/>
      <c r="C59" s="4"/>
      <c r="D59" s="4"/>
      <c r="E59" s="4"/>
      <c r="F59" s="124"/>
    </row>
    <row r="60" spans="1:18" x14ac:dyDescent="0.3">
      <c r="A60" s="433" t="s">
        <v>26</v>
      </c>
      <c r="B60" s="32" t="s">
        <v>366</v>
      </c>
      <c r="C60" s="32"/>
      <c r="D60" s="32"/>
      <c r="E60" s="32"/>
      <c r="F60" s="124"/>
    </row>
    <row r="61" spans="1:18" x14ac:dyDescent="0.3">
      <c r="A61" s="434" t="s">
        <v>15</v>
      </c>
      <c r="B61" s="19" t="s">
        <v>367</v>
      </c>
      <c r="C61" s="42">
        <f>CIP!D55</f>
        <v>88000</v>
      </c>
      <c r="D61" s="42">
        <f>CIP!E55</f>
        <v>250000</v>
      </c>
      <c r="E61" s="42">
        <f>CIP!F55</f>
        <v>282500</v>
      </c>
      <c r="F61" s="131">
        <f>CIP!G55</f>
        <v>305000</v>
      </c>
      <c r="G61" s="117">
        <f>CIP!H55</f>
        <v>570000</v>
      </c>
      <c r="H61" s="42">
        <f>CIP!I55</f>
        <v>482000</v>
      </c>
      <c r="I61" s="42">
        <f>CIP!J55</f>
        <v>602000</v>
      </c>
      <c r="J61" s="42">
        <f>CIP!K55</f>
        <v>280000</v>
      </c>
      <c r="K61" s="42">
        <f>CIP!L55</f>
        <v>115000</v>
      </c>
      <c r="L61" s="42">
        <f>CIP!M55</f>
        <v>110000</v>
      </c>
      <c r="M61" s="42">
        <f>CIP!N55</f>
        <v>0</v>
      </c>
      <c r="N61" s="42">
        <f>CIP!O55</f>
        <v>140000</v>
      </c>
      <c r="O61" s="42">
        <f>CIP!P55</f>
        <v>90000</v>
      </c>
      <c r="P61" s="42">
        <f>CIP!Q55</f>
        <v>72000</v>
      </c>
      <c r="Q61" s="42">
        <v>0</v>
      </c>
    </row>
    <row r="62" spans="1:18" ht="14.5" customHeight="1" x14ac:dyDescent="0.3">
      <c r="A62" s="434" t="s">
        <v>257</v>
      </c>
      <c r="B62" s="44" t="s">
        <v>382</v>
      </c>
      <c r="C62" s="36">
        <f t="shared" ref="C62:E62" si="22">IFERROR(C61/C$11,"")</f>
        <v>2.3887456636801376E-3</v>
      </c>
      <c r="D62" s="36">
        <f t="shared" si="22"/>
        <v>6.6504530395017757E-3</v>
      </c>
      <c r="E62" s="36">
        <f t="shared" si="22"/>
        <v>7.1714502863261817E-3</v>
      </c>
      <c r="F62" s="127">
        <f>IFERROR(F61/F$11,"")</f>
        <v>7.6925796972694971E-3</v>
      </c>
      <c r="G62" s="116">
        <f>IFERROR(G61/G$11,"")</f>
        <v>1.3850418204873054E-2</v>
      </c>
      <c r="H62" s="36">
        <f t="shared" ref="H62:Q62" si="23">IFERROR(H61/H$11,"")</f>
        <v>1.1966017107233735E-2</v>
      </c>
      <c r="I62" s="36">
        <f t="shared" si="23"/>
        <v>1.4656708865551909E-2</v>
      </c>
      <c r="J62" s="36">
        <f t="shared" si="23"/>
        <v>6.692393273490662E-3</v>
      </c>
      <c r="K62" s="36">
        <f t="shared" si="23"/>
        <v>2.6676157849869347E-3</v>
      </c>
      <c r="L62" s="36">
        <f t="shared" si="23"/>
        <v>2.4981378722666861E-3</v>
      </c>
      <c r="M62" s="36">
        <f t="shared" si="23"/>
        <v>0</v>
      </c>
      <c r="N62" s="36">
        <f t="shared" si="23"/>
        <v>3.0408006475062268E-3</v>
      </c>
      <c r="O62" s="36">
        <f t="shared" si="23"/>
        <v>1.9114104038744793E-3</v>
      </c>
      <c r="P62" s="36">
        <f t="shared" si="23"/>
        <v>1.4951310083968104E-3</v>
      </c>
      <c r="Q62" s="36">
        <f t="shared" si="23"/>
        <v>0</v>
      </c>
    </row>
    <row r="63" spans="1:18" x14ac:dyDescent="0.3">
      <c r="A63" s="434"/>
      <c r="B63" s="439"/>
      <c r="F63" s="124"/>
    </row>
    <row r="64" spans="1:18" x14ac:dyDescent="0.3">
      <c r="A64" s="434" t="s">
        <v>258</v>
      </c>
      <c r="B64" s="19" t="s">
        <v>345</v>
      </c>
      <c r="C64" s="42">
        <v>0</v>
      </c>
      <c r="D64" s="42">
        <v>0</v>
      </c>
      <c r="E64" s="42">
        <v>150000</v>
      </c>
      <c r="F64" s="131">
        <v>0</v>
      </c>
      <c r="G64" s="117">
        <v>0</v>
      </c>
      <c r="H64" s="42">
        <v>0</v>
      </c>
      <c r="I64" s="42"/>
      <c r="J64" s="42"/>
      <c r="K64" s="42"/>
      <c r="L64" s="42"/>
      <c r="M64" s="42"/>
      <c r="N64" s="42">
        <v>0</v>
      </c>
      <c r="O64" s="42">
        <v>0</v>
      </c>
      <c r="P64" s="42">
        <v>0</v>
      </c>
      <c r="Q64" s="42">
        <v>0</v>
      </c>
    </row>
    <row r="65" spans="1:17" x14ac:dyDescent="0.3">
      <c r="A65" s="434"/>
      <c r="B65" s="44" t="s">
        <v>260</v>
      </c>
      <c r="C65" s="36">
        <f t="shared" ref="C65:Q65" si="24">IFERROR(C64/C$11,"")</f>
        <v>0</v>
      </c>
      <c r="D65" s="36">
        <f t="shared" si="24"/>
        <v>0</v>
      </c>
      <c r="E65" s="36">
        <f t="shared" si="24"/>
        <v>3.8078497095537247E-3</v>
      </c>
      <c r="F65" s="127">
        <f t="shared" si="24"/>
        <v>0</v>
      </c>
      <c r="G65" s="116">
        <f t="shared" si="24"/>
        <v>0</v>
      </c>
      <c r="H65" s="36">
        <f t="shared" si="24"/>
        <v>0</v>
      </c>
      <c r="I65" s="36">
        <f t="shared" si="24"/>
        <v>0</v>
      </c>
      <c r="J65" s="36">
        <f t="shared" si="24"/>
        <v>0</v>
      </c>
      <c r="K65" s="36">
        <f t="shared" si="24"/>
        <v>0</v>
      </c>
      <c r="L65" s="36">
        <f t="shared" si="24"/>
        <v>0</v>
      </c>
      <c r="M65" s="36">
        <f t="shared" si="24"/>
        <v>0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0</v>
      </c>
    </row>
    <row r="66" spans="1:17" x14ac:dyDescent="0.3">
      <c r="A66" s="434"/>
      <c r="B66" s="439"/>
      <c r="C66" s="4"/>
      <c r="D66" s="4"/>
      <c r="E66" s="4"/>
      <c r="F66" s="124"/>
    </row>
    <row r="67" spans="1:17" s="137" customFormat="1" x14ac:dyDescent="0.3">
      <c r="A67" s="434" t="s">
        <v>380</v>
      </c>
      <c r="B67" s="46" t="s">
        <v>256</v>
      </c>
      <c r="C67" s="15">
        <f>C61+C64</f>
        <v>88000</v>
      </c>
      <c r="D67" s="15">
        <f t="shared" ref="D67:P67" si="25">D61+D64</f>
        <v>250000</v>
      </c>
      <c r="E67" s="15">
        <f t="shared" si="25"/>
        <v>432500</v>
      </c>
      <c r="F67" s="123">
        <f t="shared" si="25"/>
        <v>305000</v>
      </c>
      <c r="G67" s="114">
        <f t="shared" si="25"/>
        <v>570000</v>
      </c>
      <c r="H67" s="15">
        <f t="shared" si="25"/>
        <v>482000</v>
      </c>
      <c r="I67" s="15">
        <f t="shared" si="25"/>
        <v>602000</v>
      </c>
      <c r="J67" s="15">
        <f t="shared" si="25"/>
        <v>280000</v>
      </c>
      <c r="K67" s="15">
        <f t="shared" si="25"/>
        <v>115000</v>
      </c>
      <c r="L67" s="15">
        <f t="shared" si="25"/>
        <v>110000</v>
      </c>
      <c r="M67" s="15">
        <f t="shared" si="25"/>
        <v>0</v>
      </c>
      <c r="N67" s="15">
        <f t="shared" si="25"/>
        <v>140000</v>
      </c>
      <c r="O67" s="15">
        <f t="shared" si="25"/>
        <v>90000</v>
      </c>
      <c r="P67" s="15">
        <f t="shared" si="25"/>
        <v>72000</v>
      </c>
      <c r="Q67" s="15">
        <f t="shared" ref="Q67" si="26">Q60+Q65</f>
        <v>0</v>
      </c>
    </row>
    <row r="68" spans="1:17" s="137" customFormat="1" x14ac:dyDescent="0.3">
      <c r="A68" s="434"/>
      <c r="B68" s="44" t="s">
        <v>259</v>
      </c>
      <c r="C68" s="36">
        <f>IFERROR(C67/C$11,"")</f>
        <v>2.3887456636801376E-3</v>
      </c>
      <c r="D68" s="36">
        <f t="shared" ref="D68:P68" si="27">IFERROR(D67/D$11,"")</f>
        <v>6.6504530395017757E-3</v>
      </c>
      <c r="E68" s="36">
        <f t="shared" si="27"/>
        <v>1.0979299995879906E-2</v>
      </c>
      <c r="F68" s="127">
        <f t="shared" si="27"/>
        <v>7.6925796972694971E-3</v>
      </c>
      <c r="G68" s="116">
        <f t="shared" si="27"/>
        <v>1.3850418204873054E-2</v>
      </c>
      <c r="H68" s="36">
        <f t="shared" si="27"/>
        <v>1.1966017107233735E-2</v>
      </c>
      <c r="I68" s="36">
        <f t="shared" si="27"/>
        <v>1.4656708865551909E-2</v>
      </c>
      <c r="J68" s="36">
        <f t="shared" si="27"/>
        <v>6.692393273490662E-3</v>
      </c>
      <c r="K68" s="36">
        <f t="shared" si="27"/>
        <v>2.6676157849869347E-3</v>
      </c>
      <c r="L68" s="36">
        <f t="shared" si="27"/>
        <v>2.4981378722666861E-3</v>
      </c>
      <c r="M68" s="36">
        <f t="shared" si="27"/>
        <v>0</v>
      </c>
      <c r="N68" s="36">
        <f t="shared" si="27"/>
        <v>3.0408006475062268E-3</v>
      </c>
      <c r="O68" s="36">
        <f t="shared" si="27"/>
        <v>1.9114104038744793E-3</v>
      </c>
      <c r="P68" s="36">
        <f t="shared" si="27"/>
        <v>1.4951310083968104E-3</v>
      </c>
      <c r="Q68" s="36">
        <f>IFERROR(Q67/Q$11,"")</f>
        <v>0</v>
      </c>
    </row>
    <row r="69" spans="1:17" s="138" customFormat="1" ht="13.5" thickBot="1" x14ac:dyDescent="0.35">
      <c r="A69" s="436"/>
      <c r="B69" s="144"/>
      <c r="C69" s="145"/>
      <c r="D69" s="145"/>
      <c r="E69" s="145"/>
      <c r="F69" s="429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</row>
    <row r="70" spans="1:17" s="138" customFormat="1" x14ac:dyDescent="0.3">
      <c r="A70" s="435"/>
      <c r="B70" s="142"/>
      <c r="C70" s="140"/>
      <c r="D70" s="140"/>
      <c r="E70" s="140"/>
      <c r="F70" s="43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</row>
    <row r="71" spans="1:17" s="137" customFormat="1" x14ac:dyDescent="0.3">
      <c r="A71" s="433" t="s">
        <v>243</v>
      </c>
      <c r="B71" s="13" t="s">
        <v>368</v>
      </c>
      <c r="C71" s="13"/>
      <c r="D71" s="13"/>
      <c r="E71" s="13"/>
      <c r="F71" s="124"/>
    </row>
    <row r="72" spans="1:17" s="137" customFormat="1" x14ac:dyDescent="0.3">
      <c r="A72" s="434" t="s">
        <v>261</v>
      </c>
      <c r="B72" s="40" t="s">
        <v>384</v>
      </c>
      <c r="C72" s="41"/>
      <c r="D72" s="41"/>
      <c r="E72" s="41"/>
      <c r="F72" s="132"/>
      <c r="G72" s="117">
        <f t="shared" ref="G72:Q72" si="28">IFERROR(G$11*$F62,"")</f>
        <v>316580.36332079128</v>
      </c>
      <c r="H72" s="117">
        <f t="shared" si="28"/>
        <v>309862.78732983192</v>
      </c>
      <c r="I72" s="117">
        <f t="shared" si="28"/>
        <v>315959.94846022048</v>
      </c>
      <c r="J72" s="117">
        <f t="shared" si="28"/>
        <v>321846.34512848977</v>
      </c>
      <c r="K72" s="117">
        <f t="shared" si="28"/>
        <v>331624.4678730318</v>
      </c>
      <c r="L72" s="117">
        <f t="shared" si="28"/>
        <v>338725.80696751521</v>
      </c>
      <c r="M72" s="117">
        <f t="shared" si="28"/>
        <v>346321.99722478376</v>
      </c>
      <c r="N72" s="117">
        <f t="shared" si="28"/>
        <v>354170.26055323618</v>
      </c>
      <c r="O72" s="117">
        <f t="shared" si="28"/>
        <v>362210.11005845689</v>
      </c>
      <c r="P72" s="117">
        <f t="shared" si="28"/>
        <v>370446.29205924866</v>
      </c>
      <c r="Q72" s="117">
        <f t="shared" si="28"/>
        <v>378883.63763147505</v>
      </c>
    </row>
    <row r="73" spans="1:17" s="137" customFormat="1" x14ac:dyDescent="0.3">
      <c r="A73" s="434"/>
      <c r="B73" s="37" t="s">
        <v>383</v>
      </c>
      <c r="C73" s="38"/>
      <c r="D73" s="38"/>
      <c r="E73" s="38"/>
      <c r="F73" s="133"/>
      <c r="G73" s="118">
        <f>IFERROR(IF(G$61&gt;G72,0,G72-G$61),"")</f>
        <v>0</v>
      </c>
      <c r="H73" s="118">
        <f t="shared" ref="H73:Q73" si="29">IFERROR(IF(H$61&gt;H72,0,H72-H$61),"")</f>
        <v>0</v>
      </c>
      <c r="I73" s="118">
        <f t="shared" si="29"/>
        <v>0</v>
      </c>
      <c r="J73" s="118">
        <f t="shared" si="29"/>
        <v>41846.345128489775</v>
      </c>
      <c r="K73" s="118">
        <f t="shared" si="29"/>
        <v>216624.4678730318</v>
      </c>
      <c r="L73" s="118">
        <f t="shared" si="29"/>
        <v>228725.80696751521</v>
      </c>
      <c r="M73" s="118">
        <f t="shared" si="29"/>
        <v>346321.99722478376</v>
      </c>
      <c r="N73" s="118">
        <f t="shared" si="29"/>
        <v>214170.26055323618</v>
      </c>
      <c r="O73" s="118">
        <f t="shared" si="29"/>
        <v>272210.11005845689</v>
      </c>
      <c r="P73" s="118">
        <f t="shared" si="29"/>
        <v>298446.29205924866</v>
      </c>
      <c r="Q73" s="118">
        <f t="shared" si="29"/>
        <v>378883.63763147505</v>
      </c>
    </row>
    <row r="74" spans="1:17" s="137" customFormat="1" x14ac:dyDescent="0.3">
      <c r="A74" s="434"/>
      <c r="B74" s="7"/>
      <c r="C74" s="7"/>
      <c r="D74" s="7"/>
      <c r="E74" s="7"/>
      <c r="F74" s="134"/>
    </row>
    <row r="75" spans="1:17" s="137" customFormat="1" x14ac:dyDescent="0.3">
      <c r="A75" s="434" t="s">
        <v>16</v>
      </c>
      <c r="B75" s="8" t="s">
        <v>31</v>
      </c>
      <c r="C75" s="41"/>
      <c r="D75" s="41"/>
      <c r="E75" s="41"/>
      <c r="F75" s="132"/>
      <c r="G75" s="119">
        <v>1.2500000000000001E-2</v>
      </c>
      <c r="H75" s="18">
        <v>1.4999999999999999E-2</v>
      </c>
      <c r="I75" s="18">
        <v>1.4999999999999999E-2</v>
      </c>
      <c r="J75" s="18">
        <v>1.4999999999999999E-2</v>
      </c>
      <c r="K75" s="18">
        <v>0.02</v>
      </c>
      <c r="L75" s="18">
        <v>0.02</v>
      </c>
      <c r="M75" s="18">
        <v>0.02</v>
      </c>
      <c r="N75" s="18">
        <v>2.5000000000000001E-2</v>
      </c>
      <c r="O75" s="18">
        <v>2.5000000000000001E-2</v>
      </c>
      <c r="P75" s="18">
        <v>0.03</v>
      </c>
      <c r="Q75" s="18">
        <v>0.03</v>
      </c>
    </row>
    <row r="76" spans="1:17" s="137" customFormat="1" x14ac:dyDescent="0.3">
      <c r="A76" s="434" t="s">
        <v>262</v>
      </c>
      <c r="B76" s="8" t="s">
        <v>385</v>
      </c>
      <c r="C76" s="41"/>
      <c r="D76" s="41"/>
      <c r="E76" s="41"/>
      <c r="F76" s="132"/>
      <c r="G76" s="113">
        <f>G$11*G75</f>
        <v>514424.9</v>
      </c>
      <c r="H76" s="113">
        <f t="shared" ref="H76:Q76" si="30">H$11*H75</f>
        <v>604211.06999999995</v>
      </c>
      <c r="I76" s="113">
        <f t="shared" si="30"/>
        <v>616100.11380000005</v>
      </c>
      <c r="J76" s="113">
        <f t="shared" si="30"/>
        <v>627578.18143124995</v>
      </c>
      <c r="K76" s="113">
        <f t="shared" si="30"/>
        <v>862193.12876470503</v>
      </c>
      <c r="L76" s="113">
        <f t="shared" si="30"/>
        <v>880655.95755282685</v>
      </c>
      <c r="M76" s="113">
        <f t="shared" si="30"/>
        <v>900405.35387033224</v>
      </c>
      <c r="N76" s="113">
        <f t="shared" si="30"/>
        <v>1151012.6462484032</v>
      </c>
      <c r="O76" s="113">
        <f t="shared" si="30"/>
        <v>1177141.2332166815</v>
      </c>
      <c r="P76" s="113">
        <f t="shared" si="30"/>
        <v>1444689.4538801059</v>
      </c>
      <c r="Q76" s="113">
        <f t="shared" si="30"/>
        <v>1477593.9380880026</v>
      </c>
    </row>
    <row r="77" spans="1:17" s="137" customFormat="1" x14ac:dyDescent="0.3">
      <c r="A77" s="434"/>
      <c r="B77" s="440" t="s">
        <v>386</v>
      </c>
      <c r="C77" s="38"/>
      <c r="D77" s="38"/>
      <c r="E77" s="38"/>
      <c r="F77" s="133"/>
      <c r="G77" s="118">
        <f>IFERROR(IF(G$61&gt;G76,0,G76-G$61),"")</f>
        <v>0</v>
      </c>
      <c r="H77" s="118">
        <f t="shared" ref="H77:Q77" si="31">IFERROR(IF(H$61&gt;H76,0,H76-H$61),"")</f>
        <v>122211.06999999995</v>
      </c>
      <c r="I77" s="118">
        <f t="shared" si="31"/>
        <v>14100.11380000005</v>
      </c>
      <c r="J77" s="118">
        <f t="shared" si="31"/>
        <v>347578.18143124995</v>
      </c>
      <c r="K77" s="118">
        <f t="shared" si="31"/>
        <v>747193.12876470503</v>
      </c>
      <c r="L77" s="118">
        <f t="shared" si="31"/>
        <v>770655.95755282685</v>
      </c>
      <c r="M77" s="118">
        <f t="shared" si="31"/>
        <v>900405.35387033224</v>
      </c>
      <c r="N77" s="118">
        <f t="shared" si="31"/>
        <v>1011012.6462484032</v>
      </c>
      <c r="O77" s="118">
        <f t="shared" si="31"/>
        <v>1087141.2332166815</v>
      </c>
      <c r="P77" s="118">
        <f t="shared" si="31"/>
        <v>1372689.4538801059</v>
      </c>
      <c r="Q77" s="118">
        <f t="shared" si="31"/>
        <v>1477593.9380880026</v>
      </c>
    </row>
    <row r="78" spans="1:17" s="138" customFormat="1" ht="13.5" thickBot="1" x14ac:dyDescent="0.35">
      <c r="A78" s="436"/>
      <c r="B78" s="144"/>
      <c r="C78" s="145"/>
      <c r="D78" s="145"/>
      <c r="E78" s="145"/>
      <c r="F78" s="429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</row>
    <row r="79" spans="1:17" s="138" customFormat="1" x14ac:dyDescent="0.3">
      <c r="A79" s="435"/>
      <c r="B79" s="142"/>
      <c r="C79" s="140"/>
      <c r="D79" s="140"/>
      <c r="E79" s="140"/>
      <c r="F79" s="43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1:17" x14ac:dyDescent="0.3">
      <c r="A80" s="433" t="s">
        <v>244</v>
      </c>
      <c r="B80" s="32" t="s">
        <v>369</v>
      </c>
      <c r="C80" s="9"/>
      <c r="D80" s="9"/>
      <c r="E80" s="9"/>
      <c r="F80" s="124"/>
    </row>
    <row r="81" spans="1:17" x14ac:dyDescent="0.3">
      <c r="A81" s="434"/>
      <c r="B81" s="5" t="s">
        <v>19</v>
      </c>
      <c r="C81" s="14">
        <v>0</v>
      </c>
      <c r="D81" s="14">
        <v>0</v>
      </c>
      <c r="E81" s="14">
        <v>0</v>
      </c>
      <c r="F81" s="122">
        <v>0</v>
      </c>
      <c r="G81" s="113">
        <v>0</v>
      </c>
      <c r="H81" s="14">
        <v>0</v>
      </c>
      <c r="I81" s="14">
        <v>500000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</row>
    <row r="82" spans="1:17" x14ac:dyDescent="0.3">
      <c r="A82" s="434"/>
      <c r="B82" s="5" t="s">
        <v>20</v>
      </c>
      <c r="C82" s="14">
        <v>0</v>
      </c>
      <c r="D82" s="14">
        <v>0</v>
      </c>
      <c r="E82" s="14">
        <v>0</v>
      </c>
      <c r="F82" s="122">
        <v>0</v>
      </c>
      <c r="G82" s="113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</row>
    <row r="83" spans="1:17" x14ac:dyDescent="0.3">
      <c r="A83" s="434"/>
      <c r="B83" s="5" t="s">
        <v>21</v>
      </c>
      <c r="C83" s="14">
        <v>0</v>
      </c>
      <c r="D83" s="14">
        <v>0</v>
      </c>
      <c r="E83" s="14">
        <v>0</v>
      </c>
      <c r="F83" s="122">
        <v>0</v>
      </c>
      <c r="G83" s="113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</row>
    <row r="84" spans="1:17" x14ac:dyDescent="0.3">
      <c r="A84" s="434"/>
      <c r="B84" s="5"/>
      <c r="C84" s="14">
        <v>0</v>
      </c>
      <c r="D84" s="14">
        <v>0</v>
      </c>
      <c r="E84" s="14">
        <v>0</v>
      </c>
      <c r="F84" s="122">
        <v>0</v>
      </c>
      <c r="G84" s="113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</row>
    <row r="85" spans="1:17" x14ac:dyDescent="0.3">
      <c r="A85" s="434" t="s">
        <v>263</v>
      </c>
      <c r="B85" s="10" t="s">
        <v>247</v>
      </c>
      <c r="C85" s="80"/>
      <c r="D85" s="80"/>
      <c r="E85" s="80"/>
      <c r="F85" s="128"/>
      <c r="G85" s="115">
        <f t="shared" ref="G85:Q85" si="32">SUM(G81:G84)</f>
        <v>0</v>
      </c>
      <c r="H85" s="16">
        <f t="shared" si="32"/>
        <v>0</v>
      </c>
      <c r="I85" s="16">
        <f t="shared" si="32"/>
        <v>500000</v>
      </c>
      <c r="J85" s="16">
        <f t="shared" si="32"/>
        <v>0</v>
      </c>
      <c r="K85" s="16">
        <f t="shared" si="32"/>
        <v>0</v>
      </c>
      <c r="L85" s="16">
        <f t="shared" si="32"/>
        <v>0</v>
      </c>
      <c r="M85" s="16">
        <f t="shared" si="32"/>
        <v>0</v>
      </c>
      <c r="N85" s="16">
        <f t="shared" si="32"/>
        <v>0</v>
      </c>
      <c r="O85" s="16">
        <f t="shared" si="32"/>
        <v>0</v>
      </c>
      <c r="P85" s="16">
        <f t="shared" si="32"/>
        <v>0</v>
      </c>
      <c r="Q85" s="16">
        <f t="shared" si="32"/>
        <v>0</v>
      </c>
    </row>
    <row r="86" spans="1:17" s="137" customFormat="1" x14ac:dyDescent="0.3">
      <c r="A86" s="434"/>
      <c r="B86" s="44" t="s">
        <v>387</v>
      </c>
      <c r="C86" s="36">
        <f>IFERROR((C61+C85)/C$11,"")</f>
        <v>2.3887456636801376E-3</v>
      </c>
      <c r="D86" s="36">
        <f t="shared" ref="D86:Q86" si="33">IFERROR((D61+D85)/D$11,"")</f>
        <v>6.6504530395017757E-3</v>
      </c>
      <c r="E86" s="36">
        <f t="shared" si="33"/>
        <v>7.1714502863261817E-3</v>
      </c>
      <c r="F86" s="127">
        <f t="shared" si="33"/>
        <v>7.6925796972694971E-3</v>
      </c>
      <c r="G86" s="116">
        <f t="shared" si="33"/>
        <v>1.3850418204873054E-2</v>
      </c>
      <c r="H86" s="36">
        <f t="shared" si="33"/>
        <v>1.1966017107233735E-2</v>
      </c>
      <c r="I86" s="36">
        <f t="shared" si="33"/>
        <v>2.6830055099399008E-2</v>
      </c>
      <c r="J86" s="36">
        <f t="shared" si="33"/>
        <v>6.692393273490662E-3</v>
      </c>
      <c r="K86" s="36">
        <f t="shared" si="33"/>
        <v>2.6676157849869347E-3</v>
      </c>
      <c r="L86" s="36">
        <f t="shared" si="33"/>
        <v>2.4981378722666861E-3</v>
      </c>
      <c r="M86" s="36">
        <f t="shared" si="33"/>
        <v>0</v>
      </c>
      <c r="N86" s="36">
        <f t="shared" si="33"/>
        <v>3.0408006475062268E-3</v>
      </c>
      <c r="O86" s="36">
        <f t="shared" si="33"/>
        <v>1.9114104038744793E-3</v>
      </c>
      <c r="P86" s="36">
        <f t="shared" si="33"/>
        <v>1.4951310083968104E-3</v>
      </c>
      <c r="Q86" s="36">
        <f t="shared" si="33"/>
        <v>0</v>
      </c>
    </row>
    <row r="87" spans="1:17" s="137" customFormat="1" x14ac:dyDescent="0.3">
      <c r="A87" s="434"/>
      <c r="B87" s="440" t="s">
        <v>388</v>
      </c>
      <c r="C87" s="38"/>
      <c r="D87" s="38"/>
      <c r="E87" s="38"/>
      <c r="F87" s="133"/>
      <c r="G87" s="118">
        <f>IFERROR(IF((G61+G85)&gt;G76,0,(G76-G61-G85)),"")</f>
        <v>0</v>
      </c>
      <c r="H87" s="118">
        <f t="shared" ref="H87:Q87" si="34">IFERROR(IF((H61+H85)&gt;H76,0,(H76-H61-H85)),"")</f>
        <v>122211.06999999995</v>
      </c>
      <c r="I87" s="118">
        <f t="shared" si="34"/>
        <v>0</v>
      </c>
      <c r="J87" s="118">
        <f t="shared" si="34"/>
        <v>347578.18143124995</v>
      </c>
      <c r="K87" s="118">
        <f t="shared" si="34"/>
        <v>747193.12876470503</v>
      </c>
      <c r="L87" s="118">
        <f t="shared" si="34"/>
        <v>770655.95755282685</v>
      </c>
      <c r="M87" s="118">
        <f t="shared" si="34"/>
        <v>900405.35387033224</v>
      </c>
      <c r="N87" s="118">
        <f t="shared" si="34"/>
        <v>1011012.6462484032</v>
      </c>
      <c r="O87" s="118">
        <f t="shared" si="34"/>
        <v>1087141.2332166815</v>
      </c>
      <c r="P87" s="118">
        <f t="shared" si="34"/>
        <v>1372689.4538801059</v>
      </c>
      <c r="Q87" s="118">
        <f t="shared" si="34"/>
        <v>1477593.9380880026</v>
      </c>
    </row>
    <row r="88" spans="1:17" x14ac:dyDescent="0.3">
      <c r="A88" s="434"/>
      <c r="F88" s="124"/>
    </row>
    <row r="89" spans="1:17" x14ac:dyDescent="0.3">
      <c r="A89" s="434"/>
      <c r="B89" s="32" t="s">
        <v>370</v>
      </c>
      <c r="C89" s="4"/>
      <c r="D89" s="4"/>
      <c r="E89" s="4"/>
      <c r="F89" s="124"/>
    </row>
    <row r="90" spans="1:17" x14ac:dyDescent="0.3">
      <c r="A90" s="434"/>
      <c r="B90" s="5" t="s">
        <v>19</v>
      </c>
      <c r="C90" s="14">
        <v>0</v>
      </c>
      <c r="D90" s="14">
        <v>0</v>
      </c>
      <c r="E90" s="14">
        <v>0</v>
      </c>
      <c r="F90" s="122">
        <v>0</v>
      </c>
      <c r="G90" s="113">
        <v>0</v>
      </c>
      <c r="H90" s="14">
        <v>1000000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</row>
    <row r="91" spans="1:17" x14ac:dyDescent="0.3">
      <c r="A91" s="434"/>
      <c r="B91" s="5" t="s">
        <v>20</v>
      </c>
      <c r="C91" s="14">
        <v>0</v>
      </c>
      <c r="D91" s="14">
        <v>0</v>
      </c>
      <c r="E91" s="14">
        <v>0</v>
      </c>
      <c r="F91" s="122">
        <v>0</v>
      </c>
      <c r="G91" s="113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</row>
    <row r="92" spans="1:17" x14ac:dyDescent="0.3">
      <c r="A92" s="434"/>
      <c r="B92" s="5" t="s">
        <v>21</v>
      </c>
      <c r="C92" s="14">
        <v>0</v>
      </c>
      <c r="D92" s="14">
        <v>0</v>
      </c>
      <c r="E92" s="14">
        <v>0</v>
      </c>
      <c r="F92" s="122">
        <v>0</v>
      </c>
      <c r="G92" s="113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</row>
    <row r="93" spans="1:17" x14ac:dyDescent="0.3">
      <c r="A93" s="434"/>
      <c r="B93" s="5"/>
      <c r="C93" s="14">
        <v>0</v>
      </c>
      <c r="D93" s="14">
        <v>0</v>
      </c>
      <c r="E93" s="14">
        <v>0</v>
      </c>
      <c r="F93" s="122">
        <v>0</v>
      </c>
      <c r="G93" s="113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</row>
    <row r="94" spans="1:17" x14ac:dyDescent="0.3">
      <c r="A94" s="434" t="s">
        <v>264</v>
      </c>
      <c r="B94" s="10" t="s">
        <v>248</v>
      </c>
      <c r="C94" s="80"/>
      <c r="D94" s="80"/>
      <c r="E94" s="80"/>
      <c r="F94" s="128"/>
      <c r="G94" s="115">
        <f t="shared" ref="G94:Q94" si="35">SUM(G90:G93)</f>
        <v>0</v>
      </c>
      <c r="H94" s="16">
        <f t="shared" si="35"/>
        <v>1000000</v>
      </c>
      <c r="I94" s="16">
        <f t="shared" si="35"/>
        <v>0</v>
      </c>
      <c r="J94" s="16">
        <f t="shared" si="35"/>
        <v>0</v>
      </c>
      <c r="K94" s="16">
        <f t="shared" si="35"/>
        <v>0</v>
      </c>
      <c r="L94" s="16">
        <f t="shared" si="35"/>
        <v>0</v>
      </c>
      <c r="M94" s="16">
        <f t="shared" si="35"/>
        <v>0</v>
      </c>
      <c r="N94" s="16">
        <f t="shared" si="35"/>
        <v>0</v>
      </c>
      <c r="O94" s="16">
        <f t="shared" si="35"/>
        <v>0</v>
      </c>
      <c r="P94" s="16">
        <f t="shared" si="35"/>
        <v>0</v>
      </c>
      <c r="Q94" s="16">
        <f t="shared" si="35"/>
        <v>0</v>
      </c>
    </row>
    <row r="95" spans="1:17" s="137" customFormat="1" x14ac:dyDescent="0.3">
      <c r="A95" s="434"/>
      <c r="B95" s="44" t="s">
        <v>389</v>
      </c>
      <c r="C95" s="36">
        <f>IFERROR((C94+C64)/C$11,"")</f>
        <v>0</v>
      </c>
      <c r="D95" s="36">
        <f t="shared" ref="D95:Q95" si="36">IFERROR((D94+D64)/D$11,"")</f>
        <v>0</v>
      </c>
      <c r="E95" s="36">
        <f t="shared" si="36"/>
        <v>3.8078497095537247E-3</v>
      </c>
      <c r="F95" s="127">
        <f t="shared" si="36"/>
        <v>0</v>
      </c>
      <c r="G95" s="116">
        <f t="shared" si="36"/>
        <v>0</v>
      </c>
      <c r="H95" s="36">
        <f t="shared" si="36"/>
        <v>2.4825761633265012E-2</v>
      </c>
      <c r="I95" s="36">
        <f t="shared" si="36"/>
        <v>0</v>
      </c>
      <c r="J95" s="36">
        <f t="shared" si="36"/>
        <v>0</v>
      </c>
      <c r="K95" s="36">
        <f t="shared" si="36"/>
        <v>0</v>
      </c>
      <c r="L95" s="36">
        <f t="shared" si="36"/>
        <v>0</v>
      </c>
      <c r="M95" s="36">
        <f t="shared" si="36"/>
        <v>0</v>
      </c>
      <c r="N95" s="36">
        <f t="shared" si="36"/>
        <v>0</v>
      </c>
      <c r="O95" s="36">
        <f t="shared" si="36"/>
        <v>0</v>
      </c>
      <c r="P95" s="36">
        <f t="shared" si="36"/>
        <v>0</v>
      </c>
      <c r="Q95" s="36">
        <f t="shared" si="36"/>
        <v>0</v>
      </c>
    </row>
    <row r="96" spans="1:17" s="28" customFormat="1" x14ac:dyDescent="0.3">
      <c r="A96" s="434"/>
      <c r="B96" s="33"/>
      <c r="C96" s="34"/>
      <c r="D96" s="34"/>
      <c r="E96" s="34"/>
      <c r="F96" s="130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1:18" s="137" customFormat="1" x14ac:dyDescent="0.3">
      <c r="A97" s="434" t="s">
        <v>381</v>
      </c>
      <c r="B97" s="46" t="s">
        <v>249</v>
      </c>
      <c r="C97" s="15">
        <f>C67+C85+C94</f>
        <v>88000</v>
      </c>
      <c r="D97" s="15">
        <f t="shared" ref="D97:Q97" si="37">D67+D85+D94</f>
        <v>250000</v>
      </c>
      <c r="E97" s="15">
        <f t="shared" si="37"/>
        <v>432500</v>
      </c>
      <c r="F97" s="123">
        <f t="shared" si="37"/>
        <v>305000</v>
      </c>
      <c r="G97" s="114">
        <f t="shared" si="37"/>
        <v>570000</v>
      </c>
      <c r="H97" s="15">
        <f t="shared" si="37"/>
        <v>1482000</v>
      </c>
      <c r="I97" s="15">
        <f t="shared" si="37"/>
        <v>1102000</v>
      </c>
      <c r="J97" s="15">
        <f t="shared" si="37"/>
        <v>280000</v>
      </c>
      <c r="K97" s="15">
        <f t="shared" si="37"/>
        <v>115000</v>
      </c>
      <c r="L97" s="15">
        <f t="shared" si="37"/>
        <v>110000</v>
      </c>
      <c r="M97" s="15">
        <f t="shared" si="37"/>
        <v>0</v>
      </c>
      <c r="N97" s="15">
        <f t="shared" si="37"/>
        <v>140000</v>
      </c>
      <c r="O97" s="15">
        <f t="shared" si="37"/>
        <v>90000</v>
      </c>
      <c r="P97" s="15">
        <f t="shared" si="37"/>
        <v>72000</v>
      </c>
      <c r="Q97" s="15">
        <f t="shared" si="37"/>
        <v>0</v>
      </c>
    </row>
    <row r="98" spans="1:18" s="137" customFormat="1" x14ac:dyDescent="0.3">
      <c r="A98" s="434"/>
      <c r="B98" s="44" t="s">
        <v>390</v>
      </c>
      <c r="C98" s="36">
        <f t="shared" ref="C98" si="38">IFERROR(C97/C$11,"")</f>
        <v>2.3887456636801376E-3</v>
      </c>
      <c r="D98" s="36">
        <f t="shared" ref="D98" si="39">IFERROR(D97/D$11,"")</f>
        <v>6.6504530395017757E-3</v>
      </c>
      <c r="E98" s="36">
        <f t="shared" ref="E98" si="40">IFERROR(E97/E$11,"")</f>
        <v>1.0979299995879906E-2</v>
      </c>
      <c r="F98" s="127">
        <f t="shared" ref="F98" si="41">IFERROR(F97/F$11,"")</f>
        <v>7.6925796972694971E-3</v>
      </c>
      <c r="G98" s="116">
        <f t="shared" ref="G98" si="42">IFERROR(G97/G$11,"")</f>
        <v>1.3850418204873054E-2</v>
      </c>
      <c r="H98" s="36">
        <f t="shared" ref="H98" si="43">IFERROR(H97/H$11,"")</f>
        <v>3.679177874049875E-2</v>
      </c>
      <c r="I98" s="36">
        <f t="shared" ref="I98" si="44">IFERROR(I97/I$11,"")</f>
        <v>2.6830055099399008E-2</v>
      </c>
      <c r="J98" s="36">
        <f t="shared" ref="J98" si="45">IFERROR(J97/J$11,"")</f>
        <v>6.692393273490662E-3</v>
      </c>
      <c r="K98" s="36">
        <f t="shared" ref="K98" si="46">IFERROR(K97/K$11,"")</f>
        <v>2.6676157849869347E-3</v>
      </c>
      <c r="L98" s="36">
        <f t="shared" ref="L98" si="47">IFERROR(L97/L$11,"")</f>
        <v>2.4981378722666861E-3</v>
      </c>
      <c r="M98" s="36">
        <f t="shared" ref="M98" si="48">IFERROR(M97/M$11,"")</f>
        <v>0</v>
      </c>
      <c r="N98" s="36">
        <f t="shared" ref="N98" si="49">IFERROR(N97/N$11,"")</f>
        <v>3.0408006475062268E-3</v>
      </c>
      <c r="O98" s="36">
        <f t="shared" ref="O98" si="50">IFERROR(O97/O$11,"")</f>
        <v>1.9114104038744793E-3</v>
      </c>
      <c r="P98" s="36">
        <f t="shared" ref="P98" si="51">IFERROR(P97/P$11,"")</f>
        <v>1.4951310083968104E-3</v>
      </c>
      <c r="Q98" s="36">
        <f t="shared" ref="Q98" si="52">IFERROR(Q97/Q$11,"")</f>
        <v>0</v>
      </c>
    </row>
    <row r="99" spans="1:18" ht="13.5" thickBot="1" x14ac:dyDescent="0.35">
      <c r="A99" s="438"/>
      <c r="B99" s="20"/>
      <c r="C99" s="20"/>
      <c r="D99" s="20"/>
      <c r="E99" s="20"/>
      <c r="F99" s="129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3">
      <c r="A100" s="434"/>
      <c r="F100" s="124"/>
      <c r="H100" s="21"/>
    </row>
    <row r="101" spans="1:18" x14ac:dyDescent="0.3">
      <c r="A101" s="434"/>
    </row>
    <row r="102" spans="1:18" x14ac:dyDescent="0.3">
      <c r="A102" s="434"/>
    </row>
    <row r="103" spans="1:18" x14ac:dyDescent="0.3">
      <c r="A103" s="434"/>
    </row>
    <row r="104" spans="1:18" x14ac:dyDescent="0.3">
      <c r="A104" s="434"/>
    </row>
  </sheetData>
  <phoneticPr fontId="31" type="noConversion"/>
  <pageMargins left="0.2" right="0.2" top="0.5" bottom="0.6" header="0.3" footer="0.3"/>
  <pageSetup orientation="landscape" r:id="rId1"/>
  <headerFooter>
    <oddFooter>&amp;CPage &amp;P of &amp;N&amp;R&amp;D</oddFooter>
  </headerFooter>
  <ignoredErrors>
    <ignoredError sqref="A101:A102 A58:A59 A100 A81:A84 A19 A11:A18 A20:A25 A30:A33 A34 A44:A56 A69:A71 A68 A63 A65:A66 A61:A62 A67 A64 A73:A74 A72 A75:A77 A98 A95:A96 A89:A93 A86:A87 A88 A99 A85 A94 A9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2B62-3ABF-41BD-9267-84BBEA1BFDF0}">
  <sheetPr>
    <tabColor rgb="FF92D050"/>
  </sheetPr>
  <dimension ref="A1:R32"/>
  <sheetViews>
    <sheetView showGridLines="0" zoomScaleNormal="100" zoomScaleSheetLayoutView="100" workbookViewId="0"/>
  </sheetViews>
  <sheetFormatPr defaultColWidth="12.44140625" defaultRowHeight="12" x14ac:dyDescent="0.3"/>
  <cols>
    <col min="1" max="1" width="3.33203125" style="152" customWidth="1"/>
    <col min="2" max="2" width="40.44140625" style="158" customWidth="1"/>
    <col min="3" max="3" width="13" style="154" customWidth="1"/>
    <col min="4" max="13" width="13" style="155" customWidth="1"/>
    <col min="14" max="15" width="13.33203125" style="155" customWidth="1"/>
    <col min="16" max="17" width="13.77734375" style="155" customWidth="1"/>
    <col min="18" max="18" width="15.109375" style="156" customWidth="1"/>
    <col min="19" max="247" width="12.44140625" style="157" customWidth="1"/>
    <col min="248" max="16384" width="12.44140625" style="157"/>
  </cols>
  <sheetData>
    <row r="1" spans="1:18" s="150" customFormat="1" x14ac:dyDescent="0.3">
      <c r="A1" s="146"/>
      <c r="B1" s="147" t="str">
        <f>'GF Analysis'!A1</f>
        <v>Municipality of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</row>
    <row r="2" spans="1:18" s="150" customFormat="1" x14ac:dyDescent="0.3">
      <c r="A2" s="146"/>
      <c r="B2" s="151" t="s">
        <v>53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9"/>
    </row>
    <row r="3" spans="1:18" x14ac:dyDescent="0.3">
      <c r="B3" s="153"/>
    </row>
    <row r="4" spans="1:18" x14ac:dyDescent="0.3">
      <c r="C4" s="159" t="str">
        <f>'GF Analysis'!C6</f>
        <v>FY-4</v>
      </c>
      <c r="D4" s="159" t="str">
        <f>'GF Analysis'!D6</f>
        <v>FY-3</v>
      </c>
      <c r="E4" s="159" t="str">
        <f>'GF Analysis'!E6</f>
        <v>FY-2</v>
      </c>
      <c r="F4" s="159" t="str">
        <f>'GF Analysis'!F6</f>
        <v>FY-1</v>
      </c>
      <c r="G4" s="159" t="str">
        <f>'GF Analysis'!G6</f>
        <v>FY0</v>
      </c>
      <c r="H4" s="159" t="str">
        <f>'GF Analysis'!H6</f>
        <v>FY1</v>
      </c>
      <c r="I4" s="159" t="str">
        <f>'GF Analysis'!I6</f>
        <v>FY2</v>
      </c>
      <c r="J4" s="159" t="str">
        <f>'GF Analysis'!J6</f>
        <v>FY3</v>
      </c>
      <c r="K4" s="159" t="str">
        <f>'GF Analysis'!K6</f>
        <v>FY4</v>
      </c>
      <c r="L4" s="159" t="str">
        <f>'GF Analysis'!L6</f>
        <v>FY5</v>
      </c>
      <c r="M4" s="159" t="str">
        <f>'GF Analysis'!M6</f>
        <v>FY6</v>
      </c>
      <c r="N4" s="159" t="str">
        <f>'GF Analysis'!N6</f>
        <v>FY7</v>
      </c>
      <c r="O4" s="159" t="str">
        <f>'GF Analysis'!O6</f>
        <v>FY8</v>
      </c>
      <c r="P4" s="159" t="str">
        <f>'GF Analysis'!P6</f>
        <v>FY9</v>
      </c>
      <c r="Q4" s="159" t="str">
        <f>'GF Analysis'!Q6</f>
        <v>FY10</v>
      </c>
      <c r="R4" s="159" t="str">
        <f>'GF Analysis'!R6</f>
        <v>FY11</v>
      </c>
    </row>
    <row r="5" spans="1:18" x14ac:dyDescent="0.3">
      <c r="C5" s="159" t="s">
        <v>54</v>
      </c>
      <c r="D5" s="159" t="s">
        <v>54</v>
      </c>
      <c r="E5" s="160" t="s">
        <v>54</v>
      </c>
      <c r="F5" s="160" t="s">
        <v>54</v>
      </c>
      <c r="G5" s="160" t="s">
        <v>54</v>
      </c>
      <c r="H5" s="160" t="s">
        <v>55</v>
      </c>
      <c r="I5" s="160" t="s">
        <v>55</v>
      </c>
      <c r="J5" s="160" t="s">
        <v>55</v>
      </c>
      <c r="K5" s="160" t="s">
        <v>55</v>
      </c>
      <c r="L5" s="160" t="s">
        <v>55</v>
      </c>
      <c r="M5" s="160" t="s">
        <v>55</v>
      </c>
      <c r="N5" s="160" t="s">
        <v>55</v>
      </c>
      <c r="O5" s="160" t="s">
        <v>55</v>
      </c>
      <c r="P5" s="160" t="s">
        <v>55</v>
      </c>
      <c r="Q5" s="160" t="s">
        <v>55</v>
      </c>
      <c r="R5" s="160" t="s">
        <v>55</v>
      </c>
    </row>
    <row r="6" spans="1:18" x14ac:dyDescent="0.3">
      <c r="B6" s="161" t="s">
        <v>56</v>
      </c>
      <c r="R6" s="155"/>
    </row>
    <row r="7" spans="1:18" x14ac:dyDescent="0.3">
      <c r="B7" s="162" t="s">
        <v>57</v>
      </c>
      <c r="C7" s="163">
        <f>'Tax Levy'!C12</f>
        <v>26249631</v>
      </c>
      <c r="D7" s="163">
        <f>'Tax Levy'!D12</f>
        <v>27030725</v>
      </c>
      <c r="E7" s="163">
        <f>'Tax Levy'!E12</f>
        <v>28882103</v>
      </c>
      <c r="F7" s="163">
        <f>'Tax Levy'!F12</f>
        <v>29744326</v>
      </c>
      <c r="G7" s="163">
        <f>'Tax Levy'!G12</f>
        <v>30584328</v>
      </c>
      <c r="H7" s="163">
        <f>'Tax Levy'!H12</f>
        <v>31423936</v>
      </c>
      <c r="I7" s="163">
        <f>'Tax Levy'!I12</f>
        <v>32284534</v>
      </c>
      <c r="J7" s="163">
        <f>'Tax Levy'!J12</f>
        <v>33166647</v>
      </c>
      <c r="K7" s="163">
        <f>'Tax Levy'!K12</f>
        <v>34070813</v>
      </c>
      <c r="L7" s="163">
        <f>'Tax Levy'!L12</f>
        <v>34997583</v>
      </c>
      <c r="M7" s="163">
        <f>'Tax Levy'!M12</f>
        <v>35947523</v>
      </c>
      <c r="N7" s="163">
        <f>'Tax Levy'!N12</f>
        <v>36921211</v>
      </c>
      <c r="O7" s="163">
        <f>'Tax Levy'!O12</f>
        <v>37919241</v>
      </c>
      <c r="P7" s="163">
        <f>'Tax Levy'!P12</f>
        <v>38942222</v>
      </c>
      <c r="Q7" s="163">
        <f>'Tax Levy'!Q12</f>
        <v>39990778</v>
      </c>
      <c r="R7" s="163">
        <f>'Tax Levy'!R12</f>
        <v>41065547</v>
      </c>
    </row>
    <row r="8" spans="1:18" x14ac:dyDescent="0.3">
      <c r="B8" s="164" t="s">
        <v>58</v>
      </c>
      <c r="C8" s="163">
        <f>'Tax Levy'!C13</f>
        <v>1619098</v>
      </c>
      <c r="D8" s="163">
        <f>'Tax Levy'!D13</f>
        <v>1552837</v>
      </c>
      <c r="E8" s="163">
        <f>'Tax Levy'!E13</f>
        <v>1498272.5</v>
      </c>
      <c r="F8" s="163">
        <f>'Tax Levy'!F13</f>
        <v>1227878</v>
      </c>
      <c r="G8" s="163">
        <f>'Tax Levy'!G13</f>
        <v>1005353</v>
      </c>
      <c r="H8" s="163">
        <f>'Tax Levy'!H13</f>
        <v>964578</v>
      </c>
      <c r="I8" s="163">
        <f>'Tax Levy'!I13</f>
        <v>834934</v>
      </c>
      <c r="J8" s="163">
        <f>'Tax Levy'!J13</f>
        <v>655840</v>
      </c>
      <c r="K8" s="163">
        <f>'Tax Levy'!K13</f>
        <v>960053</v>
      </c>
      <c r="L8" s="163">
        <f>'Tax Levy'!L13</f>
        <v>893146</v>
      </c>
      <c r="M8" s="163">
        <f>'Tax Levy'!M13</f>
        <v>866840</v>
      </c>
      <c r="N8" s="163">
        <f>'Tax Levy'!N13</f>
        <v>848994</v>
      </c>
      <c r="O8" s="163">
        <f>'Tax Levy'!O13</f>
        <v>831147</v>
      </c>
      <c r="P8" s="163">
        <f>'Tax Levy'!P13</f>
        <v>813301</v>
      </c>
      <c r="Q8" s="163">
        <f>'Tax Levy'!Q13</f>
        <v>795455</v>
      </c>
      <c r="R8" s="163">
        <f>'Tax Levy'!R13</f>
        <v>777609</v>
      </c>
    </row>
    <row r="9" spans="1:18" x14ac:dyDescent="0.3">
      <c r="B9" s="164" t="s">
        <v>59</v>
      </c>
      <c r="C9" s="163">
        <f>'Tax Levy'!C14</f>
        <v>120000</v>
      </c>
      <c r="D9" s="163">
        <f>'Tax Levy'!D14</f>
        <v>0</v>
      </c>
      <c r="E9" s="163">
        <f>'Tax Levy'!E14</f>
        <v>0</v>
      </c>
      <c r="F9" s="163">
        <f>'Tax Levy'!F14</f>
        <v>150000</v>
      </c>
      <c r="G9" s="163">
        <f>'Tax Levy'!G14</f>
        <v>0</v>
      </c>
      <c r="H9" s="163">
        <f>'Tax Levy'!H14</f>
        <v>0</v>
      </c>
      <c r="I9" s="163">
        <f>'Tax Levy'!I14</f>
        <v>0</v>
      </c>
      <c r="J9" s="163">
        <f>'Tax Levy'!J14</f>
        <v>0</v>
      </c>
      <c r="K9" s="163">
        <f>'Tax Levy'!K14</f>
        <v>0</v>
      </c>
      <c r="L9" s="163">
        <f>'Tax Levy'!L14</f>
        <v>0</v>
      </c>
      <c r="M9" s="163">
        <f>'Tax Levy'!M14</f>
        <v>0</v>
      </c>
      <c r="N9" s="163">
        <f>'Tax Levy'!N14</f>
        <v>0</v>
      </c>
      <c r="O9" s="163">
        <f>'Tax Levy'!O14</f>
        <v>0</v>
      </c>
      <c r="P9" s="163">
        <f>'Tax Levy'!P14</f>
        <v>0</v>
      </c>
      <c r="Q9" s="163">
        <f>'Tax Levy'!Q14</f>
        <v>0</v>
      </c>
      <c r="R9" s="163">
        <f>'Tax Levy'!R14</f>
        <v>0</v>
      </c>
    </row>
    <row r="10" spans="1:18" x14ac:dyDescent="0.3">
      <c r="B10" s="164" t="s">
        <v>60</v>
      </c>
      <c r="C10" s="165">
        <f>+'Tax Levy'!C15+'Tax Levy'!C16+'Tax Levy'!C17</f>
        <v>0</v>
      </c>
      <c r="D10" s="165">
        <f>+'Tax Levy'!D15+'Tax Levy'!D16+'Tax Levy'!D17</f>
        <v>0</v>
      </c>
      <c r="E10" s="165">
        <f>+'Tax Levy'!E15+'Tax Levy'!E16+'Tax Levy'!E17</f>
        <v>0</v>
      </c>
      <c r="F10" s="165">
        <f>+'Tax Levy'!F15+'Tax Levy'!F16+'Tax Levy'!F17</f>
        <v>0</v>
      </c>
      <c r="G10" s="165">
        <f>+'Tax Levy'!G15+'Tax Levy'!G16+'Tax Levy'!G17</f>
        <v>0</v>
      </c>
      <c r="H10" s="165">
        <f>+'Tax Levy'!H15+'Tax Levy'!H16+'Tax Levy'!H17</f>
        <v>0</v>
      </c>
      <c r="I10" s="165">
        <f>+'Tax Levy'!I15+'Tax Levy'!I16+'Tax Levy'!I17</f>
        <v>0</v>
      </c>
      <c r="J10" s="165">
        <f>+'Tax Levy'!J15+'Tax Levy'!J16+'Tax Levy'!J17</f>
        <v>0</v>
      </c>
      <c r="K10" s="165">
        <f>+'Tax Levy'!K15+'Tax Levy'!K16+'Tax Levy'!K17</f>
        <v>0</v>
      </c>
      <c r="L10" s="165">
        <f>+'Tax Levy'!L15+'Tax Levy'!L16+'Tax Levy'!L17</f>
        <v>0</v>
      </c>
      <c r="M10" s="165">
        <f>+'Tax Levy'!M15+'Tax Levy'!M16+'Tax Levy'!M17</f>
        <v>0</v>
      </c>
      <c r="N10" s="165">
        <f>+'Tax Levy'!N15+'Tax Levy'!N16+'Tax Levy'!N17</f>
        <v>0</v>
      </c>
      <c r="O10" s="165">
        <f>+'Tax Levy'!O15+'Tax Levy'!O16+'Tax Levy'!O17</f>
        <v>0</v>
      </c>
      <c r="P10" s="165">
        <f>+'Tax Levy'!P15+'Tax Levy'!P16+'Tax Levy'!P17</f>
        <v>0</v>
      </c>
      <c r="Q10" s="165">
        <f>+'Tax Levy'!Q15+'Tax Levy'!Q16+'Tax Levy'!Q17</f>
        <v>0</v>
      </c>
      <c r="R10" s="165">
        <f>+'Tax Levy'!R15+'Tax Levy'!R16+'Tax Levy'!R17</f>
        <v>0</v>
      </c>
    </row>
    <row r="11" spans="1:18" x14ac:dyDescent="0.3">
      <c r="B11" s="166" t="s">
        <v>61</v>
      </c>
      <c r="C11" s="167">
        <f>SUM(C7:C10)</f>
        <v>27988729</v>
      </c>
      <c r="D11" s="167">
        <f t="shared" ref="D11:R11" si="0">SUM(D7:D10)</f>
        <v>28583562</v>
      </c>
      <c r="E11" s="167">
        <f t="shared" si="0"/>
        <v>30380375.5</v>
      </c>
      <c r="F11" s="167">
        <f t="shared" si="0"/>
        <v>31122204</v>
      </c>
      <c r="G11" s="167">
        <f t="shared" si="0"/>
        <v>31589681</v>
      </c>
      <c r="H11" s="167">
        <f t="shared" si="0"/>
        <v>32388514</v>
      </c>
      <c r="I11" s="167">
        <f t="shared" si="0"/>
        <v>33119468</v>
      </c>
      <c r="J11" s="167">
        <f t="shared" si="0"/>
        <v>33822487</v>
      </c>
      <c r="K11" s="167">
        <f t="shared" si="0"/>
        <v>35030866</v>
      </c>
      <c r="L11" s="167">
        <f t="shared" si="0"/>
        <v>35890729</v>
      </c>
      <c r="M11" s="167">
        <f t="shared" si="0"/>
        <v>36814363</v>
      </c>
      <c r="N11" s="167">
        <f t="shared" si="0"/>
        <v>37770205</v>
      </c>
      <c r="O11" s="167">
        <f t="shared" si="0"/>
        <v>38750388</v>
      </c>
      <c r="P11" s="167">
        <f t="shared" si="0"/>
        <v>39755523</v>
      </c>
      <c r="Q11" s="167">
        <f t="shared" si="0"/>
        <v>40786233</v>
      </c>
      <c r="R11" s="167">
        <f t="shared" si="0"/>
        <v>41843156</v>
      </c>
    </row>
    <row r="12" spans="1:18" x14ac:dyDescent="0.3">
      <c r="B12" s="168" t="s">
        <v>62</v>
      </c>
      <c r="C12" s="167">
        <f>'Tax Levy'!C21</f>
        <v>-15277</v>
      </c>
      <c r="D12" s="167">
        <f>'Tax Levy'!D21</f>
        <v>-162056</v>
      </c>
      <c r="E12" s="167">
        <f>'Tax Levy'!E21</f>
        <v>-434496.5</v>
      </c>
      <c r="F12" s="167">
        <f>'Tax Levy'!F21</f>
        <v>-496241</v>
      </c>
      <c r="G12" s="167">
        <f>'Tax Levy'!G21</f>
        <v>-186830</v>
      </c>
      <c r="H12" s="167">
        <f>'Tax Levy'!H21</f>
        <v>0</v>
      </c>
      <c r="I12" s="167">
        <f>'Tax Levy'!I21</f>
        <v>0</v>
      </c>
      <c r="J12" s="167">
        <f>'Tax Levy'!J21</f>
        <v>0</v>
      </c>
      <c r="K12" s="167">
        <f>'Tax Levy'!K21</f>
        <v>0</v>
      </c>
      <c r="L12" s="167">
        <f>'Tax Levy'!L21</f>
        <v>0</v>
      </c>
      <c r="M12" s="167">
        <f>'Tax Levy'!M21</f>
        <v>0</v>
      </c>
      <c r="N12" s="167">
        <f>'Tax Levy'!N21</f>
        <v>0</v>
      </c>
      <c r="O12" s="167">
        <f>'Tax Levy'!O21</f>
        <v>0</v>
      </c>
      <c r="P12" s="167">
        <f>'Tax Levy'!P21</f>
        <v>0</v>
      </c>
      <c r="Q12" s="167">
        <f>'Tax Levy'!Q21</f>
        <v>0</v>
      </c>
      <c r="R12" s="167">
        <f>'Tax Levy'!R21</f>
        <v>0</v>
      </c>
    </row>
    <row r="13" spans="1:18" x14ac:dyDescent="0.3">
      <c r="B13" s="169" t="s">
        <v>63</v>
      </c>
      <c r="C13" s="170">
        <f t="shared" ref="C13:R13" si="1">C11+C12</f>
        <v>27973452</v>
      </c>
      <c r="D13" s="170">
        <f t="shared" si="1"/>
        <v>28421506</v>
      </c>
      <c r="E13" s="170">
        <f t="shared" si="1"/>
        <v>29945879</v>
      </c>
      <c r="F13" s="170">
        <f t="shared" si="1"/>
        <v>30625963</v>
      </c>
      <c r="G13" s="170">
        <f t="shared" si="1"/>
        <v>31402851</v>
      </c>
      <c r="H13" s="170">
        <f t="shared" si="1"/>
        <v>32388514</v>
      </c>
      <c r="I13" s="170">
        <f t="shared" si="1"/>
        <v>33119468</v>
      </c>
      <c r="J13" s="170">
        <f t="shared" si="1"/>
        <v>33822487</v>
      </c>
      <c r="K13" s="170">
        <f t="shared" si="1"/>
        <v>35030866</v>
      </c>
      <c r="L13" s="170">
        <f t="shared" si="1"/>
        <v>35890729</v>
      </c>
      <c r="M13" s="170">
        <f t="shared" si="1"/>
        <v>36814363</v>
      </c>
      <c r="N13" s="170">
        <f t="shared" si="1"/>
        <v>37770205</v>
      </c>
      <c r="O13" s="170">
        <f t="shared" si="1"/>
        <v>38750388</v>
      </c>
      <c r="P13" s="170">
        <f t="shared" si="1"/>
        <v>39755523</v>
      </c>
      <c r="Q13" s="170">
        <f t="shared" si="1"/>
        <v>40786233</v>
      </c>
      <c r="R13" s="170">
        <f t="shared" si="1"/>
        <v>41843156</v>
      </c>
    </row>
    <row r="14" spans="1:18" x14ac:dyDescent="0.3">
      <c r="B14" s="157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</row>
    <row r="15" spans="1:18" x14ac:dyDescent="0.3">
      <c r="B15" s="161" t="s">
        <v>64</v>
      </c>
      <c r="C15" s="172"/>
      <c r="D15" s="172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</row>
    <row r="16" spans="1:18" x14ac:dyDescent="0.3">
      <c r="B16" s="168" t="s">
        <v>65</v>
      </c>
      <c r="C16" s="167">
        <f>'State Aid'!C7+'State Aid'!C8+'State Aid'!C9+'State Aid'!C10</f>
        <v>2537967</v>
      </c>
      <c r="D16" s="167">
        <f>'State Aid'!D7+'State Aid'!D8+'State Aid'!D9+'State Aid'!D10</f>
        <v>2704591</v>
      </c>
      <c r="E16" s="167">
        <f>'State Aid'!E7+'State Aid'!E8+'State Aid'!E9+'State Aid'!E10</f>
        <v>2854264</v>
      </c>
      <c r="F16" s="167">
        <f>'State Aid'!F7+'State Aid'!F8+'State Aid'!F9+'State Aid'!F10</f>
        <v>2914140</v>
      </c>
      <c r="G16" s="167">
        <f>'State Aid'!G7+'State Aid'!G8+'State Aid'!G9+'State Aid'!G10</f>
        <v>2992394</v>
      </c>
      <c r="H16" s="167">
        <f>'State Aid'!H7+'State Aid'!H8+'State Aid'!H9+'State Aid'!H10</f>
        <v>3101513</v>
      </c>
      <c r="I16" s="167">
        <f>'State Aid'!I7+'State Aid'!I8+'State Aid'!I9+'State Aid'!I10</f>
        <v>3116869.09</v>
      </c>
      <c r="J16" s="167">
        <f>'State Aid'!J7+'State Aid'!J8+'State Aid'!J9+'State Aid'!J10</f>
        <v>3132301.9604499997</v>
      </c>
      <c r="K16" s="167">
        <f>'State Aid'!K7+'State Aid'!K8+'State Aid'!K9+'State Aid'!K10</f>
        <v>3147811.9952522493</v>
      </c>
      <c r="L16" s="167">
        <f>'State Aid'!L7+'State Aid'!L8+'State Aid'!L9+'State Aid'!L10</f>
        <v>3163399.5802285103</v>
      </c>
      <c r="M16" s="167">
        <f>'State Aid'!M7+'State Aid'!M8+'State Aid'!M9+'State Aid'!M10</f>
        <v>3179065.1031296523</v>
      </c>
      <c r="N16" s="167">
        <f>'State Aid'!N7+'State Aid'!N8+'State Aid'!N9+'State Aid'!N10</f>
        <v>3194808.9536453001</v>
      </c>
      <c r="O16" s="167">
        <f>'State Aid'!O7+'State Aid'!O8+'State Aid'!O9+'State Aid'!O10</f>
        <v>3210631.5234135264</v>
      </c>
      <c r="P16" s="167">
        <f>'State Aid'!P7+'State Aid'!P8+'State Aid'!P9+'State Aid'!P10</f>
        <v>3226533.2060305937</v>
      </c>
      <c r="Q16" s="167">
        <f>'State Aid'!Q7+'State Aid'!Q8+'State Aid'!Q9+'State Aid'!Q10</f>
        <v>3242514.3970607463</v>
      </c>
      <c r="R16" s="167">
        <f>'State Aid'!R7+'State Aid'!R8+'State Aid'!R9+'State Aid'!R10</f>
        <v>3258575.4940460497</v>
      </c>
    </row>
    <row r="17" spans="1:18" x14ac:dyDescent="0.3">
      <c r="B17" s="168" t="s">
        <v>66</v>
      </c>
      <c r="C17" s="174">
        <f>'State Aid'!C12+'State Aid'!C13+'State Aid'!C14+'State Aid'!C15+'State Aid'!C16+'State Aid'!C17</f>
        <v>1370899</v>
      </c>
      <c r="D17" s="174">
        <f>'State Aid'!D12+'State Aid'!D13+'State Aid'!D14+'State Aid'!D15+'State Aid'!D16+'State Aid'!D17</f>
        <v>1439479</v>
      </c>
      <c r="E17" s="174">
        <f>'State Aid'!E12+'State Aid'!E13+'State Aid'!E14+'State Aid'!E15+'State Aid'!E16+'State Aid'!E17</f>
        <v>1513354</v>
      </c>
      <c r="F17" s="174">
        <f>'State Aid'!F12+'State Aid'!F13+'State Aid'!F14+'State Aid'!F15+'State Aid'!F16+'State Aid'!F17</f>
        <v>1513184</v>
      </c>
      <c r="G17" s="174">
        <f>'State Aid'!G12+'State Aid'!G13+'State Aid'!G14+'State Aid'!G15+'State Aid'!G16+'State Aid'!G17</f>
        <v>1599309</v>
      </c>
      <c r="H17" s="174">
        <f>'State Aid'!H12+'State Aid'!H13+'State Aid'!H14+'State Aid'!H15+'State Aid'!H16+'State Aid'!H17</f>
        <v>1619831</v>
      </c>
      <c r="I17" s="174">
        <f>'State Aid'!I12+'State Aid'!I13+'State Aid'!I14+'State Aid'!I15+'State Aid'!I16+'State Aid'!I17</f>
        <v>1635111.83</v>
      </c>
      <c r="J17" s="174">
        <f>'State Aid'!J12+'State Aid'!J13+'State Aid'!J14+'State Aid'!J15+'State Aid'!J16+'State Aid'!J17</f>
        <v>1650545.4683000001</v>
      </c>
      <c r="K17" s="174">
        <f>'State Aid'!K12+'State Aid'!K13+'State Aid'!K14+'State Aid'!K15+'State Aid'!K16+'State Aid'!K17</f>
        <v>1666133.4429830001</v>
      </c>
      <c r="L17" s="174">
        <f>'State Aid'!L12+'State Aid'!L13+'State Aid'!L14+'State Aid'!L15+'State Aid'!L16+'State Aid'!L17</f>
        <v>1681877.2974128302</v>
      </c>
      <c r="M17" s="174">
        <f>'State Aid'!M12+'State Aid'!M13+'State Aid'!M14+'State Aid'!M15+'State Aid'!M16+'State Aid'!M17</f>
        <v>1697778.5903869586</v>
      </c>
      <c r="N17" s="174">
        <f>'State Aid'!N12+'State Aid'!N13+'State Aid'!N14+'State Aid'!N15+'State Aid'!N16+'State Aid'!N17</f>
        <v>1713838.8962908282</v>
      </c>
      <c r="O17" s="174">
        <f>'State Aid'!O12+'State Aid'!O13+'State Aid'!O14+'State Aid'!O15+'State Aid'!O16+'State Aid'!O17</f>
        <v>1730059.8052537364</v>
      </c>
      <c r="P17" s="174">
        <f>'State Aid'!P12+'State Aid'!P13+'State Aid'!P14+'State Aid'!P15+'State Aid'!P16+'State Aid'!P17</f>
        <v>1746442.9233062738</v>
      </c>
      <c r="Q17" s="174">
        <f>'State Aid'!Q12+'State Aid'!Q13+'State Aid'!Q14+'State Aid'!Q15+'State Aid'!Q16+'State Aid'!Q17</f>
        <v>1762989.8725393366</v>
      </c>
      <c r="R17" s="174">
        <f>'State Aid'!R12+'State Aid'!R13+'State Aid'!R14+'State Aid'!R15+'State Aid'!R16+'State Aid'!R17</f>
        <v>1779702.29126473</v>
      </c>
    </row>
    <row r="18" spans="1:18" x14ac:dyDescent="0.3">
      <c r="B18" s="175" t="s">
        <v>67</v>
      </c>
      <c r="C18" s="174">
        <f>'State Aid'!C11+'State Aid'!C18</f>
        <v>27146</v>
      </c>
      <c r="D18" s="174">
        <f>'State Aid'!D11+'State Aid'!D18</f>
        <v>27511</v>
      </c>
      <c r="E18" s="174">
        <f>'State Aid'!E11+'State Aid'!E18</f>
        <v>28105</v>
      </c>
      <c r="F18" s="174">
        <f>'State Aid'!F11+'State Aid'!F18</f>
        <v>28229</v>
      </c>
      <c r="G18" s="174">
        <f>'State Aid'!G11+'State Aid'!G18</f>
        <v>29292</v>
      </c>
      <c r="H18" s="174">
        <f>'State Aid'!H11+'State Aid'!H18</f>
        <v>29925</v>
      </c>
      <c r="I18" s="174">
        <f>'State Aid'!I11+'State Aid'!I18</f>
        <v>29925</v>
      </c>
      <c r="J18" s="174">
        <f>'State Aid'!J11+'State Aid'!J18</f>
        <v>29925</v>
      </c>
      <c r="K18" s="174">
        <f>'State Aid'!K11+'State Aid'!K18</f>
        <v>29925</v>
      </c>
      <c r="L18" s="174">
        <f>'State Aid'!L11+'State Aid'!L18</f>
        <v>29925</v>
      </c>
      <c r="M18" s="174">
        <f>'State Aid'!M11+'State Aid'!M18</f>
        <v>29925</v>
      </c>
      <c r="N18" s="174">
        <f>'State Aid'!N11+'State Aid'!N18</f>
        <v>29925</v>
      </c>
      <c r="O18" s="174">
        <f>'State Aid'!O11+'State Aid'!O18</f>
        <v>29925</v>
      </c>
      <c r="P18" s="174">
        <f>'State Aid'!P11+'State Aid'!P18</f>
        <v>29925</v>
      </c>
      <c r="Q18" s="174">
        <f>'State Aid'!Q11+'State Aid'!Q18</f>
        <v>29925</v>
      </c>
      <c r="R18" s="174">
        <f>'State Aid'!R11+'State Aid'!R18</f>
        <v>29925</v>
      </c>
    </row>
    <row r="19" spans="1:18" x14ac:dyDescent="0.3">
      <c r="B19" s="176" t="s">
        <v>68</v>
      </c>
      <c r="C19" s="177">
        <f t="shared" ref="C19:K19" si="2">SUM(C16:C18)</f>
        <v>3936012</v>
      </c>
      <c r="D19" s="177">
        <f t="shared" si="2"/>
        <v>4171581</v>
      </c>
      <c r="E19" s="177">
        <f t="shared" si="2"/>
        <v>4395723</v>
      </c>
      <c r="F19" s="177">
        <f t="shared" si="2"/>
        <v>4455553</v>
      </c>
      <c r="G19" s="177">
        <f t="shared" si="2"/>
        <v>4620995</v>
      </c>
      <c r="H19" s="177">
        <f t="shared" si="2"/>
        <v>4751269</v>
      </c>
      <c r="I19" s="177">
        <f t="shared" si="2"/>
        <v>4781905.9199999999</v>
      </c>
      <c r="J19" s="177">
        <f t="shared" ref="J19" si="3">SUM(J16:J18)</f>
        <v>4812772.42875</v>
      </c>
      <c r="K19" s="177">
        <f t="shared" si="2"/>
        <v>4843870.4382352494</v>
      </c>
      <c r="L19" s="177">
        <f t="shared" ref="L19:R19" si="4">SUM(L16:L18)</f>
        <v>4875201.8776413407</v>
      </c>
      <c r="M19" s="177">
        <f t="shared" si="4"/>
        <v>4906768.6935166111</v>
      </c>
      <c r="N19" s="177">
        <f t="shared" si="4"/>
        <v>4938572.8499361286</v>
      </c>
      <c r="O19" s="177">
        <f t="shared" si="4"/>
        <v>4970616.3286672626</v>
      </c>
      <c r="P19" s="177">
        <f t="shared" si="4"/>
        <v>5002901.1293368675</v>
      </c>
      <c r="Q19" s="177">
        <f t="shared" si="4"/>
        <v>5035429.2696000831</v>
      </c>
      <c r="R19" s="177">
        <f t="shared" si="4"/>
        <v>5068202.7853107797</v>
      </c>
    </row>
    <row r="20" spans="1:18" x14ac:dyDescent="0.3">
      <c r="B20" s="178"/>
      <c r="C20" s="179"/>
      <c r="D20" s="179"/>
      <c r="E20" s="179"/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</row>
    <row r="21" spans="1:18" x14ac:dyDescent="0.3">
      <c r="A21" s="181"/>
      <c r="B21" s="182" t="s">
        <v>69</v>
      </c>
      <c r="C21" s="183">
        <f>'State Aid'!C23</f>
        <v>0</v>
      </c>
      <c r="D21" s="183">
        <f>'State Aid'!D23</f>
        <v>0</v>
      </c>
      <c r="E21" s="183">
        <f>'State Aid'!E23</f>
        <v>0</v>
      </c>
      <c r="F21" s="183">
        <f>'State Aid'!F23</f>
        <v>0</v>
      </c>
      <c r="G21" s="183">
        <f>'State Aid'!G23</f>
        <v>0</v>
      </c>
      <c r="H21" s="183">
        <f>'State Aid'!H23</f>
        <v>0</v>
      </c>
      <c r="I21" s="183">
        <f>'State Aid'!I23</f>
        <v>0</v>
      </c>
      <c r="J21" s="183">
        <f>'State Aid'!J23</f>
        <v>0</v>
      </c>
      <c r="K21" s="183">
        <f>'State Aid'!K23</f>
        <v>0</v>
      </c>
      <c r="L21" s="184"/>
      <c r="M21" s="184"/>
      <c r="N21" s="184"/>
      <c r="O21" s="184"/>
      <c r="P21" s="184"/>
      <c r="Q21" s="184"/>
      <c r="R21" s="184"/>
    </row>
    <row r="22" spans="1:18" x14ac:dyDescent="0.3">
      <c r="B22" s="178"/>
      <c r="C22" s="179"/>
      <c r="D22" s="179"/>
      <c r="E22" s="179"/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1:18" x14ac:dyDescent="0.3">
      <c r="B23" s="161" t="s">
        <v>70</v>
      </c>
      <c r="C23" s="185"/>
      <c r="D23" s="186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</row>
    <row r="24" spans="1:18" x14ac:dyDescent="0.3">
      <c r="B24" s="175" t="s">
        <v>71</v>
      </c>
      <c r="C24" s="167">
        <f>'Local Receipts'!C35</f>
        <v>3082000</v>
      </c>
      <c r="D24" s="167">
        <f>'Local Receipts'!D35</f>
        <v>3188000</v>
      </c>
      <c r="E24" s="167">
        <f>'Local Receipts'!E35</f>
        <v>2948000</v>
      </c>
      <c r="F24" s="167">
        <f>'Local Receipts'!F35</f>
        <v>3148879</v>
      </c>
      <c r="G24" s="167">
        <f>'Local Receipts'!G35</f>
        <v>3110252</v>
      </c>
      <c r="H24" s="167">
        <f>'Local Receipts'!H35</f>
        <v>3140955</v>
      </c>
      <c r="I24" s="167">
        <f>'Local Receipts'!I35</f>
        <v>3171967</v>
      </c>
      <c r="J24" s="167">
        <f>'Local Receipts'!J35</f>
        <v>3203286</v>
      </c>
      <c r="K24" s="167">
        <f>'Local Receipts'!K35</f>
        <v>3234920</v>
      </c>
      <c r="L24" s="167">
        <f>'Local Receipts'!L35</f>
        <v>3266867</v>
      </c>
      <c r="M24" s="167">
        <f>'Local Receipts'!M35</f>
        <v>3299136</v>
      </c>
      <c r="N24" s="167">
        <f>'Local Receipts'!N35</f>
        <v>3331728</v>
      </c>
      <c r="O24" s="167">
        <f>'Local Receipts'!O35</f>
        <v>3364645</v>
      </c>
      <c r="P24" s="167">
        <f>'Local Receipts'!P35</f>
        <v>3397891</v>
      </c>
      <c r="Q24" s="167">
        <f>'Local Receipts'!Q35</f>
        <v>3431469</v>
      </c>
      <c r="R24" s="167">
        <f>'Local Receipts'!R35</f>
        <v>3465383</v>
      </c>
    </row>
    <row r="25" spans="1:18" x14ac:dyDescent="0.3">
      <c r="B25" s="187" t="s">
        <v>72</v>
      </c>
      <c r="C25" s="188">
        <f t="shared" ref="C25:R25" si="5">SUM(C24:C24)</f>
        <v>3082000</v>
      </c>
      <c r="D25" s="188">
        <f t="shared" si="5"/>
        <v>3188000</v>
      </c>
      <c r="E25" s="188">
        <f t="shared" si="5"/>
        <v>2948000</v>
      </c>
      <c r="F25" s="188">
        <f t="shared" si="5"/>
        <v>3148879</v>
      </c>
      <c r="G25" s="188">
        <f t="shared" si="5"/>
        <v>3110252</v>
      </c>
      <c r="H25" s="188">
        <f t="shared" si="5"/>
        <v>3140955</v>
      </c>
      <c r="I25" s="188">
        <f t="shared" si="5"/>
        <v>3171967</v>
      </c>
      <c r="J25" s="188">
        <f t="shared" si="5"/>
        <v>3203286</v>
      </c>
      <c r="K25" s="188">
        <f t="shared" si="5"/>
        <v>3234920</v>
      </c>
      <c r="L25" s="188">
        <f t="shared" si="5"/>
        <v>3266867</v>
      </c>
      <c r="M25" s="188">
        <f t="shared" si="5"/>
        <v>3299136</v>
      </c>
      <c r="N25" s="188">
        <f t="shared" si="5"/>
        <v>3331728</v>
      </c>
      <c r="O25" s="188">
        <f t="shared" si="5"/>
        <v>3364645</v>
      </c>
      <c r="P25" s="188">
        <f t="shared" si="5"/>
        <v>3397891</v>
      </c>
      <c r="Q25" s="188">
        <f t="shared" si="5"/>
        <v>3431469</v>
      </c>
      <c r="R25" s="188">
        <f t="shared" si="5"/>
        <v>3465383</v>
      </c>
    </row>
    <row r="26" spans="1:18" x14ac:dyDescent="0.3">
      <c r="B26" s="189"/>
      <c r="C26" s="190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</row>
    <row r="27" spans="1:18" x14ac:dyDescent="0.3">
      <c r="B27" s="161" t="s">
        <v>73</v>
      </c>
      <c r="C27" s="190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</row>
    <row r="28" spans="1:18" x14ac:dyDescent="0.3">
      <c r="B28" s="175" t="s">
        <v>74</v>
      </c>
      <c r="C28" s="191">
        <v>1822173</v>
      </c>
      <c r="D28" s="191">
        <v>1123425</v>
      </c>
      <c r="E28" s="191">
        <v>1092797</v>
      </c>
      <c r="F28" s="191">
        <v>758203</v>
      </c>
      <c r="G28" s="191">
        <v>1359894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</row>
    <row r="29" spans="1:18" x14ac:dyDescent="0.3">
      <c r="B29" s="168" t="s">
        <v>34</v>
      </c>
      <c r="C29" s="174">
        <v>25781</v>
      </c>
      <c r="D29" s="174">
        <v>686912</v>
      </c>
      <c r="E29" s="174">
        <v>1009912</v>
      </c>
      <c r="F29" s="174">
        <v>660000</v>
      </c>
      <c r="G29" s="174">
        <v>660000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</row>
    <row r="30" spans="1:18" x14ac:dyDescent="0.3">
      <c r="B30" s="176" t="s">
        <v>75</v>
      </c>
      <c r="C30" s="192">
        <f t="shared" ref="C30:R30" si="6">SUM(C28:C29)</f>
        <v>1847954</v>
      </c>
      <c r="D30" s="193">
        <f t="shared" si="6"/>
        <v>1810337</v>
      </c>
      <c r="E30" s="193">
        <f t="shared" si="6"/>
        <v>2102709</v>
      </c>
      <c r="F30" s="193">
        <f t="shared" si="6"/>
        <v>1418203</v>
      </c>
      <c r="G30" s="193">
        <f t="shared" si="6"/>
        <v>2019894</v>
      </c>
      <c r="H30" s="193">
        <f t="shared" si="6"/>
        <v>0</v>
      </c>
      <c r="I30" s="193">
        <f t="shared" si="6"/>
        <v>0</v>
      </c>
      <c r="J30" s="193">
        <f t="shared" si="6"/>
        <v>0</v>
      </c>
      <c r="K30" s="193">
        <f t="shared" si="6"/>
        <v>0</v>
      </c>
      <c r="L30" s="193">
        <f t="shared" si="6"/>
        <v>0</v>
      </c>
      <c r="M30" s="193">
        <f t="shared" si="6"/>
        <v>0</v>
      </c>
      <c r="N30" s="193">
        <f t="shared" si="6"/>
        <v>0</v>
      </c>
      <c r="O30" s="193">
        <f t="shared" si="6"/>
        <v>0</v>
      </c>
      <c r="P30" s="193">
        <f t="shared" si="6"/>
        <v>0</v>
      </c>
      <c r="Q30" s="193">
        <f t="shared" si="6"/>
        <v>0</v>
      </c>
      <c r="R30" s="193">
        <f t="shared" si="6"/>
        <v>0</v>
      </c>
    </row>
    <row r="31" spans="1:18" ht="12.5" thickBot="1" x14ac:dyDescent="0.35">
      <c r="B31" s="194" t="s">
        <v>76</v>
      </c>
      <c r="C31" s="195">
        <f>C13+C19+C21+C25+C30</f>
        <v>36839418</v>
      </c>
      <c r="D31" s="195">
        <f t="shared" ref="D31:R31" si="7">D13+D19+D21+D25+D30</f>
        <v>37591424</v>
      </c>
      <c r="E31" s="195">
        <f t="shared" si="7"/>
        <v>39392311</v>
      </c>
      <c r="F31" s="195">
        <f t="shared" si="7"/>
        <v>39648598</v>
      </c>
      <c r="G31" s="195">
        <f t="shared" si="7"/>
        <v>41153992</v>
      </c>
      <c r="H31" s="195">
        <f t="shared" si="7"/>
        <v>40280738</v>
      </c>
      <c r="I31" s="195">
        <f t="shared" si="7"/>
        <v>41073340.920000002</v>
      </c>
      <c r="J31" s="195">
        <f t="shared" si="7"/>
        <v>41838545.428750001</v>
      </c>
      <c r="K31" s="195">
        <f t="shared" si="7"/>
        <v>43109656.438235253</v>
      </c>
      <c r="L31" s="195">
        <f t="shared" si="7"/>
        <v>44032797.877641343</v>
      </c>
      <c r="M31" s="195">
        <f t="shared" si="7"/>
        <v>45020267.693516612</v>
      </c>
      <c r="N31" s="195">
        <f t="shared" si="7"/>
        <v>46040505.849936128</v>
      </c>
      <c r="O31" s="195">
        <f t="shared" si="7"/>
        <v>47085649.328667261</v>
      </c>
      <c r="P31" s="195">
        <f t="shared" si="7"/>
        <v>48156315.129336864</v>
      </c>
      <c r="Q31" s="195">
        <f t="shared" si="7"/>
        <v>49253131.269600086</v>
      </c>
      <c r="R31" s="195">
        <f t="shared" si="7"/>
        <v>50376741.785310782</v>
      </c>
    </row>
    <row r="32" spans="1:18" ht="12.5" thickTop="1" x14ac:dyDescent="0.3">
      <c r="B32" s="196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97"/>
    </row>
  </sheetData>
  <pageMargins left="0.25" right="0.25" top="0.5" bottom="0.5" header="0.3" footer="0.3"/>
  <pageSetup scale="82" fitToHeight="2" orientation="landscape" r:id="rId1"/>
  <headerFooter>
    <oddFooter>&amp;L&amp;9&amp;A&amp;C&amp;10page &amp;P of &amp;N&amp;R&amp;9&amp;D</oddFooter>
  </headerFooter>
  <ignoredErrors>
    <ignoredError sqref="D30:R30" unlockedFormula="1"/>
    <ignoredError sqref="J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4C3B-CB9E-44BC-A533-BF5414068C53}">
  <sheetPr>
    <tabColor rgb="FF00B050"/>
  </sheetPr>
  <dimension ref="A1:AF54"/>
  <sheetViews>
    <sheetView showGridLines="0" zoomScaleNormal="100" zoomScaleSheetLayoutView="100" workbookViewId="0"/>
  </sheetViews>
  <sheetFormatPr defaultColWidth="11.6640625" defaultRowHeight="12" x14ac:dyDescent="0.3"/>
  <cols>
    <col min="1" max="1" width="3.44140625" style="255" customWidth="1"/>
    <col min="2" max="2" width="38" style="206" customWidth="1"/>
    <col min="3" max="19" width="16.21875" style="206" customWidth="1"/>
    <col min="20" max="16384" width="11.6640625" style="206"/>
  </cols>
  <sheetData>
    <row r="1" spans="1:20" s="202" customFormat="1" x14ac:dyDescent="0.3">
      <c r="A1" s="198"/>
      <c r="B1" s="199" t="str">
        <f>Revenues!B1</f>
        <v>Municipality of</v>
      </c>
      <c r="C1" s="200"/>
      <c r="D1" s="200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S1" s="201"/>
      <c r="T1" s="201"/>
    </row>
    <row r="2" spans="1:20" x14ac:dyDescent="0.3">
      <c r="A2" s="198"/>
      <c r="B2" s="203" t="s">
        <v>77</v>
      </c>
      <c r="C2" s="204"/>
      <c r="D2" s="204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05"/>
      <c r="T2" s="205"/>
    </row>
    <row r="3" spans="1:20" x14ac:dyDescent="0.3">
      <c r="A3" s="198"/>
      <c r="B3" s="207"/>
      <c r="C3" s="204"/>
      <c r="D3" s="204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S3" s="205"/>
      <c r="T3" s="205"/>
    </row>
    <row r="4" spans="1:20" x14ac:dyDescent="0.3">
      <c r="A4" s="198"/>
      <c r="B4" s="208"/>
      <c r="C4" s="208" t="str">
        <f>'GF Analysis'!C6</f>
        <v>FY-4</v>
      </c>
      <c r="D4" s="208" t="str">
        <f>'GF Analysis'!D6</f>
        <v>FY-3</v>
      </c>
      <c r="E4" s="208" t="str">
        <f>'GF Analysis'!E6</f>
        <v>FY-2</v>
      </c>
      <c r="F4" s="208" t="str">
        <f>'GF Analysis'!F6</f>
        <v>FY-1</v>
      </c>
      <c r="G4" s="208" t="str">
        <f>'GF Analysis'!G6</f>
        <v>FY0</v>
      </c>
      <c r="H4" s="208" t="str">
        <f>'GF Analysis'!H6</f>
        <v>FY1</v>
      </c>
      <c r="I4" s="208" t="str">
        <f>'GF Analysis'!I6</f>
        <v>FY2</v>
      </c>
      <c r="J4" s="208" t="str">
        <f>'GF Analysis'!J6</f>
        <v>FY3</v>
      </c>
      <c r="K4" s="208" t="str">
        <f>'GF Analysis'!K6</f>
        <v>FY4</v>
      </c>
      <c r="L4" s="208" t="str">
        <f>'GF Analysis'!L6</f>
        <v>FY5</v>
      </c>
      <c r="M4" s="208" t="str">
        <f>'GF Analysis'!M6</f>
        <v>FY6</v>
      </c>
      <c r="N4" s="208" t="str">
        <f>'GF Analysis'!N6</f>
        <v>FY7</v>
      </c>
      <c r="O4" s="208" t="str">
        <f>'GF Analysis'!O6</f>
        <v>FY8</v>
      </c>
      <c r="P4" s="208" t="str">
        <f>'GF Analysis'!P6</f>
        <v>FY9</v>
      </c>
      <c r="Q4" s="208" t="str">
        <f>'GF Analysis'!Q6</f>
        <v>FY10</v>
      </c>
      <c r="R4" s="208" t="str">
        <f>'GF Analysis'!R6</f>
        <v>FY11</v>
      </c>
      <c r="S4" s="205"/>
      <c r="T4" s="205"/>
    </row>
    <row r="5" spans="1:20" x14ac:dyDescent="0.3">
      <c r="A5" s="198"/>
      <c r="C5" s="209" t="s">
        <v>54</v>
      </c>
      <c r="D5" s="209" t="s">
        <v>54</v>
      </c>
      <c r="E5" s="209" t="s">
        <v>54</v>
      </c>
      <c r="F5" s="209" t="s">
        <v>54</v>
      </c>
      <c r="G5" s="209" t="s">
        <v>54</v>
      </c>
      <c r="H5" s="209" t="s">
        <v>55</v>
      </c>
      <c r="I5" s="209" t="s">
        <v>55</v>
      </c>
      <c r="J5" s="209" t="s">
        <v>55</v>
      </c>
      <c r="K5" s="209" t="s">
        <v>55</v>
      </c>
      <c r="L5" s="209" t="s">
        <v>55</v>
      </c>
      <c r="M5" s="209" t="s">
        <v>55</v>
      </c>
      <c r="N5" s="209" t="s">
        <v>55</v>
      </c>
      <c r="O5" s="209" t="s">
        <v>55</v>
      </c>
      <c r="P5" s="209" t="s">
        <v>55</v>
      </c>
      <c r="Q5" s="209" t="s">
        <v>55</v>
      </c>
      <c r="R5" s="209" t="s">
        <v>55</v>
      </c>
      <c r="S5" s="205"/>
      <c r="T5" s="205"/>
    </row>
    <row r="6" spans="1:20" x14ac:dyDescent="0.3">
      <c r="A6" s="198"/>
      <c r="B6" s="210" t="s">
        <v>78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05"/>
      <c r="T6" s="205"/>
    </row>
    <row r="7" spans="1:20" x14ac:dyDescent="0.3">
      <c r="A7" s="212" t="s">
        <v>79</v>
      </c>
      <c r="B7" s="213" t="s">
        <v>80</v>
      </c>
      <c r="C7" s="214">
        <v>25467230</v>
      </c>
      <c r="D7" s="214">
        <f>C12</f>
        <v>26249631</v>
      </c>
      <c r="E7" s="214">
        <f>D12</f>
        <v>27030725</v>
      </c>
      <c r="F7" s="214">
        <f t="shared" ref="F7:R7" si="0">E12</f>
        <v>28882103</v>
      </c>
      <c r="G7" s="214">
        <f t="shared" si="0"/>
        <v>29744326</v>
      </c>
      <c r="H7" s="214">
        <f t="shared" si="0"/>
        <v>30584328</v>
      </c>
      <c r="I7" s="214">
        <f t="shared" si="0"/>
        <v>31423936</v>
      </c>
      <c r="J7" s="214">
        <f t="shared" si="0"/>
        <v>32284534</v>
      </c>
      <c r="K7" s="214">
        <f t="shared" si="0"/>
        <v>33166647</v>
      </c>
      <c r="L7" s="214">
        <f t="shared" si="0"/>
        <v>34070813</v>
      </c>
      <c r="M7" s="214">
        <f t="shared" si="0"/>
        <v>34997583</v>
      </c>
      <c r="N7" s="214">
        <f t="shared" si="0"/>
        <v>35947523</v>
      </c>
      <c r="O7" s="214">
        <f t="shared" si="0"/>
        <v>36921211</v>
      </c>
      <c r="P7" s="214">
        <f t="shared" si="0"/>
        <v>37919241</v>
      </c>
      <c r="Q7" s="214">
        <f t="shared" si="0"/>
        <v>38942222</v>
      </c>
      <c r="R7" s="214">
        <f t="shared" si="0"/>
        <v>39990778</v>
      </c>
      <c r="S7" s="205"/>
      <c r="T7" s="205"/>
    </row>
    <row r="8" spans="1:20" x14ac:dyDescent="0.3">
      <c r="A8" s="215" t="s">
        <v>81</v>
      </c>
      <c r="B8" s="213" t="s">
        <v>82</v>
      </c>
      <c r="C8" s="214">
        <v>0</v>
      </c>
      <c r="D8" s="214">
        <v>0</v>
      </c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0</v>
      </c>
      <c r="S8" s="205"/>
      <c r="T8" s="205"/>
    </row>
    <row r="9" spans="1:20" x14ac:dyDescent="0.3">
      <c r="A9" s="215" t="s">
        <v>83</v>
      </c>
      <c r="B9" s="216" t="s">
        <v>84</v>
      </c>
      <c r="C9" s="217">
        <f t="shared" ref="C9:R9" si="1">ROUND((C7+C8)*0.025,0)</f>
        <v>636681</v>
      </c>
      <c r="D9" s="217">
        <f t="shared" si="1"/>
        <v>656241</v>
      </c>
      <c r="E9" s="217">
        <f t="shared" si="1"/>
        <v>675768</v>
      </c>
      <c r="F9" s="217">
        <f t="shared" si="1"/>
        <v>722053</v>
      </c>
      <c r="G9" s="217">
        <f t="shared" si="1"/>
        <v>743608</v>
      </c>
      <c r="H9" s="217">
        <f t="shared" si="1"/>
        <v>764608</v>
      </c>
      <c r="I9" s="217">
        <f t="shared" si="1"/>
        <v>785598</v>
      </c>
      <c r="J9" s="217">
        <f t="shared" si="1"/>
        <v>807113</v>
      </c>
      <c r="K9" s="217">
        <f t="shared" si="1"/>
        <v>829166</v>
      </c>
      <c r="L9" s="217">
        <f t="shared" si="1"/>
        <v>851770</v>
      </c>
      <c r="M9" s="217">
        <f t="shared" si="1"/>
        <v>874940</v>
      </c>
      <c r="N9" s="217">
        <f t="shared" si="1"/>
        <v>898688</v>
      </c>
      <c r="O9" s="217">
        <f t="shared" si="1"/>
        <v>923030</v>
      </c>
      <c r="P9" s="217">
        <f t="shared" si="1"/>
        <v>947981</v>
      </c>
      <c r="Q9" s="217">
        <f t="shared" si="1"/>
        <v>973556</v>
      </c>
      <c r="R9" s="217">
        <f t="shared" si="1"/>
        <v>999769</v>
      </c>
      <c r="S9" s="205"/>
      <c r="T9" s="205"/>
    </row>
    <row r="10" spans="1:20" x14ac:dyDescent="0.3">
      <c r="A10" s="215" t="s">
        <v>85</v>
      </c>
      <c r="B10" s="218" t="s">
        <v>86</v>
      </c>
      <c r="C10" s="219">
        <v>145720</v>
      </c>
      <c r="D10" s="219">
        <v>124853</v>
      </c>
      <c r="E10" s="219">
        <v>98340</v>
      </c>
      <c r="F10" s="219">
        <v>140170</v>
      </c>
      <c r="G10" s="219">
        <v>96394</v>
      </c>
      <c r="H10" s="219">
        <v>75000</v>
      </c>
      <c r="I10" s="219">
        <v>75000</v>
      </c>
      <c r="J10" s="219">
        <v>75000</v>
      </c>
      <c r="K10" s="219">
        <v>75000</v>
      </c>
      <c r="L10" s="219">
        <v>75000</v>
      </c>
      <c r="M10" s="219">
        <v>75000</v>
      </c>
      <c r="N10" s="219">
        <v>75000</v>
      </c>
      <c r="O10" s="219">
        <v>75000</v>
      </c>
      <c r="P10" s="219">
        <v>75000</v>
      </c>
      <c r="Q10" s="219">
        <v>75000</v>
      </c>
      <c r="R10" s="219">
        <v>75000</v>
      </c>
      <c r="S10" s="205"/>
      <c r="T10" s="205"/>
    </row>
    <row r="11" spans="1:20" x14ac:dyDescent="0.3">
      <c r="A11" s="220" t="s">
        <v>87</v>
      </c>
      <c r="B11" s="213" t="s">
        <v>88</v>
      </c>
      <c r="C11" s="219">
        <v>0</v>
      </c>
      <c r="D11" s="219">
        <v>0</v>
      </c>
      <c r="E11" s="219">
        <v>1077270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19">
        <v>0</v>
      </c>
      <c r="Q11" s="219">
        <v>0</v>
      </c>
      <c r="R11" s="219">
        <v>0</v>
      </c>
      <c r="S11" s="205"/>
      <c r="T11" s="205"/>
    </row>
    <row r="12" spans="1:20" x14ac:dyDescent="0.3">
      <c r="A12" s="215"/>
      <c r="B12" s="221" t="s">
        <v>89</v>
      </c>
      <c r="C12" s="222">
        <f t="shared" ref="C12:E12" si="2">SUM(C7:C11)</f>
        <v>26249631</v>
      </c>
      <c r="D12" s="223">
        <f t="shared" si="2"/>
        <v>27030725</v>
      </c>
      <c r="E12" s="223">
        <f t="shared" si="2"/>
        <v>28882103</v>
      </c>
      <c r="F12" s="223">
        <f t="shared" ref="F12:R12" si="3">SUM(F7:F11)</f>
        <v>29744326</v>
      </c>
      <c r="G12" s="223">
        <f t="shared" si="3"/>
        <v>30584328</v>
      </c>
      <c r="H12" s="223">
        <f t="shared" si="3"/>
        <v>31423936</v>
      </c>
      <c r="I12" s="223">
        <f t="shared" si="3"/>
        <v>32284534</v>
      </c>
      <c r="J12" s="223">
        <f t="shared" si="3"/>
        <v>33166647</v>
      </c>
      <c r="K12" s="223">
        <f t="shared" si="3"/>
        <v>34070813</v>
      </c>
      <c r="L12" s="223">
        <f t="shared" si="3"/>
        <v>34997583</v>
      </c>
      <c r="M12" s="223">
        <f t="shared" si="3"/>
        <v>35947523</v>
      </c>
      <c r="N12" s="223">
        <f t="shared" si="3"/>
        <v>36921211</v>
      </c>
      <c r="O12" s="223">
        <f t="shared" si="3"/>
        <v>37919241</v>
      </c>
      <c r="P12" s="223">
        <f t="shared" si="3"/>
        <v>38942222</v>
      </c>
      <c r="Q12" s="223">
        <f t="shared" si="3"/>
        <v>39990778</v>
      </c>
      <c r="R12" s="223">
        <f t="shared" si="3"/>
        <v>41065547</v>
      </c>
      <c r="S12" s="205"/>
      <c r="T12" s="205"/>
    </row>
    <row r="13" spans="1:20" x14ac:dyDescent="0.3">
      <c r="A13" s="220" t="s">
        <v>90</v>
      </c>
      <c r="B13" s="224" t="s">
        <v>91</v>
      </c>
      <c r="C13" s="225">
        <f>Debt!C7</f>
        <v>1619098</v>
      </c>
      <c r="D13" s="225">
        <f>Debt!D7</f>
        <v>1552837</v>
      </c>
      <c r="E13" s="225">
        <f>Debt!E7</f>
        <v>1498272.5</v>
      </c>
      <c r="F13" s="225">
        <f>Debt!F7</f>
        <v>1227878</v>
      </c>
      <c r="G13" s="225">
        <f>Debt!G7</f>
        <v>1005353</v>
      </c>
      <c r="H13" s="225">
        <f>Debt!H7</f>
        <v>964578</v>
      </c>
      <c r="I13" s="225">
        <f>Debt!I7</f>
        <v>834934</v>
      </c>
      <c r="J13" s="225">
        <f>Debt!J7</f>
        <v>655840</v>
      </c>
      <c r="K13" s="225">
        <f>Debt!K7</f>
        <v>960053</v>
      </c>
      <c r="L13" s="225">
        <f>Debt!L7</f>
        <v>893146</v>
      </c>
      <c r="M13" s="225">
        <f>Debt!M7</f>
        <v>866840</v>
      </c>
      <c r="N13" s="225">
        <f>Debt!N7</f>
        <v>848994</v>
      </c>
      <c r="O13" s="225">
        <f>Debt!O7</f>
        <v>831147</v>
      </c>
      <c r="P13" s="225">
        <f>Debt!P7</f>
        <v>813301</v>
      </c>
      <c r="Q13" s="225">
        <f>Debt!Q7</f>
        <v>795455</v>
      </c>
      <c r="R13" s="225">
        <f>Debt!R7</f>
        <v>777609</v>
      </c>
      <c r="S13" s="226"/>
      <c r="T13" s="205"/>
    </row>
    <row r="14" spans="1:20" x14ac:dyDescent="0.3">
      <c r="A14" s="227" t="s">
        <v>92</v>
      </c>
      <c r="B14" s="218" t="s">
        <v>93</v>
      </c>
      <c r="C14" s="228">
        <v>120000</v>
      </c>
      <c r="D14" s="228">
        <v>0</v>
      </c>
      <c r="E14" s="228">
        <v>0</v>
      </c>
      <c r="F14" s="228">
        <v>150000</v>
      </c>
      <c r="G14" s="228">
        <v>0</v>
      </c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228">
        <v>0</v>
      </c>
      <c r="Q14" s="228">
        <v>0</v>
      </c>
      <c r="R14" s="228">
        <v>0</v>
      </c>
      <c r="S14" s="205"/>
      <c r="T14" s="205"/>
    </row>
    <row r="15" spans="1:20" x14ac:dyDescent="0.3">
      <c r="A15" s="227"/>
      <c r="B15" s="218" t="s">
        <v>94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05"/>
      <c r="T15" s="205"/>
    </row>
    <row r="16" spans="1:20" x14ac:dyDescent="0.3">
      <c r="A16" s="227"/>
      <c r="B16" s="218" t="s">
        <v>95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228">
        <v>0</v>
      </c>
      <c r="N16" s="228">
        <v>0</v>
      </c>
      <c r="O16" s="228">
        <v>0</v>
      </c>
      <c r="P16" s="228">
        <v>0</v>
      </c>
      <c r="Q16" s="228">
        <v>0</v>
      </c>
      <c r="R16" s="228">
        <v>0</v>
      </c>
      <c r="S16" s="205"/>
      <c r="T16" s="205"/>
    </row>
    <row r="17" spans="1:30" x14ac:dyDescent="0.3">
      <c r="A17" s="220"/>
      <c r="B17" s="229" t="s">
        <v>96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228">
        <v>0</v>
      </c>
      <c r="Q17" s="228">
        <v>0</v>
      </c>
      <c r="R17" s="228">
        <v>0</v>
      </c>
      <c r="S17" s="205"/>
      <c r="T17" s="205"/>
    </row>
    <row r="18" spans="1:30" x14ac:dyDescent="0.3">
      <c r="A18" s="227" t="s">
        <v>97</v>
      </c>
      <c r="B18" s="230" t="s">
        <v>98</v>
      </c>
      <c r="C18" s="231">
        <f>SUM(C12:C17)</f>
        <v>27988729</v>
      </c>
      <c r="D18" s="231">
        <f>SUM(D12:D17)</f>
        <v>28583562</v>
      </c>
      <c r="E18" s="231">
        <f t="shared" ref="E18:R18" si="4">SUM(E12:E17)</f>
        <v>30380375.5</v>
      </c>
      <c r="F18" s="231">
        <f t="shared" si="4"/>
        <v>31122204</v>
      </c>
      <c r="G18" s="231">
        <f t="shared" si="4"/>
        <v>31589681</v>
      </c>
      <c r="H18" s="231">
        <f t="shared" si="4"/>
        <v>32388514</v>
      </c>
      <c r="I18" s="231">
        <f t="shared" si="4"/>
        <v>33119468</v>
      </c>
      <c r="J18" s="231">
        <f t="shared" si="4"/>
        <v>33822487</v>
      </c>
      <c r="K18" s="231">
        <f t="shared" si="4"/>
        <v>35030866</v>
      </c>
      <c r="L18" s="231">
        <f t="shared" si="4"/>
        <v>35890729</v>
      </c>
      <c r="M18" s="231">
        <f t="shared" si="4"/>
        <v>36814363</v>
      </c>
      <c r="N18" s="231">
        <f t="shared" si="4"/>
        <v>37770205</v>
      </c>
      <c r="O18" s="231">
        <f t="shared" si="4"/>
        <v>38750388</v>
      </c>
      <c r="P18" s="231">
        <f t="shared" si="4"/>
        <v>39755523</v>
      </c>
      <c r="Q18" s="231">
        <f t="shared" si="4"/>
        <v>40786233</v>
      </c>
      <c r="R18" s="231">
        <f t="shared" si="4"/>
        <v>41843156</v>
      </c>
      <c r="S18" s="205"/>
      <c r="T18" s="205"/>
    </row>
    <row r="19" spans="1:30" x14ac:dyDescent="0.3">
      <c r="A19" s="220"/>
      <c r="B19" s="232" t="s">
        <v>99</v>
      </c>
      <c r="C19" s="233" t="str">
        <f>IFERROR((C18-#REF!)/#REF!,"")</f>
        <v/>
      </c>
      <c r="D19" s="233">
        <f t="shared" ref="D19:R19" si="5">IFERROR((D18-C18)/C18,"")</f>
        <v>2.1252590641039827E-2</v>
      </c>
      <c r="E19" s="233">
        <f t="shared" si="5"/>
        <v>6.2861776989166007E-2</v>
      </c>
      <c r="F19" s="233">
        <f t="shared" si="5"/>
        <v>2.4418016163098445E-2</v>
      </c>
      <c r="G19" s="233">
        <f t="shared" si="5"/>
        <v>1.5020690694013831E-2</v>
      </c>
      <c r="H19" s="233">
        <f t="shared" si="5"/>
        <v>2.5287783058018216E-2</v>
      </c>
      <c r="I19" s="233">
        <f t="shared" si="5"/>
        <v>2.256830924691389E-2</v>
      </c>
      <c r="J19" s="233">
        <f t="shared" si="5"/>
        <v>2.1226760043367845E-2</v>
      </c>
      <c r="K19" s="233">
        <f t="shared" si="5"/>
        <v>3.5727088903899938E-2</v>
      </c>
      <c r="L19" s="233">
        <f t="shared" si="5"/>
        <v>2.4545867635701612E-2</v>
      </c>
      <c r="M19" s="233">
        <f t="shared" si="5"/>
        <v>2.5734612412024287E-2</v>
      </c>
      <c r="N19" s="233">
        <f t="shared" si="5"/>
        <v>2.5963833735219051E-2</v>
      </c>
      <c r="O19" s="233">
        <f t="shared" si="5"/>
        <v>2.595122266347244E-2</v>
      </c>
      <c r="P19" s="233">
        <f t="shared" si="5"/>
        <v>2.5938708020162276E-2</v>
      </c>
      <c r="Q19" s="233">
        <f t="shared" si="5"/>
        <v>2.5926209045218699E-2</v>
      </c>
      <c r="R19" s="233">
        <f t="shared" si="5"/>
        <v>2.5913719465094999E-2</v>
      </c>
      <c r="S19" s="205"/>
      <c r="T19" s="205"/>
    </row>
    <row r="20" spans="1:30" x14ac:dyDescent="0.3">
      <c r="A20" s="220"/>
      <c r="B20" s="234"/>
      <c r="C20" s="235"/>
      <c r="D20" s="235"/>
      <c r="E20" s="235"/>
      <c r="F20" s="235"/>
      <c r="G20" s="235"/>
      <c r="H20" s="235"/>
      <c r="I20" s="235"/>
      <c r="J20" s="235"/>
      <c r="K20" s="235"/>
      <c r="L20" s="236"/>
      <c r="M20" s="236"/>
      <c r="N20" s="236"/>
      <c r="O20" s="237"/>
      <c r="P20" s="236"/>
      <c r="Q20" s="236"/>
      <c r="R20" s="236"/>
      <c r="S20" s="236"/>
      <c r="T20" s="236"/>
      <c r="U20" s="236"/>
      <c r="V20" s="236"/>
      <c r="W20" s="236"/>
      <c r="X20" s="236"/>
      <c r="Y20" s="238"/>
      <c r="Z20" s="205"/>
      <c r="AA20" s="205"/>
      <c r="AB20" s="205"/>
      <c r="AC20" s="205"/>
      <c r="AD20" s="205"/>
    </row>
    <row r="21" spans="1:30" x14ac:dyDescent="0.3">
      <c r="A21" s="227" t="s">
        <v>100</v>
      </c>
      <c r="B21" s="239" t="s">
        <v>101</v>
      </c>
      <c r="C21" s="223">
        <f>C22-C18</f>
        <v>-15277</v>
      </c>
      <c r="D21" s="223">
        <f t="shared" ref="D21:G21" si="6">D22-D18</f>
        <v>-162056</v>
      </c>
      <c r="E21" s="223">
        <f t="shared" si="6"/>
        <v>-434496.5</v>
      </c>
      <c r="F21" s="223">
        <f t="shared" si="6"/>
        <v>-496241</v>
      </c>
      <c r="G21" s="223">
        <f t="shared" si="6"/>
        <v>-186830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05"/>
      <c r="T21" s="205"/>
    </row>
    <row r="22" spans="1:30" ht="12.5" thickBot="1" x14ac:dyDescent="0.35">
      <c r="A22" s="227" t="s">
        <v>102</v>
      </c>
      <c r="B22" s="240" t="s">
        <v>103</v>
      </c>
      <c r="C22" s="241">
        <v>27973452</v>
      </c>
      <c r="D22" s="241">
        <v>28421506</v>
      </c>
      <c r="E22" s="241">
        <v>29945879</v>
      </c>
      <c r="F22" s="241">
        <v>30625963</v>
      </c>
      <c r="G22" s="241">
        <v>31402851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241">
        <v>0</v>
      </c>
      <c r="S22" s="205"/>
      <c r="T22" s="205"/>
    </row>
    <row r="23" spans="1:30" ht="12.5" thickTop="1" x14ac:dyDescent="0.3">
      <c r="A23" s="220"/>
      <c r="B23" s="232" t="s">
        <v>99</v>
      </c>
      <c r="C23" s="233" t="str">
        <f>IFERROR((C22-#REF!)/#REF!,"")</f>
        <v/>
      </c>
      <c r="D23" s="233">
        <f t="shared" ref="D23:R23" si="7">IFERROR((D22-C22)/C22,"")</f>
        <v>1.6017115084688154E-2</v>
      </c>
      <c r="E23" s="233">
        <f t="shared" si="7"/>
        <v>5.3634490726846069E-2</v>
      </c>
      <c r="F23" s="233">
        <f t="shared" si="7"/>
        <v>2.2710437052123264E-2</v>
      </c>
      <c r="G23" s="233">
        <f t="shared" si="7"/>
        <v>2.5366973766669802E-2</v>
      </c>
      <c r="H23" s="233">
        <f t="shared" si="7"/>
        <v>-1</v>
      </c>
      <c r="I23" s="233" t="str">
        <f t="shared" si="7"/>
        <v/>
      </c>
      <c r="J23" s="233" t="str">
        <f t="shared" si="7"/>
        <v/>
      </c>
      <c r="K23" s="233" t="str">
        <f t="shared" si="7"/>
        <v/>
      </c>
      <c r="L23" s="233" t="str">
        <f t="shared" si="7"/>
        <v/>
      </c>
      <c r="M23" s="233" t="str">
        <f t="shared" si="7"/>
        <v/>
      </c>
      <c r="N23" s="233" t="str">
        <f t="shared" si="7"/>
        <v/>
      </c>
      <c r="O23" s="233" t="str">
        <f t="shared" si="7"/>
        <v/>
      </c>
      <c r="P23" s="233" t="str">
        <f t="shared" si="7"/>
        <v/>
      </c>
      <c r="Q23" s="233" t="str">
        <f t="shared" si="7"/>
        <v/>
      </c>
      <c r="R23" s="233" t="str">
        <f t="shared" si="7"/>
        <v/>
      </c>
      <c r="S23" s="205"/>
      <c r="T23" s="205"/>
    </row>
    <row r="24" spans="1:30" s="244" customFormat="1" x14ac:dyDescent="0.3">
      <c r="A24" s="242"/>
      <c r="B24" s="234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34"/>
      <c r="T24" s="234"/>
    </row>
    <row r="25" spans="1:30" s="244" customFormat="1" x14ac:dyDescent="0.3">
      <c r="A25" s="245"/>
      <c r="B25" s="210" t="s">
        <v>104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34"/>
      <c r="T25" s="234"/>
    </row>
    <row r="26" spans="1:30" x14ac:dyDescent="0.3">
      <c r="A26" s="227" t="s">
        <v>105</v>
      </c>
      <c r="B26" s="246" t="s">
        <v>106</v>
      </c>
      <c r="C26" s="247">
        <v>1523088430</v>
      </c>
      <c r="D26" s="247">
        <v>1608953695</v>
      </c>
      <c r="E26" s="247">
        <v>1660675215</v>
      </c>
      <c r="F26" s="247">
        <v>1728363583</v>
      </c>
      <c r="G26" s="247">
        <v>1773073156</v>
      </c>
      <c r="H26" s="247">
        <v>0</v>
      </c>
      <c r="I26" s="247">
        <v>0</v>
      </c>
      <c r="J26" s="247">
        <v>0</v>
      </c>
      <c r="K26" s="247">
        <v>0</v>
      </c>
      <c r="L26" s="247">
        <v>0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1</v>
      </c>
      <c r="S26" s="205"/>
      <c r="T26" s="205"/>
    </row>
    <row r="27" spans="1:30" x14ac:dyDescent="0.3">
      <c r="A27" s="248" t="s">
        <v>107</v>
      </c>
      <c r="B27" s="246" t="s">
        <v>108</v>
      </c>
      <c r="C27" s="217">
        <f t="shared" ref="C27:R27" si="8">ROUND(C26*0.025,0)</f>
        <v>38077211</v>
      </c>
      <c r="D27" s="217">
        <f>ROUND(D26*0.025,0)</f>
        <v>40223842</v>
      </c>
      <c r="E27" s="217">
        <f t="shared" si="8"/>
        <v>41516880</v>
      </c>
      <c r="F27" s="217">
        <f t="shared" si="8"/>
        <v>43209090</v>
      </c>
      <c r="G27" s="217">
        <f t="shared" si="8"/>
        <v>44326829</v>
      </c>
      <c r="H27" s="217">
        <f t="shared" si="8"/>
        <v>0</v>
      </c>
      <c r="I27" s="217">
        <f t="shared" si="8"/>
        <v>0</v>
      </c>
      <c r="J27" s="217">
        <f t="shared" si="8"/>
        <v>0</v>
      </c>
      <c r="K27" s="217">
        <f t="shared" si="8"/>
        <v>0</v>
      </c>
      <c r="L27" s="217">
        <f t="shared" si="8"/>
        <v>0</v>
      </c>
      <c r="M27" s="217">
        <f t="shared" si="8"/>
        <v>0</v>
      </c>
      <c r="N27" s="217">
        <f t="shared" si="8"/>
        <v>0</v>
      </c>
      <c r="O27" s="217">
        <f t="shared" si="8"/>
        <v>0</v>
      </c>
      <c r="P27" s="217">
        <f t="shared" si="8"/>
        <v>0</v>
      </c>
      <c r="Q27" s="217">
        <f t="shared" si="8"/>
        <v>0</v>
      </c>
      <c r="R27" s="217">
        <f t="shared" si="8"/>
        <v>0</v>
      </c>
      <c r="S27" s="205"/>
      <c r="T27" s="205"/>
    </row>
    <row r="28" spans="1:30" x14ac:dyDescent="0.3">
      <c r="A28" s="220"/>
      <c r="B28" s="249" t="s">
        <v>109</v>
      </c>
      <c r="C28" s="250">
        <f>IF(C27=0,0,C27-C12)</f>
        <v>11827580</v>
      </c>
      <c r="D28" s="250">
        <f t="shared" ref="D28:R28" si="9">IF(D27=0,0,D27-D12)</f>
        <v>13193117</v>
      </c>
      <c r="E28" s="250">
        <f t="shared" si="9"/>
        <v>12634777</v>
      </c>
      <c r="F28" s="250">
        <f t="shared" si="9"/>
        <v>13464764</v>
      </c>
      <c r="G28" s="250">
        <f t="shared" si="9"/>
        <v>13742501</v>
      </c>
      <c r="H28" s="250">
        <f t="shared" si="9"/>
        <v>0</v>
      </c>
      <c r="I28" s="250">
        <f t="shared" si="9"/>
        <v>0</v>
      </c>
      <c r="J28" s="250">
        <f t="shared" si="9"/>
        <v>0</v>
      </c>
      <c r="K28" s="250">
        <f t="shared" si="9"/>
        <v>0</v>
      </c>
      <c r="L28" s="250">
        <f t="shared" si="9"/>
        <v>0</v>
      </c>
      <c r="M28" s="250">
        <f t="shared" si="9"/>
        <v>0</v>
      </c>
      <c r="N28" s="250">
        <f t="shared" si="9"/>
        <v>0</v>
      </c>
      <c r="O28" s="250">
        <f t="shared" si="9"/>
        <v>0</v>
      </c>
      <c r="P28" s="250">
        <f t="shared" si="9"/>
        <v>0</v>
      </c>
      <c r="Q28" s="250">
        <f t="shared" si="9"/>
        <v>0</v>
      </c>
      <c r="R28" s="250">
        <f t="shared" si="9"/>
        <v>0</v>
      </c>
      <c r="S28" s="205"/>
      <c r="T28" s="205"/>
    </row>
    <row r="29" spans="1:30" x14ac:dyDescent="0.3">
      <c r="A29" s="251"/>
      <c r="B29" s="252"/>
      <c r="C29" s="253" t="str">
        <f t="shared" ref="C29:Q29" si="10">IF(C28&lt;0,"Over levy ceiling","")</f>
        <v/>
      </c>
      <c r="D29" s="253" t="str">
        <f t="shared" si="10"/>
        <v/>
      </c>
      <c r="E29" s="253" t="str">
        <f t="shared" si="10"/>
        <v/>
      </c>
      <c r="F29" s="253" t="str">
        <f t="shared" si="10"/>
        <v/>
      </c>
      <c r="G29" s="253" t="str">
        <f t="shared" si="10"/>
        <v/>
      </c>
      <c r="H29" s="253" t="str">
        <f t="shared" si="10"/>
        <v/>
      </c>
      <c r="I29" s="253" t="str">
        <f t="shared" si="10"/>
        <v/>
      </c>
      <c r="J29" s="253" t="str">
        <f t="shared" si="10"/>
        <v/>
      </c>
      <c r="K29" s="253" t="str">
        <f t="shared" si="10"/>
        <v/>
      </c>
      <c r="L29" s="253" t="str">
        <f t="shared" si="10"/>
        <v/>
      </c>
      <c r="M29" s="253" t="str">
        <f t="shared" si="10"/>
        <v/>
      </c>
      <c r="N29" s="253" t="str">
        <f t="shared" si="10"/>
        <v/>
      </c>
      <c r="O29" s="253" t="str">
        <f t="shared" si="10"/>
        <v/>
      </c>
      <c r="P29" s="253" t="str">
        <f t="shared" si="10"/>
        <v/>
      </c>
      <c r="Q29" s="253" t="str">
        <f t="shared" si="10"/>
        <v/>
      </c>
      <c r="R29" s="254"/>
    </row>
    <row r="30" spans="1:30" x14ac:dyDescent="0.3">
      <c r="B30" s="157"/>
    </row>
    <row r="31" spans="1:30" s="244" customFormat="1" ht="12" customHeight="1" x14ac:dyDescent="0.3">
      <c r="A31" s="181" t="s">
        <v>79</v>
      </c>
      <c r="B31" s="256" t="s">
        <v>110</v>
      </c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8"/>
    </row>
    <row r="32" spans="1:30" s="244" customFormat="1" ht="12" customHeight="1" x14ac:dyDescent="0.3">
      <c r="A32" s="259" t="s">
        <v>81</v>
      </c>
      <c r="B32" s="256" t="s">
        <v>111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8"/>
    </row>
    <row r="33" spans="1:32" s="244" customFormat="1" ht="12" customHeight="1" x14ac:dyDescent="0.3">
      <c r="A33" s="259" t="s">
        <v>83</v>
      </c>
      <c r="B33" s="260" t="s">
        <v>112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8"/>
    </row>
    <row r="34" spans="1:32" s="244" customFormat="1" ht="12" customHeight="1" x14ac:dyDescent="0.3">
      <c r="A34" s="259" t="s">
        <v>85</v>
      </c>
      <c r="B34" s="256" t="s">
        <v>113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61"/>
      <c r="M34" s="262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8"/>
    </row>
    <row r="35" spans="1:32" s="244" customFormat="1" ht="12" customHeight="1" x14ac:dyDescent="0.3">
      <c r="A35" s="251" t="s">
        <v>87</v>
      </c>
      <c r="B35" s="256" t="s">
        <v>114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61"/>
      <c r="M35" s="262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8"/>
    </row>
    <row r="36" spans="1:32" s="244" customFormat="1" ht="12" customHeight="1" x14ac:dyDescent="0.3">
      <c r="A36" s="251" t="s">
        <v>90</v>
      </c>
      <c r="B36" s="256" t="s">
        <v>115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61"/>
      <c r="M36" s="262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8"/>
    </row>
    <row r="37" spans="1:32" s="244" customFormat="1" ht="12" customHeight="1" x14ac:dyDescent="0.3">
      <c r="A37" s="263" t="s">
        <v>92</v>
      </c>
      <c r="B37" s="256" t="s">
        <v>115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61"/>
      <c r="M37" s="262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8"/>
    </row>
    <row r="38" spans="1:32" s="264" customFormat="1" ht="12" customHeight="1" x14ac:dyDescent="0.35">
      <c r="A38" s="227" t="s">
        <v>97</v>
      </c>
      <c r="B38" s="256" t="s">
        <v>116</v>
      </c>
      <c r="AF38" s="265"/>
    </row>
    <row r="39" spans="1:32" s="244" customFormat="1" ht="12" customHeight="1" x14ac:dyDescent="0.3">
      <c r="A39" s="266" t="s">
        <v>100</v>
      </c>
      <c r="B39" s="256" t="s">
        <v>396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61"/>
      <c r="M39" s="262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8"/>
    </row>
    <row r="40" spans="1:32" s="244" customFormat="1" ht="12" customHeight="1" x14ac:dyDescent="0.3">
      <c r="A40" s="266" t="s">
        <v>102</v>
      </c>
      <c r="B40" s="258" t="s">
        <v>117</v>
      </c>
      <c r="C40" s="257"/>
      <c r="D40" s="257"/>
      <c r="E40" s="257"/>
      <c r="F40" s="257"/>
      <c r="G40" s="257"/>
      <c r="H40" s="257"/>
      <c r="I40" s="257"/>
      <c r="J40" s="257"/>
      <c r="K40" s="257"/>
      <c r="L40" s="261"/>
      <c r="M40" s="262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8"/>
    </row>
    <row r="41" spans="1:32" s="244" customFormat="1" ht="12" customHeight="1" x14ac:dyDescent="0.3">
      <c r="A41" s="266" t="s">
        <v>105</v>
      </c>
      <c r="B41" s="256" t="s">
        <v>118</v>
      </c>
      <c r="C41" s="267"/>
      <c r="D41" s="267"/>
      <c r="E41" s="267"/>
      <c r="F41" s="267"/>
      <c r="G41" s="268"/>
      <c r="I41" s="268"/>
      <c r="J41" s="268"/>
      <c r="K41" s="268"/>
      <c r="L41" s="261"/>
      <c r="M41" s="262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58"/>
    </row>
    <row r="42" spans="1:32" s="244" customFormat="1" ht="12" customHeight="1" x14ac:dyDescent="0.3">
      <c r="A42" s="248" t="s">
        <v>107</v>
      </c>
      <c r="B42" s="260" t="s">
        <v>119</v>
      </c>
      <c r="C42" s="267"/>
      <c r="D42" s="267"/>
      <c r="E42" s="267"/>
      <c r="F42" s="267"/>
      <c r="G42" s="268"/>
      <c r="I42" s="268"/>
      <c r="J42" s="268"/>
      <c r="K42" s="268"/>
      <c r="L42" s="261"/>
      <c r="M42" s="262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58"/>
    </row>
    <row r="43" spans="1:32" x14ac:dyDescent="0.3">
      <c r="B43" s="157"/>
      <c r="C43" s="157"/>
      <c r="D43" s="157"/>
      <c r="E43" s="157"/>
    </row>
    <row r="44" spans="1:32" x14ac:dyDescent="0.3">
      <c r="B44" s="157"/>
      <c r="C44" s="157"/>
      <c r="D44" s="157"/>
      <c r="E44" s="157"/>
    </row>
    <row r="45" spans="1:32" x14ac:dyDescent="0.3">
      <c r="B45" s="157"/>
      <c r="C45" s="157"/>
      <c r="D45" s="157"/>
      <c r="E45" s="157"/>
    </row>
    <row r="46" spans="1:32" x14ac:dyDescent="0.3">
      <c r="B46" s="157"/>
      <c r="C46" s="157"/>
      <c r="D46" s="157"/>
      <c r="E46" s="157"/>
    </row>
    <row r="47" spans="1:32" x14ac:dyDescent="0.3">
      <c r="B47" s="157"/>
      <c r="C47" s="157"/>
      <c r="D47" s="157"/>
      <c r="E47" s="157"/>
    </row>
    <row r="48" spans="1:32" x14ac:dyDescent="0.3">
      <c r="B48" s="157"/>
      <c r="C48" s="157"/>
      <c r="D48" s="157"/>
      <c r="E48" s="157"/>
    </row>
    <row r="49" spans="2:5" x14ac:dyDescent="0.3">
      <c r="B49" s="157"/>
      <c r="C49" s="157"/>
      <c r="D49" s="157"/>
      <c r="E49" s="157"/>
    </row>
    <row r="50" spans="2:5" x14ac:dyDescent="0.3">
      <c r="B50" s="157"/>
      <c r="C50" s="157"/>
      <c r="D50" s="157"/>
      <c r="E50" s="157"/>
    </row>
    <row r="51" spans="2:5" x14ac:dyDescent="0.3">
      <c r="B51" s="157"/>
      <c r="C51" s="157"/>
      <c r="D51" s="157"/>
      <c r="E51" s="157"/>
    </row>
    <row r="52" spans="2:5" x14ac:dyDescent="0.3">
      <c r="B52" s="157"/>
      <c r="C52" s="157"/>
      <c r="D52" s="157"/>
      <c r="E52" s="157"/>
    </row>
    <row r="53" spans="2:5" x14ac:dyDescent="0.3">
      <c r="B53" s="157"/>
      <c r="C53" s="157"/>
      <c r="D53" s="157"/>
      <c r="E53" s="157"/>
    </row>
    <row r="54" spans="2:5" x14ac:dyDescent="0.3">
      <c r="B54" s="157"/>
      <c r="C54" s="157"/>
      <c r="D54" s="157"/>
      <c r="E54" s="157"/>
    </row>
  </sheetData>
  <sheetProtection formatCells="0" formatColumns="0" formatRows="0" insertColumns="0"/>
  <conditionalFormatting sqref="C28:R28">
    <cfRule type="cellIs" dxfId="0" priority="1" operator="lessThan">
      <formula>0</formula>
    </cfRule>
  </conditionalFormatting>
  <pageMargins left="0.25" right="0.25" top="0.5" bottom="0.5" header="0.3" footer="0.3"/>
  <pageSetup scale="80" fitToHeight="0" orientation="landscape" r:id="rId1"/>
  <headerFooter>
    <oddFooter>&amp;L&amp;9&amp;A&amp;C&amp;10page &amp;P of &amp;N&amp;R&amp;9&amp;D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B77A-0156-4046-9638-C1FC338FD15B}">
  <sheetPr>
    <tabColor theme="8" tint="0.59999389629810485"/>
  </sheetPr>
  <dimension ref="A1:AF32"/>
  <sheetViews>
    <sheetView showGridLines="0" zoomScaleNormal="100" zoomScaleSheetLayoutView="100" workbookViewId="0"/>
  </sheetViews>
  <sheetFormatPr defaultColWidth="12" defaultRowHeight="12" x14ac:dyDescent="0.3"/>
  <cols>
    <col min="1" max="1" width="3.33203125" style="285" customWidth="1"/>
    <col min="2" max="2" width="36.77734375" style="204" customWidth="1"/>
    <col min="3" max="15" width="12.33203125" style="204" customWidth="1"/>
    <col min="16" max="18" width="12.109375" style="204" customWidth="1"/>
    <col min="19" max="19" width="12.33203125" style="204" customWidth="1"/>
    <col min="20" max="20" width="10.6640625" style="204" customWidth="1"/>
    <col min="21" max="21" width="3.33203125" style="204" customWidth="1"/>
    <col min="22" max="22" width="90.77734375" style="277" bestFit="1" customWidth="1"/>
    <col min="23" max="16384" width="12" style="204"/>
  </cols>
  <sheetData>
    <row r="1" spans="1:25" s="205" customFormat="1" x14ac:dyDescent="0.3">
      <c r="A1" s="269"/>
      <c r="B1" s="270" t="str">
        <f>Revenues!B1</f>
        <v>Municipality of</v>
      </c>
      <c r="C1" s="204"/>
      <c r="S1" s="271"/>
      <c r="T1" s="271"/>
      <c r="V1" s="272"/>
    </row>
    <row r="2" spans="1:25" s="276" customFormat="1" x14ac:dyDescent="0.3">
      <c r="A2" s="273"/>
      <c r="B2" s="274" t="s">
        <v>120</v>
      </c>
      <c r="C2" s="275"/>
      <c r="T2" s="271"/>
      <c r="V2" s="277"/>
    </row>
    <row r="3" spans="1:25" s="278" customFormat="1" x14ac:dyDescent="0.3">
      <c r="A3" s="269"/>
      <c r="C3" s="208" t="str">
        <f>'GF Analysis'!C6</f>
        <v>FY-4</v>
      </c>
      <c r="D3" s="208" t="str">
        <f>'GF Analysis'!D6</f>
        <v>FY-3</v>
      </c>
      <c r="E3" s="208" t="str">
        <f>'GF Analysis'!E6</f>
        <v>FY-2</v>
      </c>
      <c r="F3" s="208" t="str">
        <f>'GF Analysis'!F6</f>
        <v>FY-1</v>
      </c>
      <c r="G3" s="208" t="str">
        <f>'GF Analysis'!G6</f>
        <v>FY0</v>
      </c>
      <c r="H3" s="208" t="str">
        <f>'GF Analysis'!H6</f>
        <v>FY1</v>
      </c>
      <c r="I3" s="208" t="str">
        <f>'GF Analysis'!I6</f>
        <v>FY2</v>
      </c>
      <c r="J3" s="208" t="str">
        <f>'GF Analysis'!J6</f>
        <v>FY3</v>
      </c>
      <c r="K3" s="208" t="str">
        <f>'GF Analysis'!K6</f>
        <v>FY4</v>
      </c>
      <c r="L3" s="208" t="str">
        <f>'GF Analysis'!L6</f>
        <v>FY5</v>
      </c>
      <c r="M3" s="208" t="str">
        <f>'GF Analysis'!M6</f>
        <v>FY6</v>
      </c>
      <c r="N3" s="208" t="str">
        <f>'GF Analysis'!N6</f>
        <v>FY7</v>
      </c>
      <c r="O3" s="208" t="str">
        <f>'GF Analysis'!O6</f>
        <v>FY8</v>
      </c>
      <c r="P3" s="208" t="str">
        <f>'GF Analysis'!P6</f>
        <v>FY9</v>
      </c>
      <c r="Q3" s="208" t="str">
        <f>'GF Analysis'!Q6</f>
        <v>FY10</v>
      </c>
      <c r="R3" s="208" t="str">
        <f>'GF Analysis'!R6</f>
        <v>FY11</v>
      </c>
      <c r="S3" s="279"/>
      <c r="T3" s="280" t="s">
        <v>121</v>
      </c>
      <c r="V3" s="281"/>
    </row>
    <row r="4" spans="1:25" s="271" customFormat="1" x14ac:dyDescent="0.3">
      <c r="A4" s="282"/>
      <c r="B4" s="283"/>
      <c r="C4" s="209" t="s">
        <v>122</v>
      </c>
      <c r="D4" s="209" t="s">
        <v>122</v>
      </c>
      <c r="E4" s="209" t="s">
        <v>122</v>
      </c>
      <c r="F4" s="209" t="s">
        <v>122</v>
      </c>
      <c r="G4" s="209" t="s">
        <v>122</v>
      </c>
      <c r="H4" s="209" t="s">
        <v>55</v>
      </c>
      <c r="I4" s="209" t="s">
        <v>55</v>
      </c>
      <c r="J4" s="209" t="s">
        <v>55</v>
      </c>
      <c r="K4" s="209" t="s">
        <v>55</v>
      </c>
      <c r="L4" s="209" t="s">
        <v>55</v>
      </c>
      <c r="M4" s="209" t="s">
        <v>55</v>
      </c>
      <c r="N4" s="209" t="s">
        <v>55</v>
      </c>
      <c r="O4" s="209" t="s">
        <v>55</v>
      </c>
      <c r="P4" s="209" t="s">
        <v>55</v>
      </c>
      <c r="Q4" s="209" t="s">
        <v>55</v>
      </c>
      <c r="R4" s="209" t="s">
        <v>55</v>
      </c>
      <c r="S4" s="279"/>
      <c r="T4" s="280" t="s">
        <v>123</v>
      </c>
      <c r="V4" s="282"/>
    </row>
    <row r="5" spans="1:25" s="271" customFormat="1" x14ac:dyDescent="0.3">
      <c r="A5" s="282"/>
      <c r="B5" s="283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84"/>
      <c r="T5" s="284"/>
      <c r="V5" s="282"/>
    </row>
    <row r="6" spans="1:25" x14ac:dyDescent="0.3">
      <c r="A6" s="285" t="s">
        <v>79</v>
      </c>
      <c r="B6" s="286" t="s">
        <v>124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V6" s="272" t="s">
        <v>125</v>
      </c>
    </row>
    <row r="7" spans="1:25" s="205" customFormat="1" x14ac:dyDescent="0.3">
      <c r="A7" s="288"/>
      <c r="B7" s="213" t="s">
        <v>126</v>
      </c>
      <c r="C7" s="289">
        <v>2534395</v>
      </c>
      <c r="D7" s="290">
        <v>2688560</v>
      </c>
      <c r="E7" s="290">
        <v>2829178</v>
      </c>
      <c r="F7" s="290">
        <v>2910568</v>
      </c>
      <c r="G7" s="290">
        <v>2990518</v>
      </c>
      <c r="H7" s="291">
        <v>3071218</v>
      </c>
      <c r="I7" s="291">
        <f t="shared" ref="I7:R10" si="0">H7*(1+$T7)</f>
        <v>3086574.09</v>
      </c>
      <c r="J7" s="247">
        <f t="shared" si="0"/>
        <v>3102006.9604499997</v>
      </c>
      <c r="K7" s="247">
        <f t="shared" si="0"/>
        <v>3117516.9952522493</v>
      </c>
      <c r="L7" s="247">
        <f t="shared" si="0"/>
        <v>3133104.5802285103</v>
      </c>
      <c r="M7" s="247">
        <f t="shared" si="0"/>
        <v>3148770.1031296523</v>
      </c>
      <c r="N7" s="247">
        <f t="shared" si="0"/>
        <v>3164513.9536453001</v>
      </c>
      <c r="O7" s="247">
        <f t="shared" si="0"/>
        <v>3180336.5234135264</v>
      </c>
      <c r="P7" s="247">
        <f t="shared" si="0"/>
        <v>3196238.2060305937</v>
      </c>
      <c r="Q7" s="247">
        <f t="shared" si="0"/>
        <v>3212219.3970607463</v>
      </c>
      <c r="R7" s="247">
        <f t="shared" si="0"/>
        <v>3228280.4940460497</v>
      </c>
      <c r="S7" s="292"/>
      <c r="T7" s="293">
        <v>5.0000000000000001E-3</v>
      </c>
      <c r="V7" s="294" t="s">
        <v>127</v>
      </c>
      <c r="W7" s="295"/>
      <c r="Y7" s="296"/>
    </row>
    <row r="8" spans="1:25" s="205" customFormat="1" x14ac:dyDescent="0.3">
      <c r="A8" s="285"/>
      <c r="B8" s="213" t="s">
        <v>128</v>
      </c>
      <c r="C8" s="289">
        <v>0</v>
      </c>
      <c r="D8" s="297">
        <v>0</v>
      </c>
      <c r="E8" s="297">
        <v>0</v>
      </c>
      <c r="F8" s="297">
        <v>0</v>
      </c>
      <c r="G8" s="297">
        <v>0</v>
      </c>
      <c r="H8" s="291">
        <f>G8*(1+$T8)</f>
        <v>0</v>
      </c>
      <c r="I8" s="291">
        <f t="shared" si="0"/>
        <v>0</v>
      </c>
      <c r="J8" s="247">
        <f t="shared" si="0"/>
        <v>0</v>
      </c>
      <c r="K8" s="247">
        <f t="shared" si="0"/>
        <v>0</v>
      </c>
      <c r="L8" s="247">
        <f t="shared" si="0"/>
        <v>0</v>
      </c>
      <c r="M8" s="247">
        <f t="shared" si="0"/>
        <v>0</v>
      </c>
      <c r="N8" s="247">
        <f t="shared" si="0"/>
        <v>0</v>
      </c>
      <c r="O8" s="247">
        <f t="shared" si="0"/>
        <v>0</v>
      </c>
      <c r="P8" s="247">
        <f t="shared" si="0"/>
        <v>0</v>
      </c>
      <c r="Q8" s="247">
        <f t="shared" si="0"/>
        <v>0</v>
      </c>
      <c r="R8" s="247">
        <f t="shared" si="0"/>
        <v>0</v>
      </c>
      <c r="S8" s="292"/>
      <c r="T8" s="293">
        <v>0</v>
      </c>
      <c r="V8" s="272"/>
      <c r="W8" s="295"/>
      <c r="Y8" s="296"/>
    </row>
    <row r="9" spans="1:25" s="205" customFormat="1" x14ac:dyDescent="0.3">
      <c r="A9" s="285"/>
      <c r="B9" s="213" t="s">
        <v>129</v>
      </c>
      <c r="C9" s="289">
        <v>3572</v>
      </c>
      <c r="D9" s="297">
        <v>16031</v>
      </c>
      <c r="E9" s="297">
        <v>25086</v>
      </c>
      <c r="F9" s="297">
        <v>3572</v>
      </c>
      <c r="G9" s="291">
        <v>1876</v>
      </c>
      <c r="H9" s="291">
        <v>30295</v>
      </c>
      <c r="I9" s="291">
        <f t="shared" si="0"/>
        <v>30295</v>
      </c>
      <c r="J9" s="247">
        <f t="shared" si="0"/>
        <v>30295</v>
      </c>
      <c r="K9" s="247">
        <f t="shared" si="0"/>
        <v>30295</v>
      </c>
      <c r="L9" s="247">
        <f t="shared" si="0"/>
        <v>30295</v>
      </c>
      <c r="M9" s="247">
        <f t="shared" si="0"/>
        <v>30295</v>
      </c>
      <c r="N9" s="247">
        <f t="shared" si="0"/>
        <v>30295</v>
      </c>
      <c r="O9" s="247">
        <f t="shared" si="0"/>
        <v>30295</v>
      </c>
      <c r="P9" s="247">
        <f t="shared" si="0"/>
        <v>30295</v>
      </c>
      <c r="Q9" s="247">
        <f t="shared" si="0"/>
        <v>30295</v>
      </c>
      <c r="R9" s="247">
        <f t="shared" si="0"/>
        <v>30295</v>
      </c>
      <c r="S9" s="292"/>
      <c r="T9" s="293">
        <v>0</v>
      </c>
      <c r="V9" s="272"/>
      <c r="W9" s="295"/>
      <c r="Y9" s="296"/>
    </row>
    <row r="10" spans="1:25" s="205" customFormat="1" x14ac:dyDescent="0.3">
      <c r="A10" s="285"/>
      <c r="B10" s="213" t="s">
        <v>130</v>
      </c>
      <c r="C10" s="289">
        <v>0</v>
      </c>
      <c r="D10" s="297">
        <v>0</v>
      </c>
      <c r="E10" s="297">
        <v>0</v>
      </c>
      <c r="F10" s="297">
        <v>0</v>
      </c>
      <c r="G10" s="291">
        <v>0</v>
      </c>
      <c r="H10" s="291">
        <f>G10*(1+$T10)</f>
        <v>0</v>
      </c>
      <c r="I10" s="291">
        <f t="shared" si="0"/>
        <v>0</v>
      </c>
      <c r="J10" s="247">
        <f t="shared" si="0"/>
        <v>0</v>
      </c>
      <c r="K10" s="247">
        <f t="shared" si="0"/>
        <v>0</v>
      </c>
      <c r="L10" s="247">
        <f t="shared" si="0"/>
        <v>0</v>
      </c>
      <c r="M10" s="247">
        <f t="shared" si="0"/>
        <v>0</v>
      </c>
      <c r="N10" s="247">
        <f t="shared" si="0"/>
        <v>0</v>
      </c>
      <c r="O10" s="247">
        <f t="shared" si="0"/>
        <v>0</v>
      </c>
      <c r="P10" s="247">
        <f t="shared" si="0"/>
        <v>0</v>
      </c>
      <c r="Q10" s="247">
        <f t="shared" si="0"/>
        <v>0</v>
      </c>
      <c r="R10" s="247">
        <f t="shared" si="0"/>
        <v>0</v>
      </c>
      <c r="S10" s="292"/>
      <c r="T10" s="293">
        <v>0</v>
      </c>
      <c r="V10" s="272"/>
      <c r="W10" s="295"/>
      <c r="Y10" s="296"/>
    </row>
    <row r="11" spans="1:25" s="205" customFormat="1" ht="12.5" thickBot="1" x14ac:dyDescent="0.35">
      <c r="A11" s="285"/>
      <c r="B11" s="299" t="s">
        <v>131</v>
      </c>
      <c r="C11" s="300">
        <v>0</v>
      </c>
      <c r="D11" s="300">
        <v>0</v>
      </c>
      <c r="E11" s="300">
        <v>0</v>
      </c>
      <c r="F11" s="300">
        <v>0</v>
      </c>
      <c r="G11" s="301">
        <v>0</v>
      </c>
      <c r="H11" s="302">
        <f t="shared" ref="H11:R18" si="1">G11*(1+$T11)</f>
        <v>0</v>
      </c>
      <c r="I11" s="302">
        <f t="shared" si="1"/>
        <v>0</v>
      </c>
      <c r="J11" s="302">
        <f t="shared" si="1"/>
        <v>0</v>
      </c>
      <c r="K11" s="302">
        <f t="shared" si="1"/>
        <v>0</v>
      </c>
      <c r="L11" s="302">
        <f t="shared" si="1"/>
        <v>0</v>
      </c>
      <c r="M11" s="302">
        <f t="shared" si="1"/>
        <v>0</v>
      </c>
      <c r="N11" s="302">
        <f t="shared" si="1"/>
        <v>0</v>
      </c>
      <c r="O11" s="302">
        <f t="shared" si="1"/>
        <v>0</v>
      </c>
      <c r="P11" s="302">
        <f t="shared" si="1"/>
        <v>0</v>
      </c>
      <c r="Q11" s="302">
        <f t="shared" si="1"/>
        <v>0</v>
      </c>
      <c r="R11" s="302">
        <f t="shared" si="1"/>
        <v>0</v>
      </c>
      <c r="S11" s="292"/>
      <c r="T11" s="293">
        <v>0</v>
      </c>
      <c r="V11" s="272" t="s">
        <v>132</v>
      </c>
      <c r="W11" s="295"/>
      <c r="Y11" s="296"/>
    </row>
    <row r="12" spans="1:25" x14ac:dyDescent="0.3">
      <c r="A12" s="288" t="s">
        <v>81</v>
      </c>
      <c r="B12" s="303" t="s">
        <v>133</v>
      </c>
      <c r="C12" s="304">
        <v>1290456</v>
      </c>
      <c r="D12" s="304">
        <v>1345946</v>
      </c>
      <c r="E12" s="304">
        <v>1398438</v>
      </c>
      <c r="F12" s="304">
        <v>1447383</v>
      </c>
      <c r="G12" s="305">
        <v>1486462</v>
      </c>
      <c r="H12" s="305">
        <v>1528083</v>
      </c>
      <c r="I12" s="305">
        <f t="shared" si="1"/>
        <v>1543363.83</v>
      </c>
      <c r="J12" s="305">
        <f t="shared" si="1"/>
        <v>1558797.4683000001</v>
      </c>
      <c r="K12" s="305">
        <f t="shared" si="1"/>
        <v>1574385.4429830001</v>
      </c>
      <c r="L12" s="305">
        <f t="shared" si="1"/>
        <v>1590129.2974128302</v>
      </c>
      <c r="M12" s="305">
        <f t="shared" si="1"/>
        <v>1606030.5903869586</v>
      </c>
      <c r="N12" s="305">
        <f t="shared" si="1"/>
        <v>1622090.8962908282</v>
      </c>
      <c r="O12" s="305">
        <f t="shared" si="1"/>
        <v>1638311.8052537364</v>
      </c>
      <c r="P12" s="305">
        <f t="shared" si="1"/>
        <v>1654694.9233062738</v>
      </c>
      <c r="Q12" s="305">
        <f t="shared" si="1"/>
        <v>1671241.8725393366</v>
      </c>
      <c r="R12" s="305">
        <f t="shared" si="1"/>
        <v>1687954.29126473</v>
      </c>
      <c r="S12" s="292"/>
      <c r="T12" s="293">
        <v>0.01</v>
      </c>
      <c r="V12" s="277" t="s">
        <v>134</v>
      </c>
      <c r="W12" s="306"/>
    </row>
    <row r="13" spans="1:25" x14ac:dyDescent="0.3">
      <c r="A13" s="288"/>
      <c r="B13" s="213" t="s">
        <v>433</v>
      </c>
      <c r="C13" s="289">
        <v>0</v>
      </c>
      <c r="D13" s="289">
        <v>0</v>
      </c>
      <c r="E13" s="289">
        <v>0</v>
      </c>
      <c r="F13" s="289">
        <v>0</v>
      </c>
      <c r="G13" s="291">
        <v>0</v>
      </c>
      <c r="H13" s="247">
        <f>G13*(1+$T13)</f>
        <v>0</v>
      </c>
      <c r="I13" s="247">
        <f t="shared" si="1"/>
        <v>0</v>
      </c>
      <c r="J13" s="247">
        <f t="shared" si="1"/>
        <v>0</v>
      </c>
      <c r="K13" s="247">
        <f t="shared" si="1"/>
        <v>0</v>
      </c>
      <c r="L13" s="247">
        <f t="shared" si="1"/>
        <v>0</v>
      </c>
      <c r="M13" s="247">
        <f t="shared" si="1"/>
        <v>0</v>
      </c>
      <c r="N13" s="247">
        <f t="shared" si="1"/>
        <v>0</v>
      </c>
      <c r="O13" s="247">
        <f t="shared" si="1"/>
        <v>0</v>
      </c>
      <c r="P13" s="247">
        <f t="shared" si="1"/>
        <v>0</v>
      </c>
      <c r="Q13" s="247">
        <f t="shared" si="1"/>
        <v>0</v>
      </c>
      <c r="R13" s="247">
        <f t="shared" si="1"/>
        <v>0</v>
      </c>
      <c r="S13" s="292"/>
      <c r="T13" s="298"/>
      <c r="W13" s="306"/>
    </row>
    <row r="14" spans="1:25" x14ac:dyDescent="0.3">
      <c r="A14" s="288"/>
      <c r="B14" s="213" t="s">
        <v>135</v>
      </c>
      <c r="C14" s="289">
        <v>0</v>
      </c>
      <c r="D14" s="289">
        <v>0</v>
      </c>
      <c r="E14" s="289">
        <v>0</v>
      </c>
      <c r="F14" s="289">
        <v>0</v>
      </c>
      <c r="G14" s="291">
        <v>0</v>
      </c>
      <c r="H14" s="247">
        <f>G14*(1+$T14)</f>
        <v>0</v>
      </c>
      <c r="I14" s="247">
        <f t="shared" si="1"/>
        <v>0</v>
      </c>
      <c r="J14" s="247">
        <f t="shared" si="1"/>
        <v>0</v>
      </c>
      <c r="K14" s="247">
        <f t="shared" si="1"/>
        <v>0</v>
      </c>
      <c r="L14" s="247">
        <f t="shared" si="1"/>
        <v>0</v>
      </c>
      <c r="M14" s="247">
        <f t="shared" si="1"/>
        <v>0</v>
      </c>
      <c r="N14" s="247">
        <f t="shared" si="1"/>
        <v>0</v>
      </c>
      <c r="O14" s="247">
        <f t="shared" si="1"/>
        <v>0</v>
      </c>
      <c r="P14" s="247">
        <f t="shared" si="1"/>
        <v>0</v>
      </c>
      <c r="Q14" s="247">
        <f t="shared" si="1"/>
        <v>0</v>
      </c>
      <c r="R14" s="247">
        <f t="shared" si="1"/>
        <v>0</v>
      </c>
      <c r="S14" s="292"/>
      <c r="T14" s="293">
        <v>0</v>
      </c>
      <c r="W14" s="306"/>
    </row>
    <row r="15" spans="1:25" x14ac:dyDescent="0.3">
      <c r="B15" s="307" t="s">
        <v>136</v>
      </c>
      <c r="C15" s="289">
        <v>17162</v>
      </c>
      <c r="D15" s="289">
        <v>29097</v>
      </c>
      <c r="E15" s="289">
        <v>49959</v>
      </c>
      <c r="F15" s="289">
        <v>0</v>
      </c>
      <c r="G15" s="247">
        <v>43458</v>
      </c>
      <c r="H15" s="247">
        <v>25293</v>
      </c>
      <c r="I15" s="247">
        <f t="shared" si="1"/>
        <v>25293</v>
      </c>
      <c r="J15" s="247">
        <f t="shared" si="1"/>
        <v>25293</v>
      </c>
      <c r="K15" s="247">
        <f t="shared" si="1"/>
        <v>25293</v>
      </c>
      <c r="L15" s="247">
        <f t="shared" si="1"/>
        <v>25293</v>
      </c>
      <c r="M15" s="247">
        <f t="shared" si="1"/>
        <v>25293</v>
      </c>
      <c r="N15" s="247">
        <f t="shared" si="1"/>
        <v>25293</v>
      </c>
      <c r="O15" s="247">
        <f t="shared" si="1"/>
        <v>25293</v>
      </c>
      <c r="P15" s="247">
        <f t="shared" si="1"/>
        <v>25293</v>
      </c>
      <c r="Q15" s="247">
        <f t="shared" si="1"/>
        <v>25293</v>
      </c>
      <c r="R15" s="247">
        <f t="shared" si="1"/>
        <v>25293</v>
      </c>
      <c r="S15" s="292"/>
      <c r="T15" s="293">
        <v>0</v>
      </c>
      <c r="W15" s="306"/>
      <c r="X15" s="306"/>
      <c r="Y15" s="308"/>
    </row>
    <row r="16" spans="1:25" x14ac:dyDescent="0.3">
      <c r="B16" s="307" t="s">
        <v>137</v>
      </c>
      <c r="C16" s="289">
        <v>30562</v>
      </c>
      <c r="D16" s="289">
        <v>32106</v>
      </c>
      <c r="E16" s="289">
        <v>32658</v>
      </c>
      <c r="F16" s="289">
        <v>30900</v>
      </c>
      <c r="G16" s="247">
        <v>31621</v>
      </c>
      <c r="H16" s="247">
        <v>28886</v>
      </c>
      <c r="I16" s="247">
        <f t="shared" si="1"/>
        <v>28886</v>
      </c>
      <c r="J16" s="247">
        <f t="shared" si="1"/>
        <v>28886</v>
      </c>
      <c r="K16" s="247">
        <f t="shared" si="1"/>
        <v>28886</v>
      </c>
      <c r="L16" s="247">
        <f t="shared" si="1"/>
        <v>28886</v>
      </c>
      <c r="M16" s="247">
        <f t="shared" si="1"/>
        <v>28886</v>
      </c>
      <c r="N16" s="247">
        <f t="shared" si="1"/>
        <v>28886</v>
      </c>
      <c r="O16" s="247">
        <f t="shared" si="1"/>
        <v>28886</v>
      </c>
      <c r="P16" s="247">
        <f t="shared" si="1"/>
        <v>28886</v>
      </c>
      <c r="Q16" s="247">
        <f t="shared" si="1"/>
        <v>28886</v>
      </c>
      <c r="R16" s="247">
        <f t="shared" si="1"/>
        <v>28886</v>
      </c>
      <c r="S16" s="292"/>
      <c r="T16" s="293">
        <v>0</v>
      </c>
      <c r="U16" s="205"/>
      <c r="W16" s="306"/>
      <c r="X16" s="306"/>
      <c r="Y16" s="308"/>
    </row>
    <row r="17" spans="1:32" x14ac:dyDescent="0.3">
      <c r="B17" s="307" t="s">
        <v>138</v>
      </c>
      <c r="C17" s="289">
        <v>32719</v>
      </c>
      <c r="D17" s="289">
        <v>32330</v>
      </c>
      <c r="E17" s="289">
        <v>32299</v>
      </c>
      <c r="F17" s="289">
        <v>34901</v>
      </c>
      <c r="G17" s="247">
        <v>37768</v>
      </c>
      <c r="H17" s="247">
        <v>37569</v>
      </c>
      <c r="I17" s="247">
        <f t="shared" si="1"/>
        <v>37569</v>
      </c>
      <c r="J17" s="247">
        <f t="shared" si="1"/>
        <v>37569</v>
      </c>
      <c r="K17" s="247">
        <f t="shared" si="1"/>
        <v>37569</v>
      </c>
      <c r="L17" s="247">
        <f t="shared" si="1"/>
        <v>37569</v>
      </c>
      <c r="M17" s="247">
        <f t="shared" si="1"/>
        <v>37569</v>
      </c>
      <c r="N17" s="247">
        <f t="shared" si="1"/>
        <v>37569</v>
      </c>
      <c r="O17" s="247">
        <f t="shared" si="1"/>
        <v>37569</v>
      </c>
      <c r="P17" s="247">
        <f t="shared" si="1"/>
        <v>37569</v>
      </c>
      <c r="Q17" s="247">
        <f t="shared" si="1"/>
        <v>37569</v>
      </c>
      <c r="R17" s="247">
        <f t="shared" si="1"/>
        <v>37569</v>
      </c>
      <c r="S17" s="292"/>
      <c r="T17" s="293">
        <v>0</v>
      </c>
      <c r="W17" s="306"/>
      <c r="X17" s="306"/>
      <c r="Y17" s="308"/>
    </row>
    <row r="18" spans="1:32" x14ac:dyDescent="0.3">
      <c r="B18" s="307" t="s">
        <v>139</v>
      </c>
      <c r="C18" s="289">
        <v>27146</v>
      </c>
      <c r="D18" s="289">
        <v>27511</v>
      </c>
      <c r="E18" s="289">
        <v>28105</v>
      </c>
      <c r="F18" s="289">
        <v>28229</v>
      </c>
      <c r="G18" s="247">
        <v>29292</v>
      </c>
      <c r="H18" s="247">
        <v>29925</v>
      </c>
      <c r="I18" s="247">
        <f t="shared" si="1"/>
        <v>29925</v>
      </c>
      <c r="J18" s="247">
        <f t="shared" si="1"/>
        <v>29925</v>
      </c>
      <c r="K18" s="247">
        <f t="shared" si="1"/>
        <v>29925</v>
      </c>
      <c r="L18" s="247">
        <f t="shared" si="1"/>
        <v>29925</v>
      </c>
      <c r="M18" s="247">
        <f t="shared" si="1"/>
        <v>29925</v>
      </c>
      <c r="N18" s="247">
        <f t="shared" si="1"/>
        <v>29925</v>
      </c>
      <c r="O18" s="247">
        <f t="shared" si="1"/>
        <v>29925</v>
      </c>
      <c r="P18" s="247">
        <f t="shared" si="1"/>
        <v>29925</v>
      </c>
      <c r="Q18" s="247">
        <f t="shared" si="1"/>
        <v>29925</v>
      </c>
      <c r="R18" s="247">
        <f t="shared" si="1"/>
        <v>29925</v>
      </c>
      <c r="S18" s="292"/>
      <c r="T18" s="293">
        <v>0</v>
      </c>
      <c r="W18" s="306"/>
      <c r="X18" s="306"/>
      <c r="Y18" s="308"/>
    </row>
    <row r="19" spans="1:32" s="275" customFormat="1" x14ac:dyDescent="0.3">
      <c r="A19" s="309"/>
      <c r="B19" s="230" t="s">
        <v>140</v>
      </c>
      <c r="C19" s="310">
        <f>SUM(C7:C18)</f>
        <v>3936012</v>
      </c>
      <c r="D19" s="310">
        <f>SUM(D7:D18)</f>
        <v>4171581</v>
      </c>
      <c r="E19" s="310">
        <f>SUM(E7:E18)</f>
        <v>4395723</v>
      </c>
      <c r="F19" s="310">
        <f>SUM(F7:F18)</f>
        <v>4455553</v>
      </c>
      <c r="G19" s="310">
        <f>SUM(G7:G18)</f>
        <v>4620995</v>
      </c>
      <c r="H19" s="310">
        <f>SUM(H7:H18)</f>
        <v>4751269</v>
      </c>
      <c r="I19" s="310">
        <f>SUM(I7:I18)</f>
        <v>4781905.9199999999</v>
      </c>
      <c r="J19" s="310">
        <f>SUM(J7:J18)</f>
        <v>4812772.42875</v>
      </c>
      <c r="K19" s="310">
        <f>SUM(K7:K18)</f>
        <v>4843870.4382352494</v>
      </c>
      <c r="L19" s="310">
        <f>SUM(L7:L18)</f>
        <v>4875201.8776413407</v>
      </c>
      <c r="M19" s="310">
        <f>SUM(M7:M18)</f>
        <v>4906768.6935166111</v>
      </c>
      <c r="N19" s="310">
        <f>SUM(N7:N18)</f>
        <v>4938572.8499361286</v>
      </c>
      <c r="O19" s="310">
        <f>SUM(O7:O18)</f>
        <v>4970616.3286672626</v>
      </c>
      <c r="P19" s="310">
        <f>SUM(P7:P18)</f>
        <v>5002901.1293368675</v>
      </c>
      <c r="Q19" s="310">
        <f>SUM(Q7:Q18)</f>
        <v>5035429.2696000831</v>
      </c>
      <c r="R19" s="310">
        <f>SUM(R7:R18)</f>
        <v>5068202.7853107797</v>
      </c>
      <c r="S19" s="292"/>
      <c r="T19" s="292"/>
      <c r="V19" s="311"/>
    </row>
    <row r="20" spans="1:32" x14ac:dyDescent="0.3">
      <c r="B20" s="232" t="s">
        <v>99</v>
      </c>
      <c r="C20" s="312" t="str">
        <f>IFERROR((C19-#REF!)/#REF!,"")</f>
        <v/>
      </c>
      <c r="D20" s="312">
        <f t="shared" ref="D20:R20" si="2">IFERROR((D19-C19)/C19,"")</f>
        <v>5.9849665092484475E-2</v>
      </c>
      <c r="E20" s="312">
        <f t="shared" si="2"/>
        <v>5.3730707853928764E-2</v>
      </c>
      <c r="F20" s="312">
        <f t="shared" si="2"/>
        <v>1.3610957742332718E-2</v>
      </c>
      <c r="G20" s="312">
        <f t="shared" si="2"/>
        <v>3.7131642245081586E-2</v>
      </c>
      <c r="H20" s="312">
        <f t="shared" si="2"/>
        <v>2.8191763895005297E-2</v>
      </c>
      <c r="I20" s="312">
        <f t="shared" si="2"/>
        <v>6.4481552191635386E-3</v>
      </c>
      <c r="J20" s="312">
        <f t="shared" si="2"/>
        <v>6.4548548771950825E-3</v>
      </c>
      <c r="K20" s="312">
        <f t="shared" si="2"/>
        <v>6.4615582693001664E-3</v>
      </c>
      <c r="L20" s="312">
        <f t="shared" si="2"/>
        <v>6.4682653686968187E-3</v>
      </c>
      <c r="M20" s="312">
        <f t="shared" si="2"/>
        <v>6.4749761481759736E-3</v>
      </c>
      <c r="N20" s="312">
        <f t="shared" si="2"/>
        <v>6.4816905801043352E-3</v>
      </c>
      <c r="O20" s="312">
        <f t="shared" si="2"/>
        <v>6.4884086364238609E-3</v>
      </c>
      <c r="P20" s="312">
        <f t="shared" si="2"/>
        <v>6.4951302886540061E-3</v>
      </c>
      <c r="Q20" s="312">
        <f t="shared" si="2"/>
        <v>6.5018555078915239E-3</v>
      </c>
      <c r="R20" s="312">
        <f t="shared" si="2"/>
        <v>6.5085842648127338E-3</v>
      </c>
    </row>
    <row r="21" spans="1:32" x14ac:dyDescent="0.3"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</row>
    <row r="22" spans="1:32" x14ac:dyDescent="0.3"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</row>
    <row r="23" spans="1:32" x14ac:dyDescent="0.3">
      <c r="A23" s="288" t="s">
        <v>83</v>
      </c>
      <c r="B23" s="315" t="s">
        <v>69</v>
      </c>
      <c r="C23" s="316">
        <v>0</v>
      </c>
      <c r="D23" s="316">
        <v>0</v>
      </c>
      <c r="E23" s="316">
        <v>0</v>
      </c>
      <c r="F23" s="316">
        <v>0</v>
      </c>
      <c r="G23" s="316">
        <v>0</v>
      </c>
      <c r="H23" s="316">
        <v>0</v>
      </c>
      <c r="I23" s="316">
        <v>0</v>
      </c>
      <c r="J23" s="317">
        <v>0</v>
      </c>
      <c r="K23" s="316">
        <v>0</v>
      </c>
      <c r="L23" s="184"/>
      <c r="M23" s="184"/>
      <c r="N23" s="184"/>
      <c r="O23" s="184"/>
      <c r="P23" s="184"/>
      <c r="Q23" s="184"/>
      <c r="R23" s="184"/>
      <c r="V23" s="152" t="s">
        <v>141</v>
      </c>
    </row>
    <row r="24" spans="1:32" x14ac:dyDescent="0.3"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</row>
    <row r="25" spans="1:32" ht="12" customHeight="1" x14ac:dyDescent="0.35">
      <c r="A25" s="285" t="s">
        <v>79</v>
      </c>
      <c r="B25" s="204" t="s">
        <v>432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318"/>
      <c r="S25" s="318"/>
      <c r="T25" s="318"/>
      <c r="U25" s="318"/>
      <c r="V25" s="319"/>
      <c r="W25" s="318"/>
    </row>
    <row r="26" spans="1:32" ht="12" customHeight="1" x14ac:dyDescent="0.3">
      <c r="B26" s="204" t="s">
        <v>142</v>
      </c>
      <c r="C26" s="287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9"/>
      <c r="W26" s="318"/>
    </row>
    <row r="27" spans="1:32" ht="12" customHeight="1" x14ac:dyDescent="0.3">
      <c r="A27" s="288" t="s">
        <v>81</v>
      </c>
      <c r="B27" s="204" t="s">
        <v>143</v>
      </c>
      <c r="G27" s="320"/>
      <c r="H27" s="321"/>
      <c r="I27" s="321"/>
      <c r="J27" s="321"/>
      <c r="K27" s="321"/>
      <c r="L27" s="321"/>
      <c r="M27" s="321"/>
      <c r="V27" s="204"/>
      <c r="AF27" s="277"/>
    </row>
    <row r="28" spans="1:32" s="322" customFormat="1" ht="12" customHeight="1" x14ac:dyDescent="0.35">
      <c r="A28" s="288" t="s">
        <v>83</v>
      </c>
      <c r="B28" s="204" t="s">
        <v>391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F28" s="323"/>
    </row>
    <row r="29" spans="1:32" s="322" customFormat="1" ht="12" customHeight="1" x14ac:dyDescent="0.3">
      <c r="A29" s="324"/>
      <c r="B29" s="325" t="s">
        <v>144</v>
      </c>
      <c r="C29" s="326"/>
      <c r="D29" s="326"/>
      <c r="E29" s="326"/>
      <c r="F29" s="326"/>
      <c r="G29" s="326"/>
      <c r="H29" s="326"/>
      <c r="I29" s="326"/>
      <c r="J29" s="326"/>
      <c r="K29" s="326"/>
      <c r="L29" s="327"/>
      <c r="M29" s="327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9"/>
      <c r="AF29" s="323"/>
    </row>
    <row r="30" spans="1:32" x14ac:dyDescent="0.3">
      <c r="D30" s="326"/>
    </row>
    <row r="31" spans="1:32" x14ac:dyDescent="0.3">
      <c r="D31" s="326"/>
    </row>
    <row r="32" spans="1:32" x14ac:dyDescent="0.3">
      <c r="F32" s="330"/>
    </row>
  </sheetData>
  <hyperlinks>
    <hyperlink ref="V7" r:id="rId1" xr:uid="{94F2F4AD-5483-4DDD-A857-DFC9D164577B}"/>
  </hyperlinks>
  <pageMargins left="0.25" right="0.25" top="0.5" bottom="0.5" header="0.3" footer="0.3"/>
  <pageSetup scale="76" orientation="landscape" r:id="rId2"/>
  <headerFooter>
    <oddFooter>&amp;L&amp;9&amp;A&amp;C&amp;10page &amp;P of &amp;N&amp;R&amp;9&amp;D</oddFooter>
  </headerFooter>
  <ignoredErrors>
    <ignoredError sqref="I7:R10 H8:H10 I11:R18 H11:H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FCBF-BB3F-46CA-9F81-8B920722C3BE}">
  <sheetPr>
    <tabColor rgb="FFFFCCCC"/>
  </sheetPr>
  <dimension ref="A1:V37"/>
  <sheetViews>
    <sheetView showGridLines="0" zoomScaleNormal="100" zoomScaleSheetLayoutView="120" workbookViewId="0"/>
  </sheetViews>
  <sheetFormatPr defaultColWidth="11.6640625" defaultRowHeight="12" x14ac:dyDescent="0.3"/>
  <cols>
    <col min="1" max="1" width="3.33203125" style="152" customWidth="1"/>
    <col min="2" max="2" width="43" style="158" customWidth="1"/>
    <col min="3" max="3" width="10.77734375" style="155" customWidth="1"/>
    <col min="4" max="17" width="10.44140625" style="155" customWidth="1"/>
    <col min="18" max="18" width="12" style="335" customWidth="1"/>
    <col min="19" max="19" width="8.44140625" style="338" bestFit="1" customWidth="1"/>
    <col min="20" max="20" width="10.109375" style="157" bestFit="1" customWidth="1"/>
    <col min="21" max="21" width="13" style="157" bestFit="1" customWidth="1"/>
    <col min="22" max="25" width="8" style="157" bestFit="1" customWidth="1"/>
    <col min="26" max="26" width="14.77734375" style="157" customWidth="1"/>
    <col min="27" max="16384" width="11.6640625" style="157"/>
  </cols>
  <sheetData>
    <row r="1" spans="1:22" s="206" customFormat="1" x14ac:dyDescent="0.3">
      <c r="A1" s="331"/>
      <c r="B1" s="147" t="str">
        <f>Revenues!B1</f>
        <v>Municipality of</v>
      </c>
      <c r="C1" s="265"/>
      <c r="R1" s="332"/>
      <c r="S1" s="333"/>
    </row>
    <row r="2" spans="1:22" s="206" customFormat="1" x14ac:dyDescent="0.3">
      <c r="A2" s="331"/>
      <c r="B2" s="334" t="s">
        <v>145</v>
      </c>
      <c r="C2" s="265"/>
      <c r="R2" s="332"/>
      <c r="S2" s="333"/>
    </row>
    <row r="3" spans="1:22" x14ac:dyDescent="0.3">
      <c r="S3" s="336"/>
      <c r="T3" s="337"/>
    </row>
    <row r="4" spans="1:22" x14ac:dyDescent="0.3">
      <c r="T4" s="339"/>
    </row>
    <row r="5" spans="1:22" s="344" customFormat="1" x14ac:dyDescent="0.3">
      <c r="A5" s="340"/>
      <c r="B5" s="341"/>
      <c r="C5" s="342" t="str">
        <f>'GF Analysis'!C6</f>
        <v>FY-4</v>
      </c>
      <c r="D5" s="342" t="str">
        <f>'GF Analysis'!D6</f>
        <v>FY-3</v>
      </c>
      <c r="E5" s="342" t="str">
        <f>'GF Analysis'!E6</f>
        <v>FY-2</v>
      </c>
      <c r="F5" s="342" t="str">
        <f>'GF Analysis'!F6</f>
        <v>FY-1</v>
      </c>
      <c r="G5" s="342" t="str">
        <f>'GF Analysis'!G6</f>
        <v>FY0</v>
      </c>
      <c r="H5" s="342" t="str">
        <f>'GF Analysis'!H6</f>
        <v>FY1</v>
      </c>
      <c r="I5" s="342" t="str">
        <f>'GF Analysis'!I6</f>
        <v>FY2</v>
      </c>
      <c r="J5" s="342" t="str">
        <f>'GF Analysis'!J6</f>
        <v>FY3</v>
      </c>
      <c r="K5" s="342" t="str">
        <f>'GF Analysis'!K6</f>
        <v>FY4</v>
      </c>
      <c r="L5" s="342" t="str">
        <f>'GF Analysis'!L6</f>
        <v>FY5</v>
      </c>
      <c r="M5" s="342" t="str">
        <f>'GF Analysis'!M6</f>
        <v>FY6</v>
      </c>
      <c r="N5" s="342" t="str">
        <f>'GF Analysis'!N6</f>
        <v>FY7</v>
      </c>
      <c r="O5" s="342" t="str">
        <f>'GF Analysis'!O6</f>
        <v>FY8</v>
      </c>
      <c r="P5" s="342" t="str">
        <f>'GF Analysis'!P6</f>
        <v>FY9</v>
      </c>
      <c r="Q5" s="342" t="str">
        <f>'GF Analysis'!Q6</f>
        <v>FY10</v>
      </c>
      <c r="R5" s="342" t="str">
        <f>'GF Analysis'!R6</f>
        <v>FY11</v>
      </c>
      <c r="S5" s="343"/>
      <c r="T5" s="343" t="s">
        <v>121</v>
      </c>
    </row>
    <row r="6" spans="1:22" s="339" customFormat="1" x14ac:dyDescent="0.3">
      <c r="A6" s="345"/>
      <c r="B6" s="346" t="s">
        <v>146</v>
      </c>
      <c r="C6" s="473" t="s">
        <v>54</v>
      </c>
      <c r="D6" s="473" t="s">
        <v>54</v>
      </c>
      <c r="E6" s="473" t="s">
        <v>54</v>
      </c>
      <c r="F6" s="473" t="s">
        <v>54</v>
      </c>
      <c r="G6" s="473" t="s">
        <v>54</v>
      </c>
      <c r="H6" s="474" t="s">
        <v>55</v>
      </c>
      <c r="I6" s="474" t="s">
        <v>55</v>
      </c>
      <c r="J6" s="347" t="s">
        <v>55</v>
      </c>
      <c r="K6" s="347" t="s">
        <v>55</v>
      </c>
      <c r="L6" s="347" t="s">
        <v>55</v>
      </c>
      <c r="M6" s="347" t="s">
        <v>55</v>
      </c>
      <c r="N6" s="347" t="s">
        <v>55</v>
      </c>
      <c r="O6" s="347" t="s">
        <v>55</v>
      </c>
      <c r="P6" s="347" t="s">
        <v>55</v>
      </c>
      <c r="Q6" s="347" t="s">
        <v>55</v>
      </c>
      <c r="R6" s="347" t="s">
        <v>55</v>
      </c>
      <c r="S6" s="343"/>
      <c r="T6" s="343" t="s">
        <v>123</v>
      </c>
    </row>
    <row r="7" spans="1:22" x14ac:dyDescent="0.3">
      <c r="B7" s="348" t="s">
        <v>147</v>
      </c>
      <c r="C7" s="460">
        <v>2300000</v>
      </c>
      <c r="D7" s="460">
        <v>2400000</v>
      </c>
      <c r="E7" s="460">
        <v>2200000</v>
      </c>
      <c r="F7" s="460">
        <v>2400000</v>
      </c>
      <c r="G7" s="460">
        <v>2350000</v>
      </c>
      <c r="H7" s="349">
        <f t="shared" ref="H7:R22" si="0">ROUND(G7*(1+$T7),0)</f>
        <v>2373500</v>
      </c>
      <c r="I7" s="349">
        <f t="shared" si="0"/>
        <v>2397235</v>
      </c>
      <c r="J7" s="349">
        <f t="shared" si="0"/>
        <v>2421207</v>
      </c>
      <c r="K7" s="349">
        <f t="shared" si="0"/>
        <v>2445419</v>
      </c>
      <c r="L7" s="349">
        <f t="shared" si="0"/>
        <v>2469873</v>
      </c>
      <c r="M7" s="349">
        <f t="shared" si="0"/>
        <v>2494572</v>
      </c>
      <c r="N7" s="349">
        <f t="shared" si="0"/>
        <v>2519518</v>
      </c>
      <c r="O7" s="349">
        <f t="shared" si="0"/>
        <v>2544713</v>
      </c>
      <c r="P7" s="349">
        <f t="shared" si="0"/>
        <v>2570160</v>
      </c>
      <c r="Q7" s="349">
        <f t="shared" si="0"/>
        <v>2595862</v>
      </c>
      <c r="R7" s="349">
        <f t="shared" si="0"/>
        <v>2621821</v>
      </c>
      <c r="S7" s="351"/>
      <c r="T7" s="352">
        <v>0.01</v>
      </c>
      <c r="V7" s="205" t="s">
        <v>148</v>
      </c>
    </row>
    <row r="8" spans="1:22" x14ac:dyDescent="0.3">
      <c r="B8" s="353" t="s">
        <v>149</v>
      </c>
      <c r="C8" s="460">
        <v>210000</v>
      </c>
      <c r="D8" s="460">
        <v>210000</v>
      </c>
      <c r="E8" s="460">
        <v>200000</v>
      </c>
      <c r="F8" s="460">
        <v>200000</v>
      </c>
      <c r="G8" s="460">
        <v>200000</v>
      </c>
      <c r="H8" s="349">
        <f t="shared" si="0"/>
        <v>202000</v>
      </c>
      <c r="I8" s="349">
        <f t="shared" si="0"/>
        <v>204020</v>
      </c>
      <c r="J8" s="349">
        <f t="shared" si="0"/>
        <v>206060</v>
      </c>
      <c r="K8" s="349">
        <f t="shared" si="0"/>
        <v>208121</v>
      </c>
      <c r="L8" s="349">
        <f t="shared" si="0"/>
        <v>210202</v>
      </c>
      <c r="M8" s="349">
        <f t="shared" si="0"/>
        <v>212304</v>
      </c>
      <c r="N8" s="349">
        <f t="shared" si="0"/>
        <v>214427</v>
      </c>
      <c r="O8" s="349">
        <f t="shared" si="0"/>
        <v>216571</v>
      </c>
      <c r="P8" s="349">
        <f t="shared" si="0"/>
        <v>218737</v>
      </c>
      <c r="Q8" s="349">
        <f t="shared" si="0"/>
        <v>220924</v>
      </c>
      <c r="R8" s="349">
        <f t="shared" si="0"/>
        <v>223133</v>
      </c>
      <c r="S8" s="351"/>
      <c r="T8" s="352">
        <v>0.01</v>
      </c>
      <c r="V8" s="354"/>
    </row>
    <row r="9" spans="1:22" x14ac:dyDescent="0.3">
      <c r="B9" s="353" t="s">
        <v>150</v>
      </c>
      <c r="C9" s="460">
        <v>120000</v>
      </c>
      <c r="D9" s="460">
        <v>120000</v>
      </c>
      <c r="E9" s="460">
        <v>120000</v>
      </c>
      <c r="F9" s="460">
        <v>122000</v>
      </c>
      <c r="G9" s="460">
        <v>122200</v>
      </c>
      <c r="H9" s="349">
        <f t="shared" si="0"/>
        <v>123422</v>
      </c>
      <c r="I9" s="349">
        <f t="shared" si="0"/>
        <v>124656</v>
      </c>
      <c r="J9" s="350">
        <f t="shared" si="0"/>
        <v>125903</v>
      </c>
      <c r="K9" s="349">
        <f t="shared" si="0"/>
        <v>127162</v>
      </c>
      <c r="L9" s="349">
        <f t="shared" si="0"/>
        <v>128434</v>
      </c>
      <c r="M9" s="349">
        <f t="shared" si="0"/>
        <v>129718</v>
      </c>
      <c r="N9" s="349">
        <f t="shared" si="0"/>
        <v>131015</v>
      </c>
      <c r="O9" s="349">
        <f t="shared" si="0"/>
        <v>132325</v>
      </c>
      <c r="P9" s="349">
        <f t="shared" si="0"/>
        <v>133648</v>
      </c>
      <c r="Q9" s="349">
        <f t="shared" si="0"/>
        <v>134984</v>
      </c>
      <c r="R9" s="349">
        <f t="shared" si="0"/>
        <v>136334</v>
      </c>
      <c r="S9" s="351"/>
      <c r="T9" s="352">
        <v>0.01</v>
      </c>
    </row>
    <row r="10" spans="1:22" x14ac:dyDescent="0.3">
      <c r="B10" s="353" t="s">
        <v>151</v>
      </c>
      <c r="C10" s="460">
        <v>0</v>
      </c>
      <c r="D10" s="460">
        <v>0</v>
      </c>
      <c r="E10" s="460">
        <v>0</v>
      </c>
      <c r="F10" s="460">
        <v>0</v>
      </c>
      <c r="G10" s="460">
        <v>0</v>
      </c>
      <c r="H10" s="349">
        <f t="shared" si="0"/>
        <v>0</v>
      </c>
      <c r="I10" s="349">
        <f t="shared" si="0"/>
        <v>0</v>
      </c>
      <c r="J10" s="350">
        <f t="shared" si="0"/>
        <v>0</v>
      </c>
      <c r="K10" s="349">
        <f t="shared" si="0"/>
        <v>0</v>
      </c>
      <c r="L10" s="349">
        <f t="shared" si="0"/>
        <v>0</v>
      </c>
      <c r="M10" s="349">
        <f t="shared" si="0"/>
        <v>0</v>
      </c>
      <c r="N10" s="349">
        <f t="shared" si="0"/>
        <v>0</v>
      </c>
      <c r="O10" s="349">
        <f t="shared" si="0"/>
        <v>0</v>
      </c>
      <c r="P10" s="349">
        <f t="shared" si="0"/>
        <v>0</v>
      </c>
      <c r="Q10" s="349">
        <f t="shared" si="0"/>
        <v>0</v>
      </c>
      <c r="R10" s="349">
        <f t="shared" si="0"/>
        <v>0</v>
      </c>
      <c r="S10" s="351"/>
      <c r="T10" s="352">
        <v>0.01</v>
      </c>
    </row>
    <row r="11" spans="1:22" x14ac:dyDescent="0.3">
      <c r="B11" s="353" t="s">
        <v>152</v>
      </c>
      <c r="C11" s="460"/>
      <c r="D11" s="460"/>
      <c r="E11" s="460"/>
      <c r="F11" s="460">
        <v>0</v>
      </c>
      <c r="G11" s="460">
        <v>0</v>
      </c>
      <c r="H11" s="349">
        <f t="shared" si="0"/>
        <v>0</v>
      </c>
      <c r="I11" s="349">
        <f t="shared" si="0"/>
        <v>0</v>
      </c>
      <c r="J11" s="350">
        <f t="shared" si="0"/>
        <v>0</v>
      </c>
      <c r="K11" s="349">
        <f t="shared" si="0"/>
        <v>0</v>
      </c>
      <c r="L11" s="349">
        <f t="shared" si="0"/>
        <v>0</v>
      </c>
      <c r="M11" s="349">
        <f t="shared" si="0"/>
        <v>0</v>
      </c>
      <c r="N11" s="349">
        <f t="shared" si="0"/>
        <v>0</v>
      </c>
      <c r="O11" s="349">
        <f t="shared" si="0"/>
        <v>0</v>
      </c>
      <c r="P11" s="349">
        <f t="shared" si="0"/>
        <v>0</v>
      </c>
      <c r="Q11" s="349">
        <f t="shared" si="0"/>
        <v>0</v>
      </c>
      <c r="R11" s="349">
        <f t="shared" si="0"/>
        <v>0</v>
      </c>
      <c r="S11" s="351"/>
      <c r="T11" s="352">
        <v>0.01</v>
      </c>
    </row>
    <row r="12" spans="1:22" x14ac:dyDescent="0.3">
      <c r="B12" s="348" t="s">
        <v>153</v>
      </c>
      <c r="C12" s="460">
        <v>75000</v>
      </c>
      <c r="D12" s="460">
        <v>80000</v>
      </c>
      <c r="E12" s="460">
        <v>75000</v>
      </c>
      <c r="F12" s="460">
        <v>60000</v>
      </c>
      <c r="G12" s="460">
        <v>65000</v>
      </c>
      <c r="H12" s="349">
        <f t="shared" si="0"/>
        <v>65650</v>
      </c>
      <c r="I12" s="349">
        <f t="shared" si="0"/>
        <v>66307</v>
      </c>
      <c r="J12" s="350">
        <f t="shared" si="0"/>
        <v>66970</v>
      </c>
      <c r="K12" s="349">
        <f t="shared" si="0"/>
        <v>67640</v>
      </c>
      <c r="L12" s="349">
        <f t="shared" si="0"/>
        <v>68316</v>
      </c>
      <c r="M12" s="349">
        <f t="shared" si="0"/>
        <v>68999</v>
      </c>
      <c r="N12" s="349">
        <f t="shared" si="0"/>
        <v>69689</v>
      </c>
      <c r="O12" s="349">
        <f t="shared" si="0"/>
        <v>70386</v>
      </c>
      <c r="P12" s="349">
        <f t="shared" si="0"/>
        <v>71090</v>
      </c>
      <c r="Q12" s="349">
        <f t="shared" si="0"/>
        <v>71801</v>
      </c>
      <c r="R12" s="349">
        <f t="shared" si="0"/>
        <v>72519</v>
      </c>
      <c r="S12" s="351"/>
      <c r="T12" s="352">
        <v>0.01</v>
      </c>
    </row>
    <row r="13" spans="1:22" x14ac:dyDescent="0.3">
      <c r="B13" s="348" t="s">
        <v>154</v>
      </c>
      <c r="C13" s="460">
        <v>40000</v>
      </c>
      <c r="D13" s="460">
        <v>40000</v>
      </c>
      <c r="E13" s="460">
        <v>40000</v>
      </c>
      <c r="F13" s="460">
        <v>40000</v>
      </c>
      <c r="G13" s="460">
        <v>40000</v>
      </c>
      <c r="H13" s="349">
        <f t="shared" si="0"/>
        <v>40000</v>
      </c>
      <c r="I13" s="349">
        <f t="shared" si="0"/>
        <v>40000</v>
      </c>
      <c r="J13" s="350">
        <f t="shared" si="0"/>
        <v>40000</v>
      </c>
      <c r="K13" s="349">
        <f t="shared" si="0"/>
        <v>40000</v>
      </c>
      <c r="L13" s="349">
        <f t="shared" si="0"/>
        <v>40000</v>
      </c>
      <c r="M13" s="349">
        <f t="shared" si="0"/>
        <v>40000</v>
      </c>
      <c r="N13" s="349">
        <f t="shared" si="0"/>
        <v>40000</v>
      </c>
      <c r="O13" s="349">
        <f t="shared" si="0"/>
        <v>40000</v>
      </c>
      <c r="P13" s="349">
        <f t="shared" si="0"/>
        <v>40000</v>
      </c>
      <c r="Q13" s="349">
        <f t="shared" si="0"/>
        <v>40000</v>
      </c>
      <c r="R13" s="349">
        <f t="shared" si="0"/>
        <v>40000</v>
      </c>
      <c r="S13" s="351"/>
      <c r="T13" s="352">
        <v>0</v>
      </c>
    </row>
    <row r="14" spans="1:22" x14ac:dyDescent="0.3">
      <c r="B14" s="348" t="s">
        <v>155</v>
      </c>
      <c r="C14" s="460">
        <v>0</v>
      </c>
      <c r="D14" s="460">
        <v>0</v>
      </c>
      <c r="E14" s="460">
        <v>0</v>
      </c>
      <c r="F14" s="460">
        <v>0</v>
      </c>
      <c r="G14" s="460">
        <v>0</v>
      </c>
      <c r="H14" s="349">
        <f t="shared" si="0"/>
        <v>0</v>
      </c>
      <c r="I14" s="349">
        <f t="shared" si="0"/>
        <v>0</v>
      </c>
      <c r="J14" s="350">
        <f t="shared" si="0"/>
        <v>0</v>
      </c>
      <c r="K14" s="349">
        <f t="shared" si="0"/>
        <v>0</v>
      </c>
      <c r="L14" s="349">
        <f t="shared" si="0"/>
        <v>0</v>
      </c>
      <c r="M14" s="349">
        <f t="shared" si="0"/>
        <v>0</v>
      </c>
      <c r="N14" s="349">
        <f t="shared" si="0"/>
        <v>0</v>
      </c>
      <c r="O14" s="349">
        <f t="shared" si="0"/>
        <v>0</v>
      </c>
      <c r="P14" s="349">
        <f t="shared" si="0"/>
        <v>0</v>
      </c>
      <c r="Q14" s="349">
        <f t="shared" si="0"/>
        <v>0</v>
      </c>
      <c r="R14" s="349">
        <f t="shared" si="0"/>
        <v>0</v>
      </c>
      <c r="S14" s="351"/>
      <c r="T14" s="352">
        <v>0.01</v>
      </c>
    </row>
    <row r="15" spans="1:22" x14ac:dyDescent="0.3">
      <c r="B15" s="348" t="s">
        <v>156</v>
      </c>
      <c r="C15" s="460">
        <v>0</v>
      </c>
      <c r="D15" s="460">
        <v>0</v>
      </c>
      <c r="E15" s="460">
        <v>0</v>
      </c>
      <c r="F15" s="460">
        <v>0</v>
      </c>
      <c r="G15" s="460">
        <v>0</v>
      </c>
      <c r="H15" s="349">
        <f t="shared" si="0"/>
        <v>0</v>
      </c>
      <c r="I15" s="349">
        <f t="shared" si="0"/>
        <v>0</v>
      </c>
      <c r="J15" s="350">
        <f t="shared" si="0"/>
        <v>0</v>
      </c>
      <c r="K15" s="349">
        <f t="shared" si="0"/>
        <v>0</v>
      </c>
      <c r="L15" s="349">
        <f t="shared" si="0"/>
        <v>0</v>
      </c>
      <c r="M15" s="349">
        <f t="shared" si="0"/>
        <v>0</v>
      </c>
      <c r="N15" s="349">
        <f t="shared" si="0"/>
        <v>0</v>
      </c>
      <c r="O15" s="349">
        <f t="shared" si="0"/>
        <v>0</v>
      </c>
      <c r="P15" s="349">
        <f t="shared" si="0"/>
        <v>0</v>
      </c>
      <c r="Q15" s="349">
        <f t="shared" si="0"/>
        <v>0</v>
      </c>
      <c r="R15" s="349">
        <f t="shared" si="0"/>
        <v>0</v>
      </c>
      <c r="S15" s="351"/>
      <c r="T15" s="352">
        <v>0.01</v>
      </c>
    </row>
    <row r="16" spans="1:22" x14ac:dyDescent="0.3">
      <c r="B16" s="348" t="s">
        <v>157</v>
      </c>
      <c r="C16" s="460">
        <v>0</v>
      </c>
      <c r="D16" s="460">
        <v>0</v>
      </c>
      <c r="E16" s="460">
        <v>0</v>
      </c>
      <c r="F16" s="460">
        <v>0</v>
      </c>
      <c r="G16" s="460">
        <v>0</v>
      </c>
      <c r="H16" s="349">
        <f t="shared" si="0"/>
        <v>0</v>
      </c>
      <c r="I16" s="349">
        <f t="shared" si="0"/>
        <v>0</v>
      </c>
      <c r="J16" s="350">
        <f t="shared" si="0"/>
        <v>0</v>
      </c>
      <c r="K16" s="349">
        <f t="shared" si="0"/>
        <v>0</v>
      </c>
      <c r="L16" s="349">
        <f t="shared" si="0"/>
        <v>0</v>
      </c>
      <c r="M16" s="349">
        <f t="shared" si="0"/>
        <v>0</v>
      </c>
      <c r="N16" s="349">
        <f t="shared" si="0"/>
        <v>0</v>
      </c>
      <c r="O16" s="349">
        <f t="shared" si="0"/>
        <v>0</v>
      </c>
      <c r="P16" s="349">
        <f t="shared" si="0"/>
        <v>0</v>
      </c>
      <c r="Q16" s="349">
        <f t="shared" si="0"/>
        <v>0</v>
      </c>
      <c r="R16" s="349">
        <f t="shared" si="0"/>
        <v>0</v>
      </c>
      <c r="S16" s="351"/>
      <c r="T16" s="352">
        <v>0.01</v>
      </c>
    </row>
    <row r="17" spans="2:20" x14ac:dyDescent="0.3">
      <c r="B17" s="348" t="s">
        <v>158</v>
      </c>
      <c r="C17" s="460">
        <v>0</v>
      </c>
      <c r="D17" s="460">
        <v>0</v>
      </c>
      <c r="E17" s="460">
        <v>0</v>
      </c>
      <c r="F17" s="460">
        <v>0</v>
      </c>
      <c r="G17" s="460">
        <v>0</v>
      </c>
      <c r="H17" s="349">
        <f t="shared" si="0"/>
        <v>0</v>
      </c>
      <c r="I17" s="349">
        <f t="shared" si="0"/>
        <v>0</v>
      </c>
      <c r="J17" s="350">
        <f t="shared" si="0"/>
        <v>0</v>
      </c>
      <c r="K17" s="349">
        <f t="shared" si="0"/>
        <v>0</v>
      </c>
      <c r="L17" s="349">
        <f t="shared" si="0"/>
        <v>0</v>
      </c>
      <c r="M17" s="349">
        <f t="shared" si="0"/>
        <v>0</v>
      </c>
      <c r="N17" s="349">
        <f t="shared" si="0"/>
        <v>0</v>
      </c>
      <c r="O17" s="349">
        <f t="shared" si="0"/>
        <v>0</v>
      </c>
      <c r="P17" s="349">
        <f t="shared" si="0"/>
        <v>0</v>
      </c>
      <c r="Q17" s="349">
        <f t="shared" si="0"/>
        <v>0</v>
      </c>
      <c r="R17" s="349">
        <f t="shared" si="0"/>
        <v>0</v>
      </c>
      <c r="S17" s="351"/>
      <c r="T17" s="352">
        <v>0.01</v>
      </c>
    </row>
    <row r="18" spans="2:20" x14ac:dyDescent="0.3">
      <c r="B18" s="348" t="s">
        <v>159</v>
      </c>
      <c r="C18" s="460">
        <v>0</v>
      </c>
      <c r="D18" s="460">
        <v>0</v>
      </c>
      <c r="E18" s="460">
        <v>0</v>
      </c>
      <c r="F18" s="460">
        <v>0</v>
      </c>
      <c r="G18" s="460">
        <v>0</v>
      </c>
      <c r="H18" s="349">
        <f t="shared" si="0"/>
        <v>0</v>
      </c>
      <c r="I18" s="349">
        <f t="shared" si="0"/>
        <v>0</v>
      </c>
      <c r="J18" s="350">
        <f t="shared" si="0"/>
        <v>0</v>
      </c>
      <c r="K18" s="349">
        <f t="shared" si="0"/>
        <v>0</v>
      </c>
      <c r="L18" s="349">
        <f t="shared" si="0"/>
        <v>0</v>
      </c>
      <c r="M18" s="349">
        <f t="shared" si="0"/>
        <v>0</v>
      </c>
      <c r="N18" s="349">
        <f t="shared" si="0"/>
        <v>0</v>
      </c>
      <c r="O18" s="349">
        <f t="shared" si="0"/>
        <v>0</v>
      </c>
      <c r="P18" s="349">
        <f t="shared" si="0"/>
        <v>0</v>
      </c>
      <c r="Q18" s="349">
        <f t="shared" si="0"/>
        <v>0</v>
      </c>
      <c r="R18" s="349">
        <f t="shared" si="0"/>
        <v>0</v>
      </c>
      <c r="S18" s="351"/>
      <c r="T18" s="352">
        <v>0.01</v>
      </c>
    </row>
    <row r="19" spans="2:20" x14ac:dyDescent="0.3">
      <c r="B19" s="348" t="s">
        <v>160</v>
      </c>
      <c r="C19" s="460">
        <v>41000</v>
      </c>
      <c r="D19" s="460">
        <v>42000</v>
      </c>
      <c r="E19" s="460">
        <v>42000</v>
      </c>
      <c r="F19" s="460">
        <v>42000</v>
      </c>
      <c r="G19" s="460">
        <v>45000</v>
      </c>
      <c r="H19" s="349">
        <f t="shared" si="0"/>
        <v>45450</v>
      </c>
      <c r="I19" s="349">
        <f t="shared" si="0"/>
        <v>45905</v>
      </c>
      <c r="J19" s="350">
        <f t="shared" si="0"/>
        <v>46364</v>
      </c>
      <c r="K19" s="349">
        <f t="shared" si="0"/>
        <v>46828</v>
      </c>
      <c r="L19" s="349">
        <f t="shared" si="0"/>
        <v>47296</v>
      </c>
      <c r="M19" s="349">
        <f t="shared" si="0"/>
        <v>47769</v>
      </c>
      <c r="N19" s="349">
        <f t="shared" si="0"/>
        <v>48247</v>
      </c>
      <c r="O19" s="349">
        <f t="shared" si="0"/>
        <v>48729</v>
      </c>
      <c r="P19" s="349">
        <f t="shared" si="0"/>
        <v>49216</v>
      </c>
      <c r="Q19" s="349">
        <f t="shared" si="0"/>
        <v>49708</v>
      </c>
      <c r="R19" s="349">
        <f t="shared" si="0"/>
        <v>50205</v>
      </c>
      <c r="S19" s="351"/>
      <c r="T19" s="352">
        <v>0.01</v>
      </c>
    </row>
    <row r="20" spans="2:20" x14ac:dyDescent="0.3">
      <c r="B20" s="348" t="s">
        <v>161</v>
      </c>
      <c r="C20" s="460"/>
      <c r="D20" s="460"/>
      <c r="E20" s="460"/>
      <c r="F20" s="460">
        <v>0</v>
      </c>
      <c r="G20" s="460">
        <v>0</v>
      </c>
      <c r="H20" s="349">
        <f t="shared" si="0"/>
        <v>0</v>
      </c>
      <c r="I20" s="349">
        <f t="shared" si="0"/>
        <v>0</v>
      </c>
      <c r="J20" s="350">
        <f t="shared" si="0"/>
        <v>0</v>
      </c>
      <c r="K20" s="349">
        <f t="shared" si="0"/>
        <v>0</v>
      </c>
      <c r="L20" s="349">
        <f t="shared" si="0"/>
        <v>0</v>
      </c>
      <c r="M20" s="349">
        <f t="shared" si="0"/>
        <v>0</v>
      </c>
      <c r="N20" s="349">
        <f t="shared" si="0"/>
        <v>0</v>
      </c>
      <c r="O20" s="349">
        <f t="shared" si="0"/>
        <v>0</v>
      </c>
      <c r="P20" s="349">
        <f t="shared" si="0"/>
        <v>0</v>
      </c>
      <c r="Q20" s="349">
        <f t="shared" si="0"/>
        <v>0</v>
      </c>
      <c r="R20" s="349">
        <f t="shared" si="0"/>
        <v>0</v>
      </c>
      <c r="S20" s="351"/>
      <c r="T20" s="352">
        <v>0.01</v>
      </c>
    </row>
    <row r="21" spans="2:20" x14ac:dyDescent="0.3">
      <c r="B21" s="348" t="s">
        <v>162</v>
      </c>
      <c r="C21" s="460"/>
      <c r="D21" s="460"/>
      <c r="E21" s="460"/>
      <c r="F21" s="460">
        <v>0</v>
      </c>
      <c r="G21" s="460">
        <v>0</v>
      </c>
      <c r="H21" s="349"/>
      <c r="I21" s="349"/>
      <c r="J21" s="350"/>
      <c r="K21" s="349"/>
      <c r="L21" s="349"/>
      <c r="M21" s="349"/>
      <c r="N21" s="349"/>
      <c r="O21" s="349"/>
      <c r="P21" s="349"/>
      <c r="Q21" s="349"/>
      <c r="R21" s="349"/>
      <c r="S21" s="351"/>
      <c r="T21" s="352">
        <v>0.01</v>
      </c>
    </row>
    <row r="22" spans="2:20" x14ac:dyDescent="0.3">
      <c r="B22" s="348" t="s">
        <v>163</v>
      </c>
      <c r="C22" s="460">
        <v>75000</v>
      </c>
      <c r="D22" s="460">
        <v>75000</v>
      </c>
      <c r="E22" s="460">
        <v>75000</v>
      </c>
      <c r="F22" s="460">
        <v>75000</v>
      </c>
      <c r="G22" s="460">
        <v>75000</v>
      </c>
      <c r="H22" s="349">
        <f t="shared" si="0"/>
        <v>75750</v>
      </c>
      <c r="I22" s="349">
        <f t="shared" si="0"/>
        <v>76508</v>
      </c>
      <c r="J22" s="350">
        <f t="shared" si="0"/>
        <v>77273</v>
      </c>
      <c r="K22" s="349">
        <f t="shared" si="0"/>
        <v>78046</v>
      </c>
      <c r="L22" s="349">
        <f t="shared" si="0"/>
        <v>78826</v>
      </c>
      <c r="M22" s="349">
        <f t="shared" si="0"/>
        <v>79614</v>
      </c>
      <c r="N22" s="349">
        <f t="shared" si="0"/>
        <v>80410</v>
      </c>
      <c r="O22" s="349">
        <f t="shared" si="0"/>
        <v>81214</v>
      </c>
      <c r="P22" s="349">
        <f t="shared" si="0"/>
        <v>82026</v>
      </c>
      <c r="Q22" s="349">
        <f t="shared" si="0"/>
        <v>82846</v>
      </c>
      <c r="R22" s="349">
        <f t="shared" si="0"/>
        <v>83674</v>
      </c>
      <c r="S22" s="351"/>
      <c r="T22" s="352">
        <v>0.01</v>
      </c>
    </row>
    <row r="23" spans="2:20" x14ac:dyDescent="0.3">
      <c r="B23" s="348" t="s">
        <v>164</v>
      </c>
      <c r="C23" s="460">
        <v>0</v>
      </c>
      <c r="D23" s="460">
        <v>0</v>
      </c>
      <c r="E23" s="460">
        <v>0</v>
      </c>
      <c r="F23" s="460">
        <v>0</v>
      </c>
      <c r="G23" s="460">
        <v>0</v>
      </c>
      <c r="H23" s="349">
        <f t="shared" ref="H23:R34" si="1">ROUND(G23*(1+$T23),0)</f>
        <v>0</v>
      </c>
      <c r="I23" s="349">
        <f t="shared" si="1"/>
        <v>0</v>
      </c>
      <c r="J23" s="350">
        <f t="shared" si="1"/>
        <v>0</v>
      </c>
      <c r="K23" s="349">
        <f t="shared" si="1"/>
        <v>0</v>
      </c>
      <c r="L23" s="349">
        <f t="shared" si="1"/>
        <v>0</v>
      </c>
      <c r="M23" s="349">
        <f t="shared" si="1"/>
        <v>0</v>
      </c>
      <c r="N23" s="349">
        <f t="shared" si="1"/>
        <v>0</v>
      </c>
      <c r="O23" s="349">
        <f t="shared" si="1"/>
        <v>0</v>
      </c>
      <c r="P23" s="349">
        <f t="shared" si="1"/>
        <v>0</v>
      </c>
      <c r="Q23" s="349">
        <f t="shared" si="1"/>
        <v>0</v>
      </c>
      <c r="R23" s="349">
        <f t="shared" si="1"/>
        <v>0</v>
      </c>
      <c r="S23" s="351"/>
      <c r="T23" s="352">
        <v>0.01</v>
      </c>
    </row>
    <row r="24" spans="2:20" x14ac:dyDescent="0.3">
      <c r="B24" s="348" t="s">
        <v>165</v>
      </c>
      <c r="C24" s="460">
        <v>1000</v>
      </c>
      <c r="D24" s="460">
        <v>1000</v>
      </c>
      <c r="E24" s="460">
        <v>1000</v>
      </c>
      <c r="F24" s="460">
        <v>1000</v>
      </c>
      <c r="G24" s="460">
        <v>1000</v>
      </c>
      <c r="H24" s="349">
        <f t="shared" si="1"/>
        <v>1010</v>
      </c>
      <c r="I24" s="349">
        <f t="shared" si="1"/>
        <v>1020</v>
      </c>
      <c r="J24" s="350">
        <f t="shared" si="1"/>
        <v>1030</v>
      </c>
      <c r="K24" s="349">
        <f t="shared" si="1"/>
        <v>1040</v>
      </c>
      <c r="L24" s="349">
        <f t="shared" si="1"/>
        <v>1050</v>
      </c>
      <c r="M24" s="349">
        <f t="shared" si="1"/>
        <v>1061</v>
      </c>
      <c r="N24" s="349">
        <f t="shared" si="1"/>
        <v>1072</v>
      </c>
      <c r="O24" s="349">
        <f t="shared" si="1"/>
        <v>1083</v>
      </c>
      <c r="P24" s="349">
        <f t="shared" si="1"/>
        <v>1094</v>
      </c>
      <c r="Q24" s="349">
        <f t="shared" si="1"/>
        <v>1105</v>
      </c>
      <c r="R24" s="349">
        <f t="shared" si="1"/>
        <v>1116</v>
      </c>
      <c r="S24" s="351"/>
      <c r="T24" s="352">
        <v>0.01</v>
      </c>
    </row>
    <row r="25" spans="2:20" x14ac:dyDescent="0.3">
      <c r="B25" s="348" t="s">
        <v>166</v>
      </c>
      <c r="C25" s="460">
        <v>0</v>
      </c>
      <c r="D25" s="460">
        <v>0</v>
      </c>
      <c r="E25" s="460">
        <v>0</v>
      </c>
      <c r="F25" s="460">
        <v>0</v>
      </c>
      <c r="G25" s="460">
        <v>0</v>
      </c>
      <c r="H25" s="349">
        <f t="shared" si="1"/>
        <v>0</v>
      </c>
      <c r="I25" s="349">
        <f t="shared" si="1"/>
        <v>0</v>
      </c>
      <c r="J25" s="350">
        <f t="shared" si="1"/>
        <v>0</v>
      </c>
      <c r="K25" s="349">
        <f t="shared" si="1"/>
        <v>0</v>
      </c>
      <c r="L25" s="349">
        <f t="shared" si="1"/>
        <v>0</v>
      </c>
      <c r="M25" s="349">
        <f t="shared" si="1"/>
        <v>0</v>
      </c>
      <c r="N25" s="349">
        <f t="shared" si="1"/>
        <v>0</v>
      </c>
      <c r="O25" s="349">
        <f t="shared" si="1"/>
        <v>0</v>
      </c>
      <c r="P25" s="349">
        <f t="shared" si="1"/>
        <v>0</v>
      </c>
      <c r="Q25" s="349">
        <f t="shared" si="1"/>
        <v>0</v>
      </c>
      <c r="R25" s="349">
        <f t="shared" si="1"/>
        <v>0</v>
      </c>
      <c r="S25" s="351"/>
      <c r="T25" s="352">
        <v>0.01</v>
      </c>
    </row>
    <row r="26" spans="2:20" x14ac:dyDescent="0.3">
      <c r="B26" s="348" t="s">
        <v>167</v>
      </c>
      <c r="C26" s="460">
        <v>0</v>
      </c>
      <c r="D26" s="460">
        <v>0</v>
      </c>
      <c r="E26" s="460">
        <v>0</v>
      </c>
      <c r="F26" s="460">
        <v>0</v>
      </c>
      <c r="G26" s="460">
        <v>0</v>
      </c>
      <c r="H26" s="349">
        <f t="shared" si="1"/>
        <v>0</v>
      </c>
      <c r="I26" s="349">
        <f t="shared" si="1"/>
        <v>0</v>
      </c>
      <c r="J26" s="350">
        <f t="shared" si="1"/>
        <v>0</v>
      </c>
      <c r="K26" s="349">
        <f t="shared" si="1"/>
        <v>0</v>
      </c>
      <c r="L26" s="349">
        <f t="shared" si="1"/>
        <v>0</v>
      </c>
      <c r="M26" s="349">
        <f t="shared" si="1"/>
        <v>0</v>
      </c>
      <c r="N26" s="349">
        <f t="shared" si="1"/>
        <v>0</v>
      </c>
      <c r="O26" s="349">
        <f t="shared" si="1"/>
        <v>0</v>
      </c>
      <c r="P26" s="349">
        <f t="shared" si="1"/>
        <v>0</v>
      </c>
      <c r="Q26" s="349">
        <f t="shared" si="1"/>
        <v>0</v>
      </c>
      <c r="R26" s="349">
        <f t="shared" si="1"/>
        <v>0</v>
      </c>
      <c r="S26" s="351"/>
      <c r="T26" s="352">
        <v>0.01</v>
      </c>
    </row>
    <row r="27" spans="2:20" x14ac:dyDescent="0.3">
      <c r="B27" s="348" t="s">
        <v>168</v>
      </c>
      <c r="C27" s="460">
        <v>15000</v>
      </c>
      <c r="D27" s="460">
        <v>5000</v>
      </c>
      <c r="E27" s="460">
        <v>5000</v>
      </c>
      <c r="F27" s="460">
        <v>8000</v>
      </c>
      <c r="G27" s="460">
        <v>8000</v>
      </c>
      <c r="H27" s="349">
        <f t="shared" si="1"/>
        <v>8080</v>
      </c>
      <c r="I27" s="349">
        <f t="shared" si="1"/>
        <v>8161</v>
      </c>
      <c r="J27" s="350">
        <f t="shared" si="1"/>
        <v>8243</v>
      </c>
      <c r="K27" s="349">
        <f t="shared" si="1"/>
        <v>8325</v>
      </c>
      <c r="L27" s="349">
        <f t="shared" si="1"/>
        <v>8408</v>
      </c>
      <c r="M27" s="349">
        <f t="shared" si="1"/>
        <v>8492</v>
      </c>
      <c r="N27" s="349">
        <f t="shared" si="1"/>
        <v>8577</v>
      </c>
      <c r="O27" s="349">
        <f t="shared" si="1"/>
        <v>8663</v>
      </c>
      <c r="P27" s="349">
        <f t="shared" si="1"/>
        <v>8750</v>
      </c>
      <c r="Q27" s="349">
        <f t="shared" si="1"/>
        <v>8838</v>
      </c>
      <c r="R27" s="349">
        <f t="shared" si="1"/>
        <v>8926</v>
      </c>
      <c r="S27" s="351"/>
      <c r="T27" s="352">
        <v>0.01</v>
      </c>
    </row>
    <row r="28" spans="2:20" x14ac:dyDescent="0.3">
      <c r="B28" s="348" t="s">
        <v>169</v>
      </c>
      <c r="C28" s="460">
        <v>125000</v>
      </c>
      <c r="D28" s="460">
        <v>130000</v>
      </c>
      <c r="E28" s="460">
        <v>130000</v>
      </c>
      <c r="F28" s="460">
        <v>132000</v>
      </c>
      <c r="G28" s="460">
        <v>135000</v>
      </c>
      <c r="H28" s="349">
        <f t="shared" si="1"/>
        <v>136350</v>
      </c>
      <c r="I28" s="349">
        <f t="shared" si="1"/>
        <v>137714</v>
      </c>
      <c r="J28" s="350">
        <f t="shared" si="1"/>
        <v>139091</v>
      </c>
      <c r="K28" s="349">
        <f t="shared" si="1"/>
        <v>140482</v>
      </c>
      <c r="L28" s="349">
        <f t="shared" si="1"/>
        <v>141887</v>
      </c>
      <c r="M28" s="349">
        <f t="shared" si="1"/>
        <v>143306</v>
      </c>
      <c r="N28" s="349">
        <f t="shared" si="1"/>
        <v>144739</v>
      </c>
      <c r="O28" s="349">
        <f t="shared" si="1"/>
        <v>146186</v>
      </c>
      <c r="P28" s="349">
        <f t="shared" si="1"/>
        <v>147648</v>
      </c>
      <c r="Q28" s="349">
        <f t="shared" si="1"/>
        <v>149124</v>
      </c>
      <c r="R28" s="349">
        <f t="shared" si="1"/>
        <v>150615</v>
      </c>
      <c r="S28" s="351"/>
      <c r="T28" s="352">
        <v>0.01</v>
      </c>
    </row>
    <row r="29" spans="2:20" x14ac:dyDescent="0.3">
      <c r="B29" s="348" t="s">
        <v>170</v>
      </c>
      <c r="C29" s="460">
        <v>0</v>
      </c>
      <c r="D29" s="460">
        <v>0</v>
      </c>
      <c r="E29" s="460">
        <v>0</v>
      </c>
      <c r="F29" s="460">
        <v>0</v>
      </c>
      <c r="G29" s="460">
        <v>0</v>
      </c>
      <c r="H29" s="349">
        <f t="shared" si="1"/>
        <v>0</v>
      </c>
      <c r="I29" s="349">
        <f t="shared" si="1"/>
        <v>0</v>
      </c>
      <c r="J29" s="350">
        <f t="shared" si="1"/>
        <v>0</v>
      </c>
      <c r="K29" s="349">
        <f t="shared" si="1"/>
        <v>0</v>
      </c>
      <c r="L29" s="349">
        <f t="shared" si="1"/>
        <v>0</v>
      </c>
      <c r="M29" s="349">
        <f t="shared" si="1"/>
        <v>0</v>
      </c>
      <c r="N29" s="349">
        <f t="shared" si="1"/>
        <v>0</v>
      </c>
      <c r="O29" s="349">
        <f t="shared" si="1"/>
        <v>0</v>
      </c>
      <c r="P29" s="349">
        <f t="shared" si="1"/>
        <v>0</v>
      </c>
      <c r="Q29" s="349">
        <f t="shared" si="1"/>
        <v>0</v>
      </c>
      <c r="R29" s="349">
        <f t="shared" si="1"/>
        <v>0</v>
      </c>
      <c r="S29" s="351"/>
      <c r="T29" s="352">
        <v>0.01</v>
      </c>
    </row>
    <row r="30" spans="2:20" x14ac:dyDescent="0.3">
      <c r="B30" s="348" t="s">
        <v>171</v>
      </c>
      <c r="C30" s="460">
        <v>25000</v>
      </c>
      <c r="D30" s="460">
        <v>30000</v>
      </c>
      <c r="E30" s="460">
        <v>10000</v>
      </c>
      <c r="F30" s="460">
        <v>10000</v>
      </c>
      <c r="G30" s="460">
        <v>15000</v>
      </c>
      <c r="H30" s="349">
        <f t="shared" si="1"/>
        <v>15150</v>
      </c>
      <c r="I30" s="349">
        <f t="shared" si="1"/>
        <v>15302</v>
      </c>
      <c r="J30" s="350">
        <f t="shared" si="1"/>
        <v>15455</v>
      </c>
      <c r="K30" s="349">
        <f t="shared" si="1"/>
        <v>15610</v>
      </c>
      <c r="L30" s="349">
        <f t="shared" si="1"/>
        <v>15766</v>
      </c>
      <c r="M30" s="349">
        <f t="shared" si="1"/>
        <v>15924</v>
      </c>
      <c r="N30" s="349">
        <f t="shared" si="1"/>
        <v>16083</v>
      </c>
      <c r="O30" s="349">
        <f t="shared" si="1"/>
        <v>16244</v>
      </c>
      <c r="P30" s="349">
        <f t="shared" si="1"/>
        <v>16406</v>
      </c>
      <c r="Q30" s="349">
        <f t="shared" si="1"/>
        <v>16570</v>
      </c>
      <c r="R30" s="349">
        <f t="shared" si="1"/>
        <v>16736</v>
      </c>
      <c r="S30" s="351"/>
      <c r="T30" s="352">
        <v>0.01</v>
      </c>
    </row>
    <row r="31" spans="2:20" x14ac:dyDescent="0.3">
      <c r="B31" s="348" t="s">
        <v>172</v>
      </c>
      <c r="C31" s="460">
        <v>5000</v>
      </c>
      <c r="D31" s="460">
        <v>5000</v>
      </c>
      <c r="E31" s="460">
        <v>5000</v>
      </c>
      <c r="F31" s="460">
        <v>5000</v>
      </c>
      <c r="G31" s="460">
        <v>5000</v>
      </c>
      <c r="H31" s="349">
        <f t="shared" si="1"/>
        <v>5050</v>
      </c>
      <c r="I31" s="349">
        <f t="shared" si="1"/>
        <v>5101</v>
      </c>
      <c r="J31" s="350">
        <f t="shared" si="1"/>
        <v>5152</v>
      </c>
      <c r="K31" s="349">
        <f t="shared" si="1"/>
        <v>5204</v>
      </c>
      <c r="L31" s="349">
        <f t="shared" si="1"/>
        <v>5256</v>
      </c>
      <c r="M31" s="349">
        <f t="shared" si="1"/>
        <v>5309</v>
      </c>
      <c r="N31" s="349">
        <f t="shared" si="1"/>
        <v>5362</v>
      </c>
      <c r="O31" s="349">
        <f t="shared" si="1"/>
        <v>5416</v>
      </c>
      <c r="P31" s="349">
        <f t="shared" si="1"/>
        <v>5470</v>
      </c>
      <c r="Q31" s="349">
        <f t="shared" si="1"/>
        <v>5525</v>
      </c>
      <c r="R31" s="349">
        <f t="shared" si="1"/>
        <v>5580</v>
      </c>
      <c r="S31" s="351"/>
      <c r="T31" s="352">
        <v>0.01</v>
      </c>
    </row>
    <row r="32" spans="2:20" x14ac:dyDescent="0.3">
      <c r="B32" s="348" t="s">
        <v>173</v>
      </c>
      <c r="C32" s="460">
        <v>50000</v>
      </c>
      <c r="D32" s="460">
        <v>50000</v>
      </c>
      <c r="E32" s="460">
        <v>45000</v>
      </c>
      <c r="F32" s="460">
        <v>40000</v>
      </c>
      <c r="G32" s="460">
        <v>40000</v>
      </c>
      <c r="H32" s="349">
        <f t="shared" si="1"/>
        <v>40400</v>
      </c>
      <c r="I32" s="349">
        <f t="shared" si="1"/>
        <v>40804</v>
      </c>
      <c r="J32" s="350">
        <f t="shared" si="1"/>
        <v>41212</v>
      </c>
      <c r="K32" s="349">
        <f t="shared" si="1"/>
        <v>41624</v>
      </c>
      <c r="L32" s="349">
        <f t="shared" si="1"/>
        <v>42040</v>
      </c>
      <c r="M32" s="349">
        <f t="shared" si="1"/>
        <v>42460</v>
      </c>
      <c r="N32" s="349">
        <f t="shared" si="1"/>
        <v>42885</v>
      </c>
      <c r="O32" s="349">
        <f t="shared" si="1"/>
        <v>43314</v>
      </c>
      <c r="P32" s="349">
        <f t="shared" si="1"/>
        <v>43747</v>
      </c>
      <c r="Q32" s="349">
        <f t="shared" si="1"/>
        <v>44184</v>
      </c>
      <c r="R32" s="349">
        <f t="shared" si="1"/>
        <v>44626</v>
      </c>
      <c r="S32" s="351"/>
      <c r="T32" s="352">
        <v>0.01</v>
      </c>
    </row>
    <row r="33" spans="1:20" x14ac:dyDescent="0.3">
      <c r="B33" s="348" t="s">
        <v>174</v>
      </c>
      <c r="C33" s="460">
        <v>0</v>
      </c>
      <c r="D33" s="460">
        <v>0</v>
      </c>
      <c r="E33" s="460">
        <v>0</v>
      </c>
      <c r="F33" s="460">
        <v>13879</v>
      </c>
      <c r="G33" s="460">
        <v>9052</v>
      </c>
      <c r="H33" s="349">
        <f t="shared" si="1"/>
        <v>9143</v>
      </c>
      <c r="I33" s="349">
        <f t="shared" si="1"/>
        <v>9234</v>
      </c>
      <c r="J33" s="350">
        <f t="shared" si="1"/>
        <v>9326</v>
      </c>
      <c r="K33" s="349">
        <f t="shared" si="1"/>
        <v>9419</v>
      </c>
      <c r="L33" s="349">
        <f t="shared" si="1"/>
        <v>9513</v>
      </c>
      <c r="M33" s="349">
        <f t="shared" si="1"/>
        <v>9608</v>
      </c>
      <c r="N33" s="349">
        <f t="shared" si="1"/>
        <v>9704</v>
      </c>
      <c r="O33" s="349">
        <f t="shared" si="1"/>
        <v>9801</v>
      </c>
      <c r="P33" s="349">
        <f t="shared" si="1"/>
        <v>9899</v>
      </c>
      <c r="Q33" s="349">
        <f t="shared" si="1"/>
        <v>9998</v>
      </c>
      <c r="R33" s="349">
        <f t="shared" si="1"/>
        <v>10098</v>
      </c>
      <c r="S33" s="351"/>
      <c r="T33" s="352">
        <v>0.01</v>
      </c>
    </row>
    <row r="34" spans="1:20" x14ac:dyDescent="0.3">
      <c r="B34" s="348" t="s">
        <v>175</v>
      </c>
      <c r="C34" s="460">
        <v>0</v>
      </c>
      <c r="D34" s="460">
        <v>0</v>
      </c>
      <c r="E34" s="460">
        <v>0</v>
      </c>
      <c r="F34" s="355">
        <v>0</v>
      </c>
      <c r="G34" s="460">
        <v>0</v>
      </c>
      <c r="H34" s="349">
        <f t="shared" si="1"/>
        <v>0</v>
      </c>
      <c r="I34" s="349">
        <f t="shared" si="1"/>
        <v>0</v>
      </c>
      <c r="J34" s="350">
        <f t="shared" si="1"/>
        <v>0</v>
      </c>
      <c r="K34" s="349">
        <f t="shared" si="1"/>
        <v>0</v>
      </c>
      <c r="L34" s="349">
        <f t="shared" si="1"/>
        <v>0</v>
      </c>
      <c r="M34" s="349">
        <f t="shared" si="1"/>
        <v>0</v>
      </c>
      <c r="N34" s="349">
        <f t="shared" si="1"/>
        <v>0</v>
      </c>
      <c r="O34" s="349">
        <f t="shared" si="1"/>
        <v>0</v>
      </c>
      <c r="P34" s="349">
        <f t="shared" si="1"/>
        <v>0</v>
      </c>
      <c r="Q34" s="349">
        <f t="shared" si="1"/>
        <v>0</v>
      </c>
      <c r="R34" s="349">
        <f t="shared" si="1"/>
        <v>0</v>
      </c>
      <c r="S34" s="351"/>
      <c r="T34" s="352">
        <v>0.01</v>
      </c>
    </row>
    <row r="35" spans="1:20" s="158" customFormat="1" x14ac:dyDescent="0.3">
      <c r="A35" s="356" t="s">
        <v>79</v>
      </c>
      <c r="B35" s="187" t="s">
        <v>176</v>
      </c>
      <c r="C35" s="357">
        <f t="shared" ref="C35:I35" si="2">SUM(C7:C34)</f>
        <v>3082000</v>
      </c>
      <c r="D35" s="358">
        <f t="shared" si="2"/>
        <v>3188000</v>
      </c>
      <c r="E35" s="358">
        <f t="shared" si="2"/>
        <v>2948000</v>
      </c>
      <c r="F35" s="358">
        <f t="shared" si="2"/>
        <v>3148879</v>
      </c>
      <c r="G35" s="358">
        <f t="shared" si="2"/>
        <v>3110252</v>
      </c>
      <c r="H35" s="358">
        <f t="shared" si="2"/>
        <v>3140955</v>
      </c>
      <c r="I35" s="358">
        <f t="shared" si="2"/>
        <v>3171967</v>
      </c>
      <c r="J35" s="359">
        <f t="shared" ref="J35:R35" si="3">SUM(J7:J34)</f>
        <v>3203286</v>
      </c>
      <c r="K35" s="358">
        <f t="shared" si="3"/>
        <v>3234920</v>
      </c>
      <c r="L35" s="358">
        <f t="shared" si="3"/>
        <v>3266867</v>
      </c>
      <c r="M35" s="358">
        <f t="shared" si="3"/>
        <v>3299136</v>
      </c>
      <c r="N35" s="358">
        <f t="shared" si="3"/>
        <v>3331728</v>
      </c>
      <c r="O35" s="358">
        <f t="shared" si="3"/>
        <v>3364645</v>
      </c>
      <c r="P35" s="358">
        <f t="shared" si="3"/>
        <v>3397891</v>
      </c>
      <c r="Q35" s="358">
        <f t="shared" si="3"/>
        <v>3431469</v>
      </c>
      <c r="R35" s="358">
        <f t="shared" si="3"/>
        <v>3465383</v>
      </c>
      <c r="S35" s="351"/>
      <c r="T35" s="360"/>
    </row>
    <row r="36" spans="1:20" s="480" customFormat="1" x14ac:dyDescent="0.3">
      <c r="A36" s="475"/>
      <c r="B36" s="476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8"/>
      <c r="T36" s="479"/>
    </row>
    <row r="37" spans="1:20" x14ac:dyDescent="0.3">
      <c r="A37" s="361" t="s">
        <v>79</v>
      </c>
      <c r="B37" s="362" t="s">
        <v>177</v>
      </c>
      <c r="C37" s="363"/>
      <c r="D37" s="363"/>
    </row>
  </sheetData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ignoredErrors>
    <ignoredError sqref="H7:R34 C5:R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E9D0-694D-4E32-9168-BB720ED8C6CF}">
  <sheetPr>
    <tabColor theme="9" tint="-0.249977111117893"/>
  </sheetPr>
  <dimension ref="A1:V99"/>
  <sheetViews>
    <sheetView showGridLines="0" zoomScaleNormal="100" zoomScaleSheetLayoutView="100" workbookViewId="0"/>
  </sheetViews>
  <sheetFormatPr defaultColWidth="11.6640625" defaultRowHeight="12" x14ac:dyDescent="0.3"/>
  <cols>
    <col min="1" max="1" width="3.109375" style="152" customWidth="1"/>
    <col min="2" max="2" width="38.109375" style="370" customWidth="1"/>
    <col min="3" max="3" width="12" style="154" customWidth="1"/>
    <col min="4" max="11" width="12" style="155" customWidth="1"/>
    <col min="12" max="18" width="12" style="157" customWidth="1"/>
    <col min="19" max="16384" width="11.6640625" style="157"/>
  </cols>
  <sheetData>
    <row r="1" spans="2:22" x14ac:dyDescent="0.3">
      <c r="B1" s="364" t="s">
        <v>52</v>
      </c>
      <c r="C1" s="365"/>
      <c r="D1" s="366"/>
      <c r="E1" s="366"/>
      <c r="F1" s="366"/>
      <c r="G1" s="366"/>
      <c r="H1" s="366"/>
      <c r="I1" s="366"/>
      <c r="J1" s="366"/>
      <c r="K1" s="366"/>
    </row>
    <row r="2" spans="2:22" x14ac:dyDescent="0.3">
      <c r="B2" s="367" t="s">
        <v>178</v>
      </c>
      <c r="C2" s="368"/>
      <c r="D2" s="369"/>
      <c r="E2" s="366"/>
      <c r="F2" s="369"/>
      <c r="G2" s="369"/>
      <c r="H2" s="369"/>
      <c r="I2" s="369"/>
      <c r="J2" s="369"/>
      <c r="K2" s="369"/>
    </row>
    <row r="3" spans="2:22" x14ac:dyDescent="0.3">
      <c r="C3" s="371" t="str">
        <f>'GF Analysis'!C6</f>
        <v>FY-4</v>
      </c>
      <c r="D3" s="371" t="str">
        <f>'GF Analysis'!D6</f>
        <v>FY-3</v>
      </c>
      <c r="E3" s="371" t="str">
        <f>'GF Analysis'!E6</f>
        <v>FY-2</v>
      </c>
      <c r="F3" s="371" t="str">
        <f>'GF Analysis'!F6</f>
        <v>FY-1</v>
      </c>
      <c r="G3" s="371" t="str">
        <f>'GF Analysis'!G6</f>
        <v>FY0</v>
      </c>
      <c r="H3" s="371" t="str">
        <f>'GF Analysis'!H6</f>
        <v>FY1</v>
      </c>
      <c r="I3" s="371" t="str">
        <f>'GF Analysis'!I6</f>
        <v>FY2</v>
      </c>
      <c r="J3" s="371" t="str">
        <f>'GF Analysis'!J6</f>
        <v>FY3</v>
      </c>
      <c r="K3" s="371" t="str">
        <f>'GF Analysis'!K6</f>
        <v>FY4</v>
      </c>
      <c r="L3" s="371" t="str">
        <f>'GF Analysis'!L6</f>
        <v>FY5</v>
      </c>
      <c r="M3" s="371" t="str">
        <f>'GF Analysis'!M6</f>
        <v>FY6</v>
      </c>
      <c r="N3" s="371" t="str">
        <f>'GF Analysis'!N6</f>
        <v>FY7</v>
      </c>
      <c r="O3" s="371" t="str">
        <f>'GF Analysis'!O6</f>
        <v>FY8</v>
      </c>
      <c r="P3" s="371" t="str">
        <f>'GF Analysis'!P6</f>
        <v>FY9</v>
      </c>
      <c r="Q3" s="371" t="str">
        <f>'GF Analysis'!Q6</f>
        <v>FY10</v>
      </c>
      <c r="R3" s="371" t="str">
        <f>'GF Analysis'!R6</f>
        <v>FY11</v>
      </c>
    </row>
    <row r="4" spans="2:22" x14ac:dyDescent="0.3">
      <c r="C4" s="371" t="s">
        <v>179</v>
      </c>
      <c r="D4" s="371" t="s">
        <v>179</v>
      </c>
      <c r="E4" s="371" t="s">
        <v>179</v>
      </c>
      <c r="F4" s="347" t="s">
        <v>54</v>
      </c>
      <c r="G4" s="347" t="s">
        <v>54</v>
      </c>
      <c r="H4" s="347" t="s">
        <v>55</v>
      </c>
      <c r="I4" s="347" t="s">
        <v>55</v>
      </c>
      <c r="J4" s="347" t="s">
        <v>55</v>
      </c>
      <c r="K4" s="347" t="s">
        <v>55</v>
      </c>
      <c r="L4" s="347" t="s">
        <v>55</v>
      </c>
      <c r="M4" s="347" t="s">
        <v>55</v>
      </c>
      <c r="N4" s="347" t="s">
        <v>55</v>
      </c>
      <c r="O4" s="347" t="s">
        <v>55</v>
      </c>
      <c r="P4" s="347" t="s">
        <v>55</v>
      </c>
      <c r="Q4" s="347" t="s">
        <v>55</v>
      </c>
      <c r="R4" s="347" t="s">
        <v>55</v>
      </c>
    </row>
    <row r="5" spans="2:22" x14ac:dyDescent="0.3">
      <c r="C5" s="371"/>
      <c r="D5" s="371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</row>
    <row r="6" spans="2:22" x14ac:dyDescent="0.3">
      <c r="B6" s="372" t="s">
        <v>372</v>
      </c>
      <c r="C6" s="373">
        <f t="shared" ref="C6:R6" si="0">C26</f>
        <v>140298.86000000002</v>
      </c>
      <c r="D6" s="373">
        <f t="shared" si="0"/>
        <v>155050</v>
      </c>
      <c r="E6" s="373">
        <f t="shared" si="0"/>
        <v>155190</v>
      </c>
      <c r="F6" s="373">
        <f t="shared" si="0"/>
        <v>155510</v>
      </c>
      <c r="G6" s="373">
        <f t="shared" si="0"/>
        <v>154610</v>
      </c>
      <c r="H6" s="373">
        <f t="shared" si="0"/>
        <v>154510</v>
      </c>
      <c r="I6" s="373">
        <f t="shared" si="0"/>
        <v>176310</v>
      </c>
      <c r="J6" s="373">
        <f t="shared" si="0"/>
        <v>196268</v>
      </c>
      <c r="K6" s="373">
        <f t="shared" si="0"/>
        <v>190410</v>
      </c>
      <c r="L6" s="373">
        <f t="shared" si="0"/>
        <v>189803</v>
      </c>
      <c r="M6" s="373">
        <f t="shared" si="0"/>
        <v>149396</v>
      </c>
      <c r="N6" s="373">
        <f t="shared" si="0"/>
        <v>131528</v>
      </c>
      <c r="O6" s="373">
        <f t="shared" si="0"/>
        <v>134061</v>
      </c>
      <c r="P6" s="373">
        <f t="shared" si="0"/>
        <v>141794</v>
      </c>
      <c r="Q6" s="373">
        <f t="shared" si="0"/>
        <v>126520</v>
      </c>
      <c r="R6" s="373">
        <f t="shared" si="0"/>
        <v>22660</v>
      </c>
      <c r="S6" s="374"/>
      <c r="T6" s="374"/>
      <c r="U6" s="374"/>
      <c r="V6" s="374"/>
    </row>
    <row r="7" spans="2:22" x14ac:dyDescent="0.3">
      <c r="B7" s="375" t="s">
        <v>180</v>
      </c>
      <c r="C7" s="376">
        <f t="shared" ref="C7:R7" si="1">C50</f>
        <v>1619098</v>
      </c>
      <c r="D7" s="376">
        <f t="shared" si="1"/>
        <v>1552837</v>
      </c>
      <c r="E7" s="376">
        <f t="shared" si="1"/>
        <v>1498272.5</v>
      </c>
      <c r="F7" s="376">
        <f t="shared" si="1"/>
        <v>1227878</v>
      </c>
      <c r="G7" s="376">
        <f t="shared" si="1"/>
        <v>1005353</v>
      </c>
      <c r="H7" s="376">
        <f t="shared" si="1"/>
        <v>964578</v>
      </c>
      <c r="I7" s="376">
        <f t="shared" si="1"/>
        <v>834934</v>
      </c>
      <c r="J7" s="376">
        <f t="shared" si="1"/>
        <v>655840</v>
      </c>
      <c r="K7" s="376">
        <f t="shared" si="1"/>
        <v>960053</v>
      </c>
      <c r="L7" s="376">
        <f t="shared" si="1"/>
        <v>893146</v>
      </c>
      <c r="M7" s="376">
        <f t="shared" si="1"/>
        <v>866840</v>
      </c>
      <c r="N7" s="376">
        <f t="shared" si="1"/>
        <v>848994</v>
      </c>
      <c r="O7" s="376">
        <f t="shared" si="1"/>
        <v>831147</v>
      </c>
      <c r="P7" s="376">
        <f t="shared" si="1"/>
        <v>813301</v>
      </c>
      <c r="Q7" s="376">
        <f t="shared" si="1"/>
        <v>795455</v>
      </c>
      <c r="R7" s="376">
        <f t="shared" si="1"/>
        <v>777609</v>
      </c>
      <c r="S7" s="374"/>
      <c r="T7" s="374"/>
      <c r="U7" s="374"/>
      <c r="V7" s="374"/>
    </row>
    <row r="8" spans="2:22" ht="12.5" thickBot="1" x14ac:dyDescent="0.35">
      <c r="B8" s="377" t="s">
        <v>181</v>
      </c>
      <c r="C8" s="378">
        <f>SUM(C6:C7)</f>
        <v>1759396.86</v>
      </c>
      <c r="D8" s="378">
        <f t="shared" ref="D8:R8" si="2">SUM(D6:D7)</f>
        <v>1707887</v>
      </c>
      <c r="E8" s="378">
        <f t="shared" si="2"/>
        <v>1653462.5</v>
      </c>
      <c r="F8" s="378">
        <f t="shared" si="2"/>
        <v>1383388</v>
      </c>
      <c r="G8" s="378">
        <f t="shared" si="2"/>
        <v>1159963</v>
      </c>
      <c r="H8" s="378">
        <f t="shared" si="2"/>
        <v>1119088</v>
      </c>
      <c r="I8" s="378">
        <f t="shared" si="2"/>
        <v>1011244</v>
      </c>
      <c r="J8" s="378">
        <f t="shared" si="2"/>
        <v>852108</v>
      </c>
      <c r="K8" s="378">
        <f t="shared" si="2"/>
        <v>1150463</v>
      </c>
      <c r="L8" s="378">
        <f t="shared" si="2"/>
        <v>1082949</v>
      </c>
      <c r="M8" s="378">
        <f t="shared" si="2"/>
        <v>1016236</v>
      </c>
      <c r="N8" s="378">
        <f t="shared" si="2"/>
        <v>980522</v>
      </c>
      <c r="O8" s="378">
        <f t="shared" si="2"/>
        <v>965208</v>
      </c>
      <c r="P8" s="378">
        <f t="shared" si="2"/>
        <v>955095</v>
      </c>
      <c r="Q8" s="378">
        <f t="shared" si="2"/>
        <v>921975</v>
      </c>
      <c r="R8" s="378">
        <f t="shared" si="2"/>
        <v>800269</v>
      </c>
      <c r="S8" s="374"/>
      <c r="T8" s="374"/>
      <c r="U8" s="374"/>
      <c r="V8" s="374"/>
    </row>
    <row r="9" spans="2:22" ht="12.5" thickTop="1" x14ac:dyDescent="0.3">
      <c r="C9" s="190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374"/>
      <c r="T9" s="374"/>
      <c r="U9" s="374"/>
      <c r="V9" s="374"/>
    </row>
    <row r="10" spans="2:22" x14ac:dyDescent="0.3">
      <c r="B10" s="379" t="s">
        <v>373</v>
      </c>
      <c r="C10" s="190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374"/>
      <c r="T10" s="374"/>
      <c r="U10" s="374"/>
      <c r="V10" s="374"/>
    </row>
    <row r="11" spans="2:22" ht="13" x14ac:dyDescent="0.3">
      <c r="B11" s="380" t="s">
        <v>182</v>
      </c>
      <c r="C11" s="191">
        <v>30520.54</v>
      </c>
      <c r="D11" s="191">
        <v>40040.620000000003</v>
      </c>
      <c r="E11" s="191">
        <v>43057.279999999999</v>
      </c>
      <c r="F11" s="191">
        <v>46950.54</v>
      </c>
      <c r="G11" s="191">
        <v>50342.65</v>
      </c>
      <c r="H11" s="191">
        <v>54620.89</v>
      </c>
      <c r="I11" s="191">
        <v>58907.75</v>
      </c>
      <c r="J11" s="191">
        <v>63503.47</v>
      </c>
      <c r="K11" s="191">
        <v>68115.87</v>
      </c>
      <c r="L11" s="191">
        <v>72845.38</v>
      </c>
      <c r="M11" s="191">
        <v>77894.98</v>
      </c>
      <c r="N11" s="191">
        <v>83272.800000000003</v>
      </c>
      <c r="O11" s="191">
        <v>88787.16</v>
      </c>
      <c r="P11" s="191">
        <v>94641.53</v>
      </c>
      <c r="Q11" s="191">
        <v>100644.54</v>
      </c>
      <c r="R11" s="191">
        <v>0</v>
      </c>
      <c r="S11" s="374"/>
      <c r="T11" s="374"/>
      <c r="U11" s="374"/>
      <c r="V11" s="374"/>
    </row>
    <row r="12" spans="2:22" ht="13" x14ac:dyDescent="0.3">
      <c r="B12" s="380" t="s">
        <v>183</v>
      </c>
      <c r="C12" s="381">
        <v>45000</v>
      </c>
      <c r="D12" s="381">
        <v>45000</v>
      </c>
      <c r="E12" s="382">
        <v>45000</v>
      </c>
      <c r="F12" s="349">
        <v>45000</v>
      </c>
      <c r="G12" s="349">
        <v>45000</v>
      </c>
      <c r="H12" s="349">
        <v>45000</v>
      </c>
      <c r="I12" s="349">
        <v>45000</v>
      </c>
      <c r="J12" s="349">
        <v>45000</v>
      </c>
      <c r="K12" s="349">
        <v>40000</v>
      </c>
      <c r="L12" s="349">
        <v>40000</v>
      </c>
      <c r="M12" s="349">
        <v>0</v>
      </c>
      <c r="N12" s="349">
        <v>0</v>
      </c>
      <c r="O12" s="349">
        <v>0</v>
      </c>
      <c r="P12" s="349">
        <v>0</v>
      </c>
      <c r="Q12" s="349">
        <v>0</v>
      </c>
      <c r="R12" s="349">
        <v>0</v>
      </c>
      <c r="S12" s="374"/>
      <c r="T12" s="374"/>
      <c r="U12" s="374"/>
      <c r="V12" s="374"/>
    </row>
    <row r="13" spans="2:22" ht="13" x14ac:dyDescent="0.3">
      <c r="B13" s="380" t="s">
        <v>184</v>
      </c>
      <c r="C13" s="191">
        <v>10800</v>
      </c>
      <c r="D13" s="191">
        <v>17000</v>
      </c>
      <c r="E13" s="191">
        <v>17000</v>
      </c>
      <c r="F13" s="191">
        <v>17000</v>
      </c>
      <c r="G13" s="191">
        <v>17000</v>
      </c>
      <c r="H13" s="191">
        <v>17000</v>
      </c>
      <c r="I13" s="191">
        <v>17000</v>
      </c>
      <c r="J13" s="191">
        <v>17000</v>
      </c>
      <c r="K13" s="191">
        <v>17000</v>
      </c>
      <c r="L13" s="191">
        <v>17000</v>
      </c>
      <c r="M13" s="191">
        <v>17000</v>
      </c>
      <c r="N13" s="191">
        <v>17000</v>
      </c>
      <c r="O13" s="191">
        <v>17000</v>
      </c>
      <c r="P13" s="191">
        <v>22000</v>
      </c>
      <c r="Q13" s="191">
        <v>22000</v>
      </c>
      <c r="R13" s="191">
        <v>22000</v>
      </c>
      <c r="S13" s="374"/>
      <c r="T13" s="374"/>
      <c r="U13" s="374"/>
      <c r="V13" s="374"/>
    </row>
    <row r="14" spans="2:22" ht="13" x14ac:dyDescent="0.3">
      <c r="B14" s="380" t="s">
        <v>185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20000</v>
      </c>
      <c r="J14" s="191">
        <v>20000</v>
      </c>
      <c r="K14" s="191">
        <v>20000</v>
      </c>
      <c r="L14" s="191">
        <v>20000</v>
      </c>
      <c r="M14" s="191">
        <v>20000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374"/>
      <c r="T14" s="374"/>
      <c r="U14" s="374"/>
      <c r="V14" s="374"/>
    </row>
    <row r="15" spans="2:22" ht="13" x14ac:dyDescent="0.3">
      <c r="B15" s="380" t="s">
        <v>186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17858</v>
      </c>
      <c r="K15" s="191">
        <v>17857</v>
      </c>
      <c r="L15" s="191">
        <v>17857</v>
      </c>
      <c r="M15" s="191">
        <v>17857</v>
      </c>
      <c r="N15" s="191">
        <v>17857</v>
      </c>
      <c r="O15" s="191">
        <v>17857</v>
      </c>
      <c r="P15" s="191">
        <v>17857</v>
      </c>
      <c r="Q15" s="191">
        <v>0</v>
      </c>
      <c r="R15" s="191">
        <v>0</v>
      </c>
      <c r="S15" s="374"/>
      <c r="T15" s="374"/>
      <c r="U15" s="374"/>
      <c r="V15" s="374"/>
    </row>
    <row r="16" spans="2:22" x14ac:dyDescent="0.3">
      <c r="B16" s="372"/>
      <c r="C16" s="191">
        <v>0</v>
      </c>
      <c r="D16" s="191">
        <v>0</v>
      </c>
      <c r="E16" s="191">
        <v>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374"/>
      <c r="T16" s="374"/>
      <c r="U16" s="374"/>
      <c r="V16" s="374"/>
    </row>
    <row r="17" spans="2:22" x14ac:dyDescent="0.3">
      <c r="B17" s="383" t="s">
        <v>374</v>
      </c>
      <c r="C17" s="384">
        <f t="shared" ref="C17:R17" si="3">SUM(C11:C16)</f>
        <v>86320.540000000008</v>
      </c>
      <c r="D17" s="384">
        <f t="shared" si="3"/>
        <v>102040.62</v>
      </c>
      <c r="E17" s="384">
        <f t="shared" si="3"/>
        <v>105057.28</v>
      </c>
      <c r="F17" s="384">
        <f t="shared" si="3"/>
        <v>108950.54000000001</v>
      </c>
      <c r="G17" s="384">
        <f t="shared" si="3"/>
        <v>112342.65</v>
      </c>
      <c r="H17" s="384">
        <f t="shared" si="3"/>
        <v>116620.89</v>
      </c>
      <c r="I17" s="384">
        <f t="shared" si="3"/>
        <v>140907.75</v>
      </c>
      <c r="J17" s="384">
        <f t="shared" si="3"/>
        <v>163361.47</v>
      </c>
      <c r="K17" s="384">
        <f t="shared" si="3"/>
        <v>162972.87</v>
      </c>
      <c r="L17" s="384">
        <f t="shared" si="3"/>
        <v>167702.38</v>
      </c>
      <c r="M17" s="384">
        <f t="shared" si="3"/>
        <v>132751.97999999998</v>
      </c>
      <c r="N17" s="384">
        <f t="shared" si="3"/>
        <v>118129.8</v>
      </c>
      <c r="O17" s="384">
        <f t="shared" si="3"/>
        <v>123644.16</v>
      </c>
      <c r="P17" s="384">
        <f t="shared" si="3"/>
        <v>134498.53</v>
      </c>
      <c r="Q17" s="384">
        <f t="shared" si="3"/>
        <v>122644.54</v>
      </c>
      <c r="R17" s="384">
        <f t="shared" si="3"/>
        <v>22000</v>
      </c>
      <c r="S17" s="374"/>
      <c r="T17" s="374"/>
      <c r="U17" s="374"/>
      <c r="V17" s="374"/>
    </row>
    <row r="18" spans="2:22" x14ac:dyDescent="0.3"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374"/>
      <c r="T18" s="374"/>
      <c r="U18" s="374"/>
      <c r="V18" s="374"/>
    </row>
    <row r="19" spans="2:22" x14ac:dyDescent="0.3">
      <c r="B19" s="385" t="str">
        <f>B11</f>
        <v>Building Repairs</v>
      </c>
      <c r="C19" s="191">
        <v>24734.32</v>
      </c>
      <c r="D19" s="191">
        <v>23959.38</v>
      </c>
      <c r="E19" s="191">
        <v>22942.720000000001</v>
      </c>
      <c r="F19" s="191">
        <v>21849.46</v>
      </c>
      <c r="G19" s="191">
        <v>20657.349999999999</v>
      </c>
      <c r="H19" s="191">
        <v>19379.11</v>
      </c>
      <c r="I19" s="191">
        <v>17992.25</v>
      </c>
      <c r="J19" s="191">
        <v>16496.53</v>
      </c>
      <c r="K19" s="191">
        <v>14884.13</v>
      </c>
      <c r="L19" s="191">
        <v>13154.62</v>
      </c>
      <c r="M19" s="191">
        <v>11305.02</v>
      </c>
      <c r="N19" s="191">
        <v>9327.2000000000007</v>
      </c>
      <c r="O19" s="191">
        <v>7212.84</v>
      </c>
      <c r="P19" s="191">
        <v>4958.47</v>
      </c>
      <c r="Q19" s="191">
        <v>2555.46</v>
      </c>
      <c r="R19" s="191">
        <v>0</v>
      </c>
      <c r="S19" s="374"/>
      <c r="T19" s="374"/>
      <c r="U19" s="374"/>
      <c r="V19" s="374"/>
    </row>
    <row r="20" spans="2:22" x14ac:dyDescent="0.3">
      <c r="B20" s="385" t="str">
        <f>B12</f>
        <v>DPW Equipment</v>
      </c>
      <c r="C20" s="386">
        <v>18710</v>
      </c>
      <c r="D20" s="349">
        <v>18400</v>
      </c>
      <c r="E20" s="349">
        <v>17050</v>
      </c>
      <c r="F20" s="349">
        <v>15250</v>
      </c>
      <c r="G20" s="349">
        <f>6500*2</f>
        <v>13000</v>
      </c>
      <c r="H20" s="349">
        <f>5375*2</f>
        <v>10750</v>
      </c>
      <c r="I20" s="349">
        <f>4250*2</f>
        <v>8500</v>
      </c>
      <c r="J20" s="349">
        <f>3125*2</f>
        <v>6250</v>
      </c>
      <c r="K20" s="349">
        <f>2000*2</f>
        <v>4000</v>
      </c>
      <c r="L20" s="349">
        <f>1000*2</f>
        <v>2000</v>
      </c>
      <c r="M20" s="349">
        <v>0</v>
      </c>
      <c r="N20" s="349">
        <v>0</v>
      </c>
      <c r="O20" s="349">
        <v>0</v>
      </c>
      <c r="P20" s="349">
        <v>0</v>
      </c>
      <c r="Q20" s="349">
        <v>0</v>
      </c>
      <c r="R20" s="349">
        <v>0</v>
      </c>
      <c r="S20" s="374"/>
      <c r="T20" s="374"/>
      <c r="U20" s="374"/>
      <c r="V20" s="374"/>
    </row>
    <row r="21" spans="2:22" x14ac:dyDescent="0.3">
      <c r="B21" s="385" t="str">
        <f>B13</f>
        <v>Recreation</v>
      </c>
      <c r="C21" s="191">
        <v>10534</v>
      </c>
      <c r="D21" s="191">
        <v>10650</v>
      </c>
      <c r="E21" s="191">
        <v>10140</v>
      </c>
      <c r="F21" s="191">
        <v>9460</v>
      </c>
      <c r="G21" s="191">
        <f>4305*2</f>
        <v>8610</v>
      </c>
      <c r="H21" s="191">
        <f>3880*2</f>
        <v>7760</v>
      </c>
      <c r="I21" s="191">
        <f>3455*2</f>
        <v>6910</v>
      </c>
      <c r="J21" s="191">
        <f>3030*2</f>
        <v>6060</v>
      </c>
      <c r="K21" s="191">
        <f>2605*2</f>
        <v>5210</v>
      </c>
      <c r="L21" s="191">
        <f>2180*2</f>
        <v>4360</v>
      </c>
      <c r="M21" s="191">
        <f>1755*2</f>
        <v>3510</v>
      </c>
      <c r="N21" s="191">
        <f>3000</f>
        <v>3000</v>
      </c>
      <c r="O21" s="191">
        <f>1245*2</f>
        <v>2490</v>
      </c>
      <c r="P21" s="191">
        <f>990*2</f>
        <v>1980</v>
      </c>
      <c r="Q21" s="191">
        <f>660*2</f>
        <v>1320</v>
      </c>
      <c r="R21" s="191">
        <v>660</v>
      </c>
      <c r="S21" s="374"/>
      <c r="T21" s="374"/>
      <c r="U21" s="374"/>
      <c r="V21" s="374"/>
    </row>
    <row r="22" spans="2:22" x14ac:dyDescent="0.3">
      <c r="B22" s="385" t="str">
        <f t="shared" ref="B22:B24" si="4">B14</f>
        <v>Police Equipment</v>
      </c>
      <c r="C22" s="191">
        <v>0</v>
      </c>
      <c r="D22" s="191">
        <v>0</v>
      </c>
      <c r="E22" s="191">
        <v>0</v>
      </c>
      <c r="F22" s="191">
        <v>0</v>
      </c>
      <c r="G22" s="191">
        <v>0</v>
      </c>
      <c r="H22" s="191">
        <v>0</v>
      </c>
      <c r="I22" s="191">
        <v>2000</v>
      </c>
      <c r="J22" s="191">
        <v>1600</v>
      </c>
      <c r="K22" s="191">
        <v>1200</v>
      </c>
      <c r="L22" s="191">
        <v>800</v>
      </c>
      <c r="M22" s="191">
        <v>400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374"/>
      <c r="T22" s="374"/>
      <c r="U22" s="374"/>
      <c r="V22" s="374"/>
    </row>
    <row r="23" spans="2:22" x14ac:dyDescent="0.3">
      <c r="B23" s="385" t="str">
        <f t="shared" si="4"/>
        <v>DPW Truck and Plow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2500</v>
      </c>
      <c r="K23" s="191">
        <v>2143</v>
      </c>
      <c r="L23" s="191">
        <v>1786</v>
      </c>
      <c r="M23" s="191">
        <v>1429</v>
      </c>
      <c r="N23" s="191">
        <v>1071</v>
      </c>
      <c r="O23" s="191">
        <v>714</v>
      </c>
      <c r="P23" s="191">
        <v>357</v>
      </c>
      <c r="Q23" s="191">
        <v>0</v>
      </c>
      <c r="R23" s="191">
        <v>0</v>
      </c>
      <c r="S23" s="374"/>
      <c r="T23" s="374"/>
      <c r="U23" s="374"/>
      <c r="V23" s="374"/>
    </row>
    <row r="24" spans="2:22" x14ac:dyDescent="0.3">
      <c r="B24" s="385">
        <f t="shared" si="4"/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374"/>
      <c r="T24" s="374"/>
      <c r="U24" s="374"/>
      <c r="V24" s="374"/>
    </row>
    <row r="25" spans="2:22" x14ac:dyDescent="0.3">
      <c r="B25" s="387" t="s">
        <v>375</v>
      </c>
      <c r="C25" s="384">
        <f t="shared" ref="C25:R25" si="5">SUM(C19:C24)</f>
        <v>53978.32</v>
      </c>
      <c r="D25" s="384">
        <f t="shared" si="5"/>
        <v>53009.380000000005</v>
      </c>
      <c r="E25" s="384">
        <f t="shared" si="5"/>
        <v>50132.72</v>
      </c>
      <c r="F25" s="384">
        <f t="shared" si="5"/>
        <v>46559.46</v>
      </c>
      <c r="G25" s="384">
        <f t="shared" si="5"/>
        <v>42267.35</v>
      </c>
      <c r="H25" s="384">
        <f t="shared" si="5"/>
        <v>37889.11</v>
      </c>
      <c r="I25" s="384">
        <f t="shared" si="5"/>
        <v>35402.25</v>
      </c>
      <c r="J25" s="384">
        <f t="shared" si="5"/>
        <v>32906.53</v>
      </c>
      <c r="K25" s="384">
        <f t="shared" si="5"/>
        <v>27437.129999999997</v>
      </c>
      <c r="L25" s="384">
        <f t="shared" si="5"/>
        <v>22100.620000000003</v>
      </c>
      <c r="M25" s="384">
        <f t="shared" si="5"/>
        <v>16644.02</v>
      </c>
      <c r="N25" s="384">
        <f t="shared" si="5"/>
        <v>13398.2</v>
      </c>
      <c r="O25" s="384">
        <f t="shared" si="5"/>
        <v>10416.84</v>
      </c>
      <c r="P25" s="384">
        <f t="shared" si="5"/>
        <v>7295.47</v>
      </c>
      <c r="Q25" s="384">
        <f t="shared" si="5"/>
        <v>3875.46</v>
      </c>
      <c r="R25" s="384">
        <f t="shared" si="5"/>
        <v>660</v>
      </c>
      <c r="S25" s="374"/>
      <c r="T25" s="374"/>
      <c r="U25" s="374"/>
      <c r="V25" s="374"/>
    </row>
    <row r="26" spans="2:22" ht="12.5" thickBot="1" x14ac:dyDescent="0.35">
      <c r="B26" s="388" t="s">
        <v>376</v>
      </c>
      <c r="C26" s="389">
        <f>C17+C25</f>
        <v>140298.86000000002</v>
      </c>
      <c r="D26" s="389">
        <f>D17+D25</f>
        <v>155050</v>
      </c>
      <c r="E26" s="389">
        <f>E17+E25</f>
        <v>155190</v>
      </c>
      <c r="F26" s="389">
        <f>ROUND((F17+F25),0)</f>
        <v>155510</v>
      </c>
      <c r="G26" s="389">
        <f t="shared" ref="G26:R26" si="6">ROUND((G17+G25),0)</f>
        <v>154610</v>
      </c>
      <c r="H26" s="389">
        <f t="shared" si="6"/>
        <v>154510</v>
      </c>
      <c r="I26" s="389">
        <f t="shared" si="6"/>
        <v>176310</v>
      </c>
      <c r="J26" s="389">
        <f t="shared" si="6"/>
        <v>196268</v>
      </c>
      <c r="K26" s="389">
        <f t="shared" si="6"/>
        <v>190410</v>
      </c>
      <c r="L26" s="389">
        <f t="shared" si="6"/>
        <v>189803</v>
      </c>
      <c r="M26" s="389">
        <f t="shared" si="6"/>
        <v>149396</v>
      </c>
      <c r="N26" s="389">
        <f t="shared" si="6"/>
        <v>131528</v>
      </c>
      <c r="O26" s="389">
        <f t="shared" si="6"/>
        <v>134061</v>
      </c>
      <c r="P26" s="389">
        <f t="shared" si="6"/>
        <v>141794</v>
      </c>
      <c r="Q26" s="389">
        <f t="shared" si="6"/>
        <v>126520</v>
      </c>
      <c r="R26" s="389">
        <f t="shared" si="6"/>
        <v>22660</v>
      </c>
      <c r="S26" s="374"/>
      <c r="T26" s="374"/>
      <c r="U26" s="374"/>
      <c r="V26" s="374"/>
    </row>
    <row r="27" spans="2:22" ht="12.5" thickTop="1" x14ac:dyDescent="0.3">
      <c r="C27" s="190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374"/>
      <c r="T27" s="374"/>
      <c r="U27" s="374"/>
      <c r="V27" s="374"/>
    </row>
    <row r="28" spans="2:22" x14ac:dyDescent="0.3">
      <c r="B28" s="385" t="s">
        <v>187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374"/>
      <c r="T28" s="374"/>
      <c r="U28" s="374"/>
      <c r="V28" s="374"/>
    </row>
    <row r="29" spans="2:22" x14ac:dyDescent="0.3">
      <c r="B29" s="390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74"/>
      <c r="T29" s="374"/>
      <c r="U29" s="374"/>
      <c r="V29" s="374"/>
    </row>
    <row r="30" spans="2:22" x14ac:dyDescent="0.3">
      <c r="B30" s="379" t="s">
        <v>29</v>
      </c>
      <c r="C30" s="190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374"/>
      <c r="T30" s="374"/>
      <c r="U30" s="374"/>
      <c r="V30" s="374"/>
    </row>
    <row r="31" spans="2:22" ht="13" x14ac:dyDescent="0.3">
      <c r="B31" s="380" t="s">
        <v>188</v>
      </c>
      <c r="C31" s="381">
        <v>160000</v>
      </c>
      <c r="D31" s="381">
        <v>160000</v>
      </c>
      <c r="E31" s="382">
        <v>160000</v>
      </c>
      <c r="F31" s="349">
        <v>155000</v>
      </c>
      <c r="G31" s="349">
        <v>155000</v>
      </c>
      <c r="H31" s="349">
        <v>155000</v>
      </c>
      <c r="I31" s="349">
        <v>155000</v>
      </c>
      <c r="J31" s="349">
        <v>0</v>
      </c>
      <c r="K31" s="349">
        <v>0</v>
      </c>
      <c r="L31" s="349">
        <v>0</v>
      </c>
      <c r="M31" s="349">
        <v>0</v>
      </c>
      <c r="N31" s="349">
        <v>0</v>
      </c>
      <c r="O31" s="349">
        <v>0</v>
      </c>
      <c r="P31" s="349">
        <v>0</v>
      </c>
      <c r="Q31" s="349">
        <v>0</v>
      </c>
      <c r="R31" s="349">
        <v>0</v>
      </c>
      <c r="S31" s="374"/>
      <c r="T31" s="374"/>
      <c r="U31" s="374"/>
      <c r="V31" s="374"/>
    </row>
    <row r="32" spans="2:22" x14ac:dyDescent="0.3">
      <c r="B32" s="375" t="s">
        <v>189</v>
      </c>
      <c r="C32" s="381">
        <v>45000</v>
      </c>
      <c r="D32" s="381">
        <v>45000</v>
      </c>
      <c r="E32" s="382">
        <v>45000</v>
      </c>
      <c r="F32" s="349">
        <v>45000</v>
      </c>
      <c r="G32" s="349">
        <v>45000</v>
      </c>
      <c r="H32" s="349">
        <v>40000</v>
      </c>
      <c r="I32" s="349">
        <v>40000</v>
      </c>
      <c r="J32" s="349">
        <v>40000</v>
      </c>
      <c r="K32" s="349">
        <v>40000</v>
      </c>
      <c r="L32" s="349">
        <v>0</v>
      </c>
      <c r="M32" s="349">
        <v>0</v>
      </c>
      <c r="N32" s="349">
        <v>0</v>
      </c>
      <c r="O32" s="349">
        <v>0</v>
      </c>
      <c r="P32" s="349">
        <v>0</v>
      </c>
      <c r="Q32" s="349">
        <v>0</v>
      </c>
      <c r="R32" s="349">
        <v>0</v>
      </c>
      <c r="S32" s="374"/>
      <c r="T32" s="374"/>
      <c r="U32" s="374"/>
      <c r="V32" s="374"/>
    </row>
    <row r="33" spans="1:22" x14ac:dyDescent="0.3">
      <c r="B33" s="375" t="s">
        <v>190</v>
      </c>
      <c r="C33" s="381">
        <v>450000</v>
      </c>
      <c r="D33" s="381">
        <v>435000</v>
      </c>
      <c r="E33" s="382">
        <v>420000</v>
      </c>
      <c r="F33" s="349">
        <v>190000</v>
      </c>
      <c r="G33" s="349">
        <v>0</v>
      </c>
      <c r="H33" s="349">
        <v>0</v>
      </c>
      <c r="I33" s="349">
        <v>0</v>
      </c>
      <c r="J33" s="349">
        <v>0</v>
      </c>
      <c r="K33" s="349">
        <v>0</v>
      </c>
      <c r="L33" s="349">
        <v>0</v>
      </c>
      <c r="M33" s="349">
        <v>0</v>
      </c>
      <c r="N33" s="349">
        <v>0</v>
      </c>
      <c r="O33" s="349">
        <v>0</v>
      </c>
      <c r="P33" s="349">
        <v>0</v>
      </c>
      <c r="Q33" s="349">
        <v>0</v>
      </c>
      <c r="R33" s="349">
        <v>0</v>
      </c>
      <c r="S33" s="374"/>
      <c r="T33" s="374"/>
      <c r="U33" s="374"/>
      <c r="V33" s="374"/>
    </row>
    <row r="34" spans="1:22" x14ac:dyDescent="0.3">
      <c r="B34" s="375" t="s">
        <v>191</v>
      </c>
      <c r="C34" s="381">
        <v>345000</v>
      </c>
      <c r="D34" s="381">
        <v>343000</v>
      </c>
      <c r="E34" s="382">
        <v>338000</v>
      </c>
      <c r="F34" s="173">
        <v>338000</v>
      </c>
      <c r="G34" s="349">
        <v>338000</v>
      </c>
      <c r="H34" s="349">
        <v>338000</v>
      </c>
      <c r="I34" s="349">
        <v>338000</v>
      </c>
      <c r="J34" s="349">
        <v>338000</v>
      </c>
      <c r="K34" s="349">
        <v>338000</v>
      </c>
      <c r="L34" s="349">
        <v>338000</v>
      </c>
      <c r="M34" s="349">
        <v>338000</v>
      </c>
      <c r="N34" s="349">
        <v>338000</v>
      </c>
      <c r="O34" s="349">
        <v>338000</v>
      </c>
      <c r="P34" s="349">
        <v>338000</v>
      </c>
      <c r="Q34" s="349">
        <v>338000</v>
      </c>
      <c r="R34" s="349">
        <v>338000</v>
      </c>
      <c r="S34" s="374"/>
      <c r="T34" s="374"/>
      <c r="U34" s="374"/>
      <c r="V34" s="374"/>
    </row>
    <row r="35" spans="1:22" x14ac:dyDescent="0.3">
      <c r="B35" s="375" t="s">
        <v>192</v>
      </c>
      <c r="C35" s="381">
        <v>89000</v>
      </c>
      <c r="D35" s="381">
        <v>90000</v>
      </c>
      <c r="E35" s="382">
        <v>90000</v>
      </c>
      <c r="F35" s="349">
        <v>90000</v>
      </c>
      <c r="G35" s="349">
        <v>90000</v>
      </c>
      <c r="H35" s="349">
        <v>85000</v>
      </c>
      <c r="I35" s="349">
        <v>85000</v>
      </c>
      <c r="J35" s="349">
        <v>85000</v>
      </c>
      <c r="K35" s="349">
        <v>85000</v>
      </c>
      <c r="L35" s="349">
        <v>85000</v>
      </c>
      <c r="M35" s="349">
        <v>85000</v>
      </c>
      <c r="N35" s="349">
        <v>85000</v>
      </c>
      <c r="O35" s="349">
        <v>85000</v>
      </c>
      <c r="P35" s="349">
        <v>85000</v>
      </c>
      <c r="Q35" s="349">
        <v>85000</v>
      </c>
      <c r="R35" s="349">
        <v>85000</v>
      </c>
      <c r="S35" s="374"/>
      <c r="T35" s="374"/>
      <c r="U35" s="374"/>
      <c r="V35" s="374"/>
    </row>
    <row r="36" spans="1:22" x14ac:dyDescent="0.3">
      <c r="B36" s="375" t="s">
        <v>193</v>
      </c>
      <c r="C36" s="381">
        <v>127000</v>
      </c>
      <c r="D36" s="381">
        <v>100000</v>
      </c>
      <c r="E36" s="382">
        <v>100000</v>
      </c>
      <c r="F36" s="349">
        <v>100000</v>
      </c>
      <c r="G36" s="349">
        <v>100000</v>
      </c>
      <c r="H36" s="349">
        <v>100000</v>
      </c>
      <c r="I36" s="349">
        <v>0</v>
      </c>
      <c r="J36" s="349">
        <v>0</v>
      </c>
      <c r="K36" s="349">
        <v>0</v>
      </c>
      <c r="L36" s="349">
        <v>0</v>
      </c>
      <c r="M36" s="349">
        <v>0</v>
      </c>
      <c r="N36" s="349">
        <v>0</v>
      </c>
      <c r="O36" s="349">
        <v>0</v>
      </c>
      <c r="P36" s="349">
        <v>0</v>
      </c>
      <c r="Q36" s="349">
        <v>0</v>
      </c>
      <c r="R36" s="349">
        <v>0</v>
      </c>
      <c r="S36" s="374"/>
      <c r="T36" s="374"/>
      <c r="U36" s="374"/>
      <c r="V36" s="374"/>
    </row>
    <row r="37" spans="1:22" x14ac:dyDescent="0.3">
      <c r="B37" s="375" t="s">
        <v>194</v>
      </c>
      <c r="C37" s="381">
        <v>0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349">
        <v>0</v>
      </c>
      <c r="K37" s="349">
        <v>275000</v>
      </c>
      <c r="L37" s="349">
        <v>275000</v>
      </c>
      <c r="M37" s="349">
        <v>275000</v>
      </c>
      <c r="N37" s="349">
        <v>275000</v>
      </c>
      <c r="O37" s="349">
        <v>275000</v>
      </c>
      <c r="P37" s="349">
        <v>275000</v>
      </c>
      <c r="Q37" s="349">
        <v>275000</v>
      </c>
      <c r="R37" s="349">
        <v>275000</v>
      </c>
      <c r="S37" s="374"/>
      <c r="T37" s="374"/>
      <c r="U37" s="374"/>
      <c r="V37" s="374"/>
    </row>
    <row r="38" spans="1:22" x14ac:dyDescent="0.3">
      <c r="B38" s="375"/>
      <c r="C38" s="381">
        <v>0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349">
        <v>0</v>
      </c>
      <c r="K38" s="349">
        <v>0</v>
      </c>
      <c r="L38" s="349">
        <v>0</v>
      </c>
      <c r="M38" s="349">
        <v>0</v>
      </c>
      <c r="N38" s="349">
        <v>0</v>
      </c>
      <c r="O38" s="349">
        <v>0</v>
      </c>
      <c r="P38" s="349">
        <v>0</v>
      </c>
      <c r="Q38" s="349">
        <v>0</v>
      </c>
      <c r="R38" s="349">
        <v>0</v>
      </c>
      <c r="S38" s="374"/>
      <c r="T38" s="374"/>
      <c r="U38" s="374"/>
      <c r="V38" s="374"/>
    </row>
    <row r="39" spans="1:22" x14ac:dyDescent="0.3">
      <c r="B39" s="383" t="s">
        <v>195</v>
      </c>
      <c r="C39" s="392">
        <f t="shared" ref="C39:R39" si="7">SUM(C31:C38)</f>
        <v>1216000</v>
      </c>
      <c r="D39" s="392">
        <f t="shared" si="7"/>
        <v>1173000</v>
      </c>
      <c r="E39" s="392">
        <f t="shared" si="7"/>
        <v>1153000</v>
      </c>
      <c r="F39" s="392">
        <f t="shared" si="7"/>
        <v>918000</v>
      </c>
      <c r="G39" s="392">
        <f t="shared" si="7"/>
        <v>728000</v>
      </c>
      <c r="H39" s="392">
        <f t="shared" si="7"/>
        <v>718000</v>
      </c>
      <c r="I39" s="392">
        <f t="shared" si="7"/>
        <v>618000</v>
      </c>
      <c r="J39" s="392">
        <f t="shared" si="7"/>
        <v>463000</v>
      </c>
      <c r="K39" s="392">
        <f t="shared" si="7"/>
        <v>738000</v>
      </c>
      <c r="L39" s="392">
        <f t="shared" si="7"/>
        <v>698000</v>
      </c>
      <c r="M39" s="392">
        <f t="shared" si="7"/>
        <v>698000</v>
      </c>
      <c r="N39" s="392">
        <f t="shared" si="7"/>
        <v>698000</v>
      </c>
      <c r="O39" s="392">
        <f t="shared" si="7"/>
        <v>698000</v>
      </c>
      <c r="P39" s="392">
        <f t="shared" si="7"/>
        <v>698000</v>
      </c>
      <c r="Q39" s="392">
        <f t="shared" si="7"/>
        <v>698000</v>
      </c>
      <c r="R39" s="392">
        <f t="shared" si="7"/>
        <v>698000</v>
      </c>
      <c r="S39" s="374"/>
      <c r="T39" s="374"/>
      <c r="U39" s="374"/>
      <c r="V39" s="374"/>
    </row>
    <row r="40" spans="1:22" x14ac:dyDescent="0.3">
      <c r="C40" s="190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374"/>
      <c r="T40" s="374"/>
      <c r="U40" s="374"/>
      <c r="V40" s="374"/>
    </row>
    <row r="41" spans="1:22" x14ac:dyDescent="0.3">
      <c r="B41" s="375" t="str">
        <f>+B31</f>
        <v>School Building Repair</v>
      </c>
      <c r="C41" s="386">
        <v>23987</v>
      </c>
      <c r="D41" s="349">
        <v>19987</v>
      </c>
      <c r="E41" s="349">
        <v>15187.5</v>
      </c>
      <c r="F41" s="349">
        <v>11237.5</v>
      </c>
      <c r="G41" s="349">
        <f>4843.75+3293.75</f>
        <v>8137.5</v>
      </c>
      <c r="H41" s="349">
        <f>3293.75+1743.75</f>
        <v>5037.5</v>
      </c>
      <c r="I41" s="349">
        <v>1743.75</v>
      </c>
      <c r="J41" s="349">
        <v>0</v>
      </c>
      <c r="K41" s="349">
        <v>0</v>
      </c>
      <c r="L41" s="349">
        <v>0</v>
      </c>
      <c r="M41" s="349">
        <v>0</v>
      </c>
      <c r="N41" s="349">
        <v>0</v>
      </c>
      <c r="O41" s="349">
        <v>0</v>
      </c>
      <c r="P41" s="349">
        <v>0</v>
      </c>
      <c r="Q41" s="349">
        <v>0</v>
      </c>
      <c r="R41" s="349">
        <v>0</v>
      </c>
      <c r="S41" s="374"/>
      <c r="T41" s="374"/>
      <c r="U41" s="374"/>
      <c r="V41" s="374"/>
    </row>
    <row r="42" spans="1:22" x14ac:dyDescent="0.3">
      <c r="A42" s="393"/>
      <c r="B42" s="375" t="str">
        <f>+B32</f>
        <v>Municipal Building Windows</v>
      </c>
      <c r="C42" s="191">
        <v>9750</v>
      </c>
      <c r="D42" s="349">
        <v>8850</v>
      </c>
      <c r="E42" s="349">
        <v>7725</v>
      </c>
      <c r="F42" s="349">
        <v>6600</v>
      </c>
      <c r="G42" s="349">
        <f>3075+2400</f>
        <v>5475</v>
      </c>
      <c r="H42" s="349">
        <f>2400+1800</f>
        <v>4200</v>
      </c>
      <c r="I42" s="349">
        <f>1800+1200</f>
        <v>3000</v>
      </c>
      <c r="J42" s="349">
        <f>1200+600</f>
        <v>1800</v>
      </c>
      <c r="K42" s="349">
        <v>600</v>
      </c>
      <c r="L42" s="349">
        <v>0</v>
      </c>
      <c r="M42" s="349">
        <v>0</v>
      </c>
      <c r="N42" s="349">
        <v>0</v>
      </c>
      <c r="O42" s="349">
        <v>0</v>
      </c>
      <c r="P42" s="349">
        <v>0</v>
      </c>
      <c r="Q42" s="349">
        <v>0</v>
      </c>
      <c r="R42" s="349">
        <v>0</v>
      </c>
      <c r="S42" s="374"/>
      <c r="T42" s="374"/>
      <c r="U42" s="374"/>
      <c r="V42" s="374"/>
    </row>
    <row r="43" spans="1:22" x14ac:dyDescent="0.3">
      <c r="B43" s="375" t="str">
        <f>+B33</f>
        <v>Fire Equipment</v>
      </c>
      <c r="C43" s="191">
        <v>29600</v>
      </c>
      <c r="D43" s="349">
        <v>20750</v>
      </c>
      <c r="E43" s="349">
        <v>10100</v>
      </c>
      <c r="F43" s="349">
        <v>1900</v>
      </c>
      <c r="G43" s="349">
        <v>0</v>
      </c>
      <c r="H43" s="349">
        <v>0</v>
      </c>
      <c r="I43" s="349">
        <v>0</v>
      </c>
      <c r="J43" s="349">
        <v>0</v>
      </c>
      <c r="K43" s="349">
        <v>0</v>
      </c>
      <c r="L43" s="349">
        <v>0</v>
      </c>
      <c r="M43" s="349">
        <v>0</v>
      </c>
      <c r="N43" s="349">
        <v>0</v>
      </c>
      <c r="O43" s="349">
        <v>0</v>
      </c>
      <c r="P43" s="349">
        <v>0</v>
      </c>
      <c r="Q43" s="349">
        <v>0</v>
      </c>
      <c r="R43" s="349">
        <v>0</v>
      </c>
      <c r="S43" s="374"/>
      <c r="T43" s="374"/>
      <c r="U43" s="374"/>
      <c r="V43" s="374"/>
    </row>
    <row r="44" spans="1:22" x14ac:dyDescent="0.3">
      <c r="B44" s="375" t="str">
        <f>+B34</f>
        <v>Land Purchase</v>
      </c>
      <c r="C44" s="191">
        <v>243221</v>
      </c>
      <c r="D44" s="349">
        <v>243988</v>
      </c>
      <c r="E44" s="349">
        <v>233697.5</v>
      </c>
      <c r="F44" s="349">
        <v>220177.5</v>
      </c>
      <c r="G44" s="349">
        <f>101638.75*2</f>
        <v>203277.5</v>
      </c>
      <c r="H44" s="349">
        <f>93188.75*2</f>
        <v>186377.5</v>
      </c>
      <c r="I44" s="349">
        <f>84738.75*2</f>
        <v>169477.5</v>
      </c>
      <c r="J44" s="349">
        <f>76288.75*2</f>
        <v>152577.5</v>
      </c>
      <c r="K44" s="349">
        <f>67838.75*2</f>
        <v>135677.5</v>
      </c>
      <c r="L44" s="349">
        <f>59388.75*2</f>
        <v>118777.5</v>
      </c>
      <c r="M44" s="349">
        <f>50938.75*2</f>
        <v>101877.5</v>
      </c>
      <c r="N44" s="349">
        <f>45868.75*2</f>
        <v>91737.5</v>
      </c>
      <c r="O44" s="349">
        <f>40798.75*2</f>
        <v>81597.5</v>
      </c>
      <c r="P44" s="349">
        <f>35728.75*2</f>
        <v>71457.5</v>
      </c>
      <c r="Q44" s="349">
        <f>30658.75*2</f>
        <v>61317.5</v>
      </c>
      <c r="R44" s="349">
        <f>25588.75*2</f>
        <v>51177.5</v>
      </c>
      <c r="S44" s="374"/>
      <c r="T44" s="374"/>
      <c r="U44" s="374"/>
      <c r="V44" s="374"/>
    </row>
    <row r="45" spans="1:22" x14ac:dyDescent="0.3">
      <c r="A45" s="393"/>
      <c r="B45" s="375" t="str">
        <f>+B35</f>
        <v>Water Project</v>
      </c>
      <c r="C45" s="191">
        <v>62086</v>
      </c>
      <c r="D45" s="349">
        <v>62262</v>
      </c>
      <c r="E45" s="349">
        <v>59562.5</v>
      </c>
      <c r="F45" s="349">
        <v>55962.5</v>
      </c>
      <c r="G45" s="349">
        <f>25731.25*2</f>
        <v>51462.5</v>
      </c>
      <c r="H45" s="349">
        <f>23481.25*2</f>
        <v>46962.5</v>
      </c>
      <c r="I45" s="349">
        <f>21356.25*2</f>
        <v>42712.5</v>
      </c>
      <c r="J45" s="349">
        <f>19231.25*2</f>
        <v>38462.5</v>
      </c>
      <c r="K45" s="349">
        <f>17106.25*2</f>
        <v>34212.5</v>
      </c>
      <c r="L45" s="349">
        <f>14981.25*2</f>
        <v>29962.5</v>
      </c>
      <c r="M45" s="349">
        <f>12856.25*2</f>
        <v>25712.5</v>
      </c>
      <c r="N45" s="349">
        <f>11581.25*2</f>
        <v>23162.5</v>
      </c>
      <c r="O45" s="349">
        <f>10306.25*2</f>
        <v>20612.5</v>
      </c>
      <c r="P45" s="349">
        <f>9031.25*2</f>
        <v>18062.5</v>
      </c>
      <c r="Q45" s="349">
        <f>7756.25*2</f>
        <v>15512.5</v>
      </c>
      <c r="R45" s="349">
        <f>6481.25*2</f>
        <v>12962.5</v>
      </c>
      <c r="S45" s="374"/>
      <c r="T45" s="374"/>
      <c r="U45" s="374"/>
      <c r="V45" s="374"/>
    </row>
    <row r="46" spans="1:22" x14ac:dyDescent="0.3">
      <c r="B46" s="375" t="str">
        <f t="shared" ref="B46:B48" si="8">+B36</f>
        <v>Public Safety Building</v>
      </c>
      <c r="C46" s="191">
        <v>34454</v>
      </c>
      <c r="D46" s="349">
        <v>24000</v>
      </c>
      <c r="E46" s="349">
        <v>19000</v>
      </c>
      <c r="F46" s="349">
        <v>14000</v>
      </c>
      <c r="G46" s="349">
        <f>4500*2</f>
        <v>9000</v>
      </c>
      <c r="H46" s="349">
        <f>2000*2</f>
        <v>4000</v>
      </c>
      <c r="I46" s="349">
        <v>0</v>
      </c>
      <c r="J46" s="349">
        <v>0</v>
      </c>
      <c r="K46" s="349">
        <v>0</v>
      </c>
      <c r="L46" s="349">
        <v>0</v>
      </c>
      <c r="M46" s="349">
        <v>0</v>
      </c>
      <c r="N46" s="349">
        <v>0</v>
      </c>
      <c r="O46" s="349">
        <v>0</v>
      </c>
      <c r="P46" s="349">
        <v>0</v>
      </c>
      <c r="Q46" s="349">
        <v>0</v>
      </c>
      <c r="R46" s="349">
        <v>0</v>
      </c>
      <c r="S46" s="374"/>
      <c r="T46" s="374"/>
      <c r="U46" s="374"/>
      <c r="V46" s="374"/>
    </row>
    <row r="47" spans="1:22" x14ac:dyDescent="0.3">
      <c r="B47" s="375" t="str">
        <f t="shared" si="8"/>
        <v>Main Street Road Resurface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349">
        <v>0</v>
      </c>
      <c r="J47" s="349">
        <v>0</v>
      </c>
      <c r="K47" s="349">
        <v>51563</v>
      </c>
      <c r="L47" s="349">
        <v>46406</v>
      </c>
      <c r="M47" s="349">
        <v>41250</v>
      </c>
      <c r="N47" s="349">
        <v>36094</v>
      </c>
      <c r="O47" s="349">
        <v>30937</v>
      </c>
      <c r="P47" s="349">
        <v>25781</v>
      </c>
      <c r="Q47" s="349">
        <v>20625</v>
      </c>
      <c r="R47" s="349">
        <v>15469</v>
      </c>
      <c r="S47" s="374"/>
      <c r="T47" s="374"/>
      <c r="U47" s="374"/>
      <c r="V47" s="374"/>
    </row>
    <row r="48" spans="1:22" x14ac:dyDescent="0.3">
      <c r="B48" s="375">
        <f t="shared" si="8"/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349">
        <v>0</v>
      </c>
      <c r="J48" s="349">
        <v>0</v>
      </c>
      <c r="K48" s="349">
        <v>0</v>
      </c>
      <c r="L48" s="349">
        <v>0</v>
      </c>
      <c r="M48" s="349">
        <v>0</v>
      </c>
      <c r="N48" s="349">
        <v>0</v>
      </c>
      <c r="O48" s="349">
        <v>0</v>
      </c>
      <c r="P48" s="349">
        <v>0</v>
      </c>
      <c r="Q48" s="349">
        <v>0</v>
      </c>
      <c r="R48" s="349">
        <v>0</v>
      </c>
      <c r="S48" s="374"/>
      <c r="T48" s="374"/>
      <c r="U48" s="374"/>
      <c r="V48" s="374"/>
    </row>
    <row r="49" spans="2:22" x14ac:dyDescent="0.3">
      <c r="B49" s="387" t="s">
        <v>196</v>
      </c>
      <c r="C49" s="392">
        <f t="shared" ref="C49:L49" si="9">SUM(C41:C48)</f>
        <v>403098</v>
      </c>
      <c r="D49" s="392">
        <f t="shared" si="9"/>
        <v>379837</v>
      </c>
      <c r="E49" s="392">
        <f t="shared" si="9"/>
        <v>345272.5</v>
      </c>
      <c r="F49" s="392">
        <f t="shared" si="9"/>
        <v>309877.5</v>
      </c>
      <c r="G49" s="392">
        <f t="shared" si="9"/>
        <v>277352.5</v>
      </c>
      <c r="H49" s="392">
        <f t="shared" si="9"/>
        <v>246577.5</v>
      </c>
      <c r="I49" s="392">
        <f t="shared" si="9"/>
        <v>216933.75</v>
      </c>
      <c r="J49" s="392">
        <f t="shared" si="9"/>
        <v>192840</v>
      </c>
      <c r="K49" s="392">
        <f t="shared" si="9"/>
        <v>222053</v>
      </c>
      <c r="L49" s="392">
        <f t="shared" si="9"/>
        <v>195146</v>
      </c>
      <c r="M49" s="392">
        <f t="shared" ref="M49:R49" si="10">SUM(M41:M48)</f>
        <v>168840</v>
      </c>
      <c r="N49" s="392">
        <f t="shared" si="10"/>
        <v>150994</v>
      </c>
      <c r="O49" s="392">
        <f t="shared" si="10"/>
        <v>133147</v>
      </c>
      <c r="P49" s="392">
        <f t="shared" si="10"/>
        <v>115301</v>
      </c>
      <c r="Q49" s="392">
        <f t="shared" si="10"/>
        <v>97455</v>
      </c>
      <c r="R49" s="392">
        <f t="shared" si="10"/>
        <v>79609</v>
      </c>
      <c r="S49" s="374"/>
      <c r="T49" s="374"/>
      <c r="U49" s="374"/>
      <c r="V49" s="374"/>
    </row>
    <row r="50" spans="2:22" ht="12.5" thickBot="1" x14ac:dyDescent="0.35">
      <c r="B50" s="388" t="s">
        <v>197</v>
      </c>
      <c r="C50" s="394">
        <f>C39+C49</f>
        <v>1619098</v>
      </c>
      <c r="D50" s="394">
        <f>D39+D49</f>
        <v>1552837</v>
      </c>
      <c r="E50" s="394">
        <f>E39+E49</f>
        <v>1498272.5</v>
      </c>
      <c r="F50" s="394">
        <f>ROUND((F39+F49),0)</f>
        <v>1227878</v>
      </c>
      <c r="G50" s="394">
        <f t="shared" ref="G50:R50" si="11">ROUND((G39+G49),0)</f>
        <v>1005353</v>
      </c>
      <c r="H50" s="394">
        <f t="shared" si="11"/>
        <v>964578</v>
      </c>
      <c r="I50" s="394">
        <f t="shared" si="11"/>
        <v>834934</v>
      </c>
      <c r="J50" s="394">
        <f t="shared" si="11"/>
        <v>655840</v>
      </c>
      <c r="K50" s="394">
        <f t="shared" si="11"/>
        <v>960053</v>
      </c>
      <c r="L50" s="394">
        <f t="shared" si="11"/>
        <v>893146</v>
      </c>
      <c r="M50" s="394">
        <f t="shared" si="11"/>
        <v>866840</v>
      </c>
      <c r="N50" s="394">
        <f t="shared" si="11"/>
        <v>848994</v>
      </c>
      <c r="O50" s="394">
        <f t="shared" si="11"/>
        <v>831147</v>
      </c>
      <c r="P50" s="394">
        <f t="shared" si="11"/>
        <v>813301</v>
      </c>
      <c r="Q50" s="394">
        <f t="shared" si="11"/>
        <v>795455</v>
      </c>
      <c r="R50" s="395">
        <f t="shared" si="11"/>
        <v>777609</v>
      </c>
      <c r="S50" s="374"/>
      <c r="T50" s="374"/>
      <c r="U50" s="374"/>
      <c r="V50" s="374"/>
    </row>
    <row r="51" spans="2:22" ht="12.5" thickTop="1" x14ac:dyDescent="0.3"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</row>
    <row r="52" spans="2:22" x14ac:dyDescent="0.3">
      <c r="C52" s="190"/>
      <c r="D52" s="173"/>
      <c r="E52" s="173"/>
      <c r="F52" s="173"/>
      <c r="G52" s="173"/>
      <c r="H52" s="173"/>
      <c r="I52" s="173"/>
      <c r="J52" s="173"/>
      <c r="K52" s="173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</row>
    <row r="53" spans="2:22" x14ac:dyDescent="0.3">
      <c r="C53" s="190"/>
      <c r="D53" s="173"/>
      <c r="E53" s="173"/>
      <c r="F53" s="173"/>
      <c r="G53" s="173"/>
      <c r="H53" s="173"/>
      <c r="I53" s="173"/>
      <c r="J53" s="173"/>
      <c r="K53" s="173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</row>
    <row r="54" spans="2:22" x14ac:dyDescent="0.3">
      <c r="C54" s="190"/>
      <c r="D54" s="173"/>
      <c r="E54" s="173"/>
      <c r="F54" s="173"/>
      <c r="G54" s="173"/>
      <c r="H54" s="173"/>
      <c r="I54" s="173"/>
      <c r="J54" s="173"/>
      <c r="K54" s="173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</row>
    <row r="55" spans="2:22" x14ac:dyDescent="0.3">
      <c r="C55" s="190"/>
      <c r="D55" s="173"/>
      <c r="E55" s="173"/>
      <c r="F55" s="173"/>
      <c r="G55" s="173"/>
      <c r="H55" s="173"/>
      <c r="I55" s="173"/>
      <c r="J55" s="173"/>
      <c r="K55" s="173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</row>
    <row r="56" spans="2:22" x14ac:dyDescent="0.3">
      <c r="C56" s="190"/>
      <c r="D56" s="173"/>
      <c r="E56" s="173"/>
      <c r="F56" s="173"/>
      <c r="G56" s="173"/>
      <c r="H56" s="173"/>
      <c r="I56" s="173"/>
      <c r="J56" s="173"/>
      <c r="K56" s="173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</row>
    <row r="57" spans="2:22" x14ac:dyDescent="0.3">
      <c r="C57" s="190"/>
      <c r="D57" s="173"/>
      <c r="E57" s="173"/>
      <c r="F57" s="173"/>
      <c r="G57" s="173"/>
      <c r="H57" s="173"/>
      <c r="I57" s="173"/>
      <c r="J57" s="173"/>
      <c r="K57" s="173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</row>
    <row r="58" spans="2:22" x14ac:dyDescent="0.3">
      <c r="C58" s="190"/>
      <c r="D58" s="173"/>
      <c r="E58" s="173"/>
      <c r="F58" s="173"/>
      <c r="G58" s="173"/>
      <c r="H58" s="173"/>
      <c r="I58" s="173"/>
      <c r="J58" s="173"/>
      <c r="K58" s="173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</row>
    <row r="59" spans="2:22" x14ac:dyDescent="0.3">
      <c r="C59" s="190"/>
      <c r="D59" s="173"/>
      <c r="E59" s="173"/>
      <c r="F59" s="173"/>
      <c r="G59" s="173"/>
      <c r="H59" s="173"/>
      <c r="I59" s="173"/>
      <c r="J59" s="173"/>
      <c r="K59" s="173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</row>
    <row r="60" spans="2:22" x14ac:dyDescent="0.3">
      <c r="C60" s="190"/>
      <c r="D60" s="173"/>
      <c r="E60" s="173"/>
      <c r="F60" s="173"/>
      <c r="G60" s="173"/>
      <c r="H60" s="173"/>
      <c r="I60" s="173"/>
      <c r="J60" s="173"/>
      <c r="K60" s="173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</row>
    <row r="91" spans="1:21" s="155" customFormat="1" ht="14.5" x14ac:dyDescent="0.35">
      <c r="A91" s="152"/>
      <c r="B91" s="370"/>
      <c r="C91" s="154"/>
      <c r="F91" s="396"/>
      <c r="L91" s="157"/>
      <c r="M91" s="157"/>
      <c r="N91" s="157"/>
      <c r="O91" s="157"/>
      <c r="P91" s="157"/>
      <c r="Q91" s="157"/>
      <c r="R91" s="157"/>
      <c r="S91" s="157"/>
      <c r="T91" s="157"/>
      <c r="U91" s="157"/>
    </row>
    <row r="92" spans="1:21" s="155" customFormat="1" ht="14.5" x14ac:dyDescent="0.35">
      <c r="A92" s="152"/>
      <c r="B92" s="370"/>
      <c r="C92" s="154"/>
      <c r="F92" s="396"/>
      <c r="L92" s="157"/>
      <c r="M92" s="157"/>
      <c r="N92" s="157"/>
      <c r="O92" s="157"/>
      <c r="P92" s="157"/>
      <c r="Q92" s="157"/>
      <c r="R92" s="157"/>
      <c r="S92" s="157"/>
      <c r="T92" s="157"/>
      <c r="U92" s="157"/>
    </row>
    <row r="93" spans="1:21" s="155" customFormat="1" ht="14.5" x14ac:dyDescent="0.35">
      <c r="A93" s="152"/>
      <c r="B93" s="370"/>
      <c r="C93" s="154"/>
      <c r="F93" s="396"/>
      <c r="L93" s="157"/>
      <c r="M93" s="157"/>
      <c r="N93" s="157"/>
      <c r="O93" s="157"/>
      <c r="P93" s="157"/>
      <c r="Q93" s="157"/>
      <c r="R93" s="157"/>
      <c r="S93" s="157"/>
      <c r="T93" s="157"/>
      <c r="U93" s="157"/>
    </row>
    <row r="94" spans="1:21" s="155" customFormat="1" ht="14.5" x14ac:dyDescent="0.35">
      <c r="A94" s="152"/>
      <c r="B94" s="370"/>
      <c r="C94" s="154"/>
      <c r="F94" s="396"/>
      <c r="L94" s="157"/>
      <c r="M94" s="157"/>
      <c r="N94" s="157"/>
      <c r="O94" s="157"/>
      <c r="P94" s="157"/>
      <c r="Q94" s="157"/>
      <c r="R94" s="157"/>
      <c r="S94" s="157"/>
      <c r="T94" s="157"/>
      <c r="U94" s="157"/>
    </row>
    <row r="95" spans="1:21" s="155" customFormat="1" ht="14.5" x14ac:dyDescent="0.35">
      <c r="A95" s="152"/>
      <c r="B95" s="370"/>
      <c r="C95" s="154"/>
      <c r="F95" s="396"/>
      <c r="L95" s="157"/>
      <c r="M95" s="157"/>
      <c r="N95" s="157"/>
      <c r="O95" s="157"/>
      <c r="P95" s="157"/>
      <c r="Q95" s="157"/>
      <c r="R95" s="157"/>
      <c r="S95" s="157"/>
      <c r="T95" s="157"/>
      <c r="U95" s="157"/>
    </row>
    <row r="96" spans="1:21" s="155" customFormat="1" ht="14.5" x14ac:dyDescent="0.35">
      <c r="A96" s="152"/>
      <c r="B96" s="370"/>
      <c r="C96" s="154"/>
      <c r="F96" s="396"/>
      <c r="L96" s="157"/>
      <c r="M96" s="157"/>
      <c r="N96" s="157"/>
      <c r="O96" s="157"/>
      <c r="P96" s="157"/>
      <c r="Q96" s="157"/>
      <c r="R96" s="157"/>
      <c r="S96" s="157"/>
      <c r="T96" s="157"/>
      <c r="U96" s="157"/>
    </row>
    <row r="97" spans="1:21" s="155" customFormat="1" ht="14.5" x14ac:dyDescent="0.35">
      <c r="A97" s="152"/>
      <c r="B97" s="370"/>
      <c r="C97" s="154"/>
      <c r="F97" s="396"/>
      <c r="L97" s="157"/>
      <c r="M97" s="157"/>
      <c r="N97" s="157"/>
      <c r="O97" s="157"/>
      <c r="P97" s="157"/>
      <c r="Q97" s="157"/>
      <c r="R97" s="157"/>
      <c r="S97" s="157"/>
      <c r="T97" s="157"/>
      <c r="U97" s="157"/>
    </row>
    <row r="98" spans="1:21" s="155" customFormat="1" ht="14.5" x14ac:dyDescent="0.35">
      <c r="A98" s="152"/>
      <c r="B98" s="370"/>
      <c r="C98" s="154"/>
      <c r="F98" s="396"/>
      <c r="L98" s="157"/>
      <c r="M98" s="157"/>
      <c r="N98" s="157"/>
      <c r="O98" s="157"/>
      <c r="P98" s="157"/>
      <c r="Q98" s="157"/>
      <c r="R98" s="157"/>
      <c r="S98" s="157"/>
      <c r="T98" s="157"/>
      <c r="U98" s="157"/>
    </row>
    <row r="99" spans="1:21" s="155" customFormat="1" ht="14.5" x14ac:dyDescent="0.35">
      <c r="A99" s="152"/>
      <c r="B99" s="370"/>
      <c r="C99" s="154"/>
      <c r="F99" s="396"/>
      <c r="L99" s="157"/>
      <c r="M99" s="157"/>
      <c r="N99" s="157"/>
      <c r="O99" s="157"/>
      <c r="P99" s="157"/>
      <c r="Q99" s="157"/>
      <c r="R99" s="157"/>
      <c r="S99" s="157"/>
      <c r="T99" s="157"/>
      <c r="U99" s="157"/>
    </row>
  </sheetData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ignoredErrors>
    <ignoredError sqref="C39:R50 G20:L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B885-D173-45DC-94AA-31DC684AB1B4}">
  <sheetPr>
    <tabColor theme="9" tint="0.39997558519241921"/>
  </sheetPr>
  <dimension ref="A1:R93"/>
  <sheetViews>
    <sheetView showGridLines="0" zoomScaleNormal="100" zoomScaleSheetLayoutView="100" workbookViewId="0"/>
  </sheetViews>
  <sheetFormatPr defaultColWidth="11.6640625" defaultRowHeight="12" x14ac:dyDescent="0.3"/>
  <cols>
    <col min="1" max="1" width="7.77734375" style="265" bestFit="1" customWidth="1"/>
    <col min="2" max="2" width="33.33203125" style="397" bestFit="1" customWidth="1"/>
    <col min="3" max="11" width="12.77734375" style="398" customWidth="1"/>
    <col min="12" max="12" width="11.6640625" style="265"/>
    <col min="13" max="13" width="13" style="399" customWidth="1"/>
    <col min="14" max="16384" width="11.6640625" style="265"/>
  </cols>
  <sheetData>
    <row r="1" spans="1:18" x14ac:dyDescent="0.3">
      <c r="A1" s="147" t="str">
        <f>Revenues!B1</f>
        <v>Municipality of</v>
      </c>
    </row>
    <row r="2" spans="1:18" x14ac:dyDescent="0.3">
      <c r="A2" s="484" t="s">
        <v>198</v>
      </c>
      <c r="B2" s="484"/>
    </row>
    <row r="3" spans="1:18" x14ac:dyDescent="0.3">
      <c r="M3" s="400"/>
    </row>
    <row r="4" spans="1:18" x14ac:dyDescent="0.3">
      <c r="C4" s="401"/>
      <c r="D4" s="401"/>
      <c r="E4" s="401"/>
      <c r="F4" s="401"/>
      <c r="G4" s="401"/>
      <c r="H4" s="401"/>
      <c r="I4" s="401"/>
      <c r="J4" s="401"/>
      <c r="K4" s="401"/>
      <c r="M4" s="157"/>
    </row>
    <row r="5" spans="1:18" x14ac:dyDescent="0.3">
      <c r="C5" s="402" t="str">
        <f>'GF Analysis'!C6</f>
        <v>FY-4</v>
      </c>
      <c r="D5" s="402" t="str">
        <f>'GF Analysis'!D6</f>
        <v>FY-3</v>
      </c>
      <c r="E5" s="402" t="str">
        <f>'GF Analysis'!E6</f>
        <v>FY-2</v>
      </c>
      <c r="F5" s="402" t="str">
        <f>'GF Analysis'!F6</f>
        <v>FY-1</v>
      </c>
      <c r="G5" s="402" t="str">
        <f>'GF Analysis'!G6</f>
        <v>FY0</v>
      </c>
      <c r="H5" s="402" t="str">
        <f>'GF Analysis'!H6</f>
        <v>FY1</v>
      </c>
      <c r="I5" s="402" t="str">
        <f>'GF Analysis'!I6</f>
        <v>FY2</v>
      </c>
      <c r="J5" s="402" t="str">
        <f>'GF Analysis'!J6</f>
        <v>FY3</v>
      </c>
      <c r="K5" s="402" t="str">
        <f>'GF Analysis'!K6</f>
        <v>FY4</v>
      </c>
      <c r="L5" s="402" t="str">
        <f>'GF Analysis'!L6</f>
        <v>FY5</v>
      </c>
      <c r="M5" s="402" t="str">
        <f>'GF Analysis'!M6</f>
        <v>FY6</v>
      </c>
      <c r="N5" s="402" t="str">
        <f>'GF Analysis'!N6</f>
        <v>FY7</v>
      </c>
      <c r="O5" s="402" t="str">
        <f>'GF Analysis'!O6</f>
        <v>FY8</v>
      </c>
      <c r="P5" s="402" t="str">
        <f>'GF Analysis'!P6</f>
        <v>FY9</v>
      </c>
      <c r="Q5" s="402" t="str">
        <f>'GF Analysis'!Q6</f>
        <v>FY10</v>
      </c>
      <c r="R5" s="402" t="str">
        <f>'GF Analysis'!R6</f>
        <v>FY11</v>
      </c>
    </row>
    <row r="6" spans="1:18" x14ac:dyDescent="0.3">
      <c r="A6" s="404" t="s">
        <v>199</v>
      </c>
      <c r="B6" s="404" t="s">
        <v>200</v>
      </c>
      <c r="C6" s="402" t="s">
        <v>54</v>
      </c>
      <c r="D6" s="402" t="s">
        <v>54</v>
      </c>
      <c r="E6" s="402" t="s">
        <v>54</v>
      </c>
      <c r="F6" s="402" t="s">
        <v>54</v>
      </c>
      <c r="G6" s="402" t="s">
        <v>54</v>
      </c>
      <c r="H6" s="403" t="s">
        <v>55</v>
      </c>
      <c r="I6" s="403" t="s">
        <v>55</v>
      </c>
      <c r="J6" s="403" t="s">
        <v>55</v>
      </c>
      <c r="K6" s="403" t="s">
        <v>55</v>
      </c>
      <c r="L6" s="403" t="s">
        <v>55</v>
      </c>
      <c r="M6" s="403" t="s">
        <v>55</v>
      </c>
      <c r="N6" s="403" t="s">
        <v>55</v>
      </c>
      <c r="O6" s="403" t="s">
        <v>55</v>
      </c>
      <c r="P6" s="403" t="s">
        <v>55</v>
      </c>
      <c r="Q6" s="403" t="s">
        <v>55</v>
      </c>
      <c r="R6" s="403" t="s">
        <v>55</v>
      </c>
    </row>
    <row r="7" spans="1:18" x14ac:dyDescent="0.3">
      <c r="A7" s="405" t="s">
        <v>201</v>
      </c>
      <c r="B7" s="404"/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</row>
    <row r="8" spans="1:18" x14ac:dyDescent="0.3">
      <c r="A8" s="406"/>
      <c r="B8" s="407" t="s">
        <v>236</v>
      </c>
      <c r="C8" s="408">
        <v>0</v>
      </c>
      <c r="D8" s="408">
        <v>0</v>
      </c>
      <c r="E8" s="408">
        <v>50000</v>
      </c>
      <c r="F8" s="408">
        <v>0</v>
      </c>
      <c r="G8" s="408">
        <v>20000</v>
      </c>
      <c r="H8" s="408">
        <v>0</v>
      </c>
      <c r="I8" s="408">
        <v>0</v>
      </c>
      <c r="J8" s="408">
        <v>0</v>
      </c>
      <c r="K8" s="408">
        <v>50000</v>
      </c>
      <c r="L8" s="408">
        <v>0</v>
      </c>
      <c r="M8" s="408">
        <v>0</v>
      </c>
      <c r="N8" s="408">
        <v>0</v>
      </c>
      <c r="O8" s="408">
        <v>0</v>
      </c>
      <c r="P8" s="408">
        <v>0</v>
      </c>
      <c r="Q8" s="408">
        <v>0</v>
      </c>
      <c r="R8" s="408">
        <v>0</v>
      </c>
    </row>
    <row r="9" spans="1:18" x14ac:dyDescent="0.3">
      <c r="A9" s="406"/>
      <c r="B9" s="409" t="s">
        <v>227</v>
      </c>
      <c r="C9" s="410">
        <v>0</v>
      </c>
      <c r="D9" s="410">
        <v>0</v>
      </c>
      <c r="E9" s="410">
        <v>0</v>
      </c>
      <c r="F9" s="410">
        <v>100000</v>
      </c>
      <c r="G9" s="410">
        <v>0</v>
      </c>
      <c r="H9" s="410">
        <v>0</v>
      </c>
      <c r="I9" s="410">
        <v>0</v>
      </c>
      <c r="J9" s="410">
        <v>125000</v>
      </c>
      <c r="K9" s="410">
        <v>0</v>
      </c>
      <c r="L9" s="410">
        <v>0</v>
      </c>
      <c r="M9" s="410">
        <v>0</v>
      </c>
      <c r="N9" s="410">
        <v>0</v>
      </c>
      <c r="O9" s="410">
        <v>0</v>
      </c>
      <c r="P9" s="410">
        <v>0</v>
      </c>
      <c r="Q9" s="410">
        <v>0</v>
      </c>
      <c r="R9" s="410">
        <v>0</v>
      </c>
    </row>
    <row r="10" spans="1:18" x14ac:dyDescent="0.3">
      <c r="A10" s="406"/>
      <c r="B10" s="407" t="s">
        <v>228</v>
      </c>
      <c r="C10" s="408">
        <v>0</v>
      </c>
      <c r="D10" s="408">
        <v>25000</v>
      </c>
      <c r="E10" s="408">
        <v>0</v>
      </c>
      <c r="F10" s="408">
        <v>0</v>
      </c>
      <c r="G10" s="408">
        <v>0</v>
      </c>
      <c r="H10" s="408">
        <v>30000</v>
      </c>
      <c r="I10" s="408">
        <v>0</v>
      </c>
      <c r="J10" s="408">
        <v>0</v>
      </c>
      <c r="K10" s="408">
        <v>0</v>
      </c>
      <c r="L10" s="408">
        <v>35000</v>
      </c>
      <c r="M10" s="408">
        <v>0</v>
      </c>
      <c r="N10" s="408">
        <v>0</v>
      </c>
      <c r="O10" s="408">
        <v>0</v>
      </c>
      <c r="P10" s="408">
        <v>40000</v>
      </c>
      <c r="Q10" s="408">
        <v>0</v>
      </c>
      <c r="R10" s="408">
        <v>0</v>
      </c>
    </row>
    <row r="11" spans="1:18" x14ac:dyDescent="0.3">
      <c r="A11" s="406"/>
      <c r="B11" s="407"/>
      <c r="C11" s="408">
        <v>0</v>
      </c>
      <c r="D11" s="408">
        <v>0</v>
      </c>
      <c r="E11" s="408">
        <v>0</v>
      </c>
      <c r="F11" s="408">
        <v>0</v>
      </c>
      <c r="G11" s="408">
        <v>0</v>
      </c>
      <c r="H11" s="408">
        <v>0</v>
      </c>
      <c r="I11" s="408">
        <v>0</v>
      </c>
      <c r="J11" s="408">
        <v>0</v>
      </c>
      <c r="K11" s="408">
        <v>0</v>
      </c>
      <c r="L11" s="408">
        <v>0</v>
      </c>
      <c r="M11" s="408">
        <v>0</v>
      </c>
      <c r="N11" s="408">
        <v>0</v>
      </c>
      <c r="O11" s="408">
        <v>0</v>
      </c>
      <c r="P11" s="408">
        <v>0</v>
      </c>
      <c r="Q11" s="408">
        <v>0</v>
      </c>
      <c r="R11" s="408">
        <v>0</v>
      </c>
    </row>
    <row r="12" spans="1:18" x14ac:dyDescent="0.3">
      <c r="A12" s="406"/>
      <c r="B12" s="411" t="s">
        <v>202</v>
      </c>
      <c r="C12" s="412">
        <f t="shared" ref="C12:L12" si="0">SUM(C8:C11)</f>
        <v>0</v>
      </c>
      <c r="D12" s="412">
        <f t="shared" si="0"/>
        <v>25000</v>
      </c>
      <c r="E12" s="412">
        <f t="shared" si="0"/>
        <v>50000</v>
      </c>
      <c r="F12" s="412">
        <f t="shared" si="0"/>
        <v>100000</v>
      </c>
      <c r="G12" s="412">
        <f t="shared" si="0"/>
        <v>20000</v>
      </c>
      <c r="H12" s="412">
        <f t="shared" si="0"/>
        <v>30000</v>
      </c>
      <c r="I12" s="412">
        <f t="shared" si="0"/>
        <v>0</v>
      </c>
      <c r="J12" s="412">
        <f t="shared" si="0"/>
        <v>125000</v>
      </c>
      <c r="K12" s="412">
        <f t="shared" si="0"/>
        <v>50000</v>
      </c>
      <c r="L12" s="412">
        <f t="shared" si="0"/>
        <v>35000</v>
      </c>
      <c r="M12" s="412">
        <f t="shared" ref="M12:Q12" si="1">SUM(M8:M11)</f>
        <v>0</v>
      </c>
      <c r="N12" s="412">
        <f t="shared" si="1"/>
        <v>0</v>
      </c>
      <c r="O12" s="412">
        <f t="shared" si="1"/>
        <v>0</v>
      </c>
      <c r="P12" s="412">
        <f t="shared" si="1"/>
        <v>40000</v>
      </c>
      <c r="Q12" s="412">
        <f t="shared" si="1"/>
        <v>0</v>
      </c>
      <c r="R12" s="412">
        <f t="shared" ref="R12" si="2">SUM(R8:R11)</f>
        <v>0</v>
      </c>
    </row>
    <row r="13" spans="1:18" x14ac:dyDescent="0.3">
      <c r="A13" s="406"/>
      <c r="B13" s="407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</row>
    <row r="14" spans="1:18" x14ac:dyDescent="0.3">
      <c r="A14" s="406"/>
      <c r="B14" s="407" t="s">
        <v>229</v>
      </c>
      <c r="C14" s="408">
        <v>0</v>
      </c>
      <c r="D14" s="408">
        <v>0</v>
      </c>
      <c r="E14" s="408">
        <v>0</v>
      </c>
      <c r="F14" s="408">
        <v>25000</v>
      </c>
      <c r="G14" s="408">
        <v>0</v>
      </c>
      <c r="H14" s="408">
        <v>0</v>
      </c>
      <c r="I14" s="408">
        <v>0</v>
      </c>
      <c r="J14" s="408">
        <v>0</v>
      </c>
      <c r="K14" s="408">
        <v>0</v>
      </c>
      <c r="L14" s="408">
        <v>0</v>
      </c>
      <c r="M14" s="408">
        <v>0</v>
      </c>
      <c r="N14" s="408">
        <v>0</v>
      </c>
      <c r="O14" s="408">
        <v>0</v>
      </c>
      <c r="P14" s="408">
        <v>0</v>
      </c>
      <c r="Q14" s="408">
        <v>0</v>
      </c>
      <c r="R14" s="408">
        <v>0</v>
      </c>
    </row>
    <row r="15" spans="1:18" x14ac:dyDescent="0.3">
      <c r="A15" s="406"/>
      <c r="B15" s="407" t="s">
        <v>230</v>
      </c>
      <c r="C15" s="408">
        <v>0</v>
      </c>
      <c r="D15" s="408">
        <v>0</v>
      </c>
      <c r="E15" s="408">
        <v>0</v>
      </c>
      <c r="F15" s="408">
        <v>0</v>
      </c>
      <c r="G15" s="408">
        <v>0</v>
      </c>
      <c r="H15" s="408">
        <v>0</v>
      </c>
      <c r="I15" s="408">
        <v>100000</v>
      </c>
      <c r="J15" s="408">
        <v>0</v>
      </c>
      <c r="K15" s="408">
        <v>0</v>
      </c>
      <c r="L15" s="408">
        <v>0</v>
      </c>
      <c r="M15" s="408">
        <v>0</v>
      </c>
      <c r="N15" s="408">
        <v>0</v>
      </c>
      <c r="O15" s="408">
        <v>0</v>
      </c>
      <c r="P15" s="408">
        <v>0</v>
      </c>
      <c r="Q15" s="408">
        <v>0</v>
      </c>
      <c r="R15" s="408">
        <v>0</v>
      </c>
    </row>
    <row r="16" spans="1:18" x14ac:dyDescent="0.3">
      <c r="A16" s="406"/>
      <c r="B16" s="407"/>
      <c r="C16" s="408">
        <v>0</v>
      </c>
      <c r="D16" s="408">
        <v>0</v>
      </c>
      <c r="E16" s="408">
        <v>0</v>
      </c>
      <c r="F16" s="408">
        <v>0</v>
      </c>
      <c r="G16" s="408">
        <v>0</v>
      </c>
      <c r="H16" s="408">
        <v>0</v>
      </c>
      <c r="I16" s="408">
        <v>0</v>
      </c>
      <c r="J16" s="408">
        <v>0</v>
      </c>
      <c r="K16" s="408">
        <v>0</v>
      </c>
      <c r="L16" s="408">
        <v>0</v>
      </c>
      <c r="M16" s="408">
        <v>0</v>
      </c>
      <c r="N16" s="408">
        <v>0</v>
      </c>
      <c r="O16" s="408">
        <v>0</v>
      </c>
      <c r="P16" s="408">
        <v>0</v>
      </c>
      <c r="Q16" s="408">
        <v>0</v>
      </c>
      <c r="R16" s="408">
        <v>0</v>
      </c>
    </row>
    <row r="17" spans="1:18" x14ac:dyDescent="0.3">
      <c r="A17" s="406"/>
      <c r="B17" s="413" t="s">
        <v>203</v>
      </c>
      <c r="C17" s="414">
        <f t="shared" ref="C17:L17" si="3">SUM(C14:C16)</f>
        <v>0</v>
      </c>
      <c r="D17" s="414">
        <f t="shared" si="3"/>
        <v>0</v>
      </c>
      <c r="E17" s="414">
        <f t="shared" si="3"/>
        <v>0</v>
      </c>
      <c r="F17" s="414">
        <f t="shared" si="3"/>
        <v>25000</v>
      </c>
      <c r="G17" s="414">
        <f t="shared" si="3"/>
        <v>0</v>
      </c>
      <c r="H17" s="414">
        <f t="shared" si="3"/>
        <v>0</v>
      </c>
      <c r="I17" s="414">
        <f t="shared" si="3"/>
        <v>100000</v>
      </c>
      <c r="J17" s="414">
        <f t="shared" si="3"/>
        <v>0</v>
      </c>
      <c r="K17" s="414">
        <f t="shared" si="3"/>
        <v>0</v>
      </c>
      <c r="L17" s="414">
        <f t="shared" si="3"/>
        <v>0</v>
      </c>
      <c r="M17" s="414">
        <f t="shared" ref="M17:Q17" si="4">SUM(M14:M16)</f>
        <v>0</v>
      </c>
      <c r="N17" s="414">
        <f t="shared" si="4"/>
        <v>0</v>
      </c>
      <c r="O17" s="414">
        <f t="shared" si="4"/>
        <v>0</v>
      </c>
      <c r="P17" s="414">
        <f t="shared" si="4"/>
        <v>0</v>
      </c>
      <c r="Q17" s="414">
        <f t="shared" si="4"/>
        <v>0</v>
      </c>
      <c r="R17" s="414">
        <f t="shared" ref="R17" si="5">SUM(R14:R16)</f>
        <v>0</v>
      </c>
    </row>
    <row r="18" spans="1:18" x14ac:dyDescent="0.3">
      <c r="A18" s="406"/>
      <c r="B18" s="407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8" x14ac:dyDescent="0.3">
      <c r="A19" s="406"/>
      <c r="B19" s="397" t="s">
        <v>224</v>
      </c>
      <c r="C19" s="408">
        <v>0</v>
      </c>
      <c r="D19" s="408">
        <v>15000</v>
      </c>
      <c r="E19" s="408">
        <v>0</v>
      </c>
      <c r="F19" s="408">
        <v>0</v>
      </c>
      <c r="G19" s="408">
        <v>15000</v>
      </c>
      <c r="H19" s="408">
        <v>0</v>
      </c>
      <c r="I19" s="408">
        <v>0</v>
      </c>
      <c r="J19" s="408">
        <v>15000</v>
      </c>
      <c r="K19" s="408">
        <v>0</v>
      </c>
      <c r="L19" s="408">
        <v>0</v>
      </c>
      <c r="M19" s="408">
        <v>15000</v>
      </c>
      <c r="N19" s="408">
        <v>0</v>
      </c>
      <c r="O19" s="408">
        <v>0</v>
      </c>
      <c r="P19" s="408">
        <v>20000</v>
      </c>
      <c r="Q19" s="408">
        <v>0</v>
      </c>
      <c r="R19" s="408">
        <v>0</v>
      </c>
    </row>
    <row r="20" spans="1:18" x14ac:dyDescent="0.3">
      <c r="A20" s="406"/>
      <c r="B20" s="397" t="s">
        <v>225</v>
      </c>
      <c r="C20" s="408">
        <v>0</v>
      </c>
      <c r="D20" s="408">
        <v>0</v>
      </c>
      <c r="E20" s="408">
        <v>0</v>
      </c>
      <c r="F20" s="408">
        <v>0</v>
      </c>
      <c r="G20" s="408">
        <v>0</v>
      </c>
      <c r="H20" s="408">
        <v>150000</v>
      </c>
      <c r="I20" s="408">
        <v>150000</v>
      </c>
      <c r="J20" s="408">
        <v>150000</v>
      </c>
      <c r="K20" s="408">
        <v>150000</v>
      </c>
      <c r="L20" s="408">
        <v>0</v>
      </c>
      <c r="M20" s="408">
        <v>0</v>
      </c>
      <c r="N20" s="408">
        <v>0</v>
      </c>
      <c r="O20" s="408">
        <v>0</v>
      </c>
      <c r="P20" s="408">
        <v>0</v>
      </c>
      <c r="Q20" s="408">
        <v>0</v>
      </c>
      <c r="R20" s="408">
        <v>0</v>
      </c>
    </row>
    <row r="21" spans="1:18" x14ac:dyDescent="0.3">
      <c r="A21" s="406"/>
      <c r="B21" s="407" t="s">
        <v>226</v>
      </c>
      <c r="C21" s="408">
        <v>25000</v>
      </c>
      <c r="D21" s="408">
        <v>0</v>
      </c>
      <c r="E21" s="408">
        <v>25000</v>
      </c>
      <c r="F21" s="408">
        <v>0</v>
      </c>
      <c r="G21" s="408">
        <v>25000</v>
      </c>
      <c r="H21" s="408">
        <v>0</v>
      </c>
      <c r="I21" s="408">
        <v>25000</v>
      </c>
      <c r="J21" s="408">
        <v>0</v>
      </c>
      <c r="K21" s="408">
        <v>30000</v>
      </c>
      <c r="L21" s="408">
        <v>0</v>
      </c>
      <c r="M21" s="408">
        <v>30000</v>
      </c>
      <c r="N21" s="408">
        <v>0</v>
      </c>
      <c r="O21" s="408">
        <v>0</v>
      </c>
      <c r="P21" s="408">
        <v>30000</v>
      </c>
      <c r="Q21" s="408">
        <v>0</v>
      </c>
      <c r="R21" s="408">
        <v>0</v>
      </c>
    </row>
    <row r="22" spans="1:18" x14ac:dyDescent="0.3">
      <c r="A22" s="406"/>
      <c r="B22" s="407"/>
      <c r="C22" s="408">
        <v>0</v>
      </c>
      <c r="D22" s="408">
        <v>0</v>
      </c>
      <c r="E22" s="408">
        <v>0</v>
      </c>
      <c r="F22" s="408">
        <v>0</v>
      </c>
      <c r="G22" s="408">
        <v>0</v>
      </c>
      <c r="H22" s="408">
        <v>0</v>
      </c>
      <c r="I22" s="408">
        <v>0</v>
      </c>
      <c r="J22" s="408">
        <v>0</v>
      </c>
      <c r="K22" s="408">
        <v>0</v>
      </c>
      <c r="L22" s="408">
        <v>0</v>
      </c>
      <c r="M22" s="408">
        <v>0</v>
      </c>
      <c r="N22" s="408">
        <v>0</v>
      </c>
      <c r="O22" s="408">
        <v>0</v>
      </c>
      <c r="P22" s="408">
        <v>0</v>
      </c>
      <c r="Q22" s="408">
        <v>0</v>
      </c>
      <c r="R22" s="408">
        <v>0</v>
      </c>
    </row>
    <row r="23" spans="1:18" x14ac:dyDescent="0.3">
      <c r="A23" s="406"/>
      <c r="B23" s="413" t="s">
        <v>204</v>
      </c>
      <c r="C23" s="414">
        <f t="shared" ref="C23:L23" si="6">SUM(C19:C22)</f>
        <v>25000</v>
      </c>
      <c r="D23" s="414">
        <f t="shared" si="6"/>
        <v>15000</v>
      </c>
      <c r="E23" s="414">
        <f t="shared" si="6"/>
        <v>25000</v>
      </c>
      <c r="F23" s="414">
        <f t="shared" si="6"/>
        <v>0</v>
      </c>
      <c r="G23" s="414">
        <f t="shared" si="6"/>
        <v>40000</v>
      </c>
      <c r="H23" s="414">
        <f t="shared" si="6"/>
        <v>150000</v>
      </c>
      <c r="I23" s="414">
        <f t="shared" si="6"/>
        <v>175000</v>
      </c>
      <c r="J23" s="414">
        <f t="shared" si="6"/>
        <v>165000</v>
      </c>
      <c r="K23" s="414">
        <f t="shared" si="6"/>
        <v>180000</v>
      </c>
      <c r="L23" s="414">
        <f t="shared" si="6"/>
        <v>0</v>
      </c>
      <c r="M23" s="414">
        <f t="shared" ref="M23:Q23" si="7">SUM(M19:M22)</f>
        <v>45000</v>
      </c>
      <c r="N23" s="414">
        <f t="shared" si="7"/>
        <v>0</v>
      </c>
      <c r="O23" s="414">
        <f t="shared" si="7"/>
        <v>0</v>
      </c>
      <c r="P23" s="414">
        <f t="shared" si="7"/>
        <v>50000</v>
      </c>
      <c r="Q23" s="414">
        <f t="shared" si="7"/>
        <v>0</v>
      </c>
      <c r="R23" s="414">
        <f t="shared" ref="R23" si="8">SUM(R19:R22)</f>
        <v>0</v>
      </c>
    </row>
    <row r="24" spans="1:18" x14ac:dyDescent="0.3">
      <c r="A24" s="406"/>
      <c r="B24" s="407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1:18" x14ac:dyDescent="0.3">
      <c r="A25" s="406"/>
      <c r="B25" s="265"/>
      <c r="C25" s="408">
        <v>0</v>
      </c>
      <c r="D25" s="408">
        <v>0</v>
      </c>
      <c r="E25" s="408">
        <v>0</v>
      </c>
      <c r="F25" s="408">
        <v>0</v>
      </c>
      <c r="G25" s="408">
        <v>0</v>
      </c>
      <c r="H25" s="408">
        <v>0</v>
      </c>
      <c r="I25" s="408">
        <v>0</v>
      </c>
      <c r="J25" s="408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08">
        <v>0</v>
      </c>
      <c r="R25" s="408">
        <v>0</v>
      </c>
    </row>
    <row r="26" spans="1:18" x14ac:dyDescent="0.3">
      <c r="A26" s="406"/>
      <c r="B26" s="265"/>
      <c r="C26" s="408">
        <v>0</v>
      </c>
      <c r="D26" s="408">
        <v>0</v>
      </c>
      <c r="E26" s="408">
        <v>0</v>
      </c>
      <c r="F26" s="408">
        <v>0</v>
      </c>
      <c r="G26" s="408">
        <v>0</v>
      </c>
      <c r="H26" s="408">
        <v>0</v>
      </c>
      <c r="I26" s="408">
        <v>0</v>
      </c>
      <c r="J26" s="408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08">
        <v>0</v>
      </c>
      <c r="R26" s="408">
        <v>0</v>
      </c>
    </row>
    <row r="27" spans="1:18" x14ac:dyDescent="0.3">
      <c r="A27" s="406"/>
      <c r="B27" s="413" t="s">
        <v>205</v>
      </c>
      <c r="C27" s="408">
        <v>0</v>
      </c>
      <c r="D27" s="408">
        <v>0</v>
      </c>
      <c r="E27" s="408">
        <v>0</v>
      </c>
      <c r="F27" s="408">
        <v>0</v>
      </c>
      <c r="G27" s="408">
        <v>0</v>
      </c>
      <c r="H27" s="408">
        <v>0</v>
      </c>
      <c r="I27" s="408">
        <v>0</v>
      </c>
      <c r="J27" s="408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08">
        <v>0</v>
      </c>
      <c r="R27" s="408">
        <v>0</v>
      </c>
    </row>
    <row r="28" spans="1:18" x14ac:dyDescent="0.3">
      <c r="A28" s="406"/>
      <c r="B28" s="411" t="s">
        <v>206</v>
      </c>
      <c r="C28" s="412">
        <f t="shared" ref="C28:R28" si="9">+C17+C23+C27</f>
        <v>25000</v>
      </c>
      <c r="D28" s="412">
        <f t="shared" si="9"/>
        <v>15000</v>
      </c>
      <c r="E28" s="412">
        <f t="shared" si="9"/>
        <v>25000</v>
      </c>
      <c r="F28" s="412">
        <f t="shared" si="9"/>
        <v>25000</v>
      </c>
      <c r="G28" s="412">
        <f t="shared" si="9"/>
        <v>40000</v>
      </c>
      <c r="H28" s="412">
        <f t="shared" si="9"/>
        <v>150000</v>
      </c>
      <c r="I28" s="412">
        <f t="shared" si="9"/>
        <v>275000</v>
      </c>
      <c r="J28" s="412">
        <f t="shared" si="9"/>
        <v>165000</v>
      </c>
      <c r="K28" s="412">
        <f t="shared" si="9"/>
        <v>180000</v>
      </c>
      <c r="L28" s="412">
        <f t="shared" si="9"/>
        <v>0</v>
      </c>
      <c r="M28" s="412">
        <f t="shared" si="9"/>
        <v>45000</v>
      </c>
      <c r="N28" s="412">
        <f t="shared" si="9"/>
        <v>0</v>
      </c>
      <c r="O28" s="412">
        <f t="shared" si="9"/>
        <v>0</v>
      </c>
      <c r="P28" s="412">
        <f t="shared" si="9"/>
        <v>50000</v>
      </c>
      <c r="Q28" s="412">
        <f t="shared" si="9"/>
        <v>0</v>
      </c>
      <c r="R28" s="412">
        <f t="shared" si="9"/>
        <v>0</v>
      </c>
    </row>
    <row r="29" spans="1:18" x14ac:dyDescent="0.3">
      <c r="A29" s="406"/>
      <c r="B29" s="415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x14ac:dyDescent="0.3">
      <c r="A30" s="405"/>
      <c r="B30" s="407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1:18" x14ac:dyDescent="0.3">
      <c r="A31" s="405"/>
      <c r="B31" s="407" t="s">
        <v>237</v>
      </c>
      <c r="C31" s="408">
        <v>0</v>
      </c>
      <c r="D31" s="408">
        <v>0</v>
      </c>
      <c r="E31" s="408">
        <v>0</v>
      </c>
      <c r="F31" s="408">
        <v>0</v>
      </c>
      <c r="G31" s="408">
        <v>0</v>
      </c>
      <c r="H31" s="408">
        <v>0</v>
      </c>
      <c r="I31" s="408">
        <v>0</v>
      </c>
      <c r="J31" s="408">
        <v>250000</v>
      </c>
      <c r="K31" s="408">
        <v>0</v>
      </c>
      <c r="L31" s="408">
        <v>0</v>
      </c>
      <c r="M31" s="408">
        <v>0</v>
      </c>
      <c r="N31" s="408">
        <v>0</v>
      </c>
      <c r="O31" s="408">
        <v>0</v>
      </c>
      <c r="P31" s="408">
        <v>0</v>
      </c>
      <c r="Q31" s="408">
        <v>0</v>
      </c>
      <c r="R31" s="408">
        <v>0</v>
      </c>
    </row>
    <row r="32" spans="1:18" x14ac:dyDescent="0.3">
      <c r="A32" s="405"/>
      <c r="B32" s="407" t="s">
        <v>232</v>
      </c>
      <c r="C32" s="408">
        <v>0</v>
      </c>
      <c r="D32" s="408">
        <v>0</v>
      </c>
      <c r="E32" s="408">
        <v>60000</v>
      </c>
      <c r="F32" s="408">
        <v>0</v>
      </c>
      <c r="G32" s="408">
        <v>125000</v>
      </c>
      <c r="H32" s="408">
        <v>0</v>
      </c>
      <c r="I32" s="408">
        <v>75000</v>
      </c>
      <c r="J32" s="408">
        <v>0</v>
      </c>
      <c r="K32" s="408"/>
      <c r="L32" s="408">
        <v>80000</v>
      </c>
      <c r="M32" s="408">
        <v>0</v>
      </c>
      <c r="N32" s="408">
        <v>0</v>
      </c>
      <c r="O32" s="408">
        <v>85000</v>
      </c>
      <c r="P32" s="408">
        <v>0</v>
      </c>
      <c r="Q32" s="408">
        <v>0</v>
      </c>
      <c r="R32" s="408">
        <v>0</v>
      </c>
    </row>
    <row r="33" spans="1:18" x14ac:dyDescent="0.3">
      <c r="A33" s="406"/>
      <c r="B33" s="407" t="s">
        <v>233</v>
      </c>
      <c r="C33" s="408">
        <v>0</v>
      </c>
      <c r="D33" s="408">
        <v>0</v>
      </c>
      <c r="E33" s="408">
        <v>0</v>
      </c>
      <c r="F33" s="408">
        <v>0</v>
      </c>
      <c r="G33" s="408">
        <v>0</v>
      </c>
      <c r="H33" s="408">
        <v>315000</v>
      </c>
      <c r="I33" s="408">
        <v>0</v>
      </c>
      <c r="J33" s="408">
        <v>0</v>
      </c>
      <c r="K33" s="408">
        <v>0</v>
      </c>
      <c r="L33" s="408">
        <v>0</v>
      </c>
      <c r="M33" s="408">
        <v>0</v>
      </c>
      <c r="N33" s="408">
        <v>0</v>
      </c>
      <c r="O33" s="408">
        <v>0</v>
      </c>
      <c r="P33" s="408">
        <v>0</v>
      </c>
      <c r="Q33" s="408">
        <v>0</v>
      </c>
      <c r="R33" s="408">
        <v>0</v>
      </c>
    </row>
    <row r="34" spans="1:18" x14ac:dyDescent="0.3">
      <c r="A34" s="405"/>
      <c r="B34" s="407"/>
      <c r="C34" s="408">
        <v>0</v>
      </c>
      <c r="D34" s="408">
        <v>0</v>
      </c>
      <c r="E34" s="408">
        <v>0</v>
      </c>
      <c r="F34" s="408">
        <v>0</v>
      </c>
      <c r="G34" s="408">
        <v>0</v>
      </c>
      <c r="H34" s="408">
        <v>0</v>
      </c>
      <c r="I34" s="408">
        <v>0</v>
      </c>
      <c r="J34" s="408">
        <v>0</v>
      </c>
      <c r="K34" s="408">
        <v>0</v>
      </c>
      <c r="L34" s="408">
        <v>0</v>
      </c>
      <c r="M34" s="408">
        <v>0</v>
      </c>
      <c r="N34" s="408">
        <v>0</v>
      </c>
      <c r="O34" s="408">
        <v>0</v>
      </c>
      <c r="P34" s="408">
        <v>0</v>
      </c>
      <c r="Q34" s="408">
        <v>0</v>
      </c>
      <c r="R34" s="408">
        <v>0</v>
      </c>
    </row>
    <row r="35" spans="1:18" x14ac:dyDescent="0.3">
      <c r="A35" s="406"/>
      <c r="B35" s="413"/>
      <c r="C35" s="408">
        <v>0</v>
      </c>
      <c r="D35" s="408">
        <v>0</v>
      </c>
      <c r="E35" s="408">
        <v>0</v>
      </c>
      <c r="F35" s="408">
        <v>0</v>
      </c>
      <c r="G35" s="408">
        <v>0</v>
      </c>
      <c r="H35" s="408">
        <v>0</v>
      </c>
      <c r="I35" s="408">
        <v>0</v>
      </c>
      <c r="J35" s="408">
        <v>0</v>
      </c>
      <c r="K35" s="408">
        <v>0</v>
      </c>
      <c r="L35" s="408">
        <v>0</v>
      </c>
      <c r="M35" s="408">
        <v>0</v>
      </c>
      <c r="N35" s="408">
        <v>0</v>
      </c>
      <c r="O35" s="408">
        <v>0</v>
      </c>
      <c r="P35" s="408">
        <v>0</v>
      </c>
      <c r="Q35" s="408">
        <v>0</v>
      </c>
      <c r="R35" s="408">
        <v>0</v>
      </c>
    </row>
    <row r="36" spans="1:18" x14ac:dyDescent="0.3">
      <c r="A36" s="406"/>
      <c r="B36" s="416" t="s">
        <v>207</v>
      </c>
      <c r="C36" s="412">
        <f t="shared" ref="C36:L36" si="10">SUM(C31:C35)</f>
        <v>0</v>
      </c>
      <c r="D36" s="412">
        <f t="shared" si="10"/>
        <v>0</v>
      </c>
      <c r="E36" s="412">
        <f t="shared" si="10"/>
        <v>60000</v>
      </c>
      <c r="F36" s="412">
        <f t="shared" si="10"/>
        <v>0</v>
      </c>
      <c r="G36" s="412">
        <f t="shared" si="10"/>
        <v>125000</v>
      </c>
      <c r="H36" s="412">
        <f t="shared" si="10"/>
        <v>315000</v>
      </c>
      <c r="I36" s="412">
        <f t="shared" si="10"/>
        <v>75000</v>
      </c>
      <c r="J36" s="412">
        <f t="shared" si="10"/>
        <v>250000</v>
      </c>
      <c r="K36" s="412">
        <f t="shared" si="10"/>
        <v>0</v>
      </c>
      <c r="L36" s="412">
        <f t="shared" si="10"/>
        <v>80000</v>
      </c>
      <c r="M36" s="412">
        <f t="shared" ref="M36:Q36" si="11">SUM(M31:M35)</f>
        <v>0</v>
      </c>
      <c r="N36" s="412">
        <f t="shared" si="11"/>
        <v>0</v>
      </c>
      <c r="O36" s="412">
        <f t="shared" si="11"/>
        <v>85000</v>
      </c>
      <c r="P36" s="412">
        <f t="shared" si="11"/>
        <v>0</v>
      </c>
      <c r="Q36" s="412">
        <f t="shared" si="11"/>
        <v>0</v>
      </c>
      <c r="R36" s="412">
        <f t="shared" ref="R36" si="12">SUM(R31:R35)</f>
        <v>0</v>
      </c>
    </row>
    <row r="37" spans="1:18" x14ac:dyDescent="0.3">
      <c r="A37" s="406"/>
      <c r="B37" s="415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</row>
    <row r="38" spans="1:18" x14ac:dyDescent="0.3">
      <c r="A38" s="406"/>
      <c r="B38" s="407" t="s">
        <v>239</v>
      </c>
      <c r="C38" s="408">
        <v>0</v>
      </c>
      <c r="D38" s="408">
        <v>48000</v>
      </c>
      <c r="E38" s="408">
        <v>0</v>
      </c>
      <c r="F38" s="408">
        <v>0</v>
      </c>
      <c r="G38" s="408">
        <v>0</v>
      </c>
      <c r="H38" s="408">
        <v>0</v>
      </c>
      <c r="I38" s="408">
        <v>52000</v>
      </c>
      <c r="J38" s="408">
        <v>0</v>
      </c>
      <c r="K38" s="408">
        <v>0</v>
      </c>
      <c r="L38" s="408">
        <v>0</v>
      </c>
      <c r="M38" s="408">
        <v>0</v>
      </c>
      <c r="N38" s="408">
        <v>0</v>
      </c>
      <c r="O38" s="408">
        <v>0</v>
      </c>
      <c r="P38" s="408">
        <v>0</v>
      </c>
      <c r="Q38" s="408">
        <v>0</v>
      </c>
      <c r="R38" s="408">
        <v>0</v>
      </c>
    </row>
    <row r="39" spans="1:18" x14ac:dyDescent="0.3">
      <c r="A39" s="406"/>
      <c r="B39" s="407" t="s">
        <v>234</v>
      </c>
      <c r="C39" s="408">
        <v>0</v>
      </c>
      <c r="D39" s="408">
        <v>0</v>
      </c>
      <c r="E39" s="408">
        <v>15000</v>
      </c>
      <c r="F39" s="408">
        <v>0</v>
      </c>
      <c r="G39" s="408">
        <v>0</v>
      </c>
      <c r="H39" s="408">
        <v>0</v>
      </c>
      <c r="I39" s="408">
        <v>0</v>
      </c>
      <c r="J39" s="408">
        <v>0</v>
      </c>
      <c r="K39" s="408">
        <v>0</v>
      </c>
      <c r="L39" s="408">
        <v>0</v>
      </c>
      <c r="M39" s="408">
        <v>0</v>
      </c>
      <c r="N39" s="408">
        <v>0</v>
      </c>
      <c r="O39" s="408">
        <v>0</v>
      </c>
      <c r="P39" s="408">
        <v>0</v>
      </c>
      <c r="Q39" s="408">
        <v>0</v>
      </c>
      <c r="R39" s="408">
        <v>0</v>
      </c>
    </row>
    <row r="40" spans="1:18" x14ac:dyDescent="0.3">
      <c r="A40" s="406"/>
      <c r="B40" s="407" t="s">
        <v>240</v>
      </c>
      <c r="C40" s="408">
        <v>0</v>
      </c>
      <c r="D40" s="408">
        <v>0</v>
      </c>
      <c r="E40" s="408">
        <v>0</v>
      </c>
      <c r="F40" s="408">
        <v>0</v>
      </c>
      <c r="G40" s="408">
        <v>45000</v>
      </c>
      <c r="H40" s="408">
        <v>0</v>
      </c>
      <c r="I40" s="408">
        <v>0</v>
      </c>
      <c r="J40" s="408">
        <v>0</v>
      </c>
      <c r="K40" s="408">
        <v>50000</v>
      </c>
      <c r="L40" s="408">
        <v>0</v>
      </c>
      <c r="M40" s="408">
        <v>0</v>
      </c>
      <c r="N40" s="408">
        <v>0</v>
      </c>
      <c r="O40" s="408">
        <v>55000</v>
      </c>
      <c r="P40" s="408">
        <v>0</v>
      </c>
      <c r="Q40" s="408">
        <v>0</v>
      </c>
      <c r="R40" s="408">
        <v>0</v>
      </c>
    </row>
    <row r="41" spans="1:18" x14ac:dyDescent="0.3">
      <c r="A41" s="406"/>
      <c r="B41" s="407" t="s">
        <v>238</v>
      </c>
      <c r="C41" s="408">
        <v>0</v>
      </c>
      <c r="D41" s="408">
        <v>0</v>
      </c>
      <c r="E41" s="408">
        <v>0</v>
      </c>
      <c r="F41" s="408">
        <v>57500</v>
      </c>
      <c r="G41" s="408">
        <v>0</v>
      </c>
      <c r="H41" s="408">
        <v>0</v>
      </c>
      <c r="I41" s="408">
        <v>0</v>
      </c>
      <c r="J41" s="408">
        <v>62000</v>
      </c>
      <c r="K41" s="408">
        <v>0</v>
      </c>
      <c r="L41" s="408">
        <v>0</v>
      </c>
      <c r="M41" s="408">
        <v>65000</v>
      </c>
      <c r="N41" s="408">
        <v>0</v>
      </c>
      <c r="O41" s="408">
        <v>0</v>
      </c>
      <c r="P41" s="408">
        <v>0</v>
      </c>
      <c r="Q41" s="408">
        <v>72000</v>
      </c>
      <c r="R41" s="408">
        <v>0</v>
      </c>
    </row>
    <row r="42" spans="1:18" x14ac:dyDescent="0.3">
      <c r="A42" s="406"/>
      <c r="B42" s="407" t="s">
        <v>231</v>
      </c>
      <c r="C42" s="408">
        <v>0</v>
      </c>
      <c r="D42" s="408">
        <v>0</v>
      </c>
      <c r="E42" s="408">
        <v>0</v>
      </c>
      <c r="F42" s="408">
        <v>0</v>
      </c>
      <c r="G42" s="408">
        <v>75000</v>
      </c>
      <c r="H42" s="408">
        <v>0</v>
      </c>
      <c r="I42" s="408">
        <v>80000</v>
      </c>
      <c r="J42" s="408">
        <v>0</v>
      </c>
      <c r="K42" s="408">
        <v>0</v>
      </c>
      <c r="L42" s="408">
        <v>0</v>
      </c>
      <c r="M42" s="408">
        <v>0</v>
      </c>
      <c r="N42" s="408">
        <v>0</v>
      </c>
      <c r="O42" s="408">
        <v>0</v>
      </c>
      <c r="P42" s="408">
        <v>0</v>
      </c>
      <c r="Q42" s="408">
        <v>0</v>
      </c>
      <c r="R42" s="408">
        <v>0</v>
      </c>
    </row>
    <row r="43" spans="1:18" x14ac:dyDescent="0.3">
      <c r="A43" s="406"/>
      <c r="B43" s="416" t="s">
        <v>208</v>
      </c>
      <c r="C43" s="417">
        <f t="shared" ref="C43:L43" si="13">SUM(C38:C42)</f>
        <v>0</v>
      </c>
      <c r="D43" s="417">
        <f t="shared" si="13"/>
        <v>48000</v>
      </c>
      <c r="E43" s="417">
        <f t="shared" si="13"/>
        <v>15000</v>
      </c>
      <c r="F43" s="417">
        <f t="shared" si="13"/>
        <v>57500</v>
      </c>
      <c r="G43" s="417">
        <f t="shared" si="13"/>
        <v>120000</v>
      </c>
      <c r="H43" s="417">
        <f t="shared" si="13"/>
        <v>0</v>
      </c>
      <c r="I43" s="417">
        <f t="shared" si="13"/>
        <v>132000</v>
      </c>
      <c r="J43" s="417">
        <f t="shared" si="13"/>
        <v>62000</v>
      </c>
      <c r="K43" s="417">
        <f t="shared" si="13"/>
        <v>50000</v>
      </c>
      <c r="L43" s="417">
        <f t="shared" si="13"/>
        <v>0</v>
      </c>
      <c r="M43" s="417">
        <f t="shared" ref="M43:Q43" si="14">SUM(M38:M42)</f>
        <v>65000</v>
      </c>
      <c r="N43" s="417">
        <f t="shared" si="14"/>
        <v>0</v>
      </c>
      <c r="O43" s="417">
        <f t="shared" si="14"/>
        <v>55000</v>
      </c>
      <c r="P43" s="417">
        <f t="shared" si="14"/>
        <v>0</v>
      </c>
      <c r="Q43" s="417">
        <f t="shared" si="14"/>
        <v>72000</v>
      </c>
      <c r="R43" s="417">
        <f t="shared" ref="R43" si="15">SUM(R38:R42)</f>
        <v>0</v>
      </c>
    </row>
    <row r="44" spans="1:18" x14ac:dyDescent="0.3">
      <c r="A44" s="406"/>
      <c r="B44" s="415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</row>
    <row r="45" spans="1:18" x14ac:dyDescent="0.3">
      <c r="A45" s="406"/>
      <c r="B45" s="407"/>
      <c r="C45" s="408">
        <v>0</v>
      </c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v>0</v>
      </c>
      <c r="M45" s="408">
        <v>0</v>
      </c>
      <c r="N45" s="408">
        <v>0</v>
      </c>
      <c r="O45" s="408">
        <v>0</v>
      </c>
      <c r="P45" s="408">
        <v>0</v>
      </c>
      <c r="Q45" s="408">
        <v>0</v>
      </c>
      <c r="R45" s="408">
        <v>0</v>
      </c>
    </row>
    <row r="46" spans="1:18" x14ac:dyDescent="0.3">
      <c r="A46" s="406"/>
      <c r="C46" s="408">
        <v>0</v>
      </c>
      <c r="D46" s="408">
        <v>0</v>
      </c>
      <c r="E46" s="408">
        <v>0</v>
      </c>
      <c r="F46" s="408">
        <v>0</v>
      </c>
      <c r="G46" s="408">
        <v>0</v>
      </c>
      <c r="H46" s="408">
        <v>0</v>
      </c>
      <c r="I46" s="408">
        <v>0</v>
      </c>
      <c r="J46" s="408">
        <v>0</v>
      </c>
      <c r="K46" s="408">
        <v>0</v>
      </c>
      <c r="L46" s="408">
        <v>0</v>
      </c>
      <c r="M46" s="408">
        <v>0</v>
      </c>
      <c r="N46" s="408">
        <v>0</v>
      </c>
      <c r="O46" s="408">
        <v>0</v>
      </c>
      <c r="P46" s="408">
        <v>0</v>
      </c>
      <c r="Q46" s="408">
        <v>0</v>
      </c>
      <c r="R46" s="408">
        <v>0</v>
      </c>
    </row>
    <row r="47" spans="1:18" x14ac:dyDescent="0.3">
      <c r="A47" s="406"/>
      <c r="B47" s="416" t="s">
        <v>209</v>
      </c>
      <c r="C47" s="412">
        <f t="shared" ref="C47:L47" si="16">SUM(C45:C46)</f>
        <v>0</v>
      </c>
      <c r="D47" s="412">
        <f t="shared" si="16"/>
        <v>0</v>
      </c>
      <c r="E47" s="412">
        <f t="shared" si="16"/>
        <v>0</v>
      </c>
      <c r="F47" s="412">
        <f t="shared" si="16"/>
        <v>0</v>
      </c>
      <c r="G47" s="412">
        <f t="shared" si="16"/>
        <v>0</v>
      </c>
      <c r="H47" s="412">
        <f t="shared" si="16"/>
        <v>0</v>
      </c>
      <c r="I47" s="412">
        <f t="shared" si="16"/>
        <v>0</v>
      </c>
      <c r="J47" s="412">
        <f t="shared" si="16"/>
        <v>0</v>
      </c>
      <c r="K47" s="412">
        <f t="shared" si="16"/>
        <v>0</v>
      </c>
      <c r="L47" s="412">
        <f t="shared" si="16"/>
        <v>0</v>
      </c>
      <c r="M47" s="412">
        <f t="shared" ref="M47:Q47" si="17">SUM(M45:M46)</f>
        <v>0</v>
      </c>
      <c r="N47" s="412">
        <f t="shared" si="17"/>
        <v>0</v>
      </c>
      <c r="O47" s="412">
        <f t="shared" si="17"/>
        <v>0</v>
      </c>
      <c r="P47" s="412">
        <f t="shared" si="17"/>
        <v>0</v>
      </c>
      <c r="Q47" s="412">
        <f t="shared" si="17"/>
        <v>0</v>
      </c>
      <c r="R47" s="412">
        <f t="shared" ref="R47" si="18">SUM(R45:R46)</f>
        <v>0</v>
      </c>
    </row>
    <row r="48" spans="1:18" x14ac:dyDescent="0.3">
      <c r="A48" s="406"/>
      <c r="B48" s="415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  <row r="49" spans="1:18" x14ac:dyDescent="0.3">
      <c r="A49" s="406"/>
      <c r="B49" s="407" t="s">
        <v>235</v>
      </c>
      <c r="C49" s="408">
        <v>0</v>
      </c>
      <c r="D49" s="408">
        <v>0</v>
      </c>
      <c r="E49" s="408">
        <v>100000</v>
      </c>
      <c r="F49" s="408">
        <v>100000</v>
      </c>
      <c r="G49" s="408">
        <v>0</v>
      </c>
      <c r="H49" s="408">
        <v>0</v>
      </c>
      <c r="I49" s="408">
        <v>0</v>
      </c>
      <c r="J49" s="408">
        <v>0</v>
      </c>
      <c r="K49" s="408">
        <v>0</v>
      </c>
      <c r="L49" s="408">
        <v>0</v>
      </c>
      <c r="M49" s="408">
        <v>0</v>
      </c>
      <c r="N49" s="408">
        <v>0</v>
      </c>
      <c r="O49" s="408">
        <v>0</v>
      </c>
      <c r="P49" s="408">
        <v>0</v>
      </c>
      <c r="Q49" s="408">
        <v>0</v>
      </c>
      <c r="R49" s="408">
        <v>0</v>
      </c>
    </row>
    <row r="50" spans="1:18" x14ac:dyDescent="0.3">
      <c r="A50" s="406"/>
      <c r="B50" s="397" t="s">
        <v>241</v>
      </c>
      <c r="C50" s="408">
        <v>0</v>
      </c>
      <c r="D50" s="408">
        <v>0</v>
      </c>
      <c r="E50" s="408">
        <v>0</v>
      </c>
      <c r="F50" s="408">
        <v>0</v>
      </c>
      <c r="G50" s="408">
        <v>0</v>
      </c>
      <c r="H50" s="408">
        <v>75000</v>
      </c>
      <c r="I50" s="408">
        <v>0</v>
      </c>
      <c r="J50" s="408">
        <v>0</v>
      </c>
      <c r="K50" s="408">
        <v>0</v>
      </c>
      <c r="L50" s="408">
        <v>0</v>
      </c>
      <c r="M50" s="408">
        <v>0</v>
      </c>
      <c r="N50" s="408">
        <v>0</v>
      </c>
      <c r="O50" s="408">
        <v>0</v>
      </c>
      <c r="P50" s="408">
        <v>0</v>
      </c>
      <c r="Q50" s="408">
        <v>0</v>
      </c>
      <c r="R50" s="408">
        <v>0</v>
      </c>
    </row>
    <row r="51" spans="1:18" x14ac:dyDescent="0.3">
      <c r="A51" s="406"/>
      <c r="B51" s="407"/>
      <c r="C51" s="408">
        <v>0</v>
      </c>
      <c r="D51" s="408">
        <v>0</v>
      </c>
      <c r="E51" s="408">
        <v>0</v>
      </c>
      <c r="F51" s="408">
        <v>0</v>
      </c>
      <c r="G51" s="408">
        <v>0</v>
      </c>
      <c r="H51" s="408">
        <v>0</v>
      </c>
      <c r="I51" s="408">
        <v>0</v>
      </c>
      <c r="J51" s="408">
        <v>0</v>
      </c>
      <c r="K51" s="408">
        <v>0</v>
      </c>
      <c r="L51" s="408">
        <v>0</v>
      </c>
      <c r="M51" s="408">
        <v>0</v>
      </c>
      <c r="N51" s="408">
        <v>0</v>
      </c>
      <c r="O51" s="408">
        <v>0</v>
      </c>
      <c r="P51" s="408">
        <v>0</v>
      </c>
      <c r="Q51" s="408">
        <v>0</v>
      </c>
      <c r="R51" s="408">
        <v>0</v>
      </c>
    </row>
    <row r="52" spans="1:18" x14ac:dyDescent="0.3">
      <c r="A52" s="406"/>
      <c r="C52" s="408">
        <v>0</v>
      </c>
      <c r="D52" s="408">
        <v>0</v>
      </c>
      <c r="E52" s="408">
        <v>0</v>
      </c>
      <c r="F52" s="408">
        <v>0</v>
      </c>
      <c r="G52" s="408">
        <v>0</v>
      </c>
      <c r="H52" s="408">
        <v>0</v>
      </c>
      <c r="I52" s="408">
        <v>0</v>
      </c>
      <c r="J52" s="408">
        <v>0</v>
      </c>
      <c r="K52" s="408">
        <v>0</v>
      </c>
      <c r="L52" s="408">
        <v>0</v>
      </c>
      <c r="M52" s="408">
        <v>0</v>
      </c>
      <c r="N52" s="408">
        <v>0</v>
      </c>
      <c r="O52" s="408">
        <v>0</v>
      </c>
      <c r="P52" s="408">
        <v>0</v>
      </c>
      <c r="Q52" s="408">
        <v>0</v>
      </c>
      <c r="R52" s="408">
        <v>0</v>
      </c>
    </row>
    <row r="53" spans="1:18" x14ac:dyDescent="0.3">
      <c r="A53" s="406"/>
      <c r="B53" s="416" t="s">
        <v>210</v>
      </c>
      <c r="C53" s="412">
        <f>SUM(C49:C52)</f>
        <v>0</v>
      </c>
      <c r="D53" s="412">
        <f t="shared" ref="D53:R53" si="19">SUM(D49:D52)</f>
        <v>0</v>
      </c>
      <c r="E53" s="412">
        <f t="shared" si="19"/>
        <v>100000</v>
      </c>
      <c r="F53" s="412">
        <f t="shared" si="19"/>
        <v>100000</v>
      </c>
      <c r="G53" s="412">
        <f t="shared" si="19"/>
        <v>0</v>
      </c>
      <c r="H53" s="412">
        <f t="shared" si="19"/>
        <v>75000</v>
      </c>
      <c r="I53" s="412">
        <f t="shared" si="19"/>
        <v>0</v>
      </c>
      <c r="J53" s="412">
        <f t="shared" si="19"/>
        <v>0</v>
      </c>
      <c r="K53" s="412">
        <f t="shared" si="19"/>
        <v>0</v>
      </c>
      <c r="L53" s="412">
        <f t="shared" si="19"/>
        <v>0</v>
      </c>
      <c r="M53" s="412">
        <f t="shared" si="19"/>
        <v>0</v>
      </c>
      <c r="N53" s="412">
        <f t="shared" si="19"/>
        <v>0</v>
      </c>
      <c r="O53" s="412">
        <f t="shared" si="19"/>
        <v>0</v>
      </c>
      <c r="P53" s="412">
        <f t="shared" si="19"/>
        <v>0</v>
      </c>
      <c r="Q53" s="412">
        <f t="shared" si="19"/>
        <v>0</v>
      </c>
      <c r="R53" s="412">
        <f t="shared" si="19"/>
        <v>0</v>
      </c>
    </row>
    <row r="54" spans="1:18" x14ac:dyDescent="0.3">
      <c r="A54" s="406"/>
      <c r="B54" s="415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</row>
    <row r="55" spans="1:18" x14ac:dyDescent="0.3">
      <c r="A55" s="485" t="s">
        <v>211</v>
      </c>
      <c r="B55" s="485"/>
      <c r="C55" s="418">
        <f t="shared" ref="C55:R55" si="20">+C12+C28+C36+C43+C47+C53</f>
        <v>25000</v>
      </c>
      <c r="D55" s="418">
        <f t="shared" si="20"/>
        <v>88000</v>
      </c>
      <c r="E55" s="418">
        <f t="shared" si="20"/>
        <v>250000</v>
      </c>
      <c r="F55" s="418">
        <f t="shared" si="20"/>
        <v>282500</v>
      </c>
      <c r="G55" s="418">
        <f t="shared" si="20"/>
        <v>305000</v>
      </c>
      <c r="H55" s="418">
        <f t="shared" si="20"/>
        <v>570000</v>
      </c>
      <c r="I55" s="418">
        <f t="shared" si="20"/>
        <v>482000</v>
      </c>
      <c r="J55" s="418">
        <f t="shared" si="20"/>
        <v>602000</v>
      </c>
      <c r="K55" s="418">
        <f t="shared" si="20"/>
        <v>280000</v>
      </c>
      <c r="L55" s="418">
        <f t="shared" si="20"/>
        <v>115000</v>
      </c>
      <c r="M55" s="418">
        <f t="shared" si="20"/>
        <v>110000</v>
      </c>
      <c r="N55" s="418">
        <f t="shared" si="20"/>
        <v>0</v>
      </c>
      <c r="O55" s="418">
        <f t="shared" si="20"/>
        <v>140000</v>
      </c>
      <c r="P55" s="418">
        <f t="shared" si="20"/>
        <v>90000</v>
      </c>
      <c r="Q55" s="418">
        <f t="shared" si="20"/>
        <v>72000</v>
      </c>
      <c r="R55" s="418">
        <f t="shared" si="20"/>
        <v>0</v>
      </c>
    </row>
    <row r="56" spans="1:18" x14ac:dyDescent="0.3">
      <c r="A56" s="406"/>
      <c r="B56" s="407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</row>
    <row r="57" spans="1:18" x14ac:dyDescent="0.3">
      <c r="A57" s="419" t="s">
        <v>212</v>
      </c>
      <c r="B57" s="420" t="s">
        <v>213</v>
      </c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</row>
    <row r="58" spans="1:18" x14ac:dyDescent="0.3">
      <c r="A58" s="406"/>
      <c r="B58" s="420" t="s">
        <v>214</v>
      </c>
      <c r="C58" s="190">
        <v>0</v>
      </c>
      <c r="D58" s="190">
        <v>0</v>
      </c>
      <c r="E58" s="190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</row>
    <row r="59" spans="1:18" x14ac:dyDescent="0.3">
      <c r="A59" s="406"/>
      <c r="B59" s="421" t="s">
        <v>215</v>
      </c>
      <c r="C59" s="180">
        <v>0</v>
      </c>
      <c r="D59" s="180">
        <v>0</v>
      </c>
      <c r="E59" s="180">
        <v>0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0</v>
      </c>
      <c r="N59" s="180">
        <v>0</v>
      </c>
      <c r="O59" s="180">
        <v>0</v>
      </c>
      <c r="P59" s="180">
        <v>0</v>
      </c>
      <c r="Q59" s="180">
        <v>0</v>
      </c>
      <c r="R59" s="180">
        <v>0</v>
      </c>
    </row>
    <row r="60" spans="1:18" x14ac:dyDescent="0.3">
      <c r="A60" s="406"/>
      <c r="B60" s="421" t="s">
        <v>216</v>
      </c>
      <c r="C60" s="180">
        <v>0</v>
      </c>
      <c r="D60" s="180">
        <v>0</v>
      </c>
      <c r="E60" s="180"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80">
        <v>0</v>
      </c>
      <c r="N60" s="180">
        <v>0</v>
      </c>
      <c r="O60" s="180">
        <v>0</v>
      </c>
      <c r="P60" s="180">
        <v>0</v>
      </c>
      <c r="Q60" s="180">
        <v>0</v>
      </c>
      <c r="R60" s="180">
        <v>0</v>
      </c>
    </row>
    <row r="61" spans="1:18" x14ac:dyDescent="0.3">
      <c r="A61" s="406"/>
      <c r="B61" s="421" t="s">
        <v>216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</row>
    <row r="62" spans="1:18" x14ac:dyDescent="0.3">
      <c r="A62" s="406"/>
      <c r="B62" s="420" t="s">
        <v>217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</row>
    <row r="63" spans="1:18" x14ac:dyDescent="0.3">
      <c r="A63" s="406"/>
      <c r="B63" s="397" t="s">
        <v>218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</row>
    <row r="64" spans="1:18" x14ac:dyDescent="0.3">
      <c r="A64" s="406"/>
      <c r="B64" s="397" t="s">
        <v>219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</row>
    <row r="65" spans="1:18" x14ac:dyDescent="0.3">
      <c r="A65" s="406"/>
      <c r="B65" s="397" t="s">
        <v>220</v>
      </c>
      <c r="C65" s="180">
        <v>0</v>
      </c>
      <c r="D65" s="180">
        <v>0</v>
      </c>
      <c r="E65" s="180">
        <v>0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</row>
    <row r="66" spans="1:18" x14ac:dyDescent="0.3">
      <c r="A66" s="406"/>
      <c r="B66" s="422" t="s">
        <v>221</v>
      </c>
      <c r="C66" s="423">
        <v>0</v>
      </c>
      <c r="D66" s="423">
        <v>0</v>
      </c>
      <c r="E66" s="423">
        <v>0</v>
      </c>
      <c r="F66" s="423">
        <v>0</v>
      </c>
      <c r="G66" s="423">
        <v>0</v>
      </c>
      <c r="H66" s="423">
        <v>0</v>
      </c>
      <c r="I66" s="423">
        <v>0</v>
      </c>
      <c r="J66" s="423">
        <v>0</v>
      </c>
      <c r="K66" s="423">
        <v>0</v>
      </c>
      <c r="L66" s="423">
        <v>0</v>
      </c>
      <c r="M66" s="423">
        <v>0</v>
      </c>
      <c r="N66" s="423">
        <v>0</v>
      </c>
      <c r="O66" s="423">
        <v>0</v>
      </c>
      <c r="P66" s="423">
        <v>0</v>
      </c>
      <c r="Q66" s="423">
        <v>0</v>
      </c>
      <c r="R66" s="423">
        <v>0</v>
      </c>
    </row>
    <row r="67" spans="1:18" x14ac:dyDescent="0.3">
      <c r="A67" s="424" t="s">
        <v>222</v>
      </c>
      <c r="B67" s="425"/>
      <c r="C67" s="180">
        <f t="shared" ref="C67:L67" si="21">SUM(C57:C66)</f>
        <v>0</v>
      </c>
      <c r="D67" s="180">
        <f t="shared" si="21"/>
        <v>0</v>
      </c>
      <c r="E67" s="180">
        <f t="shared" si="21"/>
        <v>0</v>
      </c>
      <c r="F67" s="180">
        <f t="shared" si="21"/>
        <v>0</v>
      </c>
      <c r="G67" s="180">
        <f t="shared" si="21"/>
        <v>0</v>
      </c>
      <c r="H67" s="180">
        <f t="shared" si="21"/>
        <v>0</v>
      </c>
      <c r="I67" s="180">
        <f t="shared" si="21"/>
        <v>0</v>
      </c>
      <c r="J67" s="180">
        <f t="shared" si="21"/>
        <v>0</v>
      </c>
      <c r="K67" s="180">
        <f t="shared" si="21"/>
        <v>0</v>
      </c>
      <c r="L67" s="180">
        <f t="shared" si="21"/>
        <v>0</v>
      </c>
      <c r="M67" s="180">
        <f t="shared" ref="M67:Q67" si="22">SUM(M57:M66)</f>
        <v>0</v>
      </c>
      <c r="N67" s="180">
        <f t="shared" si="22"/>
        <v>0</v>
      </c>
      <c r="O67" s="180">
        <f t="shared" si="22"/>
        <v>0</v>
      </c>
      <c r="P67" s="180">
        <f t="shared" si="22"/>
        <v>0</v>
      </c>
      <c r="Q67" s="180">
        <f t="shared" si="22"/>
        <v>0</v>
      </c>
      <c r="R67" s="180">
        <f t="shared" ref="R67" si="23">SUM(R57:R66)</f>
        <v>0</v>
      </c>
    </row>
    <row r="68" spans="1:18" x14ac:dyDescent="0.3">
      <c r="A68" s="426" t="s">
        <v>223</v>
      </c>
      <c r="C68" s="427">
        <f t="shared" ref="C68:L68" si="24">+C67-C55</f>
        <v>-25000</v>
      </c>
      <c r="D68" s="427">
        <f t="shared" si="24"/>
        <v>-88000</v>
      </c>
      <c r="E68" s="427">
        <f t="shared" si="24"/>
        <v>-250000</v>
      </c>
      <c r="F68" s="427">
        <f t="shared" si="24"/>
        <v>-282500</v>
      </c>
      <c r="G68" s="427">
        <f t="shared" si="24"/>
        <v>-305000</v>
      </c>
      <c r="H68" s="427">
        <f t="shared" si="24"/>
        <v>-570000</v>
      </c>
      <c r="I68" s="427">
        <f t="shared" si="24"/>
        <v>-482000</v>
      </c>
      <c r="J68" s="427">
        <f t="shared" si="24"/>
        <v>-602000</v>
      </c>
      <c r="K68" s="427">
        <f t="shared" si="24"/>
        <v>-280000</v>
      </c>
      <c r="L68" s="427">
        <f t="shared" si="24"/>
        <v>-115000</v>
      </c>
      <c r="M68" s="427">
        <f t="shared" ref="M68:Q68" si="25">+M67-M55</f>
        <v>-110000</v>
      </c>
      <c r="N68" s="427">
        <f t="shared" si="25"/>
        <v>0</v>
      </c>
      <c r="O68" s="427">
        <f t="shared" si="25"/>
        <v>-140000</v>
      </c>
      <c r="P68" s="427">
        <f t="shared" si="25"/>
        <v>-90000</v>
      </c>
      <c r="Q68" s="427">
        <f t="shared" si="25"/>
        <v>-72000</v>
      </c>
      <c r="R68" s="427">
        <f t="shared" ref="R68" si="26">+R67-R55</f>
        <v>0</v>
      </c>
    </row>
    <row r="69" spans="1:18" x14ac:dyDescent="0.3">
      <c r="A69" s="406"/>
      <c r="B69" s="407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</row>
    <row r="70" spans="1:18" x14ac:dyDescent="0.3">
      <c r="A70" s="406"/>
      <c r="B70" s="407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400"/>
    </row>
    <row r="71" spans="1:18" x14ac:dyDescent="0.3">
      <c r="C71" s="428"/>
      <c r="D71" s="428"/>
      <c r="E71" s="428"/>
      <c r="F71" s="428"/>
      <c r="G71" s="428"/>
      <c r="H71" s="428"/>
      <c r="I71" s="428"/>
      <c r="J71" s="428"/>
      <c r="K71" s="428"/>
    </row>
    <row r="72" spans="1:18" x14ac:dyDescent="0.3">
      <c r="C72" s="428"/>
      <c r="D72" s="428"/>
      <c r="E72" s="428"/>
      <c r="F72" s="428"/>
      <c r="G72" s="428"/>
      <c r="H72" s="428"/>
      <c r="I72" s="428"/>
      <c r="J72" s="428"/>
      <c r="K72" s="428"/>
    </row>
    <row r="73" spans="1:18" x14ac:dyDescent="0.3">
      <c r="C73" s="428"/>
      <c r="D73" s="428"/>
      <c r="E73" s="428"/>
      <c r="F73" s="428"/>
      <c r="G73" s="428"/>
      <c r="H73" s="428"/>
      <c r="I73" s="428"/>
      <c r="J73" s="428"/>
      <c r="K73" s="428"/>
    </row>
    <row r="74" spans="1:18" x14ac:dyDescent="0.3">
      <c r="C74" s="428"/>
      <c r="D74" s="428"/>
      <c r="E74" s="428"/>
      <c r="F74" s="428"/>
      <c r="G74" s="428"/>
      <c r="H74" s="428"/>
      <c r="I74" s="428"/>
      <c r="J74" s="428"/>
      <c r="K74" s="428"/>
    </row>
    <row r="75" spans="1:18" x14ac:dyDescent="0.3">
      <c r="C75" s="428"/>
      <c r="D75" s="428"/>
      <c r="E75" s="428"/>
      <c r="F75" s="428"/>
      <c r="G75" s="428"/>
      <c r="H75" s="428"/>
      <c r="I75" s="428"/>
      <c r="J75" s="428"/>
      <c r="K75" s="428"/>
    </row>
    <row r="76" spans="1:18" x14ac:dyDescent="0.3">
      <c r="C76" s="428"/>
      <c r="D76" s="428"/>
      <c r="E76" s="428"/>
      <c r="F76" s="428"/>
      <c r="G76" s="428"/>
      <c r="H76" s="428"/>
      <c r="I76" s="428"/>
      <c r="J76" s="428"/>
      <c r="K76" s="428"/>
    </row>
    <row r="77" spans="1:18" x14ac:dyDescent="0.3">
      <c r="C77" s="428"/>
      <c r="D77" s="428"/>
      <c r="E77" s="428"/>
      <c r="F77" s="428"/>
      <c r="G77" s="428"/>
      <c r="H77" s="428"/>
      <c r="I77" s="428"/>
      <c r="J77" s="428"/>
      <c r="K77" s="428"/>
    </row>
    <row r="78" spans="1:18" x14ac:dyDescent="0.3">
      <c r="C78" s="428"/>
      <c r="D78" s="428"/>
      <c r="E78" s="428"/>
      <c r="F78" s="428"/>
      <c r="G78" s="428"/>
      <c r="H78" s="428"/>
      <c r="I78" s="428"/>
      <c r="J78" s="428"/>
      <c r="K78" s="428"/>
    </row>
    <row r="79" spans="1:18" x14ac:dyDescent="0.3">
      <c r="C79" s="428"/>
      <c r="D79" s="428"/>
      <c r="E79" s="428"/>
      <c r="F79" s="428"/>
      <c r="G79" s="428"/>
      <c r="H79" s="428"/>
      <c r="I79" s="428"/>
      <c r="J79" s="428"/>
      <c r="K79" s="428"/>
    </row>
    <row r="80" spans="1:18" x14ac:dyDescent="0.3">
      <c r="C80" s="428"/>
      <c r="D80" s="428"/>
      <c r="E80" s="428"/>
      <c r="F80" s="428"/>
      <c r="G80" s="428"/>
      <c r="H80" s="428"/>
      <c r="I80" s="428"/>
      <c r="J80" s="428"/>
      <c r="K80" s="428"/>
    </row>
    <row r="81" spans="3:11" x14ac:dyDescent="0.3">
      <c r="C81" s="428"/>
      <c r="D81" s="428"/>
      <c r="E81" s="428"/>
      <c r="F81" s="428"/>
      <c r="G81" s="428"/>
      <c r="H81" s="428"/>
      <c r="I81" s="428"/>
      <c r="J81" s="428"/>
      <c r="K81" s="428"/>
    </row>
    <row r="82" spans="3:11" x14ac:dyDescent="0.3">
      <c r="C82" s="428"/>
      <c r="D82" s="428"/>
      <c r="E82" s="428"/>
      <c r="F82" s="428"/>
      <c r="G82" s="428"/>
      <c r="H82" s="428"/>
      <c r="I82" s="428"/>
      <c r="J82" s="428"/>
      <c r="K82" s="428"/>
    </row>
    <row r="83" spans="3:11" x14ac:dyDescent="0.3">
      <c r="C83" s="428"/>
      <c r="D83" s="428"/>
      <c r="E83" s="428"/>
      <c r="F83" s="428"/>
      <c r="G83" s="428"/>
      <c r="H83" s="428"/>
      <c r="I83" s="428"/>
      <c r="J83" s="428"/>
      <c r="K83" s="428"/>
    </row>
    <row r="84" spans="3:11" x14ac:dyDescent="0.3">
      <c r="C84" s="428"/>
      <c r="D84" s="428"/>
      <c r="E84" s="428"/>
      <c r="F84" s="428"/>
      <c r="G84" s="428"/>
      <c r="H84" s="428"/>
      <c r="I84" s="428"/>
      <c r="J84" s="428"/>
      <c r="K84" s="428"/>
    </row>
    <row r="85" spans="3:11" x14ac:dyDescent="0.3">
      <c r="C85" s="428"/>
      <c r="D85" s="428"/>
      <c r="E85" s="428"/>
      <c r="F85" s="428"/>
      <c r="G85" s="428"/>
      <c r="H85" s="428"/>
      <c r="I85" s="428"/>
      <c r="J85" s="428"/>
      <c r="K85" s="428"/>
    </row>
    <row r="86" spans="3:11" x14ac:dyDescent="0.3">
      <c r="C86" s="428"/>
      <c r="D86" s="428"/>
      <c r="E86" s="428"/>
      <c r="F86" s="428"/>
      <c r="G86" s="428"/>
      <c r="H86" s="428"/>
      <c r="I86" s="428"/>
      <c r="J86" s="428"/>
      <c r="K86" s="428"/>
    </row>
    <row r="87" spans="3:11" x14ac:dyDescent="0.3">
      <c r="C87" s="428"/>
      <c r="D87" s="428"/>
      <c r="E87" s="428"/>
      <c r="F87" s="428"/>
      <c r="G87" s="428"/>
      <c r="H87" s="428"/>
      <c r="I87" s="428"/>
      <c r="J87" s="428"/>
      <c r="K87" s="428"/>
    </row>
    <row r="88" spans="3:11" x14ac:dyDescent="0.3">
      <c r="C88" s="428"/>
      <c r="D88" s="428"/>
      <c r="E88" s="428"/>
      <c r="F88" s="428"/>
      <c r="G88" s="428"/>
      <c r="H88" s="428"/>
      <c r="I88" s="428"/>
      <c r="J88" s="428"/>
      <c r="K88" s="428"/>
    </row>
    <row r="89" spans="3:11" x14ac:dyDescent="0.3">
      <c r="C89" s="428"/>
      <c r="D89" s="428"/>
      <c r="E89" s="428"/>
      <c r="F89" s="428"/>
      <c r="G89" s="428"/>
      <c r="H89" s="428"/>
      <c r="I89" s="428"/>
      <c r="J89" s="428"/>
      <c r="K89" s="428"/>
    </row>
    <row r="90" spans="3:11" x14ac:dyDescent="0.3">
      <c r="C90" s="428"/>
      <c r="D90" s="428"/>
      <c r="E90" s="428"/>
      <c r="F90" s="428"/>
      <c r="G90" s="428"/>
      <c r="H90" s="428"/>
      <c r="I90" s="428"/>
      <c r="J90" s="428"/>
      <c r="K90" s="428"/>
    </row>
    <row r="91" spans="3:11" x14ac:dyDescent="0.3">
      <c r="C91" s="428"/>
      <c r="D91" s="428"/>
      <c r="E91" s="428"/>
      <c r="F91" s="428"/>
      <c r="G91" s="428"/>
      <c r="H91" s="428"/>
      <c r="I91" s="428"/>
      <c r="J91" s="428"/>
      <c r="K91" s="428"/>
    </row>
    <row r="92" spans="3:11" x14ac:dyDescent="0.3">
      <c r="C92" s="428"/>
      <c r="D92" s="428"/>
      <c r="E92" s="428"/>
      <c r="F92" s="428"/>
      <c r="G92" s="428"/>
      <c r="H92" s="428"/>
      <c r="I92" s="428"/>
      <c r="J92" s="428"/>
      <c r="K92" s="428"/>
    </row>
    <row r="93" spans="3:11" x14ac:dyDescent="0.3">
      <c r="C93" s="428"/>
      <c r="D93" s="428"/>
      <c r="E93" s="428"/>
      <c r="F93" s="428"/>
      <c r="G93" s="428"/>
      <c r="H93" s="428"/>
      <c r="I93" s="428"/>
      <c r="J93" s="428"/>
      <c r="K93" s="428"/>
    </row>
  </sheetData>
  <mergeCells count="2">
    <mergeCell ref="A2:B2"/>
    <mergeCell ref="A55:B55"/>
  </mergeCells>
  <phoneticPr fontId="31" type="noConversion"/>
  <pageMargins left="0.25" right="0.25" top="0.5" bottom="0.5" header="0.3" footer="0.3"/>
  <pageSetup scale="68" fitToHeight="3" orientation="landscape" r:id="rId1"/>
  <headerFooter>
    <oddFooter>&amp;L&amp;9&amp;A&amp;C&amp;10page &amp;P of &amp;N&amp;R&amp;9&amp;D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3816-723A-41E6-A7BE-062389AA872F}">
  <sheetPr>
    <pageSetUpPr fitToPage="1"/>
  </sheetPr>
  <dimension ref="A1:F52"/>
  <sheetViews>
    <sheetView zoomScaleNormal="100" workbookViewId="0"/>
  </sheetViews>
  <sheetFormatPr defaultColWidth="12" defaultRowHeight="14.5" x14ac:dyDescent="0.35"/>
  <cols>
    <col min="1" max="1" width="8.77734375" style="445" customWidth="1"/>
    <col min="2" max="2" width="14.77734375" style="445" customWidth="1"/>
    <col min="3" max="4" width="14.44140625" style="459" bestFit="1" customWidth="1"/>
    <col min="5" max="5" width="14.44140625" style="459" customWidth="1"/>
    <col min="6" max="6" width="14.109375" style="445" customWidth="1"/>
    <col min="7" max="16384" width="12" style="445"/>
  </cols>
  <sheetData>
    <row r="1" spans="1:6" x14ac:dyDescent="0.35">
      <c r="A1" s="442"/>
      <c r="B1" s="443"/>
      <c r="C1" s="444"/>
      <c r="D1" s="444"/>
      <c r="E1" s="444"/>
      <c r="F1" s="443"/>
    </row>
    <row r="2" spans="1:6" x14ac:dyDescent="0.35">
      <c r="A2" s="486" t="s">
        <v>291</v>
      </c>
      <c r="B2" s="486"/>
      <c r="C2" s="486"/>
      <c r="D2" s="486"/>
      <c r="E2" s="486"/>
      <c r="F2" s="486"/>
    </row>
    <row r="3" spans="1:6" ht="15" thickBot="1" x14ac:dyDescent="0.4">
      <c r="A3" s="446"/>
      <c r="B3" s="447"/>
      <c r="C3" s="448"/>
      <c r="D3" s="448"/>
      <c r="E3" s="448"/>
      <c r="F3" s="447"/>
    </row>
    <row r="4" spans="1:6" s="451" customFormat="1" ht="7.5" customHeight="1" x14ac:dyDescent="0.3">
      <c r="A4" s="449"/>
      <c r="B4" s="449"/>
      <c r="C4" s="450"/>
      <c r="D4" s="450"/>
      <c r="E4" s="450"/>
      <c r="F4" s="449"/>
    </row>
    <row r="5" spans="1:6" s="451" customFormat="1" ht="13" x14ac:dyDescent="0.3">
      <c r="A5" s="449"/>
      <c r="B5" s="449" t="s">
        <v>282</v>
      </c>
      <c r="C5" s="450">
        <v>2750000</v>
      </c>
      <c r="D5" s="450"/>
      <c r="E5" s="450"/>
      <c r="F5" s="449"/>
    </row>
    <row r="6" spans="1:6" s="451" customFormat="1" ht="13" x14ac:dyDescent="0.3">
      <c r="A6" s="449"/>
      <c r="B6" s="449" t="s">
        <v>283</v>
      </c>
      <c r="C6" s="452">
        <v>1.8749999999999999E-2</v>
      </c>
      <c r="D6" s="450"/>
      <c r="E6" s="450"/>
      <c r="F6" s="449"/>
    </row>
    <row r="7" spans="1:6" s="451" customFormat="1" ht="13" x14ac:dyDescent="0.3">
      <c r="A7" s="449"/>
      <c r="B7" s="449" t="s">
        <v>284</v>
      </c>
      <c r="C7" s="453">
        <v>10</v>
      </c>
      <c r="D7" s="450"/>
      <c r="E7" s="450"/>
      <c r="F7" s="449"/>
    </row>
    <row r="8" spans="1:6" s="451" customFormat="1" ht="13" x14ac:dyDescent="0.3">
      <c r="A8" s="449"/>
      <c r="B8" s="449" t="s">
        <v>285</v>
      </c>
      <c r="C8" s="450"/>
      <c r="D8" s="450"/>
      <c r="E8" s="450"/>
      <c r="F8" s="449"/>
    </row>
    <row r="9" spans="1:6" s="451" customFormat="1" ht="13" x14ac:dyDescent="0.3">
      <c r="A9" s="449"/>
      <c r="B9" s="449"/>
      <c r="C9" s="450"/>
      <c r="D9" s="450"/>
      <c r="E9" s="450"/>
      <c r="F9" s="449"/>
    </row>
    <row r="10" spans="1:6" s="451" customFormat="1" ht="13" x14ac:dyDescent="0.3">
      <c r="A10" s="455" t="s">
        <v>392</v>
      </c>
      <c r="B10" s="455" t="s">
        <v>393</v>
      </c>
      <c r="C10" s="454" t="s">
        <v>286</v>
      </c>
      <c r="D10" s="454" t="s">
        <v>282</v>
      </c>
      <c r="E10" s="454" t="s">
        <v>287</v>
      </c>
      <c r="F10" s="455" t="s">
        <v>288</v>
      </c>
    </row>
    <row r="11" spans="1:6" s="451" customFormat="1" ht="13" x14ac:dyDescent="0.3">
      <c r="A11" s="457"/>
      <c r="B11" s="457" t="s">
        <v>394</v>
      </c>
      <c r="C11" s="456"/>
      <c r="D11" s="456" t="s">
        <v>289</v>
      </c>
      <c r="E11" s="456" t="s">
        <v>289</v>
      </c>
      <c r="F11" s="457" t="s">
        <v>289</v>
      </c>
    </row>
    <row r="12" spans="1:6" s="451" customFormat="1" ht="6.75" customHeight="1" x14ac:dyDescent="0.3">
      <c r="A12" s="455"/>
      <c r="B12" s="455"/>
      <c r="C12" s="450"/>
      <c r="D12" s="450"/>
      <c r="E12" s="450"/>
      <c r="F12" s="449"/>
    </row>
    <row r="13" spans="1:6" s="451" customFormat="1" ht="13" x14ac:dyDescent="0.3">
      <c r="A13" s="455">
        <v>1</v>
      </c>
      <c r="B13" s="455">
        <v>2020</v>
      </c>
      <c r="C13" s="450">
        <f>C5</f>
        <v>2750000</v>
      </c>
      <c r="D13" s="450">
        <f>$C$5/$C$7</f>
        <v>275000</v>
      </c>
      <c r="E13" s="450">
        <f>C13*$C$6</f>
        <v>51562.5</v>
      </c>
      <c r="F13" s="450">
        <f>D13+E13</f>
        <v>326562.5</v>
      </c>
    </row>
    <row r="14" spans="1:6" s="451" customFormat="1" ht="13" x14ac:dyDescent="0.3">
      <c r="A14" s="455">
        <v>2</v>
      </c>
      <c r="B14" s="455">
        <f>B13+1</f>
        <v>2021</v>
      </c>
      <c r="C14" s="450">
        <f>C13-D13</f>
        <v>2475000</v>
      </c>
      <c r="D14" s="450">
        <f t="shared" ref="D14:D22" si="0">$C$5/$C$7</f>
        <v>275000</v>
      </c>
      <c r="E14" s="450">
        <f t="shared" ref="E14:E48" si="1">C14*$C$6</f>
        <v>46406.25</v>
      </c>
      <c r="F14" s="450">
        <f t="shared" ref="F14:F48" si="2">D14+E14</f>
        <v>321406.25</v>
      </c>
    </row>
    <row r="15" spans="1:6" s="451" customFormat="1" ht="13" x14ac:dyDescent="0.3">
      <c r="A15" s="455">
        <v>3</v>
      </c>
      <c r="B15" s="455">
        <f t="shared" ref="B15:B48" si="3">B14+1</f>
        <v>2022</v>
      </c>
      <c r="C15" s="450">
        <f t="shared" ref="C15:C48" si="4">C14-D14</f>
        <v>2200000</v>
      </c>
      <c r="D15" s="450">
        <f t="shared" si="0"/>
        <v>275000</v>
      </c>
      <c r="E15" s="450">
        <f t="shared" si="1"/>
        <v>41250</v>
      </c>
      <c r="F15" s="450">
        <f t="shared" si="2"/>
        <v>316250</v>
      </c>
    </row>
    <row r="16" spans="1:6" s="451" customFormat="1" ht="13" x14ac:dyDescent="0.3">
      <c r="A16" s="455">
        <v>4</v>
      </c>
      <c r="B16" s="455">
        <f t="shared" si="3"/>
        <v>2023</v>
      </c>
      <c r="C16" s="450">
        <f t="shared" si="4"/>
        <v>1925000</v>
      </c>
      <c r="D16" s="450">
        <f t="shared" si="0"/>
        <v>275000</v>
      </c>
      <c r="E16" s="450">
        <f t="shared" si="1"/>
        <v>36093.75</v>
      </c>
      <c r="F16" s="450">
        <f t="shared" si="2"/>
        <v>311093.75</v>
      </c>
    </row>
    <row r="17" spans="1:6" s="451" customFormat="1" ht="13" x14ac:dyDescent="0.3">
      <c r="A17" s="455">
        <v>5</v>
      </c>
      <c r="B17" s="455">
        <f t="shared" si="3"/>
        <v>2024</v>
      </c>
      <c r="C17" s="450">
        <f t="shared" si="4"/>
        <v>1650000</v>
      </c>
      <c r="D17" s="450">
        <f t="shared" si="0"/>
        <v>275000</v>
      </c>
      <c r="E17" s="450">
        <f t="shared" si="1"/>
        <v>30937.5</v>
      </c>
      <c r="F17" s="450">
        <f t="shared" si="2"/>
        <v>305937.5</v>
      </c>
    </row>
    <row r="18" spans="1:6" s="451" customFormat="1" ht="13" x14ac:dyDescent="0.3">
      <c r="A18" s="455">
        <v>6</v>
      </c>
      <c r="B18" s="455">
        <f t="shared" si="3"/>
        <v>2025</v>
      </c>
      <c r="C18" s="450">
        <f t="shared" si="4"/>
        <v>1375000</v>
      </c>
      <c r="D18" s="450">
        <f t="shared" si="0"/>
        <v>275000</v>
      </c>
      <c r="E18" s="450">
        <f t="shared" si="1"/>
        <v>25781.25</v>
      </c>
      <c r="F18" s="450">
        <f t="shared" si="2"/>
        <v>300781.25</v>
      </c>
    </row>
    <row r="19" spans="1:6" s="451" customFormat="1" ht="13" x14ac:dyDescent="0.3">
      <c r="A19" s="455">
        <v>7</v>
      </c>
      <c r="B19" s="455">
        <f t="shared" si="3"/>
        <v>2026</v>
      </c>
      <c r="C19" s="450">
        <f t="shared" si="4"/>
        <v>1100000</v>
      </c>
      <c r="D19" s="450">
        <f t="shared" si="0"/>
        <v>275000</v>
      </c>
      <c r="E19" s="450">
        <f t="shared" si="1"/>
        <v>20625</v>
      </c>
      <c r="F19" s="450">
        <f t="shared" si="2"/>
        <v>295625</v>
      </c>
    </row>
    <row r="20" spans="1:6" s="451" customFormat="1" ht="13" x14ac:dyDescent="0.3">
      <c r="A20" s="455">
        <v>8</v>
      </c>
      <c r="B20" s="455">
        <f t="shared" si="3"/>
        <v>2027</v>
      </c>
      <c r="C20" s="450">
        <f t="shared" si="4"/>
        <v>825000</v>
      </c>
      <c r="D20" s="450">
        <f t="shared" si="0"/>
        <v>275000</v>
      </c>
      <c r="E20" s="450">
        <f t="shared" si="1"/>
        <v>15468.75</v>
      </c>
      <c r="F20" s="450">
        <f t="shared" si="2"/>
        <v>290468.75</v>
      </c>
    </row>
    <row r="21" spans="1:6" s="451" customFormat="1" ht="13" x14ac:dyDescent="0.3">
      <c r="A21" s="455">
        <v>9</v>
      </c>
      <c r="B21" s="455">
        <f t="shared" si="3"/>
        <v>2028</v>
      </c>
      <c r="C21" s="450">
        <f t="shared" si="4"/>
        <v>550000</v>
      </c>
      <c r="D21" s="450">
        <f t="shared" si="0"/>
        <v>275000</v>
      </c>
      <c r="E21" s="450">
        <f t="shared" si="1"/>
        <v>10312.5</v>
      </c>
      <c r="F21" s="450">
        <f t="shared" si="2"/>
        <v>285312.5</v>
      </c>
    </row>
    <row r="22" spans="1:6" s="451" customFormat="1" ht="13" x14ac:dyDescent="0.3">
      <c r="A22" s="455">
        <v>10</v>
      </c>
      <c r="B22" s="455">
        <f t="shared" si="3"/>
        <v>2029</v>
      </c>
      <c r="C22" s="450">
        <f t="shared" si="4"/>
        <v>275000</v>
      </c>
      <c r="D22" s="450">
        <f t="shared" si="0"/>
        <v>275000</v>
      </c>
      <c r="E22" s="450">
        <f t="shared" si="1"/>
        <v>5156.25</v>
      </c>
      <c r="F22" s="450">
        <f t="shared" si="2"/>
        <v>280156.25</v>
      </c>
    </row>
    <row r="23" spans="1:6" s="451" customFormat="1" ht="13" x14ac:dyDescent="0.3">
      <c r="A23" s="455">
        <f>+A22+1</f>
        <v>11</v>
      </c>
      <c r="B23" s="455">
        <f t="shared" si="3"/>
        <v>2030</v>
      </c>
      <c r="C23" s="450">
        <f t="shared" si="4"/>
        <v>0</v>
      </c>
      <c r="D23" s="450">
        <v>0</v>
      </c>
      <c r="E23" s="450">
        <f t="shared" si="1"/>
        <v>0</v>
      </c>
      <c r="F23" s="450">
        <f t="shared" si="2"/>
        <v>0</v>
      </c>
    </row>
    <row r="24" spans="1:6" s="451" customFormat="1" ht="13" x14ac:dyDescent="0.3">
      <c r="A24" s="455">
        <f t="shared" ref="A24:A47" si="5">+A23+1</f>
        <v>12</v>
      </c>
      <c r="B24" s="455">
        <f t="shared" si="3"/>
        <v>2031</v>
      </c>
      <c r="C24" s="450">
        <f t="shared" si="4"/>
        <v>0</v>
      </c>
      <c r="D24" s="450">
        <v>0</v>
      </c>
      <c r="E24" s="450">
        <f t="shared" si="1"/>
        <v>0</v>
      </c>
      <c r="F24" s="450">
        <f t="shared" si="2"/>
        <v>0</v>
      </c>
    </row>
    <row r="25" spans="1:6" s="451" customFormat="1" ht="13" x14ac:dyDescent="0.3">
      <c r="A25" s="455">
        <f t="shared" si="5"/>
        <v>13</v>
      </c>
      <c r="B25" s="455">
        <f t="shared" si="3"/>
        <v>2032</v>
      </c>
      <c r="C25" s="450">
        <f t="shared" si="4"/>
        <v>0</v>
      </c>
      <c r="D25" s="450">
        <v>0</v>
      </c>
      <c r="E25" s="450">
        <f t="shared" si="1"/>
        <v>0</v>
      </c>
      <c r="F25" s="450">
        <f t="shared" si="2"/>
        <v>0</v>
      </c>
    </row>
    <row r="26" spans="1:6" s="451" customFormat="1" ht="13" x14ac:dyDescent="0.3">
      <c r="A26" s="455">
        <f t="shared" si="5"/>
        <v>14</v>
      </c>
      <c r="B26" s="455">
        <f t="shared" si="3"/>
        <v>2033</v>
      </c>
      <c r="C26" s="450">
        <f t="shared" si="4"/>
        <v>0</v>
      </c>
      <c r="D26" s="450">
        <v>0</v>
      </c>
      <c r="E26" s="450">
        <f t="shared" si="1"/>
        <v>0</v>
      </c>
      <c r="F26" s="450">
        <f t="shared" si="2"/>
        <v>0</v>
      </c>
    </row>
    <row r="27" spans="1:6" s="451" customFormat="1" ht="13" x14ac:dyDescent="0.3">
      <c r="A27" s="455">
        <f t="shared" si="5"/>
        <v>15</v>
      </c>
      <c r="B27" s="455">
        <f t="shared" si="3"/>
        <v>2034</v>
      </c>
      <c r="C27" s="450">
        <f t="shared" si="4"/>
        <v>0</v>
      </c>
      <c r="D27" s="450">
        <v>0</v>
      </c>
      <c r="E27" s="450">
        <f t="shared" si="1"/>
        <v>0</v>
      </c>
      <c r="F27" s="450">
        <f t="shared" si="2"/>
        <v>0</v>
      </c>
    </row>
    <row r="28" spans="1:6" s="451" customFormat="1" ht="13" x14ac:dyDescent="0.3">
      <c r="A28" s="455">
        <f t="shared" si="5"/>
        <v>16</v>
      </c>
      <c r="B28" s="455">
        <f t="shared" si="3"/>
        <v>2035</v>
      </c>
      <c r="C28" s="450">
        <f t="shared" si="4"/>
        <v>0</v>
      </c>
      <c r="D28" s="450">
        <v>0</v>
      </c>
      <c r="E28" s="450">
        <f t="shared" si="1"/>
        <v>0</v>
      </c>
      <c r="F28" s="450">
        <f t="shared" si="2"/>
        <v>0</v>
      </c>
    </row>
    <row r="29" spans="1:6" s="451" customFormat="1" ht="13" x14ac:dyDescent="0.3">
      <c r="A29" s="455">
        <f t="shared" si="5"/>
        <v>17</v>
      </c>
      <c r="B29" s="455">
        <f t="shared" si="3"/>
        <v>2036</v>
      </c>
      <c r="C29" s="450">
        <f t="shared" si="4"/>
        <v>0</v>
      </c>
      <c r="D29" s="450">
        <v>0</v>
      </c>
      <c r="E29" s="450">
        <f t="shared" si="1"/>
        <v>0</v>
      </c>
      <c r="F29" s="450">
        <f t="shared" si="2"/>
        <v>0</v>
      </c>
    </row>
    <row r="30" spans="1:6" s="451" customFormat="1" ht="13" x14ac:dyDescent="0.3">
      <c r="A30" s="455">
        <f t="shared" si="5"/>
        <v>18</v>
      </c>
      <c r="B30" s="455">
        <f t="shared" si="3"/>
        <v>2037</v>
      </c>
      <c r="C30" s="450">
        <f t="shared" si="4"/>
        <v>0</v>
      </c>
      <c r="D30" s="450">
        <v>0</v>
      </c>
      <c r="E30" s="450">
        <f t="shared" si="1"/>
        <v>0</v>
      </c>
      <c r="F30" s="450">
        <f t="shared" si="2"/>
        <v>0</v>
      </c>
    </row>
    <row r="31" spans="1:6" s="451" customFormat="1" ht="13" x14ac:dyDescent="0.3">
      <c r="A31" s="455">
        <f t="shared" si="5"/>
        <v>19</v>
      </c>
      <c r="B31" s="455">
        <f t="shared" si="3"/>
        <v>2038</v>
      </c>
      <c r="C31" s="450">
        <f t="shared" si="4"/>
        <v>0</v>
      </c>
      <c r="D31" s="450">
        <v>0</v>
      </c>
      <c r="E31" s="450">
        <f t="shared" si="1"/>
        <v>0</v>
      </c>
      <c r="F31" s="450">
        <f t="shared" si="2"/>
        <v>0</v>
      </c>
    </row>
    <row r="32" spans="1:6" s="451" customFormat="1" ht="13" x14ac:dyDescent="0.3">
      <c r="A32" s="455">
        <f t="shared" si="5"/>
        <v>20</v>
      </c>
      <c r="B32" s="455">
        <f t="shared" si="3"/>
        <v>2039</v>
      </c>
      <c r="C32" s="450">
        <f t="shared" si="4"/>
        <v>0</v>
      </c>
      <c r="D32" s="450">
        <v>0</v>
      </c>
      <c r="E32" s="450">
        <f t="shared" si="1"/>
        <v>0</v>
      </c>
      <c r="F32" s="450">
        <f t="shared" si="2"/>
        <v>0</v>
      </c>
    </row>
    <row r="33" spans="1:6" s="451" customFormat="1" ht="13" x14ac:dyDescent="0.3">
      <c r="A33" s="455">
        <f t="shared" si="5"/>
        <v>21</v>
      </c>
      <c r="B33" s="455">
        <f t="shared" si="3"/>
        <v>2040</v>
      </c>
      <c r="C33" s="450">
        <f t="shared" si="4"/>
        <v>0</v>
      </c>
      <c r="D33" s="450">
        <v>0</v>
      </c>
      <c r="E33" s="450">
        <f t="shared" si="1"/>
        <v>0</v>
      </c>
      <c r="F33" s="450">
        <f t="shared" si="2"/>
        <v>0</v>
      </c>
    </row>
    <row r="34" spans="1:6" s="451" customFormat="1" ht="13" x14ac:dyDescent="0.3">
      <c r="A34" s="455">
        <f t="shared" si="5"/>
        <v>22</v>
      </c>
      <c r="B34" s="455">
        <f t="shared" si="3"/>
        <v>2041</v>
      </c>
      <c r="C34" s="450">
        <f t="shared" si="4"/>
        <v>0</v>
      </c>
      <c r="D34" s="450">
        <v>0</v>
      </c>
      <c r="E34" s="450">
        <f t="shared" si="1"/>
        <v>0</v>
      </c>
      <c r="F34" s="450">
        <f t="shared" si="2"/>
        <v>0</v>
      </c>
    </row>
    <row r="35" spans="1:6" s="451" customFormat="1" ht="13" x14ac:dyDescent="0.3">
      <c r="A35" s="455">
        <f t="shared" si="5"/>
        <v>23</v>
      </c>
      <c r="B35" s="455">
        <f t="shared" si="3"/>
        <v>2042</v>
      </c>
      <c r="C35" s="450">
        <f t="shared" si="4"/>
        <v>0</v>
      </c>
      <c r="D35" s="450">
        <v>0</v>
      </c>
      <c r="E35" s="450">
        <f t="shared" si="1"/>
        <v>0</v>
      </c>
      <c r="F35" s="450">
        <f t="shared" si="2"/>
        <v>0</v>
      </c>
    </row>
    <row r="36" spans="1:6" s="451" customFormat="1" ht="13" x14ac:dyDescent="0.3">
      <c r="A36" s="455">
        <f>+A35+1</f>
        <v>24</v>
      </c>
      <c r="B36" s="455">
        <f t="shared" si="3"/>
        <v>2043</v>
      </c>
      <c r="C36" s="450">
        <f t="shared" si="4"/>
        <v>0</v>
      </c>
      <c r="D36" s="450">
        <v>0</v>
      </c>
      <c r="E36" s="450">
        <f t="shared" si="1"/>
        <v>0</v>
      </c>
      <c r="F36" s="450">
        <f t="shared" si="2"/>
        <v>0</v>
      </c>
    </row>
    <row r="37" spans="1:6" s="451" customFormat="1" ht="13" x14ac:dyDescent="0.3">
      <c r="A37" s="455">
        <f t="shared" si="5"/>
        <v>25</v>
      </c>
      <c r="B37" s="455">
        <f t="shared" si="3"/>
        <v>2044</v>
      </c>
      <c r="C37" s="450">
        <f t="shared" si="4"/>
        <v>0</v>
      </c>
      <c r="D37" s="450">
        <v>0</v>
      </c>
      <c r="E37" s="450">
        <f t="shared" si="1"/>
        <v>0</v>
      </c>
      <c r="F37" s="450">
        <f t="shared" si="2"/>
        <v>0</v>
      </c>
    </row>
    <row r="38" spans="1:6" s="451" customFormat="1" ht="13" x14ac:dyDescent="0.3">
      <c r="A38" s="455">
        <f t="shared" si="5"/>
        <v>26</v>
      </c>
      <c r="B38" s="455">
        <f t="shared" si="3"/>
        <v>2045</v>
      </c>
      <c r="C38" s="450">
        <f t="shared" si="4"/>
        <v>0</v>
      </c>
      <c r="D38" s="450">
        <v>0</v>
      </c>
      <c r="E38" s="450">
        <f t="shared" si="1"/>
        <v>0</v>
      </c>
      <c r="F38" s="450">
        <f t="shared" si="2"/>
        <v>0</v>
      </c>
    </row>
    <row r="39" spans="1:6" s="451" customFormat="1" ht="13" x14ac:dyDescent="0.3">
      <c r="A39" s="455">
        <f t="shared" si="5"/>
        <v>27</v>
      </c>
      <c r="B39" s="455">
        <f t="shared" si="3"/>
        <v>2046</v>
      </c>
      <c r="C39" s="450">
        <f t="shared" si="4"/>
        <v>0</v>
      </c>
      <c r="D39" s="450">
        <v>0</v>
      </c>
      <c r="E39" s="450">
        <f t="shared" si="1"/>
        <v>0</v>
      </c>
      <c r="F39" s="450">
        <f t="shared" si="2"/>
        <v>0</v>
      </c>
    </row>
    <row r="40" spans="1:6" s="451" customFormat="1" ht="13" x14ac:dyDescent="0.3">
      <c r="A40" s="455">
        <f t="shared" si="5"/>
        <v>28</v>
      </c>
      <c r="B40" s="455">
        <f t="shared" si="3"/>
        <v>2047</v>
      </c>
      <c r="C40" s="450">
        <f t="shared" si="4"/>
        <v>0</v>
      </c>
      <c r="D40" s="450">
        <v>0</v>
      </c>
      <c r="E40" s="450">
        <f t="shared" si="1"/>
        <v>0</v>
      </c>
      <c r="F40" s="450">
        <f t="shared" si="2"/>
        <v>0</v>
      </c>
    </row>
    <row r="41" spans="1:6" s="451" customFormat="1" ht="13" x14ac:dyDescent="0.3">
      <c r="A41" s="455">
        <f t="shared" si="5"/>
        <v>29</v>
      </c>
      <c r="B41" s="455">
        <f t="shared" si="3"/>
        <v>2048</v>
      </c>
      <c r="C41" s="450">
        <f t="shared" si="4"/>
        <v>0</v>
      </c>
      <c r="D41" s="450">
        <v>0</v>
      </c>
      <c r="E41" s="450">
        <f t="shared" si="1"/>
        <v>0</v>
      </c>
      <c r="F41" s="450">
        <f t="shared" si="2"/>
        <v>0</v>
      </c>
    </row>
    <row r="42" spans="1:6" s="451" customFormat="1" ht="13" x14ac:dyDescent="0.3">
      <c r="A42" s="455">
        <f t="shared" si="5"/>
        <v>30</v>
      </c>
      <c r="B42" s="455">
        <f t="shared" si="3"/>
        <v>2049</v>
      </c>
      <c r="C42" s="450">
        <f t="shared" si="4"/>
        <v>0</v>
      </c>
      <c r="D42" s="450">
        <v>0</v>
      </c>
      <c r="E42" s="450">
        <f t="shared" si="1"/>
        <v>0</v>
      </c>
      <c r="F42" s="450">
        <f t="shared" si="2"/>
        <v>0</v>
      </c>
    </row>
    <row r="43" spans="1:6" s="451" customFormat="1" ht="13" x14ac:dyDescent="0.3">
      <c r="A43" s="455">
        <f>+A42+1</f>
        <v>31</v>
      </c>
      <c r="B43" s="455">
        <f t="shared" si="3"/>
        <v>2050</v>
      </c>
      <c r="C43" s="450">
        <f t="shared" si="4"/>
        <v>0</v>
      </c>
      <c r="D43" s="450">
        <v>0</v>
      </c>
      <c r="E43" s="450">
        <f t="shared" si="1"/>
        <v>0</v>
      </c>
      <c r="F43" s="450">
        <f t="shared" si="2"/>
        <v>0</v>
      </c>
    </row>
    <row r="44" spans="1:6" s="451" customFormat="1" ht="13" x14ac:dyDescent="0.3">
      <c r="A44" s="455">
        <f t="shared" si="5"/>
        <v>32</v>
      </c>
      <c r="B44" s="455">
        <f t="shared" si="3"/>
        <v>2051</v>
      </c>
      <c r="C44" s="450">
        <f t="shared" si="4"/>
        <v>0</v>
      </c>
      <c r="D44" s="450">
        <v>0</v>
      </c>
      <c r="E44" s="450">
        <f t="shared" si="1"/>
        <v>0</v>
      </c>
      <c r="F44" s="450">
        <f t="shared" si="2"/>
        <v>0</v>
      </c>
    </row>
    <row r="45" spans="1:6" s="451" customFormat="1" ht="13" x14ac:dyDescent="0.3">
      <c r="A45" s="455">
        <f t="shared" si="5"/>
        <v>33</v>
      </c>
      <c r="B45" s="455">
        <f t="shared" si="3"/>
        <v>2052</v>
      </c>
      <c r="C45" s="450">
        <f t="shared" si="4"/>
        <v>0</v>
      </c>
      <c r="D45" s="450">
        <v>0</v>
      </c>
      <c r="E45" s="450">
        <f t="shared" si="1"/>
        <v>0</v>
      </c>
      <c r="F45" s="450">
        <f t="shared" si="2"/>
        <v>0</v>
      </c>
    </row>
    <row r="46" spans="1:6" s="451" customFormat="1" ht="13" x14ac:dyDescent="0.3">
      <c r="A46" s="455">
        <f t="shared" si="5"/>
        <v>34</v>
      </c>
      <c r="B46" s="455">
        <f t="shared" si="3"/>
        <v>2053</v>
      </c>
      <c r="C46" s="450">
        <f t="shared" si="4"/>
        <v>0</v>
      </c>
      <c r="D46" s="450">
        <v>0</v>
      </c>
      <c r="E46" s="450">
        <f t="shared" si="1"/>
        <v>0</v>
      </c>
      <c r="F46" s="450">
        <f t="shared" si="2"/>
        <v>0</v>
      </c>
    </row>
    <row r="47" spans="1:6" s="451" customFormat="1" ht="13" x14ac:dyDescent="0.3">
      <c r="A47" s="455">
        <f t="shared" si="5"/>
        <v>35</v>
      </c>
      <c r="B47" s="455">
        <f t="shared" si="3"/>
        <v>2054</v>
      </c>
      <c r="C47" s="450">
        <f t="shared" si="4"/>
        <v>0</v>
      </c>
      <c r="D47" s="450">
        <v>0</v>
      </c>
      <c r="E47" s="450">
        <f t="shared" si="1"/>
        <v>0</v>
      </c>
      <c r="F47" s="450">
        <f t="shared" si="2"/>
        <v>0</v>
      </c>
    </row>
    <row r="48" spans="1:6" s="451" customFormat="1" ht="13" x14ac:dyDescent="0.3">
      <c r="A48" s="455">
        <f>+A47+1</f>
        <v>36</v>
      </c>
      <c r="B48" s="455">
        <f t="shared" si="3"/>
        <v>2055</v>
      </c>
      <c r="C48" s="450">
        <f t="shared" si="4"/>
        <v>0</v>
      </c>
      <c r="D48" s="450">
        <v>0</v>
      </c>
      <c r="E48" s="450">
        <f t="shared" si="1"/>
        <v>0</v>
      </c>
      <c r="F48" s="450">
        <f t="shared" si="2"/>
        <v>0</v>
      </c>
    </row>
    <row r="49" spans="1:6" s="451" customFormat="1" ht="6.75" customHeight="1" x14ac:dyDescent="0.3">
      <c r="A49" s="449"/>
      <c r="B49" s="449"/>
      <c r="C49" s="450"/>
      <c r="D49" s="450"/>
      <c r="E49" s="450"/>
      <c r="F49" s="449"/>
    </row>
    <row r="50" spans="1:6" s="451" customFormat="1" ht="13" x14ac:dyDescent="0.3">
      <c r="A50" s="449" t="s">
        <v>290</v>
      </c>
      <c r="B50" s="449"/>
      <c r="C50" s="449"/>
      <c r="D50" s="450">
        <f>SUM(D13:D49)</f>
        <v>2750000</v>
      </c>
      <c r="E50" s="450">
        <f>SUM(E13:E49)</f>
        <v>283593.75</v>
      </c>
      <c r="F50" s="450">
        <f>SUM(F13:F49)</f>
        <v>3033593.75</v>
      </c>
    </row>
    <row r="51" spans="1:6" s="451" customFormat="1" ht="13" x14ac:dyDescent="0.3">
      <c r="C51" s="458"/>
      <c r="D51" s="458"/>
      <c r="E51" s="458"/>
    </row>
    <row r="52" spans="1:6" s="451" customFormat="1" ht="13" x14ac:dyDescent="0.3">
      <c r="C52" s="458"/>
      <c r="D52" s="458"/>
      <c r="E52" s="458"/>
    </row>
  </sheetData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Notes</vt:lpstr>
      <vt:lpstr>Summary</vt:lpstr>
      <vt:lpstr>GF Analysis</vt:lpstr>
      <vt:lpstr>Revenues</vt:lpstr>
      <vt:lpstr>Tax Levy</vt:lpstr>
      <vt:lpstr>State Aid</vt:lpstr>
      <vt:lpstr>Local Receipts</vt:lpstr>
      <vt:lpstr>Debt</vt:lpstr>
      <vt:lpstr>CIP</vt:lpstr>
      <vt:lpstr>Amortization</vt:lpstr>
      <vt:lpstr>CIP!Print_Area</vt:lpstr>
      <vt:lpstr>Debt!Print_Area</vt:lpstr>
      <vt:lpstr>'GF Analysis'!Print_Area</vt:lpstr>
      <vt:lpstr>'Local Receipts'!Print_Area</vt:lpstr>
      <vt:lpstr>Revenues!Print_Area</vt:lpstr>
      <vt:lpstr>'State Aid'!Print_Area</vt:lpstr>
      <vt:lpstr>Summary!Print_Area</vt:lpstr>
      <vt:lpstr>'Tax Levy'!Print_Area</vt:lpstr>
      <vt:lpstr>CIP!Print_Titles</vt:lpstr>
      <vt:lpstr>Debt!Print_Titles</vt:lpstr>
      <vt:lpstr>'GF Analysis'!Print_Titles</vt:lpstr>
      <vt:lpstr>'Local Receipts'!Print_Titles</vt:lpstr>
      <vt:lpstr>Revenues!Print_Titles</vt:lpstr>
      <vt:lpstr>'State Aid'!Print_Titles</vt:lpstr>
      <vt:lpstr>Summary!Print_Titles</vt:lpstr>
      <vt:lpstr>'Tax Levy'!Print_Titles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Ordway</dc:creator>
  <cp:lastModifiedBy>Bohinc, Marcia (DOR)</cp:lastModifiedBy>
  <cp:lastPrinted>2020-04-02T19:46:11Z</cp:lastPrinted>
  <dcterms:created xsi:type="dcterms:W3CDTF">2020-02-20T19:58:09Z</dcterms:created>
  <dcterms:modified xsi:type="dcterms:W3CDTF">2020-04-10T11:39:10Z</dcterms:modified>
</cp:coreProperties>
</file>