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defaultThemeVersion="166925"/>
  <mc:AlternateContent xmlns:mc="http://schemas.openxmlformats.org/markup-compatibility/2006">
    <mc:Choice Requires="x15">
      <x15ac:absPath xmlns:x15ac="http://schemas.microsoft.com/office/spreadsheetml/2010/11/ac" url="S:\Board Files &amp; Meeting Materials\Board Meeting Materials\2020-2021\January 12 2021\Addtional Materials\"/>
    </mc:Choice>
  </mc:AlternateContent>
  <xr:revisionPtr revIDLastSave="0" documentId="8_{8D795EB1-1ED9-477F-B800-C2B605DFFF20}" xr6:coauthVersionLast="45" xr6:coauthVersionMax="45" xr10:uidLastSave="{00000000-0000-0000-0000-000000000000}"/>
  <bookViews>
    <workbookView xWindow="-120" yWindow="-120" windowWidth="20700" windowHeight="11160" xr2:uid="{00000000-000D-0000-FFFF-FFFF00000000}"/>
  </bookViews>
  <sheets>
    <sheet name="Table 1 - fee structures" sheetId="1" r:id="rId1"/>
    <sheet name="Table 2, results for caseload"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3" i="1" l="1"/>
  <c r="D24" i="1"/>
  <c r="D25" i="1"/>
  <c r="E11" i="1"/>
  <c r="E12" i="1"/>
  <c r="E13" i="1"/>
  <c r="E23" i="1"/>
  <c r="E24" i="1"/>
  <c r="E25" i="1"/>
  <c r="E38" i="2" l="1"/>
  <c r="E48" i="2"/>
  <c r="E47" i="2"/>
  <c r="E46" i="2"/>
  <c r="E44" i="2"/>
  <c r="E42" i="2"/>
  <c r="E41" i="2"/>
  <c r="E40" i="2"/>
  <c r="E30" i="2"/>
  <c r="E29" i="2"/>
  <c r="E28" i="2"/>
  <c r="E26" i="2"/>
  <c r="E18" i="2"/>
  <c r="E24" i="2"/>
  <c r="E23" i="2"/>
  <c r="E22" i="2"/>
  <c r="E21" i="2"/>
  <c r="E20" i="2"/>
  <c r="E19" i="2"/>
  <c r="E16" i="2"/>
  <c r="E15" i="2"/>
  <c r="E14" i="2"/>
  <c r="E11" i="2"/>
  <c r="H25" i="1"/>
  <c r="G25" i="1"/>
  <c r="H24" i="1"/>
  <c r="G24" i="1"/>
  <c r="H23" i="1"/>
  <c r="H13" i="1"/>
  <c r="H12" i="1"/>
  <c r="H11" i="1"/>
  <c r="H10" i="1"/>
  <c r="E36" i="2"/>
  <c r="E35" i="2"/>
  <c r="E34" i="2"/>
  <c r="E32" i="2"/>
  <c r="E10" i="2"/>
  <c r="E7" i="2"/>
  <c r="C7" i="2"/>
  <c r="E8" i="2" s="1"/>
  <c r="D16" i="2"/>
  <c r="D15" i="2"/>
  <c r="D14" i="2"/>
  <c r="F24" i="1"/>
  <c r="F23" i="1"/>
  <c r="F25" i="1"/>
  <c r="G23" i="1"/>
  <c r="D8" i="2"/>
  <c r="D24" i="2"/>
  <c r="E1" i="2"/>
  <c r="D48" i="2"/>
  <c r="D47" i="2"/>
  <c r="D46" i="2"/>
  <c r="D44" i="2"/>
  <c r="D42" i="2"/>
  <c r="D41" i="2"/>
  <c r="D40" i="2"/>
  <c r="D38" i="2"/>
  <c r="D36" i="2"/>
  <c r="D35" i="2"/>
  <c r="D34" i="2"/>
  <c r="D32" i="2"/>
  <c r="D30" i="2"/>
  <c r="D29" i="2"/>
  <c r="D28" i="2"/>
  <c r="D26" i="2"/>
  <c r="D23" i="2"/>
  <c r="D22" i="2"/>
  <c r="D21" i="2"/>
  <c r="D20" i="2"/>
  <c r="D19" i="2"/>
  <c r="D18" i="2"/>
  <c r="D11" i="2"/>
  <c r="D10" i="2"/>
  <c r="C24" i="2"/>
  <c r="C13" i="1"/>
  <c r="C11" i="2"/>
  <c r="C10" i="2"/>
  <c r="C24" i="1"/>
  <c r="C25" i="1"/>
  <c r="C23" i="1"/>
  <c r="C12" i="1"/>
  <c r="C11" i="1"/>
  <c r="C10" i="1"/>
  <c r="C38" i="2"/>
  <c r="C44" i="2"/>
  <c r="C48" i="2"/>
  <c r="C42" i="2"/>
  <c r="C36" i="2"/>
  <c r="C30" i="2"/>
  <c r="C32" i="2"/>
  <c r="C47" i="2"/>
  <c r="C46" i="2"/>
  <c r="C41" i="2"/>
  <c r="C40" i="2"/>
  <c r="C35" i="2"/>
  <c r="C34" i="2"/>
  <c r="C29" i="2"/>
  <c r="C28" i="2"/>
  <c r="C26" i="2"/>
  <c r="C19" i="2"/>
  <c r="C20" i="2"/>
  <c r="C21" i="2"/>
  <c r="C22" i="2"/>
  <c r="C23" i="2"/>
  <c r="C18" i="2"/>
  <c r="C12" i="2" l="1"/>
  <c r="E12" i="2"/>
  <c r="D7" i="2"/>
  <c r="D12" i="2"/>
</calcChain>
</file>

<file path=xl/sharedStrings.xml><?xml version="1.0" encoding="utf-8"?>
<sst xmlns="http://schemas.openxmlformats.org/spreadsheetml/2006/main" count="138" uniqueCount="88">
  <si>
    <t>Income when fees begin, family of 3</t>
  </si>
  <si>
    <t>Exemption status of TANF families</t>
  </si>
  <si>
    <t>Exemption status of non-parent caretakers</t>
  </si>
  <si>
    <t>Increment in fee for more children in care</t>
  </si>
  <si>
    <t>2nd child</t>
  </si>
  <si>
    <t>3rd child</t>
  </si>
  <si>
    <t>single parent 1 child</t>
  </si>
  <si>
    <t>Average non-$0 fee as percent of income</t>
  </si>
  <si>
    <t>All families</t>
  </si>
  <si>
    <t>about 65% of poverty guideline</t>
  </si>
  <si>
    <t>exempt</t>
  </si>
  <si>
    <t>Option #1 -- 7%</t>
  </si>
  <si>
    <t>none</t>
  </si>
  <si>
    <t>CHARACTERISTICS OF ALTERNATIVE FEE STRUCTURES</t>
  </si>
  <si>
    <t>How fee is determined within an income band</t>
  </si>
  <si>
    <t>flat dollar amount, constant within band</t>
  </si>
  <si>
    <t>Number and width of income bands</t>
  </si>
  <si>
    <t>28 bands, varying widths</t>
  </si>
  <si>
    <t>(not applicable)</t>
  </si>
  <si>
    <r>
      <t xml:space="preserve">Percent of families paying </t>
    </r>
    <r>
      <rPr>
        <sz val="11"/>
        <color theme="1"/>
        <rFont val="Calibri"/>
        <family val="2"/>
        <scheme val="minor"/>
      </rPr>
      <t>more than 7% of income</t>
    </r>
  </si>
  <si>
    <r>
      <t>Distribution of non-$0 fees as a percent of income</t>
    </r>
    <r>
      <rPr>
        <vertAlign val="superscript"/>
        <sz val="11"/>
        <color theme="1"/>
        <rFont val="Calibri"/>
        <family val="2"/>
        <scheme val="minor"/>
      </rPr>
      <t>1</t>
    </r>
  </si>
  <si>
    <t>Notes</t>
  </si>
  <si>
    <t>Average monthly families with a subsidy, for reason other than CPS</t>
  </si>
  <si>
    <t>Number paying a fee</t>
  </si>
  <si>
    <t>Percent paying a fee</t>
  </si>
  <si>
    <t>&lt; 5% of income</t>
  </si>
  <si>
    <t>5 to &lt;7% of income</t>
  </si>
  <si>
    <t>&gt; 7 to &lt;10% of income</t>
  </si>
  <si>
    <t>10 to &lt;15% of income</t>
  </si>
  <si>
    <t>15 to &lt;20% of income</t>
  </si>
  <si>
    <t>20% or more of income</t>
  </si>
  <si>
    <t>Average non-$0 monthly fee by subgroup (dollars)</t>
  </si>
  <si>
    <t>Current policy</t>
  </si>
  <si>
    <r>
      <t>exactly 7% of income</t>
    </r>
    <r>
      <rPr>
        <vertAlign val="superscript"/>
        <sz val="11"/>
        <color theme="1"/>
        <rFont val="Calibri"/>
        <family val="2"/>
        <scheme val="minor"/>
      </rPr>
      <t>2</t>
    </r>
    <r>
      <rPr>
        <sz val="11"/>
        <color theme="1"/>
        <rFont val="Calibri"/>
        <family val="2"/>
        <scheme val="minor"/>
      </rPr>
      <t xml:space="preserve"> </t>
    </r>
  </si>
  <si>
    <r>
      <t>By subgroups</t>
    </r>
    <r>
      <rPr>
        <vertAlign val="superscript"/>
        <sz val="11"/>
        <color theme="1"/>
        <rFont val="Calibri"/>
        <family val="2"/>
        <scheme val="minor"/>
      </rPr>
      <t>3</t>
    </r>
  </si>
  <si>
    <t>Percent of families paying more than 15% of income</t>
  </si>
  <si>
    <r>
      <rPr>
        <vertAlign val="superscript"/>
        <sz val="11"/>
        <color theme="1"/>
        <rFont val="Calibri"/>
        <family val="2"/>
        <scheme val="minor"/>
      </rPr>
      <t xml:space="preserve">1 </t>
    </r>
    <r>
      <rPr>
        <sz val="11"/>
        <color theme="1"/>
        <rFont val="Calibri"/>
        <family val="2"/>
        <scheme val="minor"/>
      </rPr>
      <t>In all cases, the data on the parent fee as a percentage of income refers to the family's net income as defined for the subsidy program, which could be lower than the family's gross income.  For example, the familys total cash income might include the earnings of an older sibling, which would not be counted in their net income for purposes of the subsidy program.</t>
    </r>
  </si>
  <si>
    <t>single parent 2+ children</t>
  </si>
  <si>
    <t>two parent families</t>
  </si>
  <si>
    <t xml:space="preserve">Which child is considered the first child in multiple-child families </t>
  </si>
  <si>
    <t>oldest child</t>
  </si>
  <si>
    <t>youngest child</t>
  </si>
  <si>
    <t>--</t>
  </si>
  <si>
    <t>single-parent, two children, ages 0 and 2</t>
  </si>
  <si>
    <t>single-parent, two children, ages 3 and 7</t>
  </si>
  <si>
    <t>Notes:</t>
  </si>
  <si>
    <r>
      <t>Reduction in fee for part-time care</t>
    </r>
    <r>
      <rPr>
        <vertAlign val="superscript"/>
        <sz val="11"/>
        <color theme="1"/>
        <rFont val="Calibri"/>
        <family val="2"/>
        <scheme val="minor"/>
      </rPr>
      <t>2</t>
    </r>
  </si>
  <si>
    <r>
      <rPr>
        <vertAlign val="superscript"/>
        <sz val="11"/>
        <color theme="1"/>
        <rFont val="Calibri"/>
        <family val="2"/>
        <scheme val="minor"/>
      </rPr>
      <t xml:space="preserve">2 </t>
    </r>
    <r>
      <rPr>
        <sz val="11"/>
        <color theme="1"/>
        <rFont val="Calibri"/>
        <family val="2"/>
        <scheme val="minor"/>
      </rPr>
      <t>In Option #1, the fee is reduced by 50 percent if the youngest (or only) child needs part-time care.</t>
    </r>
  </si>
  <si>
    <r>
      <rPr>
        <vertAlign val="superscript"/>
        <sz val="11"/>
        <color theme="1"/>
        <rFont val="Calibri"/>
        <family val="2"/>
        <scheme val="minor"/>
      </rPr>
      <t xml:space="preserve">3 </t>
    </r>
    <r>
      <rPr>
        <sz val="11"/>
        <color theme="1"/>
        <rFont val="Calibri"/>
        <family val="2"/>
        <scheme val="minor"/>
      </rPr>
      <t>Families with no parents (children living with non-parent caretakers) are not shown because those families are exempt from paying fees under current policy and in all of the tested options. Two-parent families include both married couples and families with two unmarried parents.</t>
    </r>
  </si>
  <si>
    <t>RESULTS OF ALTERNATIVE FEE STRUCTURES -- NON-DCF FAMILIES RECEIVING SUBSIDIES</t>
  </si>
  <si>
    <t>Source:  ATTIS microsimulation model applied to 2018 American Community Survey data</t>
  </si>
  <si>
    <t>percentage of income (fee increases with any income increase)</t>
  </si>
  <si>
    <t>percentage of income</t>
  </si>
  <si>
    <t>125% poverty guideline ($2,263/month)</t>
  </si>
  <si>
    <t>150% poverty guideline ($2,715/month)</t>
  </si>
  <si>
    <r>
      <t xml:space="preserve">2 </t>
    </r>
    <r>
      <rPr>
        <sz val="11"/>
        <color theme="1"/>
        <rFont val="Calibri"/>
        <family val="2"/>
        <scheme val="minor"/>
      </rPr>
      <t>The percent of families with nonzero fees that are at least 6.9 percent and no higher than 7.0 percent of income.</t>
    </r>
  </si>
  <si>
    <t>$1 over 100% of poverty guideline</t>
  </si>
  <si>
    <t>28 income bands; bands 2-28 have constant width within family size</t>
  </si>
  <si>
    <t>100% poverty guideline ($1,810/month) + $1</t>
  </si>
  <si>
    <t>Maximum income for eligibility ($7,457)</t>
  </si>
  <si>
    <t>Actual policy (October 1, 2019)</t>
  </si>
  <si>
    <t>Within a "row" of the fee chart, do larger families pay the same percentage of income?</t>
  </si>
  <si>
    <t>no -- same dollar amount, lower percentage</t>
  </si>
  <si>
    <t>yes -- same percentage for all families paying a fee</t>
  </si>
  <si>
    <t>no -- after row 2, pcts. are lower for larger families</t>
  </si>
  <si>
    <t>yes -- same pct. of income within a row for all family sizes</t>
  </si>
  <si>
    <t>yes</t>
  </si>
  <si>
    <t>Option #3 -- Pct. of income, 6.1% to 15.6%</t>
  </si>
  <si>
    <t>Percent change from actual policy</t>
  </si>
  <si>
    <t>Alternative fee is lower</t>
  </si>
  <si>
    <t>Alternative fee is the same</t>
  </si>
  <si>
    <t>Alternative fee is higher</t>
  </si>
  <si>
    <t>Distribution of families with a fee under actual policy by change in fee under alternative policy</t>
  </si>
  <si>
    <t>Option #2 -- Pct. of income, starting at 4.0%</t>
  </si>
  <si>
    <r>
      <t xml:space="preserve">4 </t>
    </r>
    <r>
      <rPr>
        <sz val="11"/>
        <color theme="1"/>
        <rFont val="Calibri"/>
        <family val="2"/>
        <scheme val="minor"/>
      </rPr>
      <t>The aggregate fees are estimated by applying subgroup-level percentage changes from the simulation model to the actual aggregate fee collections by subgroup acording to the administrative data, with subgroups define by income level, number of children in care, and family size.</t>
    </r>
  </si>
  <si>
    <r>
      <t xml:space="preserve">Fee as % of income, full-time, 1 child, 3-person family, selected income points </t>
    </r>
    <r>
      <rPr>
        <vertAlign val="superscript"/>
        <sz val="11"/>
        <color theme="1"/>
        <rFont val="Calibri"/>
        <family val="2"/>
        <scheme val="minor"/>
      </rPr>
      <t>1</t>
    </r>
  </si>
  <si>
    <r>
      <t xml:space="preserve">Fee at maximum income for eligibility as percentage of average price of care, selected family situations </t>
    </r>
    <r>
      <rPr>
        <vertAlign val="superscript"/>
        <sz val="11"/>
        <color theme="1"/>
        <rFont val="Calibri"/>
        <family val="2"/>
        <scheme val="minor"/>
      </rPr>
      <t>3</t>
    </r>
  </si>
  <si>
    <t>Is fee capped at reimbursement rate?</t>
  </si>
  <si>
    <r>
      <t xml:space="preserve">1 </t>
    </r>
    <r>
      <rPr>
        <sz val="11"/>
        <color theme="1"/>
        <rFont val="Calibri"/>
        <family val="2"/>
        <scheme val="minor"/>
      </rPr>
      <t>Dollar amounts at various percentages of poverty are shown in 2020 dollars. For a 3-person family, the 2020 poverty guideline for the 48 contiguous states is $21,720. The eligibility limit for a 3-person family (which applies to families already receiving subsidies) is as of October 1, 2020.  Note that the simulations used the starting point of 2019 policies.</t>
    </r>
  </si>
  <si>
    <r>
      <t xml:space="preserve">two-parent, one child, school-age </t>
    </r>
    <r>
      <rPr>
        <vertAlign val="superscript"/>
        <sz val="11"/>
        <color theme="1"/>
        <rFont val="Calibri"/>
        <family val="2"/>
        <scheme val="minor"/>
      </rPr>
      <t>4</t>
    </r>
  </si>
  <si>
    <t>Option #4 -- Pct. of income, 5.0% to 15.6%</t>
  </si>
  <si>
    <r>
      <rPr>
        <vertAlign val="superscript"/>
        <sz val="11"/>
        <rFont val="Calibri"/>
        <family val="2"/>
        <scheme val="minor"/>
      </rPr>
      <t>3</t>
    </r>
    <r>
      <rPr>
        <sz val="11"/>
        <rFont val="Calibri"/>
        <family val="2"/>
        <scheme val="minor"/>
      </rPr>
      <t xml:space="preserve"> Average price of care is the 50th percentile amount for center-based care for children of the specified ages, from the 2018 market rate survey, inflated for increases in prices between 2018 and 2019.  The families are assumed to consist of the parents and the child(ren) needing care, without any other family members.  In the example with a school-age child, the child is assumed to be out of school (and need full-time care) for 1 week of the month, and to be in school (and need part-time care) for the remainder of the month.</t>
    </r>
  </si>
  <si>
    <r>
      <rPr>
        <vertAlign val="superscript"/>
        <sz val="11"/>
        <color theme="1"/>
        <rFont val="Calibri"/>
        <family val="2"/>
        <scheme val="minor"/>
      </rPr>
      <t>4</t>
    </r>
    <r>
      <rPr>
        <sz val="11"/>
        <color theme="1"/>
        <rFont val="Calibri"/>
        <family val="2"/>
        <scheme val="minor"/>
      </rPr>
      <t xml:space="preserve"> In Options #3 and #4, the fee at maximum income for eligibility for a two-parent family with one school-age child exceeds the reimbursement rate, so the parent fee is capped at the reimbursement rate amount. Both the reimbursement rate used for the cap and the average price of care assume the child is not in school and receives full-day care for one week of the month (5 days), and is in school and receives after-care only for the remainder of the month (3.333 weeks or 16.665 days). The reimbursement rates used for the cap reflect rates for Region 6 (Boston).</t>
    </r>
  </si>
  <si>
    <r>
      <t>Aggrgate annual fee collections, millions (adjusted</t>
    </r>
    <r>
      <rPr>
        <vertAlign val="superscript"/>
        <sz val="11"/>
        <color theme="1"/>
        <rFont val="Calibri"/>
        <family val="2"/>
        <scheme val="minor"/>
      </rPr>
      <t>4</t>
    </r>
    <r>
      <rPr>
        <sz val="11"/>
        <color theme="1"/>
        <rFont val="Calibri"/>
        <family val="2"/>
        <scheme val="minor"/>
      </rPr>
      <t>)</t>
    </r>
  </si>
  <si>
    <t>27 income bands; bands 2-27 have constant width within family size</t>
  </si>
  <si>
    <t>percentage of family's income that exceeds poverty guideline for that family size</t>
  </si>
  <si>
    <t>Option #5 -- Pct. of income that exceeds poverty guidelines, 4.0% to 15.6%</t>
  </si>
  <si>
    <t>December 18,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</si>
</sst>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0.0%"/>
    <numFmt numFmtId="166" formatCode="&quot;$&quot;#,##0.0"/>
  </numFmts>
  <fonts count="7" x14ac:knownFonts="1">
    <font>
      <sz val="11"/>
      <color theme="1"/>
      <name val="Calibri"/>
      <family val="2"/>
      <scheme val="minor"/>
    </font>
    <font>
      <sz val="11"/>
      <color rgb="FFFF0000"/>
      <name val="Calibri"/>
      <family val="2"/>
      <scheme val="minor"/>
    </font>
    <font>
      <sz val="14"/>
      <color theme="1"/>
      <name val="Calibri"/>
      <family val="2"/>
      <scheme val="minor"/>
    </font>
    <font>
      <vertAlign val="superscript"/>
      <sz val="11"/>
      <color theme="1"/>
      <name val="Calibri"/>
      <family val="2"/>
      <scheme val="minor"/>
    </font>
    <font>
      <sz val="11"/>
      <name val="Calibri"/>
      <family val="2"/>
      <scheme val="minor"/>
    </font>
    <font>
      <vertAlign val="superscript"/>
      <sz val="11"/>
      <name val="Calibri"/>
      <family val="2"/>
      <scheme val="minor"/>
    </font>
    <font>
      <sz val="11"/>
      <color theme="1"/>
      <name val="Calibri"/>
      <family val="2"/>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right/>
      <top/>
      <bottom style="double">
        <color auto="1"/>
      </bottom>
      <diagonal/>
    </border>
    <border>
      <left style="double">
        <color auto="1"/>
      </left>
      <right style="double">
        <color auto="1"/>
      </right>
      <top/>
      <bottom/>
      <diagonal/>
    </border>
    <border>
      <left/>
      <right style="double">
        <color auto="1"/>
      </right>
      <top/>
      <bottom/>
      <diagonal/>
    </border>
    <border>
      <left style="double">
        <color auto="1"/>
      </left>
      <right style="double">
        <color auto="1"/>
      </right>
      <top/>
      <bottom style="double">
        <color auto="1"/>
      </bottom>
      <diagonal/>
    </border>
  </borders>
  <cellStyleXfs count="2">
    <xf numFmtId="0" fontId="0" fillId="0" borderId="0"/>
    <xf numFmtId="9" fontId="6" fillId="0" borderId="0" applyFont="0" applyFill="0" applyBorder="0" applyAlignment="0" applyProtection="0"/>
  </cellStyleXfs>
  <cellXfs count="85">
    <xf numFmtId="0" fontId="0" fillId="0" borderId="0" xfId="0"/>
    <xf numFmtId="0" fontId="2" fillId="0" borderId="0" xfId="0" applyFont="1"/>
    <xf numFmtId="0" fontId="0" fillId="0" borderId="0" xfId="0" applyAlignment="1">
      <alignment horizontal="center"/>
    </xf>
    <xf numFmtId="0" fontId="0" fillId="0" borderId="1" xfId="0" applyBorder="1"/>
    <xf numFmtId="0" fontId="0" fillId="0" borderId="2" xfId="0" applyBorder="1" applyAlignment="1">
      <alignment horizontal="center"/>
    </xf>
    <xf numFmtId="0" fontId="0" fillId="0" borderId="0" xfId="0" applyAlignment="1">
      <alignment horizontal="left" indent="2"/>
    </xf>
    <xf numFmtId="0" fontId="0" fillId="0" borderId="1" xfId="0" applyBorder="1" applyAlignment="1">
      <alignment horizontal="center" wrapText="1"/>
    </xf>
    <xf numFmtId="0" fontId="0" fillId="0" borderId="0" xfId="0" applyAlignment="1">
      <alignment vertical="top"/>
    </xf>
    <xf numFmtId="0" fontId="0" fillId="0" borderId="2" xfId="0" applyBorder="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9" fontId="0" fillId="0" borderId="0" xfId="0" applyNumberFormat="1" applyAlignment="1">
      <alignment horizontal="center" vertical="top" wrapText="1"/>
    </xf>
    <xf numFmtId="0" fontId="0" fillId="0" borderId="0" xfId="0" applyFont="1" applyAlignment="1">
      <alignment horizontal="center" vertical="top" wrapText="1"/>
    </xf>
    <xf numFmtId="9" fontId="0" fillId="0" borderId="0" xfId="0" applyNumberFormat="1" applyFont="1" applyAlignment="1">
      <alignment horizontal="center" vertical="top" wrapText="1"/>
    </xf>
    <xf numFmtId="0" fontId="1" fillId="0" borderId="0" xfId="0" applyFont="1"/>
    <xf numFmtId="0" fontId="0" fillId="0" borderId="0" xfId="0" applyAlignment="1">
      <alignment horizontal="left" vertical="top" wrapText="1"/>
    </xf>
    <xf numFmtId="0" fontId="0" fillId="0" borderId="0" xfId="0" applyAlignment="1">
      <alignment horizontal="center" vertical="center" wrapText="1"/>
    </xf>
    <xf numFmtId="9" fontId="0" fillId="0" borderId="0" xfId="0" applyNumberFormat="1" applyAlignment="1">
      <alignment horizontal="center" vertical="center" wrapText="1"/>
    </xf>
    <xf numFmtId="0" fontId="0" fillId="0" borderId="0" xfId="0" applyFont="1"/>
    <xf numFmtId="0" fontId="0" fillId="0" borderId="0" xfId="0" applyBorder="1" applyAlignment="1">
      <alignment horizontal="left" vertical="top" wrapText="1"/>
    </xf>
    <xf numFmtId="0" fontId="0" fillId="0" borderId="0" xfId="0" applyFill="1" applyAlignment="1">
      <alignment horizontal="right"/>
    </xf>
    <xf numFmtId="164" fontId="0" fillId="0" borderId="0" xfId="0" applyNumberFormat="1" applyAlignment="1">
      <alignment horizontal="center"/>
    </xf>
    <xf numFmtId="0" fontId="0" fillId="0" borderId="0" xfId="0" applyFill="1" applyBorder="1" applyAlignment="1">
      <alignment horizontal="center"/>
    </xf>
    <xf numFmtId="165" fontId="0" fillId="0" borderId="0" xfId="0" applyNumberFormat="1" applyFill="1" applyBorder="1" applyAlignment="1">
      <alignment horizontal="center"/>
    </xf>
    <xf numFmtId="0" fontId="0" fillId="0" borderId="0" xfId="0" applyFill="1" applyAlignment="1">
      <alignment horizontal="center"/>
    </xf>
    <xf numFmtId="3" fontId="0" fillId="0" borderId="0" xfId="0" applyNumberFormat="1" applyAlignment="1">
      <alignment horizontal="center"/>
    </xf>
    <xf numFmtId="9" fontId="0" fillId="0" borderId="0" xfId="0" applyNumberFormat="1" applyBorder="1" applyAlignment="1">
      <alignment horizontal="center" vertical="top" wrapText="1"/>
    </xf>
    <xf numFmtId="3" fontId="0" fillId="0" borderId="2" xfId="0" applyNumberFormat="1" applyBorder="1" applyAlignment="1">
      <alignment horizontal="center"/>
    </xf>
    <xf numFmtId="165" fontId="0" fillId="0" borderId="0" xfId="0" applyNumberFormat="1" applyAlignment="1">
      <alignment horizontal="center" vertical="top" wrapText="1"/>
    </xf>
    <xf numFmtId="0" fontId="0" fillId="0" borderId="0" xfId="0" applyAlignment="1">
      <alignment horizontal="center"/>
    </xf>
    <xf numFmtId="165" fontId="0" fillId="0" borderId="0" xfId="0" applyNumberFormat="1" applyBorder="1" applyAlignment="1">
      <alignment horizontal="center" vertical="top" wrapText="1"/>
    </xf>
    <xf numFmtId="0" fontId="0" fillId="0" borderId="0" xfId="0" applyAlignment="1">
      <alignment horizontal="center"/>
    </xf>
    <xf numFmtId="0" fontId="0" fillId="0" borderId="0" xfId="0" applyAlignment="1">
      <alignment horizontal="right"/>
    </xf>
    <xf numFmtId="164" fontId="0" fillId="0" borderId="2" xfId="0" applyNumberFormat="1" applyBorder="1" applyAlignment="1">
      <alignment horizontal="center"/>
    </xf>
    <xf numFmtId="9" fontId="0" fillId="0" borderId="0" xfId="0" applyNumberFormat="1" applyFill="1" applyAlignment="1">
      <alignment horizontal="center"/>
    </xf>
    <xf numFmtId="9" fontId="0" fillId="0" borderId="0" xfId="0" applyNumberFormat="1" applyAlignment="1">
      <alignment horizontal="center"/>
    </xf>
    <xf numFmtId="165" fontId="0" fillId="0" borderId="0" xfId="0" applyNumberFormat="1" applyAlignment="1">
      <alignment horizontal="center"/>
    </xf>
    <xf numFmtId="165" fontId="0" fillId="0" borderId="0" xfId="0" applyNumberFormat="1" applyFill="1" applyAlignment="1">
      <alignment horizontal="center" vertical="top" wrapText="1"/>
    </xf>
    <xf numFmtId="0" fontId="0" fillId="0" borderId="4" xfId="0" applyBorder="1" applyAlignment="1">
      <alignment horizontal="center" wrapText="1"/>
    </xf>
    <xf numFmtId="9" fontId="0" fillId="0" borderId="2" xfId="0" applyNumberFormat="1" applyBorder="1" applyAlignment="1">
      <alignment horizontal="center" vertical="top" wrapText="1"/>
    </xf>
    <xf numFmtId="165" fontId="0" fillId="0" borderId="2" xfId="0" applyNumberFormat="1" applyBorder="1" applyAlignment="1">
      <alignment horizontal="center"/>
    </xf>
    <xf numFmtId="0" fontId="0" fillId="0" borderId="1" xfId="0" applyFill="1" applyBorder="1" applyAlignment="1">
      <alignment horizontal="center" wrapText="1"/>
    </xf>
    <xf numFmtId="165" fontId="0" fillId="0" borderId="0" xfId="0" applyNumberFormat="1"/>
    <xf numFmtId="165" fontId="0" fillId="0" borderId="0" xfId="0" applyNumberFormat="1" applyFont="1" applyAlignment="1">
      <alignment horizontal="center"/>
    </xf>
    <xf numFmtId="9" fontId="0" fillId="0" borderId="0" xfId="1" applyFont="1" applyBorder="1" applyAlignment="1">
      <alignment horizontal="center"/>
    </xf>
    <xf numFmtId="166" fontId="0" fillId="0" borderId="0" xfId="0" applyNumberFormat="1" applyFill="1" applyAlignment="1">
      <alignment horizontal="center"/>
    </xf>
    <xf numFmtId="9" fontId="0" fillId="0" borderId="0" xfId="1" applyNumberFormat="1" applyFont="1" applyFill="1" applyAlignment="1">
      <alignment horizontal="center"/>
    </xf>
    <xf numFmtId="0" fontId="0" fillId="0" borderId="0" xfId="0" applyAlignment="1">
      <alignment horizontal="left" vertical="top" wrapText="1"/>
    </xf>
    <xf numFmtId="0" fontId="5" fillId="0" borderId="0" xfId="0" applyFont="1" applyAlignment="1">
      <alignment horizontal="left" vertical="top" wrapText="1"/>
    </xf>
    <xf numFmtId="0" fontId="0" fillId="0" borderId="0" xfId="0" applyAlignment="1">
      <alignment horizontal="left"/>
    </xf>
    <xf numFmtId="0" fontId="3" fillId="0" borderId="0" xfId="0" applyFont="1" applyAlignment="1">
      <alignment horizontal="left" vertical="top" wrapText="1"/>
    </xf>
    <xf numFmtId="165" fontId="0" fillId="0" borderId="0" xfId="0" applyNumberFormat="1" applyFill="1" applyAlignment="1">
      <alignment horizontal="center"/>
    </xf>
    <xf numFmtId="164" fontId="0" fillId="0" borderId="0" xfId="0" applyNumberFormat="1" applyFill="1" applyAlignment="1">
      <alignment horizontal="center"/>
    </xf>
    <xf numFmtId="3" fontId="0" fillId="0" borderId="0" xfId="0" applyNumberFormat="1" applyFill="1" applyAlignment="1">
      <alignment horizontal="center"/>
    </xf>
    <xf numFmtId="0" fontId="1" fillId="0" borderId="0" xfId="0" applyFont="1" applyFill="1" applyBorder="1" applyAlignment="1">
      <alignment horizontal="left" vertical="top" wrapText="1"/>
    </xf>
    <xf numFmtId="3" fontId="0" fillId="0" borderId="0" xfId="0" quotePrefix="1" applyNumberFormat="1" applyFill="1" applyAlignment="1">
      <alignment horizontal="center"/>
    </xf>
    <xf numFmtId="0" fontId="0" fillId="0" borderId="0" xfId="0" quotePrefix="1" applyFill="1" applyAlignment="1">
      <alignment horizontal="right"/>
    </xf>
    <xf numFmtId="0" fontId="0" fillId="2" borderId="0" xfId="0" applyFill="1" applyAlignment="1">
      <alignment horizontal="center"/>
    </xf>
    <xf numFmtId="0" fontId="0" fillId="2" borderId="1" xfId="0" applyFill="1" applyBorder="1" applyAlignment="1">
      <alignment horizontal="center" wrapText="1"/>
    </xf>
    <xf numFmtId="0" fontId="0" fillId="2" borderId="0" xfId="0" applyFill="1" applyAlignment="1">
      <alignment horizontal="center" vertical="top" wrapText="1"/>
    </xf>
    <xf numFmtId="165" fontId="0" fillId="2" borderId="0" xfId="0" applyNumberFormat="1" applyFill="1" applyAlignment="1">
      <alignment horizontal="center" vertical="center" wrapText="1"/>
    </xf>
    <xf numFmtId="0" fontId="0" fillId="2" borderId="0" xfId="0" applyFill="1" applyAlignment="1">
      <alignment horizontal="center" vertical="center" wrapText="1"/>
    </xf>
    <xf numFmtId="9" fontId="0" fillId="2" borderId="0" xfId="0" applyNumberFormat="1" applyFill="1" applyBorder="1" applyAlignment="1">
      <alignment horizontal="center" vertical="top" wrapText="1"/>
    </xf>
    <xf numFmtId="165" fontId="0" fillId="2" borderId="0" xfId="0" applyNumberFormat="1" applyFill="1" applyBorder="1" applyAlignment="1">
      <alignment horizontal="center" vertical="top" wrapText="1"/>
    </xf>
    <xf numFmtId="0" fontId="0" fillId="2" borderId="0" xfId="0" applyFill="1"/>
    <xf numFmtId="0" fontId="1" fillId="2" borderId="0" xfId="0" applyFont="1" applyFill="1"/>
    <xf numFmtId="165" fontId="0" fillId="2" borderId="0" xfId="0" applyNumberFormat="1" applyFont="1" applyFill="1" applyAlignment="1">
      <alignment horizontal="center"/>
    </xf>
    <xf numFmtId="165" fontId="0" fillId="2" borderId="0" xfId="0" applyNumberFormat="1" applyFill="1" applyAlignment="1">
      <alignment horizontal="center"/>
    </xf>
    <xf numFmtId="165" fontId="0" fillId="2" borderId="0" xfId="0" applyNumberFormat="1" applyFill="1" applyAlignment="1">
      <alignment horizontal="center" vertical="top" wrapText="1"/>
    </xf>
    <xf numFmtId="0" fontId="0" fillId="2" borderId="0" xfId="0" applyFill="1" applyBorder="1" applyAlignment="1">
      <alignment horizontal="center"/>
    </xf>
    <xf numFmtId="0" fontId="0" fillId="0" borderId="4" xfId="0" applyBorder="1" applyAlignment="1">
      <alignment horizontal="center"/>
    </xf>
    <xf numFmtId="165" fontId="0" fillId="0" borderId="2" xfId="0" applyNumberFormat="1" applyFill="1" applyBorder="1" applyAlignment="1">
      <alignment horizontal="center" vertical="top" wrapText="1"/>
    </xf>
    <xf numFmtId="0" fontId="0" fillId="0" borderId="2" xfId="0" applyBorder="1" applyAlignment="1">
      <alignment horizontal="center" vertical="center" wrapText="1"/>
    </xf>
    <xf numFmtId="0" fontId="1" fillId="0" borderId="2" xfId="0" applyFont="1" applyBorder="1" applyAlignment="1">
      <alignment horizontal="center" vertical="top" wrapText="1"/>
    </xf>
    <xf numFmtId="165" fontId="0" fillId="0" borderId="2" xfId="0" applyNumberFormat="1" applyBorder="1" applyAlignment="1">
      <alignment horizontal="center" vertical="top" wrapText="1"/>
    </xf>
    <xf numFmtId="166" fontId="0" fillId="0" borderId="2" xfId="0" applyNumberFormat="1" applyBorder="1" applyAlignment="1">
      <alignment horizontal="center"/>
    </xf>
    <xf numFmtId="166" fontId="0" fillId="0" borderId="2" xfId="0" quotePrefix="1" applyNumberFormat="1" applyFill="1" applyBorder="1" applyAlignment="1">
      <alignment horizontal="center"/>
    </xf>
    <xf numFmtId="9" fontId="0" fillId="0" borderId="2" xfId="0" applyNumberFormat="1" applyBorder="1" applyAlignment="1">
      <alignment horizontal="center"/>
    </xf>
    <xf numFmtId="9" fontId="0" fillId="0" borderId="2" xfId="0" quotePrefix="1" applyNumberFormat="1" applyBorder="1" applyAlignment="1">
      <alignment horizontal="center"/>
    </xf>
    <xf numFmtId="0" fontId="0" fillId="0" borderId="0" xfId="0" applyAlignment="1">
      <alignment horizontal="left" vertical="top" wrapText="1"/>
    </xf>
    <xf numFmtId="0" fontId="0" fillId="0" borderId="3" xfId="0" applyBorder="1" applyAlignment="1">
      <alignment horizontal="left" vertical="top" wrapText="1"/>
    </xf>
    <xf numFmtId="0" fontId="4" fillId="0" borderId="0" xfId="0" applyFont="1" applyAlignment="1">
      <alignment horizontal="left" vertical="top" wrapText="1"/>
    </xf>
    <xf numFmtId="0" fontId="5" fillId="0" borderId="0" xfId="0" applyFont="1" applyAlignment="1">
      <alignment horizontal="left" vertical="top" wrapText="1"/>
    </xf>
    <xf numFmtId="0" fontId="0" fillId="0" borderId="0" xfId="0" applyAlignment="1">
      <alignment horizontal="left"/>
    </xf>
    <xf numFmtId="0" fontId="3" fillId="0" borderId="0" xfId="0" applyFont="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calcChain" Target="calcChain.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kwon\Desktop\MA%20ATTIS%20Project\Alt%20fee%20scale%20option%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Cliff%20effect%20tables%208-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Cliff%20effect%20tables%209-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MA%20ATTIS%20tables%20to%20link.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Option%205%20docs\Option%205%20Navigator%20Table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Option%202%20docs\Opt%202%20pct%20change%20in%20agg%20benefit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Option%202%20Navigator%20Tabl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Win-lose%20tab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RES\Centers\Ibp\Center\Projects\102136%20-%20MA%20Parent%20Fee%20analysis\Task%202%20Copay%20Modeling\Option%202%20docs\Option%202%20Navigator%20Tab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chart"/>
      <sheetName val="Original fees for lookup"/>
      <sheetName val="Original Fees, selected incomes"/>
      <sheetName val="Original chart %"/>
      <sheetName val="Alt chart A, inc limits"/>
      <sheetName val="Alt A chart, fees as %"/>
      <sheetName val="Alt A chart, $ fees"/>
      <sheetName val="Alt A fees for lookup"/>
      <sheetName val="Alt A fees, selected inc"/>
      <sheetName val="Alt A fees minus Current"/>
      <sheetName val="2020 Poverty Guidelines"/>
    </sheetNames>
    <sheetDataSet>
      <sheetData sheetId="0"/>
      <sheetData sheetId="1"/>
      <sheetData sheetId="2"/>
      <sheetData sheetId="3">
        <row r="32">
          <cell r="C32">
            <v>0.12466877192982456</v>
          </cell>
        </row>
      </sheetData>
      <sheetData sheetId="4"/>
      <sheetData sheetId="5">
        <row r="7">
          <cell r="C7">
            <v>4.6599999999999996E-2</v>
          </cell>
        </row>
        <row r="9">
          <cell r="C9">
            <v>5.319999999999999E-2</v>
          </cell>
        </row>
        <row r="31">
          <cell r="C31">
            <v>0.126</v>
          </cell>
        </row>
      </sheetData>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ummary, centers"/>
      <sheetName val="2. Summary, family child care"/>
      <sheetName val="3. Baseline details"/>
      <sheetName val="4. 7% details "/>
      <sheetName val="5. Alt 2 details"/>
      <sheetName val="4. 7% details  (2)"/>
    </sheetNames>
    <sheetDataSet>
      <sheetData sheetId="0" refreshError="1"/>
      <sheetData sheetId="1" refreshError="1"/>
      <sheetData sheetId="2">
        <row r="9">
          <cell r="R9">
            <v>888.26499999999999</v>
          </cell>
        </row>
        <row r="10">
          <cell r="R10">
            <v>546.63249999999994</v>
          </cell>
        </row>
        <row r="15">
          <cell r="D15">
            <v>1332</v>
          </cell>
          <cell r="F15">
            <v>3042.7482910999997</v>
          </cell>
        </row>
        <row r="16">
          <cell r="F16">
            <v>1703.3197937</v>
          </cell>
        </row>
        <row r="26">
          <cell r="D26">
            <v>547</v>
          </cell>
          <cell r="F26">
            <v>558.62785370000006</v>
          </cell>
        </row>
      </sheetData>
      <sheetData sheetId="3">
        <row r="15">
          <cell r="D15">
            <v>498.75000000000006</v>
          </cell>
          <cell r="F15">
            <v>3042.7482910999997</v>
          </cell>
        </row>
        <row r="16">
          <cell r="D16">
            <v>498.75000000000006</v>
          </cell>
          <cell r="F16">
            <v>1703.3197937</v>
          </cell>
        </row>
        <row r="26">
          <cell r="D26">
            <v>306.92750403877227</v>
          </cell>
          <cell r="F26">
            <v>558.62785370000006</v>
          </cell>
        </row>
      </sheetData>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ummary, centers"/>
      <sheetName val="2. Summary, family child care"/>
      <sheetName val="3. Baseline details"/>
      <sheetName val="4. 7% details "/>
      <sheetName val="5. Alt 2 details"/>
    </sheetNames>
    <sheetDataSet>
      <sheetData sheetId="0"/>
      <sheetData sheetId="1"/>
      <sheetData sheetId="2">
        <row r="15">
          <cell r="F15">
            <v>3042.7482910999997</v>
          </cell>
        </row>
        <row r="16">
          <cell r="F16">
            <v>1703.3197937</v>
          </cell>
        </row>
        <row r="26">
          <cell r="F26">
            <v>558.62785370000006</v>
          </cell>
        </row>
      </sheetData>
      <sheetData sheetId="3">
        <row r="15">
          <cell r="F15">
            <v>3042.7482910999997</v>
          </cell>
        </row>
      </sheetData>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gregate Fees Part - Base"/>
      <sheetName val="Aggregate Fees Elig - Base"/>
      <sheetName val="Avg Monthly Families - Base"/>
      <sheetName val="Number Paying Fee - Base"/>
      <sheetName val="Dist Percent Income - Base"/>
      <sheetName val="Percent Income by Child - Base"/>
      <sheetName val="Average Nonzero Fee $ - Base"/>
      <sheetName val="Percent &gt;7% - Base"/>
      <sheetName val="Percent &gt;15% - Base"/>
      <sheetName val="Unweighted Counts"/>
      <sheetName val="Aggregate Fees Part - Young"/>
      <sheetName val="Aggregate Fees Elig - Young"/>
      <sheetName val="Avg Monthly Families - Young"/>
      <sheetName val="Number Paying Fee - Young"/>
      <sheetName val="Dist Percent Income - Young"/>
      <sheetName val="Percent Income by Child - Young"/>
      <sheetName val="Average Nonzero Fee $ - Young"/>
      <sheetName val="Percent &gt;7% - Young"/>
      <sheetName val="Percent &gt;15% - Young"/>
      <sheetName val="Aggregate Fees Part - 7%"/>
      <sheetName val="Aggregate Fees Elig - 7%"/>
      <sheetName val="Avg Monthly Families - 7%"/>
      <sheetName val="Number Paying Fee - 7%"/>
      <sheetName val="Dist Percent Income - 7%"/>
      <sheetName val="Percent Income by Child - 7%"/>
      <sheetName val="Average Nonzero Fee $ - 7%"/>
      <sheetName val="Percent &gt;7% - 7%"/>
      <sheetName val="Percent &gt;15% - 7%"/>
      <sheetName val="Aggregate Fees Part - alt2"/>
      <sheetName val="Aggregate Fees Elig - alt2"/>
      <sheetName val="Avg Monthly Families - alt2"/>
      <sheetName val="Number Paying Fee - alt2"/>
      <sheetName val="Dist Percent Income - alt2"/>
      <sheetName val="Percent Income by Child - alt2"/>
      <sheetName val="Average Nonzero Fee $ - alt2"/>
      <sheetName val="Percent &gt;7% - alt2"/>
      <sheetName val="Percent &gt;15% - alt2"/>
    </sheetNames>
    <sheetDataSet>
      <sheetData sheetId="0">
        <row r="10">
          <cell r="D10">
            <v>71792814</v>
          </cell>
        </row>
      </sheetData>
      <sheetData sheetId="1">
        <row r="10">
          <cell r="D10">
            <v>348045258</v>
          </cell>
        </row>
      </sheetData>
      <sheetData sheetId="2">
        <row r="8">
          <cell r="D8">
            <v>989</v>
          </cell>
        </row>
        <row r="10">
          <cell r="F10">
            <v>30886</v>
          </cell>
        </row>
      </sheetData>
      <sheetData sheetId="3">
        <row r="28">
          <cell r="F28">
            <v>98578</v>
          </cell>
        </row>
        <row r="97">
          <cell r="C97">
            <v>22244</v>
          </cell>
        </row>
      </sheetData>
      <sheetData sheetId="4">
        <row r="12">
          <cell r="C12">
            <v>9.2999999999999999E-2</v>
          </cell>
        </row>
        <row r="13">
          <cell r="C13">
            <v>0.13800000000000001</v>
          </cell>
        </row>
        <row r="14">
          <cell r="C14">
            <v>1.0999999999999999E-2</v>
          </cell>
        </row>
        <row r="15">
          <cell r="C15">
            <v>0.29799999999999999</v>
          </cell>
        </row>
        <row r="16">
          <cell r="C16">
            <v>0.32</v>
          </cell>
        </row>
        <row r="17">
          <cell r="C17">
            <v>0.13500000000000001</v>
          </cell>
        </row>
        <row r="18">
          <cell r="C18">
            <v>5.0000000000000001E-3</v>
          </cell>
        </row>
        <row r="19">
          <cell r="D19">
            <v>101</v>
          </cell>
        </row>
      </sheetData>
      <sheetData sheetId="5">
        <row r="12">
          <cell r="B12">
            <v>161041</v>
          </cell>
          <cell r="D12">
            <v>99</v>
          </cell>
          <cell r="G12">
            <v>111</v>
          </cell>
        </row>
        <row r="13">
          <cell r="J13">
            <v>89</v>
          </cell>
        </row>
      </sheetData>
      <sheetData sheetId="6">
        <row r="12">
          <cell r="D12">
            <v>241</v>
          </cell>
          <cell r="G12">
            <v>290</v>
          </cell>
        </row>
        <row r="13">
          <cell r="J13">
            <v>361</v>
          </cell>
        </row>
        <row r="14">
          <cell r="J14">
            <v>269</v>
          </cell>
        </row>
      </sheetData>
      <sheetData sheetId="7">
        <row r="12">
          <cell r="B12">
            <v>161041</v>
          </cell>
          <cell r="D12">
            <v>74919</v>
          </cell>
        </row>
        <row r="13">
          <cell r="F13">
            <v>30972</v>
          </cell>
        </row>
        <row r="14">
          <cell r="F14">
            <v>266932</v>
          </cell>
        </row>
        <row r="28">
          <cell r="B28">
            <v>118351</v>
          </cell>
          <cell r="D28">
            <v>62796</v>
          </cell>
        </row>
        <row r="29">
          <cell r="F29">
            <v>21273</v>
          </cell>
        </row>
        <row r="30">
          <cell r="F30">
            <v>202420</v>
          </cell>
        </row>
      </sheetData>
      <sheetData sheetId="8">
        <row r="12">
          <cell r="B12">
            <v>161041</v>
          </cell>
          <cell r="D12">
            <v>74919</v>
          </cell>
        </row>
        <row r="13">
          <cell r="F13">
            <v>30972</v>
          </cell>
        </row>
        <row r="14">
          <cell r="F14">
            <v>266932</v>
          </cell>
        </row>
        <row r="28">
          <cell r="B28">
            <v>25002</v>
          </cell>
          <cell r="D28">
            <v>10121</v>
          </cell>
        </row>
        <row r="29">
          <cell r="F29">
            <v>2148</v>
          </cell>
        </row>
        <row r="30">
          <cell r="F30">
            <v>37271</v>
          </cell>
        </row>
      </sheetData>
      <sheetData sheetId="9">
        <row r="10">
          <cell r="B10">
            <v>1224</v>
          </cell>
        </row>
      </sheetData>
      <sheetData sheetId="10">
        <row r="10">
          <cell r="D10">
            <v>74118830</v>
          </cell>
        </row>
      </sheetData>
      <sheetData sheetId="11">
        <row r="10">
          <cell r="D10">
            <v>365594622</v>
          </cell>
        </row>
      </sheetData>
      <sheetData sheetId="12">
        <row r="10">
          <cell r="D10">
            <v>130514</v>
          </cell>
        </row>
      </sheetData>
      <sheetData sheetId="13">
        <row r="28">
          <cell r="F28">
            <v>98578</v>
          </cell>
        </row>
      </sheetData>
      <sheetData sheetId="14">
        <row r="12">
          <cell r="C12">
            <v>9.2999999999999999E-2</v>
          </cell>
        </row>
      </sheetData>
      <sheetData sheetId="15">
        <row r="12">
          <cell r="D12">
            <v>99</v>
          </cell>
        </row>
      </sheetData>
      <sheetData sheetId="16">
        <row r="12">
          <cell r="D12">
            <v>241</v>
          </cell>
        </row>
      </sheetData>
      <sheetData sheetId="17">
        <row r="12">
          <cell r="B12">
            <v>161041</v>
          </cell>
        </row>
      </sheetData>
      <sheetData sheetId="18">
        <row r="12">
          <cell r="B12">
            <v>161041</v>
          </cell>
        </row>
      </sheetData>
      <sheetData sheetId="19">
        <row r="10">
          <cell r="D10">
            <v>35777317</v>
          </cell>
        </row>
      </sheetData>
      <sheetData sheetId="20">
        <row r="10">
          <cell r="D10">
            <v>180059233</v>
          </cell>
        </row>
      </sheetData>
      <sheetData sheetId="21">
        <row r="10">
          <cell r="D10">
            <v>130514</v>
          </cell>
        </row>
      </sheetData>
      <sheetData sheetId="22">
        <row r="28">
          <cell r="F28">
            <v>84485</v>
          </cell>
        </row>
      </sheetData>
      <sheetData sheetId="23">
        <row r="12">
          <cell r="C12">
            <v>0.33800000000000002</v>
          </cell>
        </row>
      </sheetData>
      <sheetData sheetId="24">
        <row r="12">
          <cell r="D12">
            <v>57</v>
          </cell>
        </row>
      </sheetData>
      <sheetData sheetId="25">
        <row r="12">
          <cell r="D12">
            <v>142</v>
          </cell>
        </row>
      </sheetData>
      <sheetData sheetId="26"/>
      <sheetData sheetId="27">
        <row r="12">
          <cell r="B12">
            <v>136714</v>
          </cell>
        </row>
      </sheetData>
      <sheetData sheetId="28">
        <row r="10">
          <cell r="D10">
            <v>35682148</v>
          </cell>
        </row>
      </sheetData>
      <sheetData sheetId="29">
        <row r="10">
          <cell r="D10">
            <v>199296510</v>
          </cell>
        </row>
      </sheetData>
      <sheetData sheetId="30">
        <row r="10">
          <cell r="D10">
            <v>130514</v>
          </cell>
        </row>
      </sheetData>
      <sheetData sheetId="31">
        <row r="28">
          <cell r="F28">
            <v>81762</v>
          </cell>
        </row>
      </sheetData>
      <sheetData sheetId="32">
        <row r="12">
          <cell r="C12">
            <v>0.437</v>
          </cell>
        </row>
      </sheetData>
      <sheetData sheetId="33">
        <row r="12">
          <cell r="D12">
            <v>52</v>
          </cell>
        </row>
      </sheetData>
      <sheetData sheetId="34">
        <row r="12">
          <cell r="D12">
            <v>139</v>
          </cell>
        </row>
      </sheetData>
      <sheetData sheetId="35">
        <row r="12">
          <cell r="B12">
            <v>132946</v>
          </cell>
        </row>
      </sheetData>
      <sheetData sheetId="36">
        <row r="12">
          <cell r="B12">
            <v>132946</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gregate Fees Part - alt2"/>
      <sheetName val="Aggregate Fees Elig - alt2"/>
      <sheetName val="Avg Monthly Families - alt2"/>
      <sheetName val="Number Paying Fee - alt2"/>
      <sheetName val="Dist Percent Income - alt2"/>
      <sheetName val="Percent Income by Child - alt2"/>
      <sheetName val="Average Nonzero Fee $ - alt2"/>
      <sheetName val="Percent &gt;7% - alt2"/>
      <sheetName val="Percent &gt;15% - alt2"/>
    </sheetNames>
    <sheetDataSet>
      <sheetData sheetId="0">
        <row r="10">
          <cell r="D10">
            <v>17901634</v>
          </cell>
        </row>
      </sheetData>
      <sheetData sheetId="1">
        <row r="10">
          <cell r="D10">
            <v>125661525</v>
          </cell>
        </row>
      </sheetData>
      <sheetData sheetId="2">
        <row r="10">
          <cell r="D10">
            <v>130514</v>
          </cell>
          <cell r="F10">
            <v>30886</v>
          </cell>
        </row>
      </sheetData>
      <sheetData sheetId="3">
        <row r="28">
          <cell r="F28">
            <v>82475</v>
          </cell>
        </row>
        <row r="97">
          <cell r="C97">
            <v>17956</v>
          </cell>
        </row>
      </sheetData>
      <sheetData sheetId="4">
        <row r="12">
          <cell r="C12">
            <v>0.89300000000000002</v>
          </cell>
        </row>
        <row r="13">
          <cell r="C13">
            <v>8.5999999999999993E-2</v>
          </cell>
        </row>
        <row r="14">
          <cell r="C14">
            <v>0</v>
          </cell>
        </row>
        <row r="15">
          <cell r="C15">
            <v>1.0999999999999999E-2</v>
          </cell>
        </row>
        <row r="16">
          <cell r="C16">
            <v>6.0000000000000001E-3</v>
          </cell>
        </row>
        <row r="17">
          <cell r="C17">
            <v>4.0000000000000001E-3</v>
          </cell>
        </row>
        <row r="18">
          <cell r="C18">
            <v>0</v>
          </cell>
        </row>
        <row r="19">
          <cell r="D19">
            <v>24</v>
          </cell>
        </row>
      </sheetData>
      <sheetData sheetId="5">
        <row r="12">
          <cell r="D12">
            <v>22</v>
          </cell>
          <cell r="G12">
            <v>23</v>
          </cell>
        </row>
        <row r="13">
          <cell r="J13">
            <v>37</v>
          </cell>
        </row>
      </sheetData>
      <sheetData sheetId="6">
        <row r="12">
          <cell r="D12">
            <v>64</v>
          </cell>
          <cell r="G12">
            <v>87</v>
          </cell>
        </row>
        <row r="13">
          <cell r="J13">
            <v>172</v>
          </cell>
        </row>
        <row r="14">
          <cell r="J14">
            <v>83</v>
          </cell>
        </row>
      </sheetData>
      <sheetData sheetId="7">
        <row r="12">
          <cell r="B12">
            <v>135604</v>
          </cell>
          <cell r="D12">
            <v>53447</v>
          </cell>
        </row>
        <row r="13">
          <cell r="F13">
            <v>26419</v>
          </cell>
        </row>
        <row r="14">
          <cell r="F14">
            <v>215470</v>
          </cell>
        </row>
        <row r="28">
          <cell r="B28">
            <v>1696</v>
          </cell>
          <cell r="D28">
            <v>1505</v>
          </cell>
        </row>
        <row r="29">
          <cell r="F29">
            <v>1334</v>
          </cell>
        </row>
        <row r="30">
          <cell r="F30">
            <v>4535</v>
          </cell>
        </row>
      </sheetData>
      <sheetData sheetId="8">
        <row r="12">
          <cell r="B12">
            <v>135604</v>
          </cell>
          <cell r="D12">
            <v>53447</v>
          </cell>
        </row>
        <row r="13">
          <cell r="F13">
            <v>26419</v>
          </cell>
        </row>
        <row r="14">
          <cell r="F14">
            <v>215470</v>
          </cell>
        </row>
        <row r="28">
          <cell r="D28">
            <v>788</v>
          </cell>
        </row>
        <row r="29">
          <cell r="F29">
            <v>92</v>
          </cell>
        </row>
        <row r="30">
          <cell r="F30">
            <v>880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one child in care 801 data"/>
      <sheetName val="two children in care 801 data"/>
      <sheetName val="3+ children in care 801 data"/>
      <sheetName val="one child in care baseline"/>
      <sheetName val="one child in care CurLaw"/>
      <sheetName val="two children in care baseline"/>
      <sheetName val="two children CurLaw"/>
      <sheetName val="3+ children in care baseline"/>
      <sheetName val="3+ children CurLaw"/>
      <sheetName val="one child in care alt"/>
      <sheetName val="two children in care alt"/>
      <sheetName val="3+ children in care alt"/>
      <sheetName val="one child alt table"/>
      <sheetName val="two children alt table"/>
      <sheetName val="3+ children alt table"/>
      <sheetName val="1 child % dif unadj"/>
      <sheetName val="1 child % dif adj"/>
      <sheetName val="2 kids % dif unadj"/>
      <sheetName val="2 kids % dif adj"/>
      <sheetName val="3+ kids % dif unadj"/>
      <sheetName val="3+ kids % dif adj"/>
      <sheetName val="one child % diff on 801"/>
      <sheetName val="two children % diff on 801"/>
      <sheetName val="3+ children % diff on 801"/>
      <sheetName val="portion paid by fams &lt; pov"/>
    </sheetNames>
    <sheetDataSet>
      <sheetData sheetId="0">
        <row r="8">
          <cell r="H8">
            <v>-0.47267947225241846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gregate Fees Part - alt2"/>
      <sheetName val="Aggregate Fees Elig - alt2"/>
      <sheetName val="Avg Monthly Families - alt2"/>
      <sheetName val="Number Paying Fee - alt2"/>
      <sheetName val="Dist Percent Income - alt2"/>
      <sheetName val="Percent Income by Child - alt2"/>
      <sheetName val="Average Nonzero Fee $ - alt2"/>
      <sheetName val="Percent &gt;7% - alt2"/>
      <sheetName val="Percent &gt;15% - alt2"/>
      <sheetName val="Aggregate Fees Elig - alt3d"/>
      <sheetName val="Aggregate Fees Part - alt3d"/>
      <sheetName val="Avg Monthly Families - alt3d"/>
      <sheetName val="Number Paying Fee - alt3d"/>
      <sheetName val="Dist Percent Income - alt3d"/>
      <sheetName val="Percent Income by Child - alt3d"/>
      <sheetName val="Average Nonzero Fee $ - alt3d"/>
      <sheetName val="Percent &gt;7% - alt3d"/>
    </sheetNames>
    <sheetDataSet>
      <sheetData sheetId="0" refreshError="1"/>
      <sheetData sheetId="1" refreshError="1"/>
      <sheetData sheetId="2" refreshError="1">
        <row r="10">
          <cell r="D10">
            <v>130514</v>
          </cell>
          <cell r="F10">
            <v>30886</v>
          </cell>
        </row>
      </sheetData>
      <sheetData sheetId="3" refreshError="1">
        <row r="28">
          <cell r="F28">
            <v>82475</v>
          </cell>
        </row>
        <row r="97">
          <cell r="C97">
            <v>17956</v>
          </cell>
        </row>
      </sheetData>
      <sheetData sheetId="4" refreshError="1">
        <row r="12">
          <cell r="C12">
            <v>0.437</v>
          </cell>
        </row>
        <row r="13">
          <cell r="C13">
            <v>0.30599999999999999</v>
          </cell>
        </row>
        <row r="14">
          <cell r="C14">
            <v>2.7E-2</v>
          </cell>
        </row>
        <row r="15">
          <cell r="C15">
            <v>0.21</v>
          </cell>
        </row>
        <row r="16">
          <cell r="C16">
            <v>1.2999999999999999E-2</v>
          </cell>
        </row>
        <row r="17">
          <cell r="C17">
            <v>7.0000000000000001E-3</v>
          </cell>
        </row>
        <row r="19">
          <cell r="D19">
            <v>56</v>
          </cell>
        </row>
      </sheetData>
      <sheetData sheetId="5" refreshError="1">
        <row r="12">
          <cell r="D12">
            <v>52</v>
          </cell>
          <cell r="G12">
            <v>65</v>
          </cell>
        </row>
        <row r="13">
          <cell r="J13">
            <v>61</v>
          </cell>
        </row>
      </sheetData>
      <sheetData sheetId="6" refreshError="1">
        <row r="12">
          <cell r="D12">
            <v>138</v>
          </cell>
          <cell r="G12">
            <v>201</v>
          </cell>
        </row>
        <row r="13">
          <cell r="J13">
            <v>267</v>
          </cell>
        </row>
        <row r="14">
          <cell r="J14">
            <v>169</v>
          </cell>
        </row>
      </sheetData>
      <sheetData sheetId="7" refreshError="1">
        <row r="12">
          <cell r="B12">
            <v>135604</v>
          </cell>
          <cell r="D12">
            <v>53447</v>
          </cell>
        </row>
        <row r="13">
          <cell r="F13">
            <v>26419</v>
          </cell>
        </row>
        <row r="14">
          <cell r="F14">
            <v>215470</v>
          </cell>
        </row>
        <row r="28">
          <cell r="B28">
            <v>24334</v>
          </cell>
          <cell r="D28">
            <v>18961</v>
          </cell>
        </row>
        <row r="29">
          <cell r="F29">
            <v>6235</v>
          </cell>
        </row>
        <row r="30">
          <cell r="F30">
            <v>49530</v>
          </cell>
        </row>
      </sheetData>
      <sheetData sheetId="8" refreshError="1">
        <row r="12">
          <cell r="B12">
            <v>135604</v>
          </cell>
          <cell r="D12">
            <v>53447</v>
          </cell>
        </row>
        <row r="13">
          <cell r="F13">
            <v>26419</v>
          </cell>
        </row>
        <row r="14">
          <cell r="F14">
            <v>215470</v>
          </cell>
        </row>
        <row r="28">
          <cell r="B28">
            <v>366</v>
          </cell>
          <cell r="D28">
            <v>1012</v>
          </cell>
        </row>
        <row r="29">
          <cell r="F29">
            <v>92</v>
          </cell>
        </row>
        <row r="30">
          <cell r="F30">
            <v>1470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 0, elig"/>
      <sheetName val="Opt 1, elig"/>
      <sheetName val="Opt 2, elig"/>
      <sheetName val="Opt 3, elig"/>
      <sheetName val="Opt 4, elig"/>
      <sheetName val="Opt 5, elig"/>
      <sheetName val="Opt 0, part"/>
      <sheetName val="Opt 1, part"/>
      <sheetName val="Opt 2, part"/>
      <sheetName val="Opt 3, part"/>
      <sheetName val="Opt 4, part"/>
      <sheetName val="Opt 5, part"/>
    </sheetNames>
    <sheetDataSet>
      <sheetData sheetId="0">
        <row r="1">
          <cell r="K1">
            <v>8.6978574477887625E-3</v>
          </cell>
        </row>
      </sheetData>
      <sheetData sheetId="1">
        <row r="1">
          <cell r="K1">
            <v>0.98240139990785635</v>
          </cell>
        </row>
      </sheetData>
      <sheetData sheetId="2">
        <row r="1">
          <cell r="K1">
            <v>0.97807825451102559</v>
          </cell>
        </row>
      </sheetData>
      <sheetData sheetId="3">
        <row r="1">
          <cell r="K1">
            <v>0.83757011162912587</v>
          </cell>
        </row>
      </sheetData>
      <sheetData sheetId="4">
        <row r="1">
          <cell r="K1">
            <v>0.88632004294403333</v>
          </cell>
        </row>
      </sheetData>
      <sheetData sheetId="5">
        <row r="1">
          <cell r="K1">
            <v>0.98397545089121541</v>
          </cell>
        </row>
      </sheetData>
      <sheetData sheetId="6">
        <row r="1">
          <cell r="K1">
            <v>1.5359717081503901E-4</v>
          </cell>
        </row>
      </sheetData>
      <sheetData sheetId="7">
        <row r="1">
          <cell r="K1">
            <v>0.98393598369622226</v>
          </cell>
        </row>
      </sheetData>
      <sheetData sheetId="8">
        <row r="1">
          <cell r="K1">
            <v>0.98004735288388056</v>
          </cell>
        </row>
        <row r="2">
          <cell r="K2">
            <v>8.4628294846627612E-3</v>
          </cell>
        </row>
        <row r="3">
          <cell r="K3">
            <v>1.1489817631456702E-2</v>
          </cell>
        </row>
      </sheetData>
      <sheetData sheetId="9">
        <row r="1">
          <cell r="K1">
            <v>0.90428273867501852</v>
          </cell>
        </row>
      </sheetData>
      <sheetData sheetId="10">
        <row r="1">
          <cell r="K1">
            <v>0.93544797926063572</v>
          </cell>
        </row>
      </sheetData>
      <sheetData sheetId="11">
        <row r="1">
          <cell r="K1">
            <v>0.99036458723570042</v>
          </cell>
        </row>
        <row r="2">
          <cell r="K2">
            <v>5.9191104850673569E-3</v>
          </cell>
        </row>
        <row r="3">
          <cell r="K3">
            <v>3.7163022792321638E-3</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gregate Fees Part - alt2"/>
      <sheetName val="Aggregate Fees Elig - alt2"/>
      <sheetName val="Avg Monthly Families - alt2"/>
      <sheetName val="Number Paying Fee - alt2"/>
      <sheetName val="Dist Percent Income - alt2"/>
      <sheetName val="Percent Income by Child - alt2"/>
      <sheetName val="Average Nonzero Fee $ - alt2"/>
      <sheetName val="Percent &gt;7% - alt2"/>
      <sheetName val="Percent &gt;15% - alt2"/>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4"/>
  <sheetViews>
    <sheetView tabSelected="1" topLeftCell="A2" zoomScaleNormal="100" workbookViewId="0">
      <selection activeCell="I6" sqref="I6"/>
    </sheetView>
  </sheetViews>
  <sheetFormatPr defaultRowHeight="14.5" x14ac:dyDescent="0.35"/>
  <cols>
    <col min="1" max="1" width="3.54296875" customWidth="1"/>
    <col min="2" max="2" width="40.1796875" customWidth="1"/>
    <col min="3" max="5" width="15.7265625" style="2" customWidth="1"/>
    <col min="6" max="8" width="15.7265625" customWidth="1"/>
    <col min="9" max="9" width="18.1796875" customWidth="1"/>
  </cols>
  <sheetData>
    <row r="1" spans="1:9" x14ac:dyDescent="0.35">
      <c r="C1" s="29"/>
      <c r="D1" s="29"/>
      <c r="E1" s="29"/>
      <c r="H1" s="56" t="s">
        <v>87</v>
      </c>
    </row>
    <row r="2" spans="1:9" x14ac:dyDescent="0.35">
      <c r="F2" s="20"/>
    </row>
    <row r="3" spans="1:9" ht="18.5" x14ac:dyDescent="0.45">
      <c r="A3" s="1" t="s">
        <v>13</v>
      </c>
      <c r="B3" s="1"/>
      <c r="G3" s="14"/>
      <c r="H3" s="14"/>
    </row>
    <row r="6" spans="1:9" ht="76.5" customHeight="1" thickBot="1" x14ac:dyDescent="0.4">
      <c r="A6" s="3"/>
      <c r="B6" s="3"/>
      <c r="C6" s="70" t="s">
        <v>32</v>
      </c>
      <c r="D6" s="6" t="s">
        <v>11</v>
      </c>
      <c r="E6" s="58" t="s">
        <v>73</v>
      </c>
      <c r="F6" s="6" t="s">
        <v>67</v>
      </c>
      <c r="G6" s="6" t="s">
        <v>80</v>
      </c>
      <c r="H6" s="58" t="s">
        <v>86</v>
      </c>
    </row>
    <row r="7" spans="1:9" ht="15" thickTop="1" x14ac:dyDescent="0.35">
      <c r="C7" s="4"/>
      <c r="E7" s="57"/>
      <c r="H7" s="64"/>
    </row>
    <row r="8" spans="1:9" ht="29" x14ac:dyDescent="0.35">
      <c r="A8" s="7" t="s">
        <v>0</v>
      </c>
      <c r="B8" s="7"/>
      <c r="C8" s="8" t="s">
        <v>9</v>
      </c>
      <c r="D8" s="9" t="s">
        <v>56</v>
      </c>
      <c r="E8" s="59" t="s">
        <v>56</v>
      </c>
      <c r="F8" s="9" t="s">
        <v>56</v>
      </c>
      <c r="G8" s="9" t="s">
        <v>56</v>
      </c>
      <c r="H8" s="59" t="s">
        <v>56</v>
      </c>
      <c r="I8" s="54"/>
    </row>
    <row r="9" spans="1:9" ht="30.75" customHeight="1" x14ac:dyDescent="0.35">
      <c r="A9" s="79" t="s">
        <v>75</v>
      </c>
      <c r="B9" s="80"/>
      <c r="C9" s="8"/>
      <c r="D9" s="9"/>
      <c r="E9" s="59"/>
      <c r="F9" s="10"/>
      <c r="G9" s="14"/>
      <c r="H9" s="65"/>
    </row>
    <row r="10" spans="1:9" ht="15" customHeight="1" x14ac:dyDescent="0.35">
      <c r="A10" s="7"/>
      <c r="B10" s="7" t="s">
        <v>58</v>
      </c>
      <c r="C10" s="71">
        <f>(8*21.665)/(21720/12)</f>
        <v>9.5756906077348061E-2</v>
      </c>
      <c r="D10" s="28">
        <v>7.0000000000000007E-2</v>
      </c>
      <c r="E10" s="60">
        <v>0.04</v>
      </c>
      <c r="F10" s="28">
        <v>6.0999999999999999E-2</v>
      </c>
      <c r="G10" s="43">
        <v>0.05</v>
      </c>
      <c r="H10" s="66">
        <f>0.04*(1810+1-1768)/1810</f>
        <v>9.502762430939226E-4</v>
      </c>
    </row>
    <row r="11" spans="1:9" x14ac:dyDescent="0.35">
      <c r="A11" s="7"/>
      <c r="B11" s="7" t="s">
        <v>53</v>
      </c>
      <c r="C11" s="71">
        <f>(9*21.665)/(21720*1.25/12)</f>
        <v>8.6181215469613257E-2</v>
      </c>
      <c r="D11" s="28">
        <v>7.0000000000000007E-2</v>
      </c>
      <c r="E11" s="60">
        <f>+'[1]Alt A chart, fees as %'!$C$7</f>
        <v>4.6599999999999996E-2</v>
      </c>
      <c r="F11" s="28">
        <v>6.8000000000000005E-2</v>
      </c>
      <c r="G11" s="36">
        <v>5.8000000000000003E-2</v>
      </c>
      <c r="H11" s="67">
        <f>0.049*(2263-1768)/2263</f>
        <v>1.0718073353954928E-2</v>
      </c>
    </row>
    <row r="12" spans="1:9" x14ac:dyDescent="0.35">
      <c r="A12" s="7"/>
      <c r="B12" s="7" t="s">
        <v>54</v>
      </c>
      <c r="C12" s="71">
        <f>(16.5*21.665)/(21720*1.5/12)</f>
        <v>0.13166574585635357</v>
      </c>
      <c r="D12" s="28">
        <v>7.0000000000000007E-2</v>
      </c>
      <c r="E12" s="60">
        <f>+'[1]Alt A chart, fees as %'!$C$9</f>
        <v>5.319999999999999E-2</v>
      </c>
      <c r="F12" s="28">
        <v>7.5999999999999998E-2</v>
      </c>
      <c r="G12" s="36">
        <v>6.6000000000000003E-2</v>
      </c>
      <c r="H12" s="67">
        <f>0.058*(2715-1768)/2715</f>
        <v>2.0230570902394107E-2</v>
      </c>
    </row>
    <row r="13" spans="1:9" x14ac:dyDescent="0.35">
      <c r="A13" s="7"/>
      <c r="B13" s="7" t="s">
        <v>59</v>
      </c>
      <c r="C13" s="71">
        <f>+'[1]Original chart %'!$C$32</f>
        <v>0.12466877192982456</v>
      </c>
      <c r="D13" s="37">
        <v>7.0000000000000007E-2</v>
      </c>
      <c r="E13" s="60">
        <f>+'[1]Alt A chart, fees as %'!$C$31</f>
        <v>0.126</v>
      </c>
      <c r="F13" s="28">
        <v>0.156</v>
      </c>
      <c r="G13" s="28">
        <v>0.156</v>
      </c>
      <c r="H13" s="67">
        <f>0.156*(7457-1768)/7457</f>
        <v>0.11901354432077244</v>
      </c>
    </row>
    <row r="14" spans="1:9" ht="78.75" customHeight="1" x14ac:dyDescent="0.35">
      <c r="A14" s="7" t="s">
        <v>16</v>
      </c>
      <c r="B14" s="7"/>
      <c r="C14" s="8" t="s">
        <v>17</v>
      </c>
      <c r="D14" s="11" t="s">
        <v>18</v>
      </c>
      <c r="E14" s="61" t="s">
        <v>57</v>
      </c>
      <c r="F14" s="16" t="s">
        <v>57</v>
      </c>
      <c r="G14" s="16" t="s">
        <v>57</v>
      </c>
      <c r="H14" s="61" t="s">
        <v>84</v>
      </c>
    </row>
    <row r="15" spans="1:9" ht="96.75" customHeight="1" x14ac:dyDescent="0.35">
      <c r="A15" s="79" t="s">
        <v>14</v>
      </c>
      <c r="B15" s="80"/>
      <c r="C15" s="72" t="s">
        <v>15</v>
      </c>
      <c r="D15" s="17" t="s">
        <v>51</v>
      </c>
      <c r="E15" s="61" t="s">
        <v>52</v>
      </c>
      <c r="F15" s="16" t="s">
        <v>52</v>
      </c>
      <c r="G15" s="16" t="s">
        <v>52</v>
      </c>
      <c r="H15" s="61" t="s">
        <v>85</v>
      </c>
    </row>
    <row r="16" spans="1:9" ht="63.75" customHeight="1" x14ac:dyDescent="0.35">
      <c r="A16" s="79" t="s">
        <v>61</v>
      </c>
      <c r="B16" s="80"/>
      <c r="C16" s="72" t="s">
        <v>62</v>
      </c>
      <c r="D16" s="17" t="s">
        <v>63</v>
      </c>
      <c r="E16" s="61" t="s">
        <v>64</v>
      </c>
      <c r="F16" s="16" t="s">
        <v>65</v>
      </c>
      <c r="G16" s="16" t="s">
        <v>65</v>
      </c>
      <c r="H16" s="61" t="s">
        <v>65</v>
      </c>
    </row>
    <row r="17" spans="1:8" x14ac:dyDescent="0.35">
      <c r="A17" s="7" t="s">
        <v>3</v>
      </c>
      <c r="B17" s="7"/>
      <c r="C17" s="8"/>
      <c r="D17" s="9"/>
      <c r="E17" s="59"/>
      <c r="F17" s="10"/>
      <c r="H17" s="64"/>
    </row>
    <row r="18" spans="1:8" x14ac:dyDescent="0.35">
      <c r="A18" s="7"/>
      <c r="B18" s="7" t="s">
        <v>4</v>
      </c>
      <c r="C18" s="39">
        <v>0.5</v>
      </c>
      <c r="D18" s="12" t="s">
        <v>12</v>
      </c>
      <c r="E18" s="62">
        <v>0.5</v>
      </c>
      <c r="F18" s="11">
        <v>0.5</v>
      </c>
      <c r="G18" s="11">
        <v>0.5</v>
      </c>
      <c r="H18" s="62">
        <v>0.5</v>
      </c>
    </row>
    <row r="19" spans="1:8" x14ac:dyDescent="0.35">
      <c r="A19" s="7"/>
      <c r="B19" s="7" t="s">
        <v>5</v>
      </c>
      <c r="C19" s="39">
        <v>0.25</v>
      </c>
      <c r="D19" s="12" t="s">
        <v>12</v>
      </c>
      <c r="E19" s="62">
        <v>0.25</v>
      </c>
      <c r="F19" s="11">
        <v>0.5</v>
      </c>
      <c r="G19" s="11">
        <v>0.5</v>
      </c>
      <c r="H19" s="62">
        <v>0.25</v>
      </c>
    </row>
    <row r="20" spans="1:8" ht="16.5" x14ac:dyDescent="0.35">
      <c r="A20" s="7" t="s">
        <v>46</v>
      </c>
      <c r="B20" s="7"/>
      <c r="C20" s="39">
        <v>0.5</v>
      </c>
      <c r="D20" s="13">
        <v>0.5</v>
      </c>
      <c r="E20" s="62">
        <v>0.5</v>
      </c>
      <c r="F20" s="26">
        <v>0.5</v>
      </c>
      <c r="G20" s="26">
        <v>0.5</v>
      </c>
      <c r="H20" s="62">
        <v>0.5</v>
      </c>
    </row>
    <row r="21" spans="1:8" ht="34.5" customHeight="1" x14ac:dyDescent="0.35">
      <c r="A21" s="79" t="s">
        <v>39</v>
      </c>
      <c r="B21" s="80"/>
      <c r="C21" s="39" t="s">
        <v>40</v>
      </c>
      <c r="D21" s="26" t="s">
        <v>41</v>
      </c>
      <c r="E21" s="62" t="s">
        <v>41</v>
      </c>
      <c r="F21" s="26" t="s">
        <v>41</v>
      </c>
      <c r="G21" s="26" t="s">
        <v>41</v>
      </c>
      <c r="H21" s="62" t="s">
        <v>41</v>
      </c>
    </row>
    <row r="22" spans="1:8" ht="47.25" customHeight="1" x14ac:dyDescent="0.35">
      <c r="A22" s="79" t="s">
        <v>76</v>
      </c>
      <c r="B22" s="80"/>
      <c r="C22" s="73"/>
      <c r="D22" s="9"/>
      <c r="E22" s="59"/>
      <c r="F22" s="10"/>
      <c r="H22" s="64"/>
    </row>
    <row r="23" spans="1:8" x14ac:dyDescent="0.35">
      <c r="A23" s="7"/>
      <c r="B23" t="s">
        <v>43</v>
      </c>
      <c r="C23" s="74">
        <f>'[2]3. Baseline details'!$D$15/'[2]3. Baseline details'!$F$15</f>
        <v>0.43776213888479804</v>
      </c>
      <c r="D23" s="30">
        <f>'[2]4. 7% details '!$D$15/'[2]4. 7% details '!$F$15</f>
        <v>0.16391431439098578</v>
      </c>
      <c r="E23" s="63">
        <f>((0.126*7125)+(0.5*0.126*7125))/'[3]3. Baseline details'!$F$15</f>
        <v>0.44256864885566155</v>
      </c>
      <c r="F23" s="37">
        <f>((0.156*7125)+(0.5*0.156*7125))/'[3]3. Baseline details'!$F$15</f>
        <v>0.54794213667843805</v>
      </c>
      <c r="G23" s="37">
        <f>((0.156*7125)+(0.5*0.156*7125))/'[3]3. Baseline details'!$F$15</f>
        <v>0.54794213667843805</v>
      </c>
      <c r="H23" s="68">
        <f>(0.156*(5357)+0.5*0.156*(5357))/'[3]4. 7% details '!$F$15</f>
        <v>0.41197558262265166</v>
      </c>
    </row>
    <row r="24" spans="1:8" x14ac:dyDescent="0.35">
      <c r="A24" s="7"/>
      <c r="B24" t="s">
        <v>44</v>
      </c>
      <c r="C24" s="74">
        <f>ROUND('[2]3. Baseline details'!$R$10+0.5*'[2]3. Baseline details'!$R$9,0)/'[2]3. Baseline details'!$F$16</f>
        <v>0.58180501610171598</v>
      </c>
      <c r="D24" s="30">
        <f>'[2]4. 7% details '!$D$16/'[2]4. 7% details '!$F$16</f>
        <v>0.29281054670104023</v>
      </c>
      <c r="E24" s="63">
        <f>((0.126*7125)+0.5*((0.5*0.126*16.665*7125/21.665)+(0.126*5*7125/21.665)))/'[3]3. Baseline details'!$F$16</f>
        <v>0.68923331835693147</v>
      </c>
      <c r="F24" s="37">
        <f>((0.156*7125)+0.5*((0.5*0.156*16.665*7125/21.665)+(0.156*5*7125/21.665)))/'[3]3. Baseline details'!$F$16</f>
        <v>0.85333648939429618</v>
      </c>
      <c r="G24" s="37">
        <f>((0.156*7125)+0.5*((0.5*0.156*16.665*7125/21.665)+(0.156*5*7125/21.665)))/'[3]3. Baseline details'!$F$16</f>
        <v>0.85333648939429618</v>
      </c>
      <c r="H24" s="68">
        <f>((0.156*5357)+0.5*((0.5*0.156*16.665*5357/21.665)+(0.156*5*5357/21.665)))/'[3]3. Baseline details'!$F$16</f>
        <v>0.64158927349968353</v>
      </c>
    </row>
    <row r="25" spans="1:8" ht="16.5" x14ac:dyDescent="0.35">
      <c r="A25" s="7"/>
      <c r="B25" t="s">
        <v>79</v>
      </c>
      <c r="C25" s="74">
        <f>'[2]3. Baseline details'!$D$26/'[2]3. Baseline details'!$F$26</f>
        <v>0.97918497328233012</v>
      </c>
      <c r="D25" s="30">
        <f>'[2]4. 7% details '!$D$26/'[2]4. 7% details '!$F$26</f>
        <v>0.54943107832142135</v>
      </c>
      <c r="E25" s="63">
        <f>((0.5*0.126*16.665*7125/21.665)+(0.126*5*7125/21.665))/'[3]3. Baseline details'!$F$26</f>
        <v>0.98897594097855845</v>
      </c>
      <c r="F25" s="37">
        <f>(5*41.81+16.665*22.42)/'[3]3. Baseline details'!$F$26</f>
        <v>1.0430545060377823</v>
      </c>
      <c r="G25" s="37">
        <f>(5*41.81+16.665*22.42)/'[3]3. Baseline details'!$F$26</f>
        <v>1.0430545060377823</v>
      </c>
      <c r="H25" s="68">
        <f>((0.5*0.156*16.665*5357/21.665)+(0.156*5*5357/21.665))/'[3]3. Baseline details'!$F$26</f>
        <v>0.92061184301671206</v>
      </c>
    </row>
    <row r="26" spans="1:8" x14ac:dyDescent="0.35">
      <c r="A26" s="7" t="s">
        <v>1</v>
      </c>
      <c r="B26" s="7"/>
      <c r="C26" s="8" t="s">
        <v>10</v>
      </c>
      <c r="D26" s="9" t="s">
        <v>10</v>
      </c>
      <c r="E26" s="59" t="s">
        <v>10</v>
      </c>
      <c r="F26" s="9" t="s">
        <v>10</v>
      </c>
      <c r="G26" s="9" t="s">
        <v>10</v>
      </c>
      <c r="H26" s="59" t="s">
        <v>10</v>
      </c>
    </row>
    <row r="27" spans="1:8" x14ac:dyDescent="0.35">
      <c r="A27" s="7" t="s">
        <v>2</v>
      </c>
      <c r="B27" s="7"/>
      <c r="C27" s="8" t="s">
        <v>10</v>
      </c>
      <c r="D27" s="9" t="s">
        <v>10</v>
      </c>
      <c r="E27" s="59" t="s">
        <v>10</v>
      </c>
      <c r="F27" s="9" t="s">
        <v>10</v>
      </c>
      <c r="G27" s="9" t="s">
        <v>10</v>
      </c>
      <c r="H27" s="59" t="s">
        <v>10</v>
      </c>
    </row>
    <row r="28" spans="1:8" x14ac:dyDescent="0.35">
      <c r="A28" t="s">
        <v>77</v>
      </c>
      <c r="C28" s="4" t="s">
        <v>66</v>
      </c>
      <c r="D28" s="2" t="s">
        <v>66</v>
      </c>
      <c r="E28" s="57" t="s">
        <v>66</v>
      </c>
      <c r="F28" s="22" t="s">
        <v>66</v>
      </c>
      <c r="G28" s="22" t="s">
        <v>66</v>
      </c>
      <c r="H28" s="69" t="s">
        <v>66</v>
      </c>
    </row>
    <row r="29" spans="1:8" x14ac:dyDescent="0.35">
      <c r="B29" s="14"/>
    </row>
    <row r="30" spans="1:8" x14ac:dyDescent="0.35">
      <c r="A30" t="s">
        <v>45</v>
      </c>
      <c r="B30" s="14"/>
    </row>
    <row r="31" spans="1:8" ht="50.25" customHeight="1" x14ac:dyDescent="0.35">
      <c r="A31" s="84" t="s">
        <v>78</v>
      </c>
      <c r="B31" s="84"/>
      <c r="C31" s="84"/>
      <c r="D31" s="84"/>
      <c r="E31" s="84"/>
      <c r="F31" s="84"/>
      <c r="G31" s="84"/>
      <c r="H31" s="50"/>
    </row>
    <row r="32" spans="1:8" ht="16.5" x14ac:dyDescent="0.35">
      <c r="A32" s="83" t="s">
        <v>47</v>
      </c>
      <c r="B32" s="83"/>
      <c r="C32" s="83"/>
      <c r="D32" s="83"/>
      <c r="E32" s="83"/>
      <c r="F32" s="83"/>
      <c r="G32" s="83"/>
      <c r="H32" s="49"/>
    </row>
    <row r="33" spans="1:8" ht="64.5" customHeight="1" x14ac:dyDescent="0.35">
      <c r="A33" s="81" t="s">
        <v>81</v>
      </c>
      <c r="B33" s="82"/>
      <c r="C33" s="82"/>
      <c r="D33" s="82"/>
      <c r="E33" s="82"/>
      <c r="F33" s="82"/>
      <c r="G33" s="82"/>
      <c r="H33" s="48"/>
    </row>
    <row r="34" spans="1:8" ht="64.5" customHeight="1" x14ac:dyDescent="0.35">
      <c r="A34" s="79" t="s">
        <v>82</v>
      </c>
      <c r="B34" s="79"/>
      <c r="C34" s="79"/>
      <c r="D34" s="79"/>
      <c r="E34" s="79"/>
      <c r="F34" s="79"/>
      <c r="G34" s="79"/>
      <c r="H34" s="47"/>
    </row>
  </sheetData>
  <mergeCells count="9">
    <mergeCell ref="A34:G34"/>
    <mergeCell ref="A9:B9"/>
    <mergeCell ref="A15:B15"/>
    <mergeCell ref="A33:G33"/>
    <mergeCell ref="A32:G32"/>
    <mergeCell ref="A31:G31"/>
    <mergeCell ref="A16:B16"/>
    <mergeCell ref="A22:B22"/>
    <mergeCell ref="A21:B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6"/>
  <sheetViews>
    <sheetView topLeftCell="A48" zoomScaleNormal="100" workbookViewId="0">
      <selection activeCell="E53" sqref="E53"/>
    </sheetView>
  </sheetViews>
  <sheetFormatPr defaultRowHeight="14.5" x14ac:dyDescent="0.35"/>
  <cols>
    <col min="1" max="1" width="4.81640625" customWidth="1"/>
    <col min="2" max="2" width="46" customWidth="1"/>
    <col min="3" max="4" width="15.7265625" style="2" customWidth="1"/>
    <col min="5" max="5" width="15.7265625" customWidth="1"/>
  </cols>
  <sheetData>
    <row r="1" spans="1:5" x14ac:dyDescent="0.35">
      <c r="C1" s="29"/>
      <c r="D1" s="29"/>
      <c r="E1" s="32" t="str">
        <f>+'Table 1 - fee structures'!H1</f>
        <v>December 18, 2020</v>
      </c>
    </row>
    <row r="3" spans="1:5" ht="18.5" x14ac:dyDescent="0.45">
      <c r="A3" s="1" t="s">
        <v>49</v>
      </c>
      <c r="B3" s="1"/>
    </row>
    <row r="4" spans="1:5" ht="18.5" x14ac:dyDescent="0.45">
      <c r="A4" s="1"/>
    </row>
    <row r="5" spans="1:5" ht="77.25" customHeight="1" thickBot="1" x14ac:dyDescent="0.4">
      <c r="A5" s="3"/>
      <c r="B5" s="3"/>
      <c r="C5" s="38" t="s">
        <v>60</v>
      </c>
      <c r="D5" s="41" t="s">
        <v>73</v>
      </c>
      <c r="E5" s="6" t="s">
        <v>86</v>
      </c>
    </row>
    <row r="6" spans="1:5" ht="15" thickTop="1" x14ac:dyDescent="0.35">
      <c r="C6" s="4"/>
    </row>
    <row r="7" spans="1:5" ht="16.5" x14ac:dyDescent="0.35">
      <c r="A7" t="s">
        <v>83</v>
      </c>
      <c r="C7" s="75">
        <f>'[4]Aggregate Fees Part - Base'!$D$10/1000000</f>
        <v>71.792814000000007</v>
      </c>
      <c r="D7" s="45">
        <f>+$C$7*(1+D8)</f>
        <v>37.857824566963963</v>
      </c>
      <c r="E7" s="45">
        <f>'[5]Aggregate Fees Part - alt2'!$D$10/1000000</f>
        <v>17.901634000000001</v>
      </c>
    </row>
    <row r="8" spans="1:5" x14ac:dyDescent="0.35">
      <c r="B8" t="s">
        <v>68</v>
      </c>
      <c r="C8" s="76"/>
      <c r="D8" s="46">
        <f>+'[6]Summary Table'!$H$8</f>
        <v>-0.47267947225241846</v>
      </c>
      <c r="E8" s="44">
        <f>+(E7-$C$7)/$C$7</f>
        <v>-0.75064866519927742</v>
      </c>
    </row>
    <row r="9" spans="1:5" x14ac:dyDescent="0.35">
      <c r="C9" s="4"/>
      <c r="E9" s="31"/>
    </row>
    <row r="10" spans="1:5" ht="31.5" customHeight="1" x14ac:dyDescent="0.35">
      <c r="A10" s="79" t="s">
        <v>22</v>
      </c>
      <c r="B10" s="80"/>
      <c r="C10" s="27">
        <f>ROUND('[4]Avg Monthly Families - Base'!$F$10,-2)</f>
        <v>30900</v>
      </c>
      <c r="D10" s="25">
        <f>ROUND('[7]Avg Monthly Families - alt2'!$F$10,-2)</f>
        <v>30900</v>
      </c>
      <c r="E10" s="53">
        <f>ROUND('[5]Avg Monthly Families - alt2'!$F$10,-2)</f>
        <v>30900</v>
      </c>
    </row>
    <row r="11" spans="1:5" ht="15" customHeight="1" x14ac:dyDescent="0.35">
      <c r="A11" s="15"/>
      <c r="B11" s="19" t="s">
        <v>23</v>
      </c>
      <c r="C11" s="27">
        <f>ROUND('[4]Number Paying Fee - Base'!$C$97,-2)</f>
        <v>22200</v>
      </c>
      <c r="D11" s="25">
        <f>ROUND('[7]Number Paying Fee - alt2'!$C$97,-2)</f>
        <v>18000</v>
      </c>
      <c r="E11" s="55">
        <f>ROUND('[5]Number Paying Fee - alt2'!$C$97,-2)</f>
        <v>18000</v>
      </c>
    </row>
    <row r="12" spans="1:5" x14ac:dyDescent="0.35">
      <c r="B12" t="s">
        <v>24</v>
      </c>
      <c r="C12" s="77">
        <f t="shared" ref="C12:D12" si="0">C11/C10</f>
        <v>0.71844660194174759</v>
      </c>
      <c r="D12" s="35">
        <f t="shared" si="0"/>
        <v>0.58252427184466016</v>
      </c>
      <c r="E12" s="34">
        <f>E11/E10</f>
        <v>0.58252427184466016</v>
      </c>
    </row>
    <row r="13" spans="1:5" ht="30" customHeight="1" x14ac:dyDescent="0.35">
      <c r="A13" s="79" t="s">
        <v>72</v>
      </c>
      <c r="B13" s="80"/>
      <c r="C13" s="77"/>
      <c r="D13" s="35"/>
      <c r="E13" s="35"/>
    </row>
    <row r="14" spans="1:5" x14ac:dyDescent="0.35">
      <c r="B14" t="s">
        <v>69</v>
      </c>
      <c r="C14" s="78" t="s">
        <v>42</v>
      </c>
      <c r="D14" s="23">
        <f>+'[8]Opt 2, part'!$K$1</f>
        <v>0.98004735288388056</v>
      </c>
      <c r="E14" s="23">
        <f>+'[8]Opt 5, part'!$K$1</f>
        <v>0.99036458723570042</v>
      </c>
    </row>
    <row r="15" spans="1:5" x14ac:dyDescent="0.35">
      <c r="B15" t="s">
        <v>70</v>
      </c>
      <c r="C15" s="78" t="s">
        <v>42</v>
      </c>
      <c r="D15" s="23">
        <f>+'[8]Opt 2, part'!$K$2</f>
        <v>8.4628294846627612E-3</v>
      </c>
      <c r="E15" s="23">
        <f>+'[8]Opt 5, part'!$K$2</f>
        <v>5.9191104850673569E-3</v>
      </c>
    </row>
    <row r="16" spans="1:5" x14ac:dyDescent="0.35">
      <c r="B16" t="s">
        <v>71</v>
      </c>
      <c r="C16" s="78" t="s">
        <v>42</v>
      </c>
      <c r="D16" s="23">
        <f>+'[8]Opt 2, part'!$K$3</f>
        <v>1.1489817631456702E-2</v>
      </c>
      <c r="E16" s="23">
        <f>+'[8]Opt 5, part'!$K$3</f>
        <v>3.7163022792321638E-3</v>
      </c>
    </row>
    <row r="17" spans="1:7" ht="16.5" x14ac:dyDescent="0.35">
      <c r="A17" t="s">
        <v>20</v>
      </c>
      <c r="C17" s="4"/>
      <c r="E17" s="24"/>
    </row>
    <row r="18" spans="1:7" x14ac:dyDescent="0.35">
      <c r="B18" t="s">
        <v>25</v>
      </c>
      <c r="C18" s="40">
        <f>'[4]Dist Percent Income - Base'!$C12</f>
        <v>9.2999999999999999E-2</v>
      </c>
      <c r="D18" s="36">
        <f>'[7]Dist Percent Income - alt2'!$C12</f>
        <v>0.437</v>
      </c>
      <c r="E18" s="51">
        <f>'[5]Dist Percent Income - alt2'!$C$12</f>
        <v>0.89300000000000002</v>
      </c>
    </row>
    <row r="19" spans="1:7" x14ac:dyDescent="0.35">
      <c r="B19" t="s">
        <v>26</v>
      </c>
      <c r="C19" s="40">
        <f>'[4]Dist Percent Income - Base'!$C13</f>
        <v>0.13800000000000001</v>
      </c>
      <c r="D19" s="36">
        <f>'[7]Dist Percent Income - alt2'!$C13</f>
        <v>0.30599999999999999</v>
      </c>
      <c r="E19" s="51">
        <f>'[5]Dist Percent Income - alt2'!$C$13</f>
        <v>8.5999999999999993E-2</v>
      </c>
    </row>
    <row r="20" spans="1:7" ht="16.5" x14ac:dyDescent="0.35">
      <c r="B20" t="s">
        <v>33</v>
      </c>
      <c r="C20" s="40">
        <f>'[4]Dist Percent Income - Base'!$C14</f>
        <v>1.0999999999999999E-2</v>
      </c>
      <c r="D20" s="36">
        <f>'[7]Dist Percent Income - alt2'!$C14</f>
        <v>2.7E-2</v>
      </c>
      <c r="E20" s="51">
        <f>'[5]Dist Percent Income - alt2'!$C$14</f>
        <v>0</v>
      </c>
    </row>
    <row r="21" spans="1:7" x14ac:dyDescent="0.35">
      <c r="B21" t="s">
        <v>27</v>
      </c>
      <c r="C21" s="40">
        <f>'[4]Dist Percent Income - Base'!$C15</f>
        <v>0.29799999999999999</v>
      </c>
      <c r="D21" s="36">
        <f>'[7]Dist Percent Income - alt2'!$C15</f>
        <v>0.21</v>
      </c>
      <c r="E21" s="51">
        <f>'[5]Dist Percent Income - alt2'!$C$15</f>
        <v>1.0999999999999999E-2</v>
      </c>
      <c r="F21" s="42"/>
      <c r="G21" s="42"/>
    </row>
    <row r="22" spans="1:7" x14ac:dyDescent="0.35">
      <c r="B22" t="s">
        <v>28</v>
      </c>
      <c r="C22" s="40">
        <f>'[4]Dist Percent Income - Base'!$C16</f>
        <v>0.32</v>
      </c>
      <c r="D22" s="36">
        <f>'[7]Dist Percent Income - alt2'!$C16</f>
        <v>1.2999999999999999E-2</v>
      </c>
      <c r="E22" s="51">
        <f>'[5]Dist Percent Income - alt2'!$C$16</f>
        <v>6.0000000000000001E-3</v>
      </c>
    </row>
    <row r="23" spans="1:7" x14ac:dyDescent="0.35">
      <c r="B23" t="s">
        <v>29</v>
      </c>
      <c r="C23" s="40">
        <f>'[4]Dist Percent Income - Base'!$C17</f>
        <v>0.13500000000000001</v>
      </c>
      <c r="D23" s="36">
        <f>'[7]Dist Percent Income - alt2'!$C17</f>
        <v>7.0000000000000001E-3</v>
      </c>
      <c r="E23" s="51">
        <f>'[5]Dist Percent Income - alt2'!$C$17</f>
        <v>4.0000000000000001E-3</v>
      </c>
      <c r="F23" s="42"/>
    </row>
    <row r="24" spans="1:7" x14ac:dyDescent="0.35">
      <c r="B24" t="s">
        <v>30</v>
      </c>
      <c r="C24" s="40">
        <f>'[4]Dist Percent Income - Base'!$C18</f>
        <v>5.0000000000000001E-3</v>
      </c>
      <c r="D24" s="36">
        <f>+'[9]Dist Percent Income - alt2'!$C18</f>
        <v>0</v>
      </c>
      <c r="E24" s="51">
        <f>'[5]Dist Percent Income - alt2'!$C$18</f>
        <v>0</v>
      </c>
    </row>
    <row r="25" spans="1:7" x14ac:dyDescent="0.35">
      <c r="A25" t="s">
        <v>7</v>
      </c>
      <c r="C25" s="4"/>
      <c r="E25" s="24"/>
    </row>
    <row r="26" spans="1:7" x14ac:dyDescent="0.35">
      <c r="B26" t="s">
        <v>8</v>
      </c>
      <c r="C26" s="40">
        <f>'[4]Dist Percent Income - Base'!$D$19/1000</f>
        <v>0.10100000000000001</v>
      </c>
      <c r="D26" s="36">
        <f>'[7]Dist Percent Income - alt2'!$D$19/1000</f>
        <v>5.6000000000000001E-2</v>
      </c>
      <c r="E26" s="51">
        <f>'[5]Dist Percent Income - alt2'!$D$19/1000</f>
        <v>2.4E-2</v>
      </c>
    </row>
    <row r="27" spans="1:7" ht="16.5" x14ac:dyDescent="0.35">
      <c r="B27" t="s">
        <v>34</v>
      </c>
      <c r="C27" s="4"/>
      <c r="D27" s="36"/>
      <c r="E27" s="51"/>
    </row>
    <row r="28" spans="1:7" x14ac:dyDescent="0.35">
      <c r="B28" s="5" t="s">
        <v>6</v>
      </c>
      <c r="C28" s="40">
        <f>'[4]Percent Income by Child - Base'!$D$12/1000</f>
        <v>9.9000000000000005E-2</v>
      </c>
      <c r="D28" s="36">
        <f>'[7]Percent Income by Child - alt2'!$D$12/1000</f>
        <v>5.1999999999999998E-2</v>
      </c>
      <c r="E28" s="51">
        <f>'[5]Percent Income by Child - alt2'!$D$12/1000</f>
        <v>2.1999999999999999E-2</v>
      </c>
    </row>
    <row r="29" spans="1:7" x14ac:dyDescent="0.35">
      <c r="B29" s="5" t="s">
        <v>37</v>
      </c>
      <c r="C29" s="40">
        <f>'[4]Percent Income by Child - Base'!$G$12/1000</f>
        <v>0.111</v>
      </c>
      <c r="D29" s="36">
        <f>'[7]Percent Income by Child - alt2'!$G$12/1000</f>
        <v>6.5000000000000002E-2</v>
      </c>
      <c r="E29" s="51">
        <f>'[5]Percent Income by Child - alt2'!$G$12/1000</f>
        <v>2.3E-2</v>
      </c>
    </row>
    <row r="30" spans="1:7" x14ac:dyDescent="0.35">
      <c r="B30" s="5" t="s">
        <v>38</v>
      </c>
      <c r="C30" s="40">
        <f>'[4]Percent Income by Child - Base'!$J$13/1000</f>
        <v>8.8999999999999996E-2</v>
      </c>
      <c r="D30" s="36">
        <f>'[7]Percent Income by Child - alt2'!$J$13/1000</f>
        <v>6.0999999999999999E-2</v>
      </c>
      <c r="E30" s="51">
        <f>'[5]Percent Income by Child - alt2'!$J$13/1000</f>
        <v>3.6999999999999998E-2</v>
      </c>
    </row>
    <row r="31" spans="1:7" s="2" customFormat="1" x14ac:dyDescent="0.35">
      <c r="A31" t="s">
        <v>31</v>
      </c>
      <c r="B31"/>
      <c r="C31" s="4"/>
      <c r="D31" s="36"/>
      <c r="E31" s="51"/>
    </row>
    <row r="32" spans="1:7" s="2" customFormat="1" x14ac:dyDescent="0.35">
      <c r="A32"/>
      <c r="B32" t="s">
        <v>8</v>
      </c>
      <c r="C32" s="33">
        <f>'[4]Average Nonzero Fee $ - Base'!$J$14</f>
        <v>269</v>
      </c>
      <c r="D32" s="21">
        <f>'[7]Average Nonzero Fee $ - alt2'!$J$14</f>
        <v>169</v>
      </c>
      <c r="E32" s="52">
        <f>'[5]Average Nonzero Fee $ - alt2'!$J$14</f>
        <v>83</v>
      </c>
    </row>
    <row r="33" spans="1:5" s="2" customFormat="1" ht="16.5" x14ac:dyDescent="0.35">
      <c r="A33"/>
      <c r="B33" t="s">
        <v>34</v>
      </c>
      <c r="C33" s="4"/>
      <c r="D33" s="21"/>
      <c r="E33" s="52"/>
    </row>
    <row r="34" spans="1:5" s="2" customFormat="1" x14ac:dyDescent="0.35">
      <c r="A34"/>
      <c r="B34" s="5" t="s">
        <v>6</v>
      </c>
      <c r="C34" s="33">
        <f>'[4]Average Nonzero Fee $ - Base'!$D$12</f>
        <v>241</v>
      </c>
      <c r="D34" s="21">
        <f>'[7]Average Nonzero Fee $ - alt2'!$D$12</f>
        <v>138</v>
      </c>
      <c r="E34" s="52">
        <f>'[5]Average Nonzero Fee $ - alt2'!$D$12</f>
        <v>64</v>
      </c>
    </row>
    <row r="35" spans="1:5" s="2" customFormat="1" x14ac:dyDescent="0.35">
      <c r="A35"/>
      <c r="B35" s="5" t="s">
        <v>37</v>
      </c>
      <c r="C35" s="33">
        <f>'[4]Average Nonzero Fee $ - Base'!$G$12</f>
        <v>290</v>
      </c>
      <c r="D35" s="21">
        <f>'[7]Average Nonzero Fee $ - alt2'!$G$12</f>
        <v>201</v>
      </c>
      <c r="E35" s="52">
        <f>'[5]Average Nonzero Fee $ - alt2'!$G$12</f>
        <v>87</v>
      </c>
    </row>
    <row r="36" spans="1:5" s="2" customFormat="1" x14ac:dyDescent="0.35">
      <c r="A36"/>
      <c r="B36" s="5" t="s">
        <v>38</v>
      </c>
      <c r="C36" s="33">
        <f>'[4]Average Nonzero Fee $ - Base'!$J$13</f>
        <v>361</v>
      </c>
      <c r="D36" s="21">
        <f>'[7]Average Nonzero Fee $ - alt2'!$J$13</f>
        <v>267</v>
      </c>
      <c r="E36" s="52">
        <f>'[5]Average Nonzero Fee $ - alt2'!$J$13</f>
        <v>172</v>
      </c>
    </row>
    <row r="37" spans="1:5" s="2" customFormat="1" x14ac:dyDescent="0.35">
      <c r="A37" s="18" t="s">
        <v>19</v>
      </c>
      <c r="B37"/>
      <c r="C37" s="4"/>
      <c r="E37" s="31"/>
    </row>
    <row r="38" spans="1:5" s="2" customFormat="1" x14ac:dyDescent="0.35">
      <c r="A38"/>
      <c r="B38" t="s">
        <v>8</v>
      </c>
      <c r="C38" s="40">
        <f>'[4]Percent &gt;7% - Base'!$F$30/'[4]Percent &gt;7% - Base'!$F$14</f>
        <v>0.75832047113122447</v>
      </c>
      <c r="D38" s="36">
        <f>'[7]Percent &gt;7% - alt2'!$F$30/'[7]Percent &gt;7% - alt2'!$F$14</f>
        <v>0.22986958741356106</v>
      </c>
      <c r="E38" s="51">
        <f>'[5]Percent &gt;7% - alt2'!$F$30/'[5]Percent &gt;7% - alt2'!$F$14</f>
        <v>2.1047013505360375E-2</v>
      </c>
    </row>
    <row r="39" spans="1:5" s="2" customFormat="1" ht="16.5" x14ac:dyDescent="0.35">
      <c r="A39"/>
      <c r="B39" t="s">
        <v>34</v>
      </c>
      <c r="C39" s="40"/>
      <c r="D39" s="36"/>
      <c r="E39" s="36"/>
    </row>
    <row r="40" spans="1:5" s="2" customFormat="1" x14ac:dyDescent="0.35">
      <c r="A40"/>
      <c r="B40" s="5" t="s">
        <v>6</v>
      </c>
      <c r="C40" s="40">
        <f>'[4]Percent &gt;7% - Base'!$B$28/'[4]Percent &gt;7% - Base'!$B$12</f>
        <v>0.73491222732099282</v>
      </c>
      <c r="D40" s="36">
        <f>'[7]Percent &gt;7% - alt2'!$B$28/'[7]Percent &gt;7% - alt2'!$B$12</f>
        <v>0.17944898380578744</v>
      </c>
      <c r="E40" s="51">
        <f>'[5]Percent &gt;7% - alt2'!$B$28/'[5]Percent &gt;7% - alt2'!$B$12</f>
        <v>1.2507005693047402E-2</v>
      </c>
    </row>
    <row r="41" spans="1:5" x14ac:dyDescent="0.35">
      <c r="B41" s="5" t="s">
        <v>37</v>
      </c>
      <c r="C41" s="40">
        <f>'[4]Percent &gt;7% - Base'!$D$28/'[4]Percent &gt;7% - Base'!$D$12</f>
        <v>0.83818524005926398</v>
      </c>
      <c r="D41" s="36">
        <f>'[7]Percent &gt;7% - alt2'!$D$28/'[7]Percent &gt;7% - alt2'!$D$12</f>
        <v>0.35476266207644958</v>
      </c>
      <c r="E41" s="51">
        <f>'[5]Percent &gt;7% - alt2'!$D$28/'[5]Percent &gt;7% - alt2'!$D$12</f>
        <v>2.8158736692424271E-2</v>
      </c>
    </row>
    <row r="42" spans="1:5" x14ac:dyDescent="0.35">
      <c r="B42" s="5" t="s">
        <v>38</v>
      </c>
      <c r="C42" s="40">
        <f>'[4]Percent &gt;7% - Base'!$F$29/'[4]Percent &gt;7% - Base'!$F$13</f>
        <v>0.68684618364974814</v>
      </c>
      <c r="D42" s="36">
        <f>'[7]Percent &gt;7% - alt2'!$F$29/'[7]Percent &gt;7% - alt2'!$F$13</f>
        <v>0.23600439077936333</v>
      </c>
      <c r="E42" s="51">
        <f>'[5]Percent &gt;7% - alt2'!$F$29/'[5]Percent &gt;7% - alt2'!$F$13</f>
        <v>5.0493962678375415E-2</v>
      </c>
    </row>
    <row r="43" spans="1:5" x14ac:dyDescent="0.35">
      <c r="A43" s="18" t="s">
        <v>35</v>
      </c>
      <c r="C43" s="40"/>
      <c r="D43" s="36"/>
      <c r="E43" s="36"/>
    </row>
    <row r="44" spans="1:5" x14ac:dyDescent="0.35">
      <c r="B44" t="s">
        <v>8</v>
      </c>
      <c r="C44" s="40">
        <f>'[4]Percent &gt;15% - Base'!$F$30/'[4]Percent &gt;15% - Base'!$F$14</f>
        <v>0.1396273208157883</v>
      </c>
      <c r="D44" s="36">
        <f>'[7]Percent &gt;15% - alt2'!$F$30/'[7]Percent &gt;15% - alt2'!$F$14</f>
        <v>6.8222954471620183E-3</v>
      </c>
      <c r="E44" s="51">
        <f>'[5]Percent &gt;15% - alt2'!$F$30/'[5]Percent &gt;15% - alt2'!$F$14</f>
        <v>4.0840952336752218E-3</v>
      </c>
    </row>
    <row r="45" spans="1:5" ht="16.5" x14ac:dyDescent="0.35">
      <c r="B45" t="s">
        <v>34</v>
      </c>
      <c r="C45" s="40"/>
      <c r="D45" s="36"/>
      <c r="E45" s="36"/>
    </row>
    <row r="46" spans="1:5" x14ac:dyDescent="0.35">
      <c r="B46" s="5" t="s">
        <v>6</v>
      </c>
      <c r="C46" s="40">
        <f>'[4]Percent &gt;15% - Base'!$B$28/'[4]Percent &gt;15% - Base'!$B$12</f>
        <v>0.15525238914313746</v>
      </c>
      <c r="D46" s="36">
        <f>'[7]Percent &gt;15% - alt2'!$B$28/'[7]Percent &gt;15% - alt2'!$B$12</f>
        <v>2.6990354266835785E-3</v>
      </c>
      <c r="E46" s="51">
        <f>'[5]Percent &gt;15% - alt2'!$B$28/'[5]Percent &gt;15% - alt2'!$B$12</f>
        <v>0</v>
      </c>
    </row>
    <row r="47" spans="1:5" x14ac:dyDescent="0.35">
      <c r="B47" s="5" t="s">
        <v>37</v>
      </c>
      <c r="C47" s="40">
        <f>'[4]Percent &gt;15% - Base'!$D$28/'[4]Percent &gt;15% - Base'!$D$12</f>
        <v>0.13509256663863639</v>
      </c>
      <c r="D47" s="36">
        <f>'[7]Percent &gt;15% - alt2'!$D$28/'[7]Percent &gt;15% - alt2'!$D$12</f>
        <v>1.8934645536699907E-2</v>
      </c>
      <c r="E47" s="51">
        <f>'[5]Percent &gt;15% - alt2'!$D$28/'[5]Percent &gt;15% - alt2'!$D$12</f>
        <v>1.4743577749920482E-2</v>
      </c>
    </row>
    <row r="48" spans="1:5" x14ac:dyDescent="0.35">
      <c r="B48" s="5" t="s">
        <v>38</v>
      </c>
      <c r="C48" s="40">
        <f>'[4]Percent &gt;15% - Base'!$F$29/'[4]Percent &gt;15% - Base'!$F$13</f>
        <v>6.9352963967454481E-2</v>
      </c>
      <c r="D48" s="36">
        <f>'[7]Percent &gt;15% - alt2'!$F$29/'[7]Percent &gt;15% - alt2'!$F$13</f>
        <v>3.482342253681063E-3</v>
      </c>
      <c r="E48" s="51">
        <f>'[5]Percent &gt;15% - alt2'!$F$29/'[5]Percent &gt;15% - alt2'!$F$13</f>
        <v>3.482342253681063E-3</v>
      </c>
    </row>
    <row r="50" spans="1:5" x14ac:dyDescent="0.35">
      <c r="A50" t="s">
        <v>50</v>
      </c>
      <c r="C50" s="31"/>
      <c r="D50" s="31"/>
    </row>
    <row r="51" spans="1:5" x14ac:dyDescent="0.35">
      <c r="C51" s="31"/>
      <c r="D51" s="31"/>
    </row>
    <row r="52" spans="1:5" x14ac:dyDescent="0.35">
      <c r="A52" t="s">
        <v>21</v>
      </c>
    </row>
    <row r="53" spans="1:5" ht="80.25" customHeight="1" x14ac:dyDescent="0.35">
      <c r="A53" s="79" t="s">
        <v>36</v>
      </c>
      <c r="B53" s="79"/>
      <c r="C53" s="79"/>
      <c r="D53" s="79"/>
      <c r="E53" s="47"/>
    </row>
    <row r="54" spans="1:5" ht="33.75" customHeight="1" x14ac:dyDescent="0.35">
      <c r="A54" s="84" t="s">
        <v>55</v>
      </c>
      <c r="B54" s="84"/>
      <c r="C54" s="84"/>
      <c r="D54" s="84"/>
      <c r="E54" s="50"/>
    </row>
    <row r="55" spans="1:5" ht="61.5" customHeight="1" x14ac:dyDescent="0.35">
      <c r="A55" s="79" t="s">
        <v>48</v>
      </c>
      <c r="B55" s="79"/>
      <c r="C55" s="79"/>
      <c r="D55" s="79"/>
      <c r="E55" s="47"/>
    </row>
    <row r="56" spans="1:5" ht="63" customHeight="1" x14ac:dyDescent="0.35">
      <c r="A56" s="84" t="s">
        <v>74</v>
      </c>
      <c r="B56" s="84"/>
      <c r="C56" s="84"/>
      <c r="D56" s="84"/>
      <c r="E56" s="50"/>
    </row>
  </sheetData>
  <mergeCells count="6">
    <mergeCell ref="A56:D56"/>
    <mergeCell ref="A53:D53"/>
    <mergeCell ref="A10:B10"/>
    <mergeCell ref="A55:D55"/>
    <mergeCell ref="A54:D54"/>
    <mergeCell ref="A13:B1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 1 - fee structures</vt:lpstr>
      <vt:lpstr>Table 2, results for caseload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Giannarelli, Linda</dc:creator>
  <cp:lastModifiedBy>Wescott Rosenberry, Christina (EEC)</cp:lastModifiedBy>
  <dcterms:created xsi:type="dcterms:W3CDTF">2020-06-25T13:56:23Z</dcterms:created>
  <dcterms:modified xsi:type="dcterms:W3CDTF">2021-01-11T15:57:46Z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