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8730" activeTab="1"/>
  </bookViews>
  <sheets>
    <sheet name="CIES model FY21" sheetId="1" r:id="rId1"/>
    <sheet name="CAF Fall 2019" sheetId="2" r:id="rId2"/>
  </sheets>
  <externalReferences>
    <externalReference r:id="rId3"/>
    <externalReference r:id="rId4"/>
  </externalReferences>
  <definedNames>
    <definedName name="Cap">[1]RawDataCalcs!$L$70:$DB$70</definedName>
    <definedName name="Floor">[1]RawDataCalcs!$L$69:$DB$69</definedName>
    <definedName name="gk" localSheetId="0">#REF!</definedName>
    <definedName name="gk">#REF!</definedName>
    <definedName name="_xlnm.Print_Area" localSheetId="1">'CAF Fall 2019'!$BM$6:$BX$32</definedName>
    <definedName name="_xlnm.Print_Area" localSheetId="0">'CIES model FY21'!$B$3:$O$33</definedName>
    <definedName name="Source_2">#REF!</definedName>
  </definedNames>
  <calcPr calcId="145621"/>
</workbook>
</file>

<file path=xl/calcChain.xml><?xml version="1.0" encoding="utf-8"?>
<calcChain xmlns="http://schemas.openxmlformats.org/spreadsheetml/2006/main">
  <c r="BP28" i="2" l="1"/>
  <c r="BQ28" i="2"/>
  <c r="BR28" i="2"/>
  <c r="BS28" i="2"/>
  <c r="BT28" i="2"/>
  <c r="BU28" i="2"/>
  <c r="BV28" i="2"/>
  <c r="BO28" i="2"/>
  <c r="BO24" i="2"/>
  <c r="BX24" i="2" s="1"/>
  <c r="C26" i="1"/>
  <c r="C25" i="1"/>
  <c r="C23" i="1"/>
  <c r="C22" i="1"/>
  <c r="C21" i="1"/>
  <c r="H20" i="1"/>
  <c r="O18" i="1"/>
  <c r="O17" i="1"/>
  <c r="H17" i="1"/>
  <c r="G17" i="1"/>
  <c r="O16" i="1"/>
  <c r="O15" i="1"/>
  <c r="O19" i="1" s="1"/>
  <c r="J14" i="1"/>
  <c r="G14" i="1"/>
  <c r="O13" i="1"/>
  <c r="J13" i="1"/>
  <c r="G13" i="1"/>
  <c r="J12" i="1"/>
  <c r="G12" i="1"/>
  <c r="H11" i="1"/>
  <c r="H8" i="1"/>
  <c r="I6" i="1"/>
  <c r="H6" i="1"/>
  <c r="H111" i="1" s="1"/>
  <c r="G6" i="1"/>
  <c r="BX28" i="2" l="1"/>
  <c r="BX30" i="2" s="1"/>
  <c r="O20" i="1"/>
  <c r="J4" i="1" s="1"/>
  <c r="J6" i="1"/>
  <c r="J8" i="1" l="1"/>
  <c r="J10" i="1"/>
  <c r="J16" i="1" s="1"/>
  <c r="J11" i="1"/>
  <c r="J17" i="1" l="1"/>
  <c r="J19" i="1" s="1"/>
  <c r="J20" i="1" l="1"/>
  <c r="J21" i="1" s="1"/>
  <c r="J32" i="1" l="1"/>
  <c r="J30" i="1"/>
  <c r="J28" i="1"/>
  <c r="J26" i="1"/>
  <c r="J23" i="1"/>
  <c r="J24" i="1" s="1"/>
  <c r="J33" i="1"/>
  <c r="J31" i="1"/>
  <c r="J29" i="1"/>
  <c r="J27" i="1"/>
</calcChain>
</file>

<file path=xl/sharedStrings.xml><?xml version="1.0" encoding="utf-8"?>
<sst xmlns="http://schemas.openxmlformats.org/spreadsheetml/2006/main" count="219" uniqueCount="181">
  <si>
    <t>CIES Master Data Look-up Table</t>
  </si>
  <si>
    <t>CIES MODEL BUDGET - Hourly</t>
  </si>
  <si>
    <t>Benchmark Salary</t>
  </si>
  <si>
    <t>Current</t>
  </si>
  <si>
    <t>BLS</t>
  </si>
  <si>
    <t>Source</t>
  </si>
  <si>
    <t>Service Unit:</t>
  </si>
  <si>
    <t>Per Hour</t>
  </si>
  <si>
    <t>Total Units:</t>
  </si>
  <si>
    <t>Direct Care Staff</t>
  </si>
  <si>
    <t>BLS Median benchmark</t>
  </si>
  <si>
    <t>Position</t>
  </si>
  <si>
    <t>Salary</t>
  </si>
  <si>
    <t>FTE</t>
  </si>
  <si>
    <t>Expense</t>
  </si>
  <si>
    <t>Benchmark FTEs</t>
  </si>
  <si>
    <t>Hourly</t>
  </si>
  <si>
    <t>FTE Value</t>
  </si>
  <si>
    <t>Direct Care Staff - Level 1 Hourly</t>
  </si>
  <si>
    <t>St. Avg. FY14 UFR Data</t>
  </si>
  <si>
    <t>Tax &amp; Fringe</t>
  </si>
  <si>
    <t>Direct Care Staff - Level 2 Hourly</t>
  </si>
  <si>
    <t>Components</t>
  </si>
  <si>
    <t>Total Compensation</t>
  </si>
  <si>
    <t>Direct Care Staff - Intake/Eval/Assess Level A</t>
  </si>
  <si>
    <t>St. Avg. FY14 UFR Data / FY14 Client Survey Data</t>
  </si>
  <si>
    <t>PFLMA Trust Contribution</t>
  </si>
  <si>
    <t>Direct Care Staff - Intake/Eval/Assess Level B</t>
  </si>
  <si>
    <t>Productivity Factor</t>
  </si>
  <si>
    <t>Hrs. per week</t>
  </si>
  <si>
    <t>Direct Care Staff - Job Ed Level A</t>
  </si>
  <si>
    <t>Total Annual Hours</t>
  </si>
  <si>
    <t>Direct Care Staff - Job Ed Level B</t>
  </si>
  <si>
    <t>Non Productive</t>
  </si>
  <si>
    <t>Days</t>
  </si>
  <si>
    <t>Hours</t>
  </si>
  <si>
    <t>Direct Care Staff - Job Dev/Pl Level A</t>
  </si>
  <si>
    <t>Vacation</t>
  </si>
  <si>
    <t>Direct Care Staff - Job Dev/Pl Level B</t>
  </si>
  <si>
    <t>Total Excl. M &amp; G</t>
  </si>
  <si>
    <t>Sick/Personal</t>
  </si>
  <si>
    <t>Direct Care Staff - Init Emp Sup Level A</t>
  </si>
  <si>
    <t>Holidays</t>
  </si>
  <si>
    <t>Training</t>
  </si>
  <si>
    <t>Benchmark Expenses</t>
  </si>
  <si>
    <t>Total</t>
  </si>
  <si>
    <t>Total Non-Productive Hours</t>
  </si>
  <si>
    <t xml:space="preserve">T &amp; F </t>
  </si>
  <si>
    <t>FY21 C.257 Benchmark</t>
  </si>
  <si>
    <t>FY20 CAF Rate</t>
  </si>
  <si>
    <t>TOTAL PRODUCTIVE HOURS PER FTE</t>
  </si>
  <si>
    <t>Occupancy per FTE</t>
  </si>
  <si>
    <t>St. Avg. FY16 UFR Data</t>
  </si>
  <si>
    <t>TOTAL PROGRAM EXPENSE PER FTE</t>
  </si>
  <si>
    <t>Other Program Expenses per FTE</t>
  </si>
  <si>
    <t>Wt. Avg. FY16 UFR Data</t>
  </si>
  <si>
    <t>Hourly Rates:</t>
  </si>
  <si>
    <t>Direct Admin. Expense per FTE</t>
  </si>
  <si>
    <t xml:space="preserve">Level 2 </t>
  </si>
  <si>
    <t>Per Grand Bargain Agreement</t>
  </si>
  <si>
    <t xml:space="preserve">Level 1 </t>
  </si>
  <si>
    <t>Admin Allocation</t>
  </si>
  <si>
    <t>Component Rates:</t>
  </si>
  <si>
    <t>Rate Review CAF (Fall 2019)</t>
  </si>
  <si>
    <t>Base Period FY20Q2 - Prospective Period 7/1/20 - 6/30/22</t>
  </si>
  <si>
    <t xml:space="preserve"> Intake/Eval/Assess Level A</t>
  </si>
  <si>
    <t xml:space="preserve"> Intake/Eval/Assess Level B</t>
  </si>
  <si>
    <t xml:space="preserve"> Job Ed Level A</t>
  </si>
  <si>
    <t xml:space="preserve">                       =  These numbers are divisible by 4 for 15 minute increments</t>
  </si>
  <si>
    <t xml:space="preserve"> Job Ed Level B</t>
  </si>
  <si>
    <t xml:space="preserve"> Job Dev/Pl Level A</t>
  </si>
  <si>
    <t xml:space="preserve"> Job Dev/Pl Level B</t>
  </si>
  <si>
    <t xml:space="preserve"> Init Emp Sup Level A</t>
  </si>
  <si>
    <t>Massachusetts Economic Indicators</t>
  </si>
  <si>
    <t>IHS Markit, Fall 2019 Forecast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</si>
  <si>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</si>
  <si>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</si>
  <si>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</si>
  <si>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</si>
  <si>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</si>
  <si>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</si>
  <si>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</si>
  <si>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</si>
  <si>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</si>
  <si>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</si>
  <si>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</si>
  <si>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</si>
  <si>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</si>
  <si>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</si>
  <si>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</si>
  <si>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</si>
  <si>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</si>
  <si>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</si>
  <si>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</si>
  <si>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</si>
  <si>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</si>
  <si>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</si>
  <si>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</si>
  <si>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</si>
  <si>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</si>
  <si>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</si>
  <si>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</si>
  <si>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</si>
  <si>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</si>
  <si>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</si>
  <si>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</si>
  <si>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</si>
  <si>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</si>
  <si>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</si>
  <si>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</si>
  <si>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</si>
  <si>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</si>
  <si>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</si>
  <si>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</si>
  <si>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</si>
  <si>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</si>
  <si>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</si>
  <si>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</si>
  <si>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</si>
  <si>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</si>
  <si>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</si>
  <si>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</si>
  <si>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</si>
  <si>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</si>
  <si>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</si>
  <si>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</si>
  <si>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</si>
  <si>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</si>
  <si>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</si>
  <si>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</si>
  <si>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</si>
  <si>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</si>
  <si>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</si>
  <si>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</si>
  <si>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</si>
  <si>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</si>
  <si>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</si>
  <si>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</si>
  <si>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</si>
  <si>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</si>
  <si>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</si>
  <si>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</si>
  <si>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</si>
  <si>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</si>
  <si>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</si>
  <si>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</si>
  <si>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</si>
  <si>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</si>
  <si>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</si>
  <si>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</si>
  <si>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</si>
  <si>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</si>
  <si>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</si>
  <si>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</si>
  <si>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</si>
  <si>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</si>
  <si>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</si>
  <si>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</si>
  <si>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</si>
  <si>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</si>
  <si>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</si>
  <si>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</si>
  <si>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</si>
  <si>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</si>
  <si>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</si>
  <si>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</si>
  <si>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</si>
  <si>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</si>
  <si>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</si>
  <si>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</si>
  <si>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</si>
  <si>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</si>
  <si>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</si>
  <si>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</si>
  <si>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2020</t>
  </si>
  <si>
    <t xml:space="preserve">Base period: </t>
  </si>
  <si>
    <t>FY20Q4</t>
  </si>
  <si>
    <t>Average</t>
  </si>
  <si>
    <t xml:space="preserve">Prospective rate period: </t>
  </si>
  <si>
    <t>7/1/20 - 6/30/22</t>
  </si>
  <si>
    <t>CAF: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</si>
</sst>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"/>
    <numFmt numFmtId="166" formatCode="&quot;$&quot;#,##0"/>
    <numFmt numFmtId="167" formatCode="#,##0.000"/>
    <numFmt numFmtId="168" formatCode="0.00000"/>
  </numFmts>
  <fonts count="3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i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i/>
      <sz val="9"/>
      <color theme="1"/>
      <name val="Calibri"/>
      <family val="2"/>
    </font>
    <font>
      <b/>
      <i/>
      <sz val="10"/>
      <color theme="1"/>
      <name val="Calibri"/>
      <family val="2"/>
    </font>
    <font>
      <b/>
      <i/>
      <u/>
      <sz val="10"/>
      <color theme="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name val="Arial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</font>
    <font>
      <b/>
      <sz val="8"/>
      <name val="Calibri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44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14" fontId="4" fillId="0" borderId="0" xfId="0" applyNumberFormat="1" applyFont="1" applyBorder="1" applyAlignment="1">
      <alignment horizontal="left"/>
    </xf>
    <xf numFmtId="0" fontId="3" fillId="0" borderId="0" xfId="0" applyFont="1" applyBorder="1"/>
    <xf numFmtId="3" fontId="3" fillId="0" borderId="0" xfId="0" applyNumberFormat="1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0" fontId="3" fillId="0" borderId="11" xfId="0" applyFont="1" applyFill="1" applyBorder="1"/>
    <xf numFmtId="0" fontId="3" fillId="0" borderId="0" xfId="0" applyFont="1" applyFill="1" applyBorder="1"/>
    <xf numFmtId="0" fontId="5" fillId="0" borderId="13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6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6" fontId="3" fillId="0" borderId="18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3" fillId="0" borderId="13" xfId="0" applyFont="1" applyFill="1" applyBorder="1"/>
    <xf numFmtId="6" fontId="3" fillId="0" borderId="6" xfId="0" applyNumberFormat="1" applyFont="1" applyFill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6" fontId="3" fillId="0" borderId="14" xfId="0" applyNumberFormat="1" applyFont="1" applyBorder="1"/>
    <xf numFmtId="164" fontId="3" fillId="0" borderId="0" xfId="0" applyNumberFormat="1" applyFont="1" applyBorder="1" applyAlignment="1">
      <alignment horizontal="center"/>
    </xf>
    <xf numFmtId="0" fontId="5" fillId="0" borderId="15" xfId="0" applyFont="1" applyFill="1" applyBorder="1"/>
    <xf numFmtId="10" fontId="3" fillId="0" borderId="16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6" fontId="5" fillId="0" borderId="19" xfId="0" applyNumberFormat="1" applyFont="1" applyBorder="1"/>
    <xf numFmtId="0" fontId="3" fillId="0" borderId="0" xfId="0" applyFont="1" applyFill="1" applyBorder="1" applyAlignment="1">
      <alignment horizontal="center"/>
    </xf>
    <xf numFmtId="0" fontId="3" fillId="0" borderId="18" xfId="0" applyFont="1" applyBorder="1"/>
    <xf numFmtId="164" fontId="5" fillId="0" borderId="0" xfId="0" applyNumberFormat="1" applyFont="1" applyBorder="1" applyAlignment="1">
      <alignment horizontal="center"/>
    </xf>
    <xf numFmtId="0" fontId="5" fillId="0" borderId="20" xfId="0" applyFont="1" applyFill="1" applyBorder="1"/>
    <xf numFmtId="0" fontId="5" fillId="0" borderId="21" xfId="0" applyFont="1" applyFill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6" fontId="5" fillId="0" borderId="22" xfId="0" applyNumberFormat="1" applyFont="1" applyBorder="1"/>
    <xf numFmtId="0" fontId="5" fillId="0" borderId="0" xfId="0" applyFont="1" applyBorder="1" applyAlignment="1">
      <alignment horizontal="right"/>
    </xf>
    <xf numFmtId="0" fontId="7" fillId="0" borderId="11" xfId="0" applyFont="1" applyFill="1" applyBorder="1" applyAlignment="1">
      <alignment horizontal="left"/>
    </xf>
    <xf numFmtId="10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0" fontId="5" fillId="2" borderId="1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3" fillId="0" borderId="5" xfId="0" applyFont="1" applyBorder="1"/>
    <xf numFmtId="3" fontId="5" fillId="0" borderId="23" xfId="0" applyNumberFormat="1" applyFont="1" applyBorder="1" applyAlignment="1">
      <alignment horizontal="center"/>
    </xf>
    <xf numFmtId="0" fontId="5" fillId="0" borderId="11" xfId="0" applyFont="1" applyBorder="1"/>
    <xf numFmtId="3" fontId="5" fillId="0" borderId="18" xfId="0" applyNumberFormat="1" applyFont="1" applyBorder="1" applyAlignment="1">
      <alignment horizontal="center"/>
    </xf>
    <xf numFmtId="0" fontId="3" fillId="0" borderId="11" xfId="0" applyFont="1" applyBorder="1"/>
    <xf numFmtId="3" fontId="3" fillId="0" borderId="18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Border="1"/>
    <xf numFmtId="164" fontId="3" fillId="0" borderId="18" xfId="0" applyNumberFormat="1" applyFont="1" applyBorder="1" applyAlignment="1">
      <alignment horizontal="center"/>
    </xf>
    <xf numFmtId="0" fontId="3" fillId="0" borderId="24" xfId="0" applyFont="1" applyFill="1" applyBorder="1"/>
    <xf numFmtId="10" fontId="3" fillId="0" borderId="25" xfId="0" applyNumberFormat="1" applyFont="1" applyFill="1" applyBorder="1" applyAlignment="1">
      <alignment horizontal="center"/>
    </xf>
    <xf numFmtId="0" fontId="3" fillId="0" borderId="25" xfId="0" applyFont="1" applyBorder="1"/>
    <xf numFmtId="6" fontId="3" fillId="0" borderId="26" xfId="0" applyNumberFormat="1" applyFont="1" applyBorder="1"/>
    <xf numFmtId="0" fontId="3" fillId="0" borderId="13" xfId="0" applyFont="1" applyBorder="1"/>
    <xf numFmtId="0" fontId="3" fillId="0" borderId="6" xfId="0" applyFont="1" applyBorder="1" applyAlignment="1">
      <alignment horizontal="right"/>
    </xf>
    <xf numFmtId="1" fontId="3" fillId="0" borderId="6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6" fillId="0" borderId="11" xfId="0" applyFont="1" applyFill="1" applyBorder="1"/>
    <xf numFmtId="6" fontId="5" fillId="0" borderId="18" xfId="0" applyNumberFormat="1" applyFont="1" applyBorder="1"/>
    <xf numFmtId="0" fontId="5" fillId="0" borderId="13" xfId="0" applyFont="1" applyBorder="1"/>
    <xf numFmtId="0" fontId="5" fillId="0" borderId="6" xfId="0" applyFont="1" applyBorder="1"/>
    <xf numFmtId="164" fontId="5" fillId="0" borderId="14" xfId="0" applyNumberFormat="1" applyFont="1" applyBorder="1" applyAlignment="1">
      <alignment horizontal="center"/>
    </xf>
    <xf numFmtId="166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right"/>
    </xf>
    <xf numFmtId="3" fontId="5" fillId="0" borderId="3" xfId="0" applyNumberFormat="1" applyFont="1" applyBorder="1" applyAlignment="1">
      <alignment horizontal="center"/>
    </xf>
    <xf numFmtId="0" fontId="5" fillId="0" borderId="1" xfId="0" applyFont="1" applyFill="1" applyBorder="1"/>
    <xf numFmtId="10" fontId="5" fillId="0" borderId="2" xfId="0" applyNumberFormat="1" applyFont="1" applyFill="1" applyBorder="1" applyAlignment="1">
      <alignment horizontal="center"/>
    </xf>
    <xf numFmtId="0" fontId="5" fillId="0" borderId="2" xfId="0" applyFont="1" applyFill="1" applyBorder="1"/>
    <xf numFmtId="6" fontId="5" fillId="0" borderId="3" xfId="0" applyNumberFormat="1" applyFont="1" applyFill="1" applyBorder="1"/>
    <xf numFmtId="8" fontId="3" fillId="0" borderId="0" xfId="0" applyNumberFormat="1" applyFont="1" applyBorder="1"/>
    <xf numFmtId="0" fontId="3" fillId="0" borderId="11" xfId="0" applyFont="1" applyFill="1" applyBorder="1" applyAlignment="1">
      <alignment horizontal="left"/>
    </xf>
    <xf numFmtId="8" fontId="5" fillId="3" borderId="27" xfId="0" applyNumberFormat="1" applyFont="1" applyFill="1" applyBorder="1"/>
    <xf numFmtId="7" fontId="3" fillId="0" borderId="0" xfId="1" applyNumberFormat="1" applyFont="1"/>
    <xf numFmtId="10" fontId="3" fillId="0" borderId="0" xfId="2" applyNumberFormat="1" applyFont="1" applyBorder="1"/>
    <xf numFmtId="167" fontId="3" fillId="0" borderId="0" xfId="0" applyNumberFormat="1" applyFont="1"/>
    <xf numFmtId="0" fontId="3" fillId="0" borderId="31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8" fontId="5" fillId="3" borderId="33" xfId="0" applyNumberFormat="1" applyFont="1" applyFill="1" applyBorder="1"/>
    <xf numFmtId="0" fontId="5" fillId="0" borderId="8" xfId="0" applyFont="1" applyFill="1" applyBorder="1" applyAlignment="1">
      <alignment horizontal="center"/>
    </xf>
    <xf numFmtId="0" fontId="3" fillId="0" borderId="9" xfId="0" applyFont="1" applyFill="1" applyBorder="1"/>
    <xf numFmtId="10" fontId="5" fillId="0" borderId="9" xfId="0" applyNumberFormat="1" applyFont="1" applyBorder="1" applyAlignment="1">
      <alignment horizontal="center"/>
    </xf>
    <xf numFmtId="6" fontId="3" fillId="0" borderId="10" xfId="0" applyNumberFormat="1" applyFont="1" applyBorder="1"/>
    <xf numFmtId="0" fontId="10" fillId="0" borderId="36" xfId="3" applyFont="1" applyBorder="1"/>
    <xf numFmtId="0" fontId="3" fillId="0" borderId="11" xfId="0" applyFont="1" applyBorder="1" applyAlignment="1">
      <alignment horizontal="left"/>
    </xf>
    <xf numFmtId="165" fontId="3" fillId="0" borderId="0" xfId="0" applyNumberFormat="1" applyFont="1" applyBorder="1" applyAlignment="1">
      <alignment horizontal="center"/>
    </xf>
    <xf numFmtId="6" fontId="5" fillId="3" borderId="27" xfId="0" applyNumberFormat="1" applyFont="1" applyFill="1" applyBorder="1"/>
    <xf numFmtId="5" fontId="3" fillId="0" borderId="0" xfId="1" applyNumberFormat="1" applyFont="1"/>
    <xf numFmtId="6" fontId="3" fillId="0" borderId="0" xfId="0" applyNumberFormat="1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6" fontId="3" fillId="0" borderId="0" xfId="0" applyNumberFormat="1" applyFont="1"/>
    <xf numFmtId="0" fontId="12" fillId="0" borderId="0" xfId="0" applyFont="1" applyBorder="1"/>
    <xf numFmtId="0" fontId="3" fillId="0" borderId="31" xfId="0" applyFont="1" applyBorder="1" applyAlignment="1">
      <alignment horizontal="left"/>
    </xf>
    <xf numFmtId="0" fontId="3" fillId="0" borderId="32" xfId="0" applyFont="1" applyBorder="1"/>
    <xf numFmtId="165" fontId="3" fillId="0" borderId="32" xfId="0" applyNumberFormat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165" fontId="3" fillId="0" borderId="0" xfId="0" applyNumberFormat="1" applyFont="1"/>
    <xf numFmtId="168" fontId="3" fillId="0" borderId="0" xfId="0" applyNumberFormat="1" applyFont="1"/>
    <xf numFmtId="0" fontId="15" fillId="4" borderId="9" xfId="17" applyFont="1" applyFill="1" applyBorder="1"/>
    <xf numFmtId="0" fontId="16" fillId="4" borderId="10" xfId="17" applyFont="1" applyFill="1" applyBorder="1"/>
    <xf numFmtId="0" fontId="9" fillId="0" borderId="0" xfId="17"/>
    <xf numFmtId="0" fontId="16" fillId="4" borderId="0" xfId="17" applyFont="1" applyFill="1" applyBorder="1"/>
    <xf numFmtId="0" fontId="17" fillId="4" borderId="18" xfId="17" applyFont="1" applyFill="1" applyBorder="1"/>
    <xf numFmtId="0" fontId="18" fillId="4" borderId="32" xfId="17" applyFont="1" applyFill="1" applyBorder="1"/>
    <xf numFmtId="0" fontId="17" fillId="4" borderId="37" xfId="17" applyFont="1" applyFill="1" applyBorder="1"/>
    <xf numFmtId="0" fontId="19" fillId="5" borderId="0" xfId="24" applyFont="1" applyFill="1"/>
    <xf numFmtId="0" fontId="19" fillId="6" borderId="0" xfId="24" applyFont="1" applyFill="1"/>
    <xf numFmtId="0" fontId="19" fillId="7" borderId="0" xfId="24" applyFont="1" applyFill="1"/>
    <xf numFmtId="0" fontId="19" fillId="8" borderId="0" xfId="24" applyFont="1" applyFill="1"/>
    <xf numFmtId="0" fontId="19" fillId="9" borderId="0" xfId="24" applyFont="1" applyFill="1"/>
    <xf numFmtId="0" fontId="17" fillId="0" borderId="0" xfId="17" applyFont="1"/>
    <xf numFmtId="14" fontId="17" fillId="0" borderId="0" xfId="17" applyNumberFormat="1" applyFont="1"/>
    <xf numFmtId="0" fontId="17" fillId="10" borderId="0" xfId="17" applyFont="1" applyFill="1"/>
    <xf numFmtId="0" fontId="17" fillId="3" borderId="0" xfId="17" applyFont="1" applyFill="1"/>
    <xf numFmtId="165" fontId="9" fillId="0" borderId="0" xfId="17" applyNumberFormat="1"/>
    <xf numFmtId="0" fontId="9" fillId="10" borderId="0" xfId="17" applyFill="1"/>
    <xf numFmtId="0" fontId="9" fillId="3" borderId="0" xfId="17" applyFill="1"/>
    <xf numFmtId="0" fontId="9" fillId="0" borderId="0" xfId="17" applyFill="1" applyBorder="1"/>
    <xf numFmtId="0" fontId="9" fillId="0" borderId="0" xfId="17" applyFill="1"/>
    <xf numFmtId="0" fontId="2" fillId="0" borderId="0" xfId="17" applyFont="1" applyFill="1" applyBorder="1"/>
    <xf numFmtId="0" fontId="20" fillId="0" borderId="0" xfId="17" applyFont="1" applyFill="1" applyBorder="1"/>
    <xf numFmtId="0" fontId="17" fillId="0" borderId="0" xfId="20" applyFont="1" applyFill="1"/>
    <xf numFmtId="0" fontId="9" fillId="0" borderId="0" xfId="20" applyFill="1"/>
    <xf numFmtId="0" fontId="21" fillId="0" borderId="0" xfId="20" applyFont="1" applyFill="1"/>
    <xf numFmtId="0" fontId="22" fillId="0" borderId="0" xfId="20" applyFont="1" applyFill="1"/>
    <xf numFmtId="0" fontId="23" fillId="0" borderId="0" xfId="17" applyFont="1" applyFill="1" applyBorder="1"/>
    <xf numFmtId="0" fontId="9" fillId="0" borderId="38" xfId="20" applyFill="1" applyBorder="1"/>
    <xf numFmtId="0" fontId="9" fillId="0" borderId="39" xfId="20" applyFill="1" applyBorder="1"/>
    <xf numFmtId="0" fontId="9" fillId="0" borderId="40" xfId="20" applyFill="1" applyBorder="1"/>
    <xf numFmtId="0" fontId="9" fillId="0" borderId="41" xfId="20" applyFill="1" applyBorder="1"/>
    <xf numFmtId="0" fontId="9" fillId="0" borderId="0" xfId="20" applyFill="1" applyBorder="1" applyAlignment="1">
      <alignment horizontal="right"/>
    </xf>
    <xf numFmtId="0" fontId="9" fillId="0" borderId="0" xfId="20" applyFill="1" applyBorder="1"/>
    <xf numFmtId="0" fontId="9" fillId="0" borderId="42" xfId="20" applyFill="1" applyBorder="1"/>
    <xf numFmtId="14" fontId="17" fillId="0" borderId="0" xfId="17" applyNumberFormat="1" applyFont="1" applyFill="1"/>
    <xf numFmtId="14" fontId="9" fillId="0" borderId="0" xfId="17" applyNumberFormat="1" applyFont="1" applyFill="1"/>
    <xf numFmtId="0" fontId="24" fillId="0" borderId="42" xfId="20" applyFont="1" applyFill="1" applyBorder="1" applyAlignment="1">
      <alignment horizontal="center"/>
    </xf>
    <xf numFmtId="165" fontId="9" fillId="0" borderId="0" xfId="20" applyNumberFormat="1" applyFill="1" applyBorder="1"/>
    <xf numFmtId="165" fontId="9" fillId="0" borderId="42" xfId="20" applyNumberFormat="1" applyFill="1" applyBorder="1" applyAlignment="1">
      <alignment horizontal="center"/>
    </xf>
    <xf numFmtId="0" fontId="9" fillId="0" borderId="42" xfId="20" applyFill="1" applyBorder="1" applyAlignment="1">
      <alignment horizontal="center"/>
    </xf>
    <xf numFmtId="0" fontId="17" fillId="0" borderId="0" xfId="17" applyFont="1" applyFill="1"/>
    <xf numFmtId="165" fontId="9" fillId="0" borderId="0" xfId="17" applyNumberFormat="1" applyFill="1"/>
    <xf numFmtId="0" fontId="17" fillId="0" borderId="0" xfId="20" applyFont="1" applyFill="1" applyBorder="1" applyAlignment="1">
      <alignment horizontal="right"/>
    </xf>
    <xf numFmtId="10" fontId="17" fillId="0" borderId="42" xfId="26" applyNumberFormat="1" applyFont="1" applyFill="1" applyBorder="1" applyAlignment="1">
      <alignment horizontal="center"/>
    </xf>
    <xf numFmtId="0" fontId="9" fillId="0" borderId="43" xfId="20" applyFill="1" applyBorder="1"/>
    <xf numFmtId="0" fontId="9" fillId="0" borderId="6" xfId="20" applyFill="1" applyBorder="1"/>
    <xf numFmtId="0" fontId="9" fillId="0" borderId="44" xfId="20" applyFill="1" applyBorder="1"/>
    <xf numFmtId="0" fontId="25" fillId="0" borderId="11" xfId="0" applyFont="1" applyFill="1" applyBorder="1"/>
    <xf numFmtId="6" fontId="26" fillId="0" borderId="0" xfId="0" applyNumberFormat="1" applyFont="1" applyFill="1" applyBorder="1" applyAlignment="1">
      <alignment horizontal="center"/>
    </xf>
    <xf numFmtId="0" fontId="25" fillId="0" borderId="12" xfId="0" applyFont="1" applyFill="1" applyBorder="1"/>
    <xf numFmtId="0" fontId="27" fillId="0" borderId="16" xfId="0" applyFont="1" applyFill="1" applyBorder="1" applyAlignment="1">
      <alignment horizontal="center"/>
    </xf>
    <xf numFmtId="0" fontId="25" fillId="0" borderId="17" xfId="0" applyFont="1" applyFill="1" applyBorder="1"/>
    <xf numFmtId="0" fontId="27" fillId="0" borderId="1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2" fontId="26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10" fontId="26" fillId="0" borderId="0" xfId="0" applyNumberFormat="1" applyFont="1" applyFill="1" applyBorder="1" applyAlignment="1">
      <alignment horizontal="center"/>
    </xf>
    <xf numFmtId="0" fontId="10" fillId="0" borderId="28" xfId="0" applyFont="1" applyFill="1" applyBorder="1" applyAlignment="1">
      <alignment horizontal="left"/>
    </xf>
    <xf numFmtId="10" fontId="10" fillId="0" borderId="29" xfId="2" applyNumberFormat="1" applyFont="1" applyFill="1" applyBorder="1" applyAlignment="1">
      <alignment horizontal="center"/>
    </xf>
    <xf numFmtId="10" fontId="10" fillId="0" borderId="30" xfId="2" applyNumberFormat="1" applyFont="1" applyFill="1" applyBorder="1" applyAlignment="1">
      <alignment horizontal="center"/>
    </xf>
    <xf numFmtId="10" fontId="29" fillId="0" borderId="17" xfId="3" applyNumberFormat="1" applyFont="1" applyFill="1" applyBorder="1" applyAlignment="1">
      <alignment horizontal="left"/>
    </xf>
    <xf numFmtId="0" fontId="25" fillId="0" borderId="34" xfId="0" applyFont="1" applyBorder="1"/>
    <xf numFmtId="10" fontId="26" fillId="0" borderId="35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6" xfId="0" applyFont="1" applyFill="1" applyBorder="1" applyAlignment="1">
      <alignment horizontal="center"/>
    </xf>
  </cellXfs>
  <cellStyles count="31">
    <cellStyle name="Comma 2" xfId="4"/>
    <cellStyle name="Comma 3" xfId="5"/>
    <cellStyle name="Comma 3 2" xfId="6"/>
    <cellStyle name="Comma 4" xfId="7"/>
    <cellStyle name="Comma 5" xfId="8"/>
    <cellStyle name="Comma 6" xfId="9"/>
    <cellStyle name="Currency" xfId="1" builtinId="4"/>
    <cellStyle name="Currency 2" xfId="10"/>
    <cellStyle name="Currency 3" xfId="11"/>
    <cellStyle name="Currency 3 2" xfId="12"/>
    <cellStyle name="Currency 4" xfId="13"/>
    <cellStyle name="Currency 5" xfId="14"/>
    <cellStyle name="Currency 5 2" xfId="15"/>
    <cellStyle name="Currency 6" xfId="16"/>
    <cellStyle name="Normal" xfId="0" builtinId="0"/>
    <cellStyle name="Normal 2" xfId="17"/>
    <cellStyle name="Normal 2 2" xfId="3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6 2" xfId="24"/>
    <cellStyle name="Normal 7" xfId="25"/>
    <cellStyle name="Percent" xfId="2" builtinId="5"/>
    <cellStyle name="Percent 2" xfId="26"/>
    <cellStyle name="Percent 2 2" xfId="27"/>
    <cellStyle name="Percent 3" xfId="28"/>
    <cellStyle name="Percent 4" xfId="29"/>
    <cellStyle name="Percent 5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</xdr:colOff>
      <xdr:row>22</xdr:row>
      <xdr:rowOff>53340</xdr:rowOff>
    </xdr:from>
    <xdr:to>
      <xdr:col>11</xdr:col>
      <xdr:colOff>127876</xdr:colOff>
      <xdr:row>23</xdr:row>
      <xdr:rowOff>97063</xdr:rowOff>
    </xdr:to>
    <xdr:sp macro="" textlink="">
      <xdr:nvSpPr>
        <xdr:cNvPr id="2" name="5-Point Star 1"/>
        <xdr:cNvSpPr/>
      </xdr:nvSpPr>
      <xdr:spPr>
        <a:xfrm>
          <a:off x="10805160" y="4000500"/>
          <a:ext cx="242176" cy="226603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114300</xdr:colOff>
      <xdr:row>27</xdr:row>
      <xdr:rowOff>83820</xdr:rowOff>
    </xdr:from>
    <xdr:to>
      <xdr:col>1</xdr:col>
      <xdr:colOff>356325</xdr:colOff>
      <xdr:row>28</xdr:row>
      <xdr:rowOff>144780</xdr:rowOff>
    </xdr:to>
    <xdr:sp macro="" textlink="">
      <xdr:nvSpPr>
        <xdr:cNvPr id="3" name="5-Point Star 2"/>
        <xdr:cNvSpPr/>
      </xdr:nvSpPr>
      <xdr:spPr>
        <a:xfrm>
          <a:off x="739140" y="4945380"/>
          <a:ext cx="242025" cy="243840"/>
        </a:xfrm>
        <a:prstGeom prst="star5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File_Services\Common\Administrative%20Services-POS%20Policy%20Office\Rate%20Setting\Rate%20Projects\CIES-%20CMR%20410\2020%20Rate%20Review\3.%20Proposal,%20hearing%20&amp;%20sign-off\Website\CIES%20Model%20Budget%2011.26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ll 2015 CAF"/>
      <sheetName val="CIES Prod Standard - Relief"/>
      <sheetName val="CIES original Rate Summary"/>
      <sheetName val="Original CAF"/>
      <sheetName val="CIES model current"/>
      <sheetName val="CIES model FY21"/>
      <sheetName val="FY16 UFR Analysis"/>
      <sheetName val="Sp 2017 CAF"/>
      <sheetName val="CIES Calcs"/>
      <sheetName val="CAF Fall 2019"/>
      <sheetName val="FY16 UFR DATA"/>
      <sheetName val="FY16 UFR PIVO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>
        <row r="112">
          <cell r="O112">
            <v>0.1451957754756632</v>
          </cell>
        </row>
      </sheetData>
      <sheetData sheetId="7" refreshError="1"/>
      <sheetData sheetId="8" refreshError="1"/>
      <sheetData sheetId="9">
        <row r="30">
          <cell r="BT30">
            <v>1.7780248869661817E-2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2:V111"/>
  <sheetViews>
    <sheetView zoomScaleNormal="100" workbookViewId="0">
      <selection activeCell="E29" sqref="E29"/>
    </sheetView>
  </sheetViews>
  <sheetFormatPr defaultColWidth="9.140625" defaultRowHeight="12.75" x14ac:dyDescent="0.2"/>
  <cols>
    <col min="1" max="1" width="9.140625" style="1"/>
    <col min="2" max="2" width="28.28515625" style="1" customWidth="1"/>
    <col min="3" max="3" width="9.85546875" style="1" bestFit="1" customWidth="1"/>
    <col min="4" max="4" width="9.85546875" style="1" hidden="1" customWidth="1"/>
    <col min="5" max="5" width="36.85546875" style="1" customWidth="1"/>
    <col min="6" max="6" width="5.42578125" style="1" customWidth="1"/>
    <col min="7" max="7" width="24.5703125" style="1" customWidth="1"/>
    <col min="8" max="8" width="10.140625" style="1" customWidth="1"/>
    <col min="9" max="9" width="9.85546875" style="1" customWidth="1"/>
    <col min="10" max="10" width="11" style="1" customWidth="1"/>
    <col min="11" max="11" width="2.5703125" style="1" customWidth="1"/>
    <col min="12" max="12" width="5.85546875" style="1" customWidth="1"/>
    <col min="13" max="13" width="15.42578125" style="1" customWidth="1"/>
    <col min="14" max="15" width="9.140625" style="1"/>
    <col min="16" max="18" width="9.140625" style="4"/>
    <col min="19" max="16384" width="9.140625" style="1"/>
  </cols>
  <sheetData>
    <row r="2" spans="2:19" ht="13.5" customHeight="1" thickBot="1" x14ac:dyDescent="0.25">
      <c r="G2" s="2">
        <v>44013</v>
      </c>
      <c r="H2" s="3"/>
      <c r="I2" s="3"/>
      <c r="J2" s="3"/>
      <c r="R2" s="1"/>
    </row>
    <row r="3" spans="2:19" ht="13.5" thickBot="1" x14ac:dyDescent="0.25">
      <c r="B3" s="183" t="s">
        <v>0</v>
      </c>
      <c r="C3" s="184"/>
      <c r="D3" s="184"/>
      <c r="E3" s="185"/>
      <c r="F3" s="5"/>
      <c r="G3" s="183" t="s">
        <v>1</v>
      </c>
      <c r="H3" s="184"/>
      <c r="I3" s="184"/>
      <c r="J3" s="185"/>
      <c r="L3" s="6"/>
      <c r="M3" s="6"/>
      <c r="N3" s="7"/>
      <c r="O3" s="5"/>
      <c r="P3" s="1"/>
      <c r="Q3" s="1"/>
      <c r="R3" s="1"/>
    </row>
    <row r="4" spans="2:19" x14ac:dyDescent="0.2">
      <c r="B4" s="8" t="s">
        <v>2</v>
      </c>
      <c r="C4" s="9" t="s">
        <v>3</v>
      </c>
      <c r="D4" s="10" t="s">
        <v>4</v>
      </c>
      <c r="E4" s="11" t="s">
        <v>5</v>
      </c>
      <c r="F4" s="12"/>
      <c r="G4" s="13" t="s">
        <v>6</v>
      </c>
      <c r="H4" s="14" t="s">
        <v>7</v>
      </c>
      <c r="I4" s="14" t="s">
        <v>8</v>
      </c>
      <c r="J4" s="15">
        <f>O20</f>
        <v>1762.8</v>
      </c>
      <c r="L4" s="16"/>
      <c r="M4" s="16"/>
      <c r="N4" s="3"/>
      <c r="O4" s="17"/>
      <c r="P4" s="1"/>
      <c r="Q4" s="1"/>
      <c r="R4" s="1"/>
    </row>
    <row r="5" spans="2:19" x14ac:dyDescent="0.2">
      <c r="B5" s="166" t="s">
        <v>9</v>
      </c>
      <c r="C5" s="167">
        <v>32198</v>
      </c>
      <c r="D5" s="167">
        <v>32198</v>
      </c>
      <c r="E5" s="168" t="s">
        <v>10</v>
      </c>
      <c r="F5" s="19"/>
      <c r="G5" s="20" t="s">
        <v>11</v>
      </c>
      <c r="H5" s="21" t="s">
        <v>12</v>
      </c>
      <c r="I5" s="10" t="s">
        <v>13</v>
      </c>
      <c r="J5" s="22" t="s">
        <v>14</v>
      </c>
      <c r="L5" s="16"/>
      <c r="M5" s="3"/>
      <c r="N5" s="12"/>
      <c r="O5" s="23"/>
      <c r="P5" s="1"/>
      <c r="Q5" s="1"/>
      <c r="R5" s="1"/>
    </row>
    <row r="6" spans="2:19" x14ac:dyDescent="0.2">
      <c r="B6" s="186" t="s">
        <v>15</v>
      </c>
      <c r="C6" s="187"/>
      <c r="D6" s="169"/>
      <c r="E6" s="170"/>
      <c r="F6" s="19"/>
      <c r="G6" s="18" t="str">
        <f>B5</f>
        <v>Direct Care Staff</v>
      </c>
      <c r="H6" s="24">
        <f>D5</f>
        <v>32198</v>
      </c>
      <c r="I6" s="25">
        <f>C9</f>
        <v>1</v>
      </c>
      <c r="J6" s="26">
        <f>H6*I6</f>
        <v>32198</v>
      </c>
      <c r="L6" s="3"/>
      <c r="M6" s="27"/>
      <c r="N6" s="28"/>
      <c r="O6" s="23"/>
      <c r="P6" s="1"/>
      <c r="Q6" s="1"/>
      <c r="R6" s="1"/>
    </row>
    <row r="7" spans="2:19" x14ac:dyDescent="0.2">
      <c r="B7" s="171" t="s">
        <v>16</v>
      </c>
      <c r="C7" s="172" t="s">
        <v>17</v>
      </c>
      <c r="D7" s="172"/>
      <c r="E7" s="168"/>
      <c r="F7" s="19"/>
      <c r="G7" s="30"/>
      <c r="H7" s="31"/>
      <c r="I7" s="32"/>
      <c r="J7" s="33"/>
      <c r="L7" s="3"/>
      <c r="M7" s="27"/>
      <c r="N7" s="28"/>
      <c r="O7" s="34"/>
      <c r="P7" s="1"/>
      <c r="Q7" s="1"/>
      <c r="R7" s="1"/>
    </row>
    <row r="8" spans="2:19" x14ac:dyDescent="0.2">
      <c r="B8" s="166" t="s">
        <v>18</v>
      </c>
      <c r="C8" s="173">
        <v>0.45000072668405428</v>
      </c>
      <c r="D8" s="173"/>
      <c r="E8" s="168" t="s">
        <v>19</v>
      </c>
      <c r="F8" s="19"/>
      <c r="G8" s="35" t="s">
        <v>20</v>
      </c>
      <c r="H8" s="36">
        <f>D20</f>
        <v>0.22309999999999999</v>
      </c>
      <c r="I8" s="37"/>
      <c r="J8" s="38">
        <f>J6*H8</f>
        <v>7183.3737999999994</v>
      </c>
      <c r="L8" s="3"/>
      <c r="M8" s="27"/>
      <c r="N8" s="28"/>
      <c r="O8" s="23"/>
      <c r="P8" s="1"/>
      <c r="Q8" s="1"/>
      <c r="R8" s="1"/>
    </row>
    <row r="9" spans="2:19" x14ac:dyDescent="0.2">
      <c r="B9" s="166" t="s">
        <v>21</v>
      </c>
      <c r="C9" s="173">
        <v>1</v>
      </c>
      <c r="D9" s="173"/>
      <c r="E9" s="168" t="s">
        <v>19</v>
      </c>
      <c r="F9" s="19"/>
      <c r="G9" s="18"/>
      <c r="H9" s="39"/>
      <c r="I9" s="3"/>
      <c r="J9" s="40"/>
      <c r="L9" s="16"/>
      <c r="M9" s="16"/>
      <c r="N9" s="16"/>
      <c r="O9" s="41"/>
      <c r="P9" s="1"/>
      <c r="Q9" s="1"/>
    </row>
    <row r="10" spans="2:19" ht="13.5" thickBot="1" x14ac:dyDescent="0.25">
      <c r="B10" s="171" t="s">
        <v>22</v>
      </c>
      <c r="C10" s="174" t="s">
        <v>17</v>
      </c>
      <c r="D10" s="174"/>
      <c r="E10" s="168"/>
      <c r="F10" s="19"/>
      <c r="G10" s="42" t="s">
        <v>23</v>
      </c>
      <c r="H10" s="43"/>
      <c r="I10" s="44"/>
      <c r="J10" s="45">
        <f>SUM(J6:J9)</f>
        <v>39381.373800000001</v>
      </c>
      <c r="L10" s="3"/>
      <c r="M10" s="3"/>
      <c r="N10" s="46"/>
      <c r="O10" s="17"/>
      <c r="P10" s="1"/>
      <c r="Q10" s="1"/>
    </row>
    <row r="11" spans="2:19" ht="14.25" thickTop="1" thickBot="1" x14ac:dyDescent="0.25">
      <c r="B11" s="166" t="s">
        <v>24</v>
      </c>
      <c r="C11" s="175">
        <v>5.8854795558047094E-3</v>
      </c>
      <c r="D11" s="175"/>
      <c r="E11" s="168" t="s">
        <v>25</v>
      </c>
      <c r="F11" s="19"/>
      <c r="G11" s="47" t="s">
        <v>26</v>
      </c>
      <c r="H11" s="48">
        <f>D24</f>
        <v>3.7000000000000002E-3</v>
      </c>
      <c r="I11" s="3"/>
      <c r="J11" s="26">
        <f>H11*J6</f>
        <v>119.13260000000001</v>
      </c>
      <c r="L11" s="3"/>
      <c r="M11" s="3"/>
      <c r="N11" s="27"/>
      <c r="O11" s="49"/>
      <c r="P11" s="3"/>
      <c r="Q11" s="3"/>
      <c r="R11" s="49"/>
    </row>
    <row r="12" spans="2:19" ht="13.5" thickBot="1" x14ac:dyDescent="0.25">
      <c r="B12" s="166" t="s">
        <v>27</v>
      </c>
      <c r="C12" s="175">
        <v>1.2619999999999999E-2</v>
      </c>
      <c r="D12" s="175"/>
      <c r="E12" s="168" t="s">
        <v>25</v>
      </c>
      <c r="F12" s="19"/>
      <c r="G12" s="18" t="str">
        <f>B21</f>
        <v>Occupancy per FTE</v>
      </c>
      <c r="H12" s="39"/>
      <c r="I12" s="3"/>
      <c r="J12" s="26">
        <f>C21</f>
        <v>7574.5131389400003</v>
      </c>
      <c r="L12" s="50" t="s">
        <v>28</v>
      </c>
      <c r="M12" s="51"/>
      <c r="N12" s="52" t="s">
        <v>29</v>
      </c>
      <c r="O12" s="53">
        <v>40</v>
      </c>
      <c r="P12" s="49"/>
      <c r="Q12" s="49"/>
      <c r="R12" s="49"/>
      <c r="S12" s="3"/>
    </row>
    <row r="13" spans="2:19" x14ac:dyDescent="0.2">
      <c r="B13" s="166" t="s">
        <v>30</v>
      </c>
      <c r="C13" s="175">
        <v>1.2578494151025212E-2</v>
      </c>
      <c r="D13" s="175"/>
      <c r="E13" s="168" t="s">
        <v>25</v>
      </c>
      <c r="F13" s="19"/>
      <c r="G13" s="18" t="str">
        <f>B22</f>
        <v>Other Program Expenses per FTE</v>
      </c>
      <c r="H13" s="39"/>
      <c r="I13" s="3"/>
      <c r="J13" s="26">
        <f>C22</f>
        <v>9778.8288444600003</v>
      </c>
      <c r="L13" s="54" t="s">
        <v>31</v>
      </c>
      <c r="M13" s="55"/>
      <c r="N13" s="56"/>
      <c r="O13" s="57">
        <f>O12*52</f>
        <v>2080</v>
      </c>
      <c r="P13" s="49"/>
      <c r="Q13" s="49"/>
      <c r="R13" s="49"/>
      <c r="S13" s="3"/>
    </row>
    <row r="14" spans="2:19" x14ac:dyDescent="0.2">
      <c r="B14" s="166" t="s">
        <v>32</v>
      </c>
      <c r="C14" s="175">
        <v>3.4450000000000001E-2</v>
      </c>
      <c r="D14" s="175"/>
      <c r="E14" s="168" t="s">
        <v>25</v>
      </c>
      <c r="F14" s="19"/>
      <c r="G14" s="18" t="str">
        <f>B23</f>
        <v>Direct Admin. Expense per FTE</v>
      </c>
      <c r="H14" s="39"/>
      <c r="I14" s="3"/>
      <c r="J14" s="26">
        <f>C23</f>
        <v>2557.3346080800002</v>
      </c>
      <c r="L14" s="58" t="s">
        <v>33</v>
      </c>
      <c r="M14" s="3"/>
      <c r="N14" s="12" t="s">
        <v>34</v>
      </c>
      <c r="O14" s="59" t="s">
        <v>35</v>
      </c>
      <c r="P14" s="49"/>
      <c r="Q14" s="49"/>
      <c r="R14" s="49"/>
      <c r="S14" s="3"/>
    </row>
    <row r="15" spans="2:19" x14ac:dyDescent="0.2">
      <c r="B15" s="166" t="s">
        <v>36</v>
      </c>
      <c r="C15" s="175">
        <v>2.1450909613492445E-2</v>
      </c>
      <c r="D15" s="175"/>
      <c r="E15" s="168" t="s">
        <v>25</v>
      </c>
      <c r="F15" s="19"/>
      <c r="G15" s="18"/>
      <c r="H15" s="39"/>
      <c r="I15" s="3"/>
      <c r="J15" s="40"/>
      <c r="L15" s="60"/>
      <c r="M15" s="27" t="s">
        <v>37</v>
      </c>
      <c r="N15" s="28">
        <v>15</v>
      </c>
      <c r="O15" s="61">
        <f>N15*8</f>
        <v>120</v>
      </c>
      <c r="P15" s="62"/>
      <c r="Q15" s="49"/>
      <c r="R15" s="49"/>
      <c r="S15" s="3"/>
    </row>
    <row r="16" spans="2:19" ht="13.5" thickBot="1" x14ac:dyDescent="0.25">
      <c r="B16" s="166" t="s">
        <v>38</v>
      </c>
      <c r="C16" s="175">
        <v>6.9445000000000007E-2</v>
      </c>
      <c r="D16" s="175"/>
      <c r="E16" s="168" t="s">
        <v>25</v>
      </c>
      <c r="F16" s="19"/>
      <c r="G16" s="42" t="s">
        <v>39</v>
      </c>
      <c r="H16" s="63"/>
      <c r="I16" s="64"/>
      <c r="J16" s="45">
        <f>SUM(J10:J15)</f>
        <v>59411.182991479989</v>
      </c>
      <c r="L16" s="60"/>
      <c r="M16" s="27" t="s">
        <v>40</v>
      </c>
      <c r="N16" s="28">
        <v>8</v>
      </c>
      <c r="O16" s="65">
        <f>N16*8</f>
        <v>64</v>
      </c>
      <c r="P16" s="49"/>
      <c r="Q16" s="49"/>
      <c r="R16" s="49"/>
      <c r="S16" s="3"/>
    </row>
    <row r="17" spans="2:21" ht="13.5" thickTop="1" x14ac:dyDescent="0.2">
      <c r="B17" s="166" t="s">
        <v>41</v>
      </c>
      <c r="C17" s="175">
        <v>7.7714736706283359E-3</v>
      </c>
      <c r="D17" s="175"/>
      <c r="E17" s="168" t="s">
        <v>25</v>
      </c>
      <c r="F17" s="19"/>
      <c r="G17" s="18" t="str">
        <f>B25</f>
        <v>Admin Allocation</v>
      </c>
      <c r="H17" s="48">
        <f>C25</f>
        <v>0.1451957754756632</v>
      </c>
      <c r="I17" s="3"/>
      <c r="J17" s="26">
        <f>H17*J16</f>
        <v>8626.252786374469</v>
      </c>
      <c r="L17" s="60"/>
      <c r="M17" s="27" t="s">
        <v>42</v>
      </c>
      <c r="N17" s="28">
        <v>10</v>
      </c>
      <c r="O17" s="61">
        <f>N17*8</f>
        <v>80</v>
      </c>
      <c r="P17" s="49"/>
      <c r="Q17" s="49"/>
      <c r="R17" s="49"/>
      <c r="S17" s="3"/>
    </row>
    <row r="18" spans="2:21" ht="13.5" thickBot="1" x14ac:dyDescent="0.25">
      <c r="B18" s="166" t="s">
        <v>41</v>
      </c>
      <c r="C18" s="175">
        <v>2.4794544101729609E-2</v>
      </c>
      <c r="D18" s="175"/>
      <c r="E18" s="168" t="s">
        <v>25</v>
      </c>
      <c r="F18" s="19"/>
      <c r="G18" s="66"/>
      <c r="H18" s="67"/>
      <c r="I18" s="68"/>
      <c r="J18" s="69"/>
      <c r="L18" s="70"/>
      <c r="M18" s="71" t="s">
        <v>43</v>
      </c>
      <c r="N18" s="72">
        <v>6.65</v>
      </c>
      <c r="O18" s="73">
        <f>N18*8</f>
        <v>53.2</v>
      </c>
      <c r="P18" s="49"/>
      <c r="Q18" s="49"/>
      <c r="R18" s="49"/>
      <c r="S18" s="3"/>
    </row>
    <row r="19" spans="2:21" ht="14.25" thickTop="1" thickBot="1" x14ac:dyDescent="0.25">
      <c r="B19" s="186" t="s">
        <v>44</v>
      </c>
      <c r="C19" s="187"/>
      <c r="D19" s="169"/>
      <c r="E19" s="170"/>
      <c r="F19" s="19"/>
      <c r="G19" s="74" t="s">
        <v>45</v>
      </c>
      <c r="H19" s="39"/>
      <c r="I19" s="3"/>
      <c r="J19" s="75">
        <f>J16+J17</f>
        <v>68037.435777854465</v>
      </c>
      <c r="K19" s="3"/>
      <c r="L19" s="76"/>
      <c r="M19" s="77" t="s">
        <v>46</v>
      </c>
      <c r="N19" s="77"/>
      <c r="O19" s="78">
        <f>SUM(O15:O18)</f>
        <v>317.2</v>
      </c>
      <c r="P19" s="79"/>
      <c r="Q19" s="79"/>
      <c r="R19" s="79"/>
      <c r="S19" s="79"/>
      <c r="T19" s="79"/>
      <c r="U19" s="79"/>
    </row>
    <row r="20" spans="2:21" ht="13.5" thickBot="1" x14ac:dyDescent="0.25">
      <c r="B20" s="166" t="s">
        <v>47</v>
      </c>
      <c r="C20" s="176">
        <v>0.22309999999999999</v>
      </c>
      <c r="D20" s="176">
        <v>0.22309999999999999</v>
      </c>
      <c r="E20" s="168" t="s">
        <v>48</v>
      </c>
      <c r="F20" s="19"/>
      <c r="G20" s="18" t="s">
        <v>49</v>
      </c>
      <c r="H20" s="48">
        <f>C26</f>
        <v>1.7780248869661817E-2</v>
      </c>
      <c r="I20" s="3"/>
      <c r="J20" s="26">
        <f>(H20*J19)-(J6*H20)</f>
        <v>637.2340874785142</v>
      </c>
      <c r="K20" s="3"/>
      <c r="L20" s="80"/>
      <c r="M20" s="81"/>
      <c r="N20" s="82" t="s">
        <v>50</v>
      </c>
      <c r="O20" s="83">
        <f>O13-O19</f>
        <v>1762.8</v>
      </c>
    </row>
    <row r="21" spans="2:21" ht="13.5" thickBot="1" x14ac:dyDescent="0.25">
      <c r="B21" s="166" t="s">
        <v>51</v>
      </c>
      <c r="C21" s="167">
        <f>7381*(2.621774%+1)</f>
        <v>7574.5131389400003</v>
      </c>
      <c r="D21" s="167"/>
      <c r="E21" s="168" t="s">
        <v>52</v>
      </c>
      <c r="F21" s="19"/>
      <c r="G21" s="84" t="s">
        <v>53</v>
      </c>
      <c r="H21" s="85"/>
      <c r="I21" s="86"/>
      <c r="J21" s="87">
        <f>J19+J20</f>
        <v>68674.66986533298</v>
      </c>
      <c r="K21" s="3"/>
      <c r="L21" s="3"/>
      <c r="M21" s="88"/>
    </row>
    <row r="22" spans="2:21" ht="13.5" thickBot="1" x14ac:dyDescent="0.25">
      <c r="B22" s="166" t="s">
        <v>54</v>
      </c>
      <c r="C22" s="167">
        <f>9529*(2.621774%+1)</f>
        <v>9778.8288444600003</v>
      </c>
      <c r="D22" s="167"/>
      <c r="E22" s="168" t="s">
        <v>55</v>
      </c>
      <c r="F22" s="19"/>
      <c r="G22" s="29" t="s">
        <v>56</v>
      </c>
      <c r="H22" s="48"/>
      <c r="I22" s="12"/>
      <c r="J22" s="26"/>
      <c r="K22" s="3"/>
    </row>
    <row r="23" spans="2:21" ht="13.5" thickBot="1" x14ac:dyDescent="0.25">
      <c r="B23" s="166" t="s">
        <v>57</v>
      </c>
      <c r="C23" s="167">
        <f>2492*(2.621774%+1)</f>
        <v>2557.3346080800002</v>
      </c>
      <c r="D23" s="167"/>
      <c r="E23" s="168" t="s">
        <v>52</v>
      </c>
      <c r="F23" s="19"/>
      <c r="G23" s="89" t="s">
        <v>58</v>
      </c>
      <c r="H23" s="39"/>
      <c r="I23" s="25"/>
      <c r="J23" s="90">
        <f>J21/J4</f>
        <v>38.957720595264909</v>
      </c>
      <c r="K23" s="3"/>
      <c r="L23" s="3"/>
      <c r="M23" s="91"/>
      <c r="N23" s="92"/>
      <c r="O23" s="62"/>
      <c r="P23" s="93"/>
      <c r="R23" s="1"/>
    </row>
    <row r="24" spans="2:21" ht="13.5" thickBot="1" x14ac:dyDescent="0.25">
      <c r="B24" s="177" t="s">
        <v>26</v>
      </c>
      <c r="C24" s="178">
        <v>3.7000000000000002E-3</v>
      </c>
      <c r="D24" s="179">
        <v>3.7000000000000002E-3</v>
      </c>
      <c r="E24" s="180" t="s">
        <v>59</v>
      </c>
      <c r="F24" s="19"/>
      <c r="G24" s="94" t="s">
        <v>60</v>
      </c>
      <c r="H24" s="95"/>
      <c r="I24" s="96"/>
      <c r="J24" s="97">
        <f>C8*J23+0.03</f>
        <v>17.561002577823558</v>
      </c>
      <c r="K24" s="3"/>
      <c r="L24" s="3"/>
      <c r="M24" s="91"/>
      <c r="N24" s="92"/>
      <c r="O24" s="3"/>
      <c r="P24" s="93"/>
      <c r="R24" s="1"/>
    </row>
    <row r="25" spans="2:21" ht="13.5" thickBot="1" x14ac:dyDescent="0.25">
      <c r="B25" s="166" t="s">
        <v>61</v>
      </c>
      <c r="C25" s="176">
        <f>'[2]FY16 UFR Analysis'!O112</f>
        <v>0.1451957754756632</v>
      </c>
      <c r="D25" s="176"/>
      <c r="E25" s="168" t="s">
        <v>52</v>
      </c>
      <c r="F25" s="19"/>
      <c r="G25" s="98" t="s">
        <v>62</v>
      </c>
      <c r="H25" s="99"/>
      <c r="I25" s="100"/>
      <c r="J25" s="101"/>
      <c r="L25" s="3"/>
      <c r="M25" s="91"/>
      <c r="N25" s="92"/>
      <c r="O25" s="3"/>
      <c r="R25" s="1"/>
    </row>
    <row r="26" spans="2:21" ht="13.5" thickBot="1" x14ac:dyDescent="0.25">
      <c r="B26" s="181" t="s">
        <v>63</v>
      </c>
      <c r="C26" s="182">
        <f>'[2]CAF Fall 2019'!BT30</f>
        <v>1.7780248869661817E-2</v>
      </c>
      <c r="D26" s="182"/>
      <c r="E26" s="102" t="s">
        <v>64</v>
      </c>
      <c r="F26" s="3"/>
      <c r="G26" s="103" t="s">
        <v>65</v>
      </c>
      <c r="H26" s="3"/>
      <c r="I26" s="104"/>
      <c r="J26" s="105">
        <f>C11*($J$21)</f>
        <v>404.18336549405501</v>
      </c>
      <c r="K26" s="3"/>
      <c r="L26" s="88"/>
      <c r="M26" s="106"/>
      <c r="N26" s="92"/>
      <c r="O26" s="3"/>
      <c r="P26" s="3"/>
      <c r="Q26" s="3"/>
      <c r="R26" s="3"/>
      <c r="S26" s="3"/>
      <c r="T26" s="3"/>
      <c r="U26" s="3"/>
    </row>
    <row r="27" spans="2:21" ht="13.5" thickBot="1" x14ac:dyDescent="0.25">
      <c r="B27" s="3"/>
      <c r="C27" s="3"/>
      <c r="D27" s="3"/>
      <c r="E27" s="3"/>
      <c r="F27" s="3"/>
      <c r="G27" s="103" t="s">
        <v>66</v>
      </c>
      <c r="H27" s="3"/>
      <c r="I27" s="104"/>
      <c r="J27" s="105">
        <f t="shared" ref="J27:J32" si="0">C12*($J$21)</f>
        <v>866.67433370050219</v>
      </c>
      <c r="K27" s="3"/>
      <c r="L27" s="107"/>
      <c r="M27" s="106"/>
      <c r="N27" s="92"/>
      <c r="O27" s="49"/>
      <c r="P27" s="3"/>
      <c r="Q27" s="3"/>
      <c r="R27" s="3"/>
      <c r="S27" s="3"/>
      <c r="T27" s="3"/>
      <c r="U27" s="3"/>
    </row>
    <row r="28" spans="2:21" ht="13.5" thickBot="1" x14ac:dyDescent="0.25">
      <c r="B28" s="108"/>
      <c r="C28" s="3"/>
      <c r="D28" s="3"/>
      <c r="E28" s="3"/>
      <c r="F28" s="3"/>
      <c r="G28" s="103" t="s">
        <v>67</v>
      </c>
      <c r="H28" s="3"/>
      <c r="I28" s="104"/>
      <c r="J28" s="105">
        <f t="shared" si="0"/>
        <v>863.82393322467829</v>
      </c>
      <c r="K28" s="3"/>
      <c r="L28" s="3"/>
      <c r="M28" s="106"/>
      <c r="N28" s="92"/>
      <c r="O28" s="3"/>
      <c r="P28" s="3"/>
      <c r="Q28" s="3"/>
      <c r="R28" s="3"/>
      <c r="S28" s="3"/>
      <c r="T28" s="3"/>
      <c r="U28" s="3"/>
    </row>
    <row r="29" spans="2:21" ht="13.5" thickBot="1" x14ac:dyDescent="0.25">
      <c r="B29" s="108" t="s">
        <v>68</v>
      </c>
      <c r="C29" s="3"/>
      <c r="D29" s="3"/>
      <c r="E29" s="3"/>
      <c r="F29" s="3"/>
      <c r="G29" s="103" t="s">
        <v>69</v>
      </c>
      <c r="H29" s="3"/>
      <c r="I29" s="104"/>
      <c r="J29" s="105">
        <f t="shared" si="0"/>
        <v>2365.8423768607213</v>
      </c>
      <c r="K29" s="3"/>
      <c r="M29" s="106"/>
      <c r="N29" s="92"/>
      <c r="O29" s="3"/>
      <c r="P29" s="3"/>
      <c r="Q29" s="3"/>
      <c r="R29" s="3"/>
      <c r="S29" s="3"/>
      <c r="T29" s="3"/>
      <c r="U29" s="3"/>
    </row>
    <row r="30" spans="2:21" ht="13.5" thickBot="1" x14ac:dyDescent="0.25">
      <c r="B30" s="109"/>
      <c r="C30" s="3"/>
      <c r="D30" s="3"/>
      <c r="E30" s="3"/>
      <c r="F30" s="3"/>
      <c r="G30" s="103" t="s">
        <v>70</v>
      </c>
      <c r="H30" s="3"/>
      <c r="I30" s="104"/>
      <c r="J30" s="105">
        <f t="shared" si="0"/>
        <v>1473.1341360176912</v>
      </c>
      <c r="K30" s="3"/>
      <c r="L30" s="110"/>
      <c r="M30" s="106"/>
      <c r="N30" s="92"/>
      <c r="O30" s="3"/>
      <c r="P30" s="3"/>
      <c r="Q30" s="3"/>
      <c r="R30" s="3"/>
      <c r="S30" s="3"/>
      <c r="T30" s="3"/>
      <c r="U30" s="3"/>
    </row>
    <row r="31" spans="2:21" ht="13.5" thickBot="1" x14ac:dyDescent="0.25">
      <c r="B31" s="111"/>
      <c r="C31" s="3"/>
      <c r="D31" s="3"/>
      <c r="E31" s="3"/>
      <c r="F31" s="3"/>
      <c r="G31" s="103" t="s">
        <v>71</v>
      </c>
      <c r="H31" s="3"/>
      <c r="I31" s="104"/>
      <c r="J31" s="105">
        <f t="shared" si="0"/>
        <v>4769.1124487980496</v>
      </c>
      <c r="K31" s="3"/>
      <c r="M31" s="106"/>
      <c r="N31" s="92"/>
      <c r="O31" s="3"/>
      <c r="P31" s="3"/>
      <c r="Q31" s="3"/>
      <c r="R31" s="3"/>
      <c r="S31" s="3"/>
      <c r="T31" s="3"/>
      <c r="U31" s="3"/>
    </row>
    <row r="32" spans="2:21" ht="13.5" thickBot="1" x14ac:dyDescent="0.25">
      <c r="B32" s="111"/>
      <c r="C32" s="3"/>
      <c r="D32" s="3"/>
      <c r="E32" s="3"/>
      <c r="F32" s="3"/>
      <c r="G32" s="103" t="s">
        <v>72</v>
      </c>
      <c r="H32" s="3"/>
      <c r="I32" s="104"/>
      <c r="J32" s="105">
        <f t="shared" si="0"/>
        <v>533.70338869752845</v>
      </c>
      <c r="M32" s="106"/>
      <c r="N32" s="92"/>
      <c r="O32" s="3"/>
      <c r="P32" s="3"/>
      <c r="Q32" s="3"/>
      <c r="R32" s="3"/>
      <c r="S32" s="3"/>
      <c r="T32" s="3"/>
      <c r="U32" s="3"/>
    </row>
    <row r="33" spans="2:21" ht="13.5" thickBot="1" x14ac:dyDescent="0.25">
      <c r="B33" s="111"/>
      <c r="C33" s="3"/>
      <c r="D33" s="3"/>
      <c r="E33" s="3"/>
      <c r="F33" s="3"/>
      <c r="G33" s="112" t="s">
        <v>72</v>
      </c>
      <c r="H33" s="113"/>
      <c r="I33" s="114"/>
      <c r="J33" s="105">
        <f>C18*($J$21)</f>
        <v>1702.75713064772</v>
      </c>
      <c r="M33" s="106"/>
      <c r="N33" s="92"/>
      <c r="P33" s="3"/>
      <c r="Q33" s="3"/>
      <c r="R33" s="3"/>
      <c r="S33" s="3"/>
      <c r="T33" s="3"/>
      <c r="U33" s="3"/>
    </row>
    <row r="34" spans="2:21" x14ac:dyDescent="0.2">
      <c r="B34" s="115"/>
      <c r="C34" s="3"/>
      <c r="D34" s="3"/>
      <c r="E34" s="3"/>
      <c r="F34" s="3"/>
      <c r="P34" s="3"/>
      <c r="Q34" s="3"/>
      <c r="R34" s="3"/>
      <c r="S34" s="3"/>
      <c r="T34" s="3"/>
      <c r="U34" s="3"/>
    </row>
    <row r="35" spans="2:21" ht="12.75" customHeight="1" x14ac:dyDescent="0.2">
      <c r="B35" s="3"/>
      <c r="C35" s="3"/>
      <c r="D35" s="3"/>
      <c r="E35" s="3"/>
      <c r="P35" s="3"/>
      <c r="Q35" s="3"/>
      <c r="R35" s="3"/>
      <c r="S35" s="3"/>
      <c r="T35" s="3"/>
      <c r="U35" s="3"/>
    </row>
    <row r="36" spans="2:21" ht="12.75" customHeight="1" x14ac:dyDescent="0.2">
      <c r="P36" s="1"/>
      <c r="Q36" s="1"/>
    </row>
    <row r="37" spans="2:21" x14ac:dyDescent="0.2">
      <c r="P37" s="1"/>
      <c r="Q37" s="1"/>
    </row>
    <row r="38" spans="2:21" x14ac:dyDescent="0.2">
      <c r="P38" s="1"/>
      <c r="Q38" s="1"/>
    </row>
    <row r="39" spans="2:21" x14ac:dyDescent="0.2">
      <c r="B39" s="116"/>
      <c r="C39" s="117"/>
      <c r="D39" s="117"/>
    </row>
    <row r="40" spans="2:21" x14ac:dyDescent="0.2">
      <c r="C40" s="117"/>
      <c r="D40" s="117"/>
    </row>
    <row r="41" spans="2:21" x14ac:dyDescent="0.2">
      <c r="C41" s="117"/>
      <c r="D41" s="117"/>
    </row>
    <row r="42" spans="2:21" x14ac:dyDescent="0.2">
      <c r="C42" s="117"/>
      <c r="D42" s="117"/>
    </row>
    <row r="43" spans="2:21" x14ac:dyDescent="0.2">
      <c r="C43" s="117"/>
      <c r="D43" s="117"/>
    </row>
    <row r="44" spans="2:21" x14ac:dyDescent="0.2">
      <c r="C44" s="117"/>
      <c r="D44" s="117"/>
      <c r="O44" s="4"/>
      <c r="R44" s="1"/>
    </row>
    <row r="45" spans="2:21" x14ac:dyDescent="0.2">
      <c r="C45" s="117"/>
      <c r="D45" s="117"/>
      <c r="O45" s="4"/>
      <c r="R45" s="1"/>
    </row>
    <row r="46" spans="2:21" x14ac:dyDescent="0.2">
      <c r="C46" s="117"/>
      <c r="D46" s="117"/>
      <c r="O46" s="4"/>
      <c r="R46" s="1"/>
    </row>
    <row r="47" spans="2:21" x14ac:dyDescent="0.2">
      <c r="O47" s="4"/>
      <c r="P47" s="1"/>
      <c r="Q47" s="1"/>
      <c r="R47" s="1"/>
    </row>
    <row r="48" spans="2:21" x14ac:dyDescent="0.2">
      <c r="O48" s="4"/>
      <c r="P48" s="1"/>
      <c r="Q48" s="1"/>
      <c r="R48" s="1"/>
    </row>
    <row r="49" spans="14:22" x14ac:dyDescent="0.2">
      <c r="O49" s="4"/>
      <c r="P49" s="1"/>
      <c r="Q49" s="1"/>
      <c r="R49" s="1"/>
    </row>
    <row r="50" spans="14:22" x14ac:dyDescent="0.2">
      <c r="N50" s="79"/>
      <c r="O50" s="79"/>
      <c r="P50" s="1"/>
      <c r="Q50" s="1"/>
      <c r="R50" s="79">
        <v>2317.2020454186554</v>
      </c>
    </row>
    <row r="51" spans="14:22" x14ac:dyDescent="0.2">
      <c r="O51" s="4"/>
      <c r="P51" s="1"/>
      <c r="Q51" s="1"/>
      <c r="R51" s="1"/>
    </row>
    <row r="52" spans="14:22" x14ac:dyDescent="0.2">
      <c r="P52" s="1"/>
      <c r="Q52" s="1"/>
    </row>
    <row r="53" spans="14:22" x14ac:dyDescent="0.2">
      <c r="P53" s="79">
        <v>2317.2020454186554</v>
      </c>
      <c r="Q53" s="79"/>
      <c r="S53" s="79">
        <v>1443.2862933526178</v>
      </c>
      <c r="T53" s="79">
        <v>4671.159263300533</v>
      </c>
      <c r="U53" s="79">
        <v>522.88978090297724</v>
      </c>
      <c r="V53" s="79">
        <v>1668.2567917513613</v>
      </c>
    </row>
    <row r="54" spans="14:22" x14ac:dyDescent="0.2">
      <c r="P54" s="1"/>
      <c r="Q54" s="1"/>
    </row>
    <row r="111" spans="8:8" x14ac:dyDescent="0.2">
      <c r="H111" s="1">
        <f>AVERAGE(H4:H109)</f>
        <v>6439.6779552048692</v>
      </c>
    </row>
  </sheetData>
  <mergeCells count="4">
    <mergeCell ref="B3:E3"/>
    <mergeCell ref="G3:J3"/>
    <mergeCell ref="B6:C6"/>
    <mergeCell ref="B19:C19"/>
  </mergeCells>
  <pageMargins left="0.25" right="0.25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32"/>
  <sheetViews>
    <sheetView tabSelected="1" topLeftCell="BH5" workbookViewId="0">
      <selection activeCell="BJ31" sqref="BI31:BJ31"/>
    </sheetView>
  </sheetViews>
  <sheetFormatPr defaultColWidth="9.140625" defaultRowHeight="12.75" x14ac:dyDescent="0.2"/>
  <cols>
    <col min="1" max="60" width="9.140625" style="120"/>
    <col min="61" max="61" width="14.140625" style="120" customWidth="1"/>
    <col min="62" max="65" width="9.140625" style="120"/>
    <col min="66" max="66" width="13.5703125" style="120" customWidth="1"/>
    <col min="67" max="67" width="11.28515625" style="120" customWidth="1"/>
    <col min="68" max="71" width="9.140625" style="120"/>
    <col min="72" max="72" width="10" style="120" bestFit="1" customWidth="1"/>
    <col min="73" max="16384" width="9.140625" style="120"/>
  </cols>
  <sheetData>
    <row r="1" spans="1:87" ht="18" x14ac:dyDescent="0.25">
      <c r="A1" s="118" t="s">
        <v>73</v>
      </c>
      <c r="B1" s="119"/>
    </row>
    <row r="2" spans="1:87" ht="15.75" x14ac:dyDescent="0.25">
      <c r="A2" s="121" t="s">
        <v>74</v>
      </c>
      <c r="B2" s="122"/>
    </row>
    <row r="3" spans="1:87" ht="15.75" thickBot="1" x14ac:dyDescent="0.3">
      <c r="A3" s="123" t="s">
        <v>75</v>
      </c>
      <c r="B3" s="124"/>
    </row>
    <row r="6" spans="1:87" x14ac:dyDescent="0.2">
      <c r="BI6" s="125" t="s">
        <v>76</v>
      </c>
      <c r="BJ6" s="125" t="s">
        <v>76</v>
      </c>
      <c r="BK6" s="125" t="s">
        <v>76</v>
      </c>
      <c r="BL6" s="125" t="s">
        <v>76</v>
      </c>
      <c r="BM6" s="126" t="s">
        <v>77</v>
      </c>
      <c r="BN6" s="126" t="s">
        <v>77</v>
      </c>
      <c r="BO6" s="126" t="s">
        <v>77</v>
      </c>
      <c r="BP6" s="126" t="s">
        <v>77</v>
      </c>
      <c r="BQ6" s="127" t="s">
        <v>78</v>
      </c>
      <c r="BR6" s="127" t="s">
        <v>78</v>
      </c>
      <c r="BS6" s="127" t="s">
        <v>78</v>
      </c>
      <c r="BT6" s="127" t="s">
        <v>78</v>
      </c>
      <c r="BU6" s="128" t="s">
        <v>79</v>
      </c>
      <c r="BV6" s="128" t="s">
        <v>79</v>
      </c>
      <c r="BW6" s="128" t="s">
        <v>79</v>
      </c>
      <c r="BX6" s="128" t="s">
        <v>79</v>
      </c>
      <c r="BY6" s="129" t="s">
        <v>80</v>
      </c>
      <c r="BZ6" s="129" t="s">
        <v>80</v>
      </c>
      <c r="CA6" s="129" t="s">
        <v>80</v>
      </c>
      <c r="CB6" s="129" t="s">
        <v>80</v>
      </c>
    </row>
    <row r="7" spans="1:87" x14ac:dyDescent="0.2">
      <c r="A7" s="130"/>
      <c r="B7" s="130" t="s">
        <v>81</v>
      </c>
      <c r="C7" s="131" t="s">
        <v>82</v>
      </c>
      <c r="D7" s="131" t="s">
        <v>83</v>
      </c>
      <c r="E7" s="131" t="s">
        <v>84</v>
      </c>
      <c r="F7" s="131" t="s">
        <v>85</v>
      </c>
      <c r="G7" s="131" t="s">
        <v>86</v>
      </c>
      <c r="H7" s="131" t="s">
        <v>87</v>
      </c>
      <c r="I7" s="131" t="s">
        <v>88</v>
      </c>
      <c r="J7" s="131" t="s">
        <v>89</v>
      </c>
      <c r="K7" s="131" t="s">
        <v>90</v>
      </c>
      <c r="L7" s="131" t="s">
        <v>91</v>
      </c>
      <c r="M7" s="131" t="s">
        <v>92</v>
      </c>
      <c r="N7" s="131" t="s">
        <v>93</v>
      </c>
      <c r="O7" s="131" t="s">
        <v>94</v>
      </c>
      <c r="P7" s="131" t="s">
        <v>95</v>
      </c>
      <c r="Q7" s="131" t="s">
        <v>96</v>
      </c>
      <c r="R7" s="131" t="s">
        <v>97</v>
      </c>
      <c r="S7" s="131" t="s">
        <v>98</v>
      </c>
      <c r="T7" s="131" t="s">
        <v>99</v>
      </c>
      <c r="U7" s="131" t="s">
        <v>100</v>
      </c>
      <c r="V7" s="131" t="s">
        <v>101</v>
      </c>
      <c r="W7" s="131" t="s">
        <v>102</v>
      </c>
      <c r="X7" s="131" t="s">
        <v>103</v>
      </c>
      <c r="Y7" s="131" t="s">
        <v>104</v>
      </c>
      <c r="Z7" s="131" t="s">
        <v>105</v>
      </c>
      <c r="AA7" s="131" t="s">
        <v>106</v>
      </c>
      <c r="AB7" s="131" t="s">
        <v>107</v>
      </c>
      <c r="AC7" s="131" t="s">
        <v>108</v>
      </c>
      <c r="AD7" s="131" t="s">
        <v>109</v>
      </c>
      <c r="AE7" s="131" t="s">
        <v>110</v>
      </c>
      <c r="AF7" s="131" t="s">
        <v>111</v>
      </c>
      <c r="AG7" s="131" t="s">
        <v>112</v>
      </c>
      <c r="AH7" s="131" t="s">
        <v>113</v>
      </c>
      <c r="AI7" s="131" t="s">
        <v>114</v>
      </c>
      <c r="AJ7" s="131" t="s">
        <v>115</v>
      </c>
      <c r="AK7" s="131" t="s">
        <v>116</v>
      </c>
      <c r="AL7" s="131" t="s">
        <v>117</v>
      </c>
      <c r="AM7" s="131" t="s">
        <v>118</v>
      </c>
      <c r="AN7" s="131" t="s">
        <v>119</v>
      </c>
      <c r="AO7" s="131" t="s">
        <v>120</v>
      </c>
      <c r="AP7" s="131" t="s">
        <v>121</v>
      </c>
      <c r="AQ7" s="131" t="s">
        <v>122</v>
      </c>
      <c r="AR7" s="131" t="s">
        <v>123</v>
      </c>
      <c r="AS7" s="131" t="s">
        <v>124</v>
      </c>
      <c r="AT7" s="131" t="s">
        <v>125</v>
      </c>
      <c r="AU7" s="130" t="s">
        <v>126</v>
      </c>
      <c r="AV7" s="130" t="s">
        <v>127</v>
      </c>
      <c r="AW7" s="130" t="s">
        <v>128</v>
      </c>
      <c r="AX7" s="130" t="s">
        <v>129</v>
      </c>
      <c r="AY7" s="130" t="s">
        <v>130</v>
      </c>
      <c r="AZ7" s="130" t="s">
        <v>131</v>
      </c>
      <c r="BA7" s="130" t="s">
        <v>132</v>
      </c>
      <c r="BB7" s="130" t="s">
        <v>133</v>
      </c>
      <c r="BC7" s="130" t="s">
        <v>134</v>
      </c>
      <c r="BD7" s="130" t="s">
        <v>135</v>
      </c>
      <c r="BE7" s="130" t="s">
        <v>136</v>
      </c>
      <c r="BF7" s="130" t="s">
        <v>137</v>
      </c>
      <c r="BG7" s="130" t="s">
        <v>138</v>
      </c>
      <c r="BH7" s="130" t="s">
        <v>139</v>
      </c>
      <c r="BI7" s="130" t="s">
        <v>140</v>
      </c>
      <c r="BJ7" s="130" t="s">
        <v>141</v>
      </c>
      <c r="BK7" s="130" t="s">
        <v>142</v>
      </c>
      <c r="BL7" s="130" t="s">
        <v>143</v>
      </c>
      <c r="BM7" s="130" t="s">
        <v>144</v>
      </c>
      <c r="BN7" s="130" t="s">
        <v>145</v>
      </c>
      <c r="BO7" s="130" t="s">
        <v>146</v>
      </c>
      <c r="BP7" s="132" t="s">
        <v>147</v>
      </c>
      <c r="BQ7" s="133" t="s">
        <v>148</v>
      </c>
      <c r="BR7" s="130" t="s">
        <v>149</v>
      </c>
      <c r="BS7" s="130" t="s">
        <v>150</v>
      </c>
      <c r="BT7" s="130" t="s">
        <v>151</v>
      </c>
      <c r="BU7" s="130" t="s">
        <v>152</v>
      </c>
      <c r="BV7" s="130" t="s">
        <v>153</v>
      </c>
      <c r="BW7" s="130" t="s">
        <v>154</v>
      </c>
      <c r="BX7" s="130" t="s">
        <v>155</v>
      </c>
      <c r="BY7" s="130" t="s">
        <v>156</v>
      </c>
      <c r="BZ7" s="130" t="s">
        <v>157</v>
      </c>
      <c r="CA7" s="130" t="s">
        <v>158</v>
      </c>
      <c r="CB7" s="130" t="s">
        <v>159</v>
      </c>
      <c r="CC7" s="130" t="s">
        <v>160</v>
      </c>
      <c r="CD7" s="130" t="s">
        <v>161</v>
      </c>
      <c r="CE7" s="130" t="s">
        <v>162</v>
      </c>
      <c r="CF7" s="130" t="s">
        <v>163</v>
      </c>
      <c r="CG7" s="130" t="s">
        <v>164</v>
      </c>
      <c r="CH7" s="130" t="s">
        <v>165</v>
      </c>
      <c r="CI7" s="130" t="s">
        <v>166</v>
      </c>
    </row>
    <row r="8" spans="1:87" x14ac:dyDescent="0.2">
      <c r="A8" s="130" t="s">
        <v>167</v>
      </c>
      <c r="B8" s="130" t="s">
        <v>168</v>
      </c>
      <c r="C8" s="134">
        <v>2.0343964480826999</v>
      </c>
      <c r="D8" s="134">
        <v>2.05943632395637</v>
      </c>
      <c r="E8" s="134">
        <v>2.0644664349199</v>
      </c>
      <c r="F8" s="134">
        <v>2.0865413060551998</v>
      </c>
      <c r="G8" s="134">
        <v>2.1041383265898301</v>
      </c>
      <c r="H8" s="134">
        <v>2.1144127778695201</v>
      </c>
      <c r="I8" s="134">
        <v>2.1507704710507598</v>
      </c>
      <c r="J8" s="134">
        <v>2.1697119451171401</v>
      </c>
      <c r="K8" s="134">
        <v>2.18694695083656</v>
      </c>
      <c r="L8" s="134">
        <v>2.2122122749579498</v>
      </c>
      <c r="M8" s="134">
        <v>2.23480678878395</v>
      </c>
      <c r="N8" s="134">
        <v>2.2202677130356299</v>
      </c>
      <c r="O8" s="134">
        <v>2.23175261179881</v>
      </c>
      <c r="P8" s="134">
        <v>2.2580164013091002</v>
      </c>
      <c r="Q8" s="134">
        <v>2.2753709772035502</v>
      </c>
      <c r="R8" s="134">
        <v>2.30194291888919</v>
      </c>
      <c r="S8" s="134">
        <v>2.3192533891099099</v>
      </c>
      <c r="T8" s="134">
        <v>2.3629433902934598</v>
      </c>
      <c r="U8" s="134">
        <v>2.4039288645996799</v>
      </c>
      <c r="V8" s="134">
        <v>2.3508177475344398</v>
      </c>
      <c r="W8" s="134">
        <v>2.3395569969345802</v>
      </c>
      <c r="X8" s="134">
        <v>2.34609570313232</v>
      </c>
      <c r="Y8" s="134">
        <v>2.3657863595331099</v>
      </c>
      <c r="Z8" s="134">
        <v>2.3805218237276899</v>
      </c>
      <c r="AA8" s="134">
        <v>2.3783358335942402</v>
      </c>
      <c r="AB8" s="134">
        <v>2.3830414859475502</v>
      </c>
      <c r="AC8" s="134">
        <v>2.3975323184108199</v>
      </c>
      <c r="AD8" s="134">
        <v>2.4214524193269198</v>
      </c>
      <c r="AE8" s="134">
        <v>2.4313760255508901</v>
      </c>
      <c r="AF8" s="134">
        <v>2.4766460484572002</v>
      </c>
      <c r="AG8" s="134">
        <v>2.4881988275326701</v>
      </c>
      <c r="AH8" s="134">
        <v>2.4967467306687299</v>
      </c>
      <c r="AI8" s="134">
        <v>2.5126682010265902</v>
      </c>
      <c r="AJ8" s="134">
        <v>2.5190165748075999</v>
      </c>
      <c r="AK8" s="134">
        <v>2.52926548445051</v>
      </c>
      <c r="AL8" s="134">
        <v>2.5498254535670202</v>
      </c>
      <c r="AM8" s="134">
        <v>2.5565788634062199</v>
      </c>
      <c r="AN8" s="134">
        <v>2.5541938570175202</v>
      </c>
      <c r="AO8" s="134">
        <v>2.5733736468802801</v>
      </c>
      <c r="AP8" s="134">
        <v>2.5879825683785702</v>
      </c>
      <c r="AQ8" s="134">
        <v>2.5968750678528201</v>
      </c>
      <c r="AR8" s="134">
        <v>2.60749339976029</v>
      </c>
      <c r="AS8" s="134">
        <v>2.61387953217735</v>
      </c>
      <c r="AT8" s="134">
        <v>2.6160583623265499</v>
      </c>
      <c r="AU8" s="120">
        <v>2.61118766519375</v>
      </c>
      <c r="AV8" s="120">
        <v>2.6220108220798601</v>
      </c>
      <c r="AW8" s="120">
        <v>2.6188417055922</v>
      </c>
      <c r="AX8" s="120">
        <v>2.6260990473395398</v>
      </c>
      <c r="AY8" s="120">
        <v>2.6201146582822998</v>
      </c>
      <c r="AZ8" s="120">
        <v>2.6412696718547601</v>
      </c>
      <c r="BA8" s="120">
        <v>2.6622794798761902</v>
      </c>
      <c r="BB8" s="120">
        <v>2.6769828092859602</v>
      </c>
      <c r="BC8" s="120">
        <v>2.69301979781623</v>
      </c>
      <c r="BD8" s="120">
        <v>2.6949351579636902</v>
      </c>
      <c r="BE8" s="120">
        <v>2.7072510455133001</v>
      </c>
      <c r="BF8" s="120">
        <v>2.7194666205217501</v>
      </c>
      <c r="BG8" s="120">
        <v>2.7583872583557998</v>
      </c>
      <c r="BH8" s="120">
        <v>2.7712174411052799</v>
      </c>
      <c r="BI8" s="120">
        <v>2.7767772539950299</v>
      </c>
      <c r="BJ8" s="120">
        <v>2.7900362938944698</v>
      </c>
      <c r="BK8" s="120">
        <v>2.79504989885013</v>
      </c>
      <c r="BL8" s="120">
        <v>2.8124753429938698</v>
      </c>
      <c r="BM8" s="120">
        <v>2.8258429652208199</v>
      </c>
      <c r="BN8" s="120">
        <v>2.84827109602332</v>
      </c>
      <c r="BO8" s="120">
        <v>2.8648096227990201</v>
      </c>
      <c r="BP8" s="120">
        <v>2.87366388911181</v>
      </c>
      <c r="BQ8" s="120">
        <v>2.8888357489521002</v>
      </c>
      <c r="BR8" s="120">
        <v>2.8975460997816902</v>
      </c>
      <c r="BS8" s="120">
        <v>2.9097169947994401</v>
      </c>
      <c r="BT8" s="120">
        <v>2.9296333194362298</v>
      </c>
      <c r="BU8" s="120">
        <v>2.94689616214067</v>
      </c>
      <c r="BV8" s="120">
        <v>2.9583483780456699</v>
      </c>
      <c r="BW8" s="120">
        <v>2.9813259042976701</v>
      </c>
      <c r="BX8" s="120">
        <v>3.0046912726057902</v>
      </c>
      <c r="BY8" s="120">
        <v>3.0255581522131298</v>
      </c>
      <c r="BZ8" s="120">
        <v>3.04587440346724</v>
      </c>
      <c r="CA8" s="120">
        <v>3.0658590818670399</v>
      </c>
      <c r="CB8" s="120">
        <v>3.0832941540272398</v>
      </c>
      <c r="CC8" s="120">
        <v>3.1029951080744298</v>
      </c>
      <c r="CD8" s="120">
        <v>3.1221931367125899</v>
      </c>
      <c r="CE8" s="120">
        <v>3.1400314557673501</v>
      </c>
      <c r="CF8" s="120">
        <v>3.1597078634776099</v>
      </c>
      <c r="CG8" s="120">
        <v>3.1784171022252501</v>
      </c>
      <c r="CH8" s="120">
        <v>3.1965028368224302</v>
      </c>
    </row>
    <row r="9" spans="1:87" x14ac:dyDescent="0.2">
      <c r="A9" s="130" t="s">
        <v>169</v>
      </c>
      <c r="B9" s="130" t="s">
        <v>170</v>
      </c>
      <c r="C9" s="134">
        <v>2.0343964480826999</v>
      </c>
      <c r="D9" s="134">
        <v>2.05943632395637</v>
      </c>
      <c r="E9" s="134">
        <v>2.0644664349199</v>
      </c>
      <c r="F9" s="134">
        <v>2.0865413060551998</v>
      </c>
      <c r="G9" s="134">
        <v>2.1041383265898301</v>
      </c>
      <c r="H9" s="134">
        <v>2.1144127778695201</v>
      </c>
      <c r="I9" s="134">
        <v>2.1507704710507598</v>
      </c>
      <c r="J9" s="134">
        <v>2.1697119451171401</v>
      </c>
      <c r="K9" s="134">
        <v>2.18694695083656</v>
      </c>
      <c r="L9" s="134">
        <v>2.2122122749579498</v>
      </c>
      <c r="M9" s="134">
        <v>2.23480678878395</v>
      </c>
      <c r="N9" s="134">
        <v>2.2202677130356299</v>
      </c>
      <c r="O9" s="134">
        <v>2.23175261179881</v>
      </c>
      <c r="P9" s="134">
        <v>2.2580164013091002</v>
      </c>
      <c r="Q9" s="134">
        <v>2.2753709772035502</v>
      </c>
      <c r="R9" s="134">
        <v>2.30194291888919</v>
      </c>
      <c r="S9" s="134">
        <v>2.3192533891099099</v>
      </c>
      <c r="T9" s="134">
        <v>2.3629433902934598</v>
      </c>
      <c r="U9" s="134">
        <v>2.4039288645996799</v>
      </c>
      <c r="V9" s="134">
        <v>2.3508177475344398</v>
      </c>
      <c r="W9" s="134">
        <v>2.3395569969345802</v>
      </c>
      <c r="X9" s="134">
        <v>2.34609570313232</v>
      </c>
      <c r="Y9" s="134">
        <v>2.3657863595331099</v>
      </c>
      <c r="Z9" s="134">
        <v>2.3805218237276899</v>
      </c>
      <c r="AA9" s="134">
        <v>2.3783358335942402</v>
      </c>
      <c r="AB9" s="134">
        <v>2.3830414859475502</v>
      </c>
      <c r="AC9" s="134">
        <v>2.3975323184108199</v>
      </c>
      <c r="AD9" s="134">
        <v>2.4214524193269198</v>
      </c>
      <c r="AE9" s="134">
        <v>2.4313760255508901</v>
      </c>
      <c r="AF9" s="134">
        <v>2.4766460484572002</v>
      </c>
      <c r="AG9" s="134">
        <v>2.4881988275326701</v>
      </c>
      <c r="AH9" s="134">
        <v>2.4967467306687299</v>
      </c>
      <c r="AI9" s="134">
        <v>2.5126682010265902</v>
      </c>
      <c r="AJ9" s="134">
        <v>2.5190165748075999</v>
      </c>
      <c r="AK9" s="134">
        <v>2.52926548445051</v>
      </c>
      <c r="AL9" s="134">
        <v>2.5498254535670202</v>
      </c>
      <c r="AM9" s="134">
        <v>2.5565788634062199</v>
      </c>
      <c r="AN9" s="134">
        <v>2.5541938570175202</v>
      </c>
      <c r="AO9" s="134">
        <v>2.5733736468802801</v>
      </c>
      <c r="AP9" s="134">
        <v>2.5879825683785702</v>
      </c>
      <c r="AQ9" s="134">
        <v>2.5968750678528201</v>
      </c>
      <c r="AR9" s="134">
        <v>2.60749339976029</v>
      </c>
      <c r="AS9" s="134">
        <v>2.61387953217735</v>
      </c>
      <c r="AT9" s="134">
        <v>2.6160583623265499</v>
      </c>
      <c r="AU9" s="120">
        <v>2.61118766519375</v>
      </c>
      <c r="AV9" s="120">
        <v>2.6220108220798601</v>
      </c>
      <c r="AW9" s="120">
        <v>2.6188417055922</v>
      </c>
      <c r="AX9" s="120">
        <v>2.6260990473395398</v>
      </c>
      <c r="AY9" s="120">
        <v>2.6201146582822998</v>
      </c>
      <c r="AZ9" s="120">
        <v>2.6412696718547601</v>
      </c>
      <c r="BA9" s="120">
        <v>2.6622794798761902</v>
      </c>
      <c r="BB9" s="120">
        <v>2.6769828092859602</v>
      </c>
      <c r="BC9" s="120">
        <v>2.69301979781623</v>
      </c>
      <c r="BD9" s="120">
        <v>2.6949351579636902</v>
      </c>
      <c r="BE9" s="120">
        <v>2.7072510455133001</v>
      </c>
      <c r="BF9" s="120">
        <v>2.7194666205217501</v>
      </c>
      <c r="BG9" s="120">
        <v>2.7583872583557998</v>
      </c>
      <c r="BH9" s="120">
        <v>2.7712174411052799</v>
      </c>
      <c r="BI9" s="120">
        <v>2.7767772539950299</v>
      </c>
      <c r="BJ9" s="120">
        <v>2.7900362938944698</v>
      </c>
      <c r="BK9" s="120">
        <v>2.79504989885013</v>
      </c>
      <c r="BL9" s="120">
        <v>2.8124753429938698</v>
      </c>
      <c r="BM9" s="120">
        <v>2.8258429652208199</v>
      </c>
      <c r="BN9" s="120">
        <v>2.84582069929911</v>
      </c>
      <c r="BO9" s="120">
        <v>2.86055636092141</v>
      </c>
      <c r="BP9" s="135">
        <v>2.86714152292299</v>
      </c>
      <c r="BQ9" s="136">
        <v>2.87979046783079</v>
      </c>
      <c r="BR9" s="120">
        <v>2.8862359962744399</v>
      </c>
      <c r="BS9" s="120">
        <v>2.8952255447313102</v>
      </c>
      <c r="BT9" s="120">
        <v>2.9114792295702099</v>
      </c>
      <c r="BU9" s="120">
        <v>2.92478764045907</v>
      </c>
      <c r="BV9" s="120">
        <v>2.9313520578905301</v>
      </c>
      <c r="BW9" s="120">
        <v>2.9488666202170299</v>
      </c>
      <c r="BX9" s="120">
        <v>2.9672225449874401</v>
      </c>
      <c r="BY9" s="120">
        <v>2.9827762298190601</v>
      </c>
      <c r="BZ9" s="120">
        <v>2.9973649977235501</v>
      </c>
      <c r="CA9" s="120">
        <v>3.01160898598325</v>
      </c>
      <c r="CB9" s="120">
        <v>3.0243751954104701</v>
      </c>
      <c r="CC9" s="120">
        <v>3.0393168799481201</v>
      </c>
      <c r="CD9" s="120">
        <v>3.0546372008786999</v>
      </c>
      <c r="CE9" s="120">
        <v>3.0677758980614298</v>
      </c>
      <c r="CF9" s="120">
        <v>3.08286200226184</v>
      </c>
      <c r="CG9" s="120">
        <v>3.09713585293321</v>
      </c>
      <c r="CH9" s="120">
        <v>3.1105686621575002</v>
      </c>
    </row>
    <row r="10" spans="1:87" x14ac:dyDescent="0.2">
      <c r="A10" s="130" t="s">
        <v>171</v>
      </c>
      <c r="B10" s="130" t="s">
        <v>172</v>
      </c>
      <c r="C10" s="134">
        <v>2.0343964480826999</v>
      </c>
      <c r="D10" s="134">
        <v>2.05943632395637</v>
      </c>
      <c r="E10" s="134">
        <v>2.0644664349199</v>
      </c>
      <c r="F10" s="134">
        <v>2.0865413060551998</v>
      </c>
      <c r="G10" s="134">
        <v>2.1041383265898301</v>
      </c>
      <c r="H10" s="134">
        <v>2.1144127778695201</v>
      </c>
      <c r="I10" s="134">
        <v>2.1507704710507598</v>
      </c>
      <c r="J10" s="134">
        <v>2.1697119451171401</v>
      </c>
      <c r="K10" s="134">
        <v>2.18694695083656</v>
      </c>
      <c r="L10" s="134">
        <v>2.2122122749579498</v>
      </c>
      <c r="M10" s="134">
        <v>2.23480678878395</v>
      </c>
      <c r="N10" s="134">
        <v>2.2202677130356299</v>
      </c>
      <c r="O10" s="134">
        <v>2.23175261179881</v>
      </c>
      <c r="P10" s="134">
        <v>2.2580164013091002</v>
      </c>
      <c r="Q10" s="134">
        <v>2.2753709772035502</v>
      </c>
      <c r="R10" s="134">
        <v>2.30194291888919</v>
      </c>
      <c r="S10" s="134">
        <v>2.3192533891099099</v>
      </c>
      <c r="T10" s="134">
        <v>2.3629433902934598</v>
      </c>
      <c r="U10" s="134">
        <v>2.4039288645996799</v>
      </c>
      <c r="V10" s="134">
        <v>2.3508177475344398</v>
      </c>
      <c r="W10" s="134">
        <v>2.3395569969345802</v>
      </c>
      <c r="X10" s="134">
        <v>2.34609570313232</v>
      </c>
      <c r="Y10" s="134">
        <v>2.3657863595331099</v>
      </c>
      <c r="Z10" s="134">
        <v>2.3805218237276899</v>
      </c>
      <c r="AA10" s="134">
        <v>2.3783358335942402</v>
      </c>
      <c r="AB10" s="134">
        <v>2.3830414859475502</v>
      </c>
      <c r="AC10" s="134">
        <v>2.3975323184108199</v>
      </c>
      <c r="AD10" s="134">
        <v>2.4214524193269198</v>
      </c>
      <c r="AE10" s="134">
        <v>2.4313760255508901</v>
      </c>
      <c r="AF10" s="134">
        <v>2.4766460484572002</v>
      </c>
      <c r="AG10" s="134">
        <v>2.4881988275326701</v>
      </c>
      <c r="AH10" s="134">
        <v>2.4967467306687299</v>
      </c>
      <c r="AI10" s="134">
        <v>2.5126682010265902</v>
      </c>
      <c r="AJ10" s="134">
        <v>2.5190165748075999</v>
      </c>
      <c r="AK10" s="134">
        <v>2.52926548445051</v>
      </c>
      <c r="AL10" s="134">
        <v>2.5498254535670202</v>
      </c>
      <c r="AM10" s="134">
        <v>2.5565788634062199</v>
      </c>
      <c r="AN10" s="134">
        <v>2.5541938570175202</v>
      </c>
      <c r="AO10" s="134">
        <v>2.5733736468802801</v>
      </c>
      <c r="AP10" s="134">
        <v>2.5879825683785702</v>
      </c>
      <c r="AQ10" s="134">
        <v>2.5968750678528201</v>
      </c>
      <c r="AR10" s="134">
        <v>2.60749339976029</v>
      </c>
      <c r="AS10" s="134">
        <v>2.61387953217735</v>
      </c>
      <c r="AT10" s="134">
        <v>2.6160583623265499</v>
      </c>
      <c r="AU10" s="120">
        <v>2.61118766519375</v>
      </c>
      <c r="AV10" s="120">
        <v>2.6220108220798601</v>
      </c>
      <c r="AW10" s="120">
        <v>2.6188417055922</v>
      </c>
      <c r="AX10" s="120">
        <v>2.6260990473395398</v>
      </c>
      <c r="AY10" s="120">
        <v>2.6201146582822998</v>
      </c>
      <c r="AZ10" s="120">
        <v>2.6412696718547601</v>
      </c>
      <c r="BA10" s="120">
        <v>2.6622794798761902</v>
      </c>
      <c r="BB10" s="120">
        <v>2.6769828092859602</v>
      </c>
      <c r="BC10" s="120">
        <v>2.69301979781623</v>
      </c>
      <c r="BD10" s="120">
        <v>2.6949351579636902</v>
      </c>
      <c r="BE10" s="120">
        <v>2.7072510455133001</v>
      </c>
      <c r="BF10" s="120">
        <v>2.7194666205217501</v>
      </c>
      <c r="BG10" s="120">
        <v>2.7583872583557998</v>
      </c>
      <c r="BH10" s="120">
        <v>2.7712174411052799</v>
      </c>
      <c r="BI10" s="120">
        <v>2.7767772539950299</v>
      </c>
      <c r="BJ10" s="120">
        <v>2.7900362938944698</v>
      </c>
      <c r="BK10" s="120">
        <v>2.79504989885013</v>
      </c>
      <c r="BL10" s="120">
        <v>2.8124753429938698</v>
      </c>
      <c r="BM10" s="120">
        <v>2.8258429652208199</v>
      </c>
      <c r="BN10" s="120">
        <v>2.8508726138222098</v>
      </c>
      <c r="BO10" s="120">
        <v>2.8707703287451301</v>
      </c>
      <c r="BP10" s="120">
        <v>2.8838742724040798</v>
      </c>
      <c r="BQ10" s="120">
        <v>2.9041973957490499</v>
      </c>
      <c r="BR10" s="120">
        <v>2.9181801842111201</v>
      </c>
      <c r="BS10" s="120">
        <v>2.9363927339244902</v>
      </c>
      <c r="BT10" s="120">
        <v>2.96289077167628</v>
      </c>
      <c r="BU10" s="120">
        <v>2.9870211065969401</v>
      </c>
      <c r="BV10" s="120">
        <v>3.0057565286188099</v>
      </c>
      <c r="BW10" s="120">
        <v>3.0365761747820499</v>
      </c>
      <c r="BX10" s="120">
        <v>3.0681959808882899</v>
      </c>
      <c r="BY10" s="120">
        <v>3.0977145098143102</v>
      </c>
      <c r="BZ10" s="120">
        <v>3.1270435262635901</v>
      </c>
      <c r="CA10" s="120">
        <v>3.1563342945986901</v>
      </c>
      <c r="CB10" s="120">
        <v>3.1831997293388401</v>
      </c>
      <c r="CC10" s="120">
        <v>3.2125565050276701</v>
      </c>
      <c r="CD10" s="120">
        <v>3.2415902186312202</v>
      </c>
      <c r="CE10" s="120">
        <v>3.2694429238234299</v>
      </c>
      <c r="CF10" s="120">
        <v>3.2994498764972602</v>
      </c>
      <c r="CG10" s="120">
        <v>3.3287005383778001</v>
      </c>
      <c r="CH10" s="120">
        <v>3.3574479886706499</v>
      </c>
    </row>
    <row r="18" spans="60:87" x14ac:dyDescent="0.2">
      <c r="CB18" s="137"/>
      <c r="CC18" s="137"/>
      <c r="CD18" s="137"/>
      <c r="CE18" s="137"/>
      <c r="CF18" s="137"/>
      <c r="CG18" s="137"/>
      <c r="CH18" s="137"/>
      <c r="CI18" s="137"/>
    </row>
    <row r="19" spans="60:87" ht="15" x14ac:dyDescent="0.25">
      <c r="BH19" s="138"/>
      <c r="BI19" s="138"/>
      <c r="BJ19" s="138"/>
      <c r="BK19" s="138"/>
      <c r="BL19" s="138"/>
      <c r="BM19" s="137"/>
      <c r="BN19" s="137"/>
      <c r="BO19" s="137"/>
      <c r="BP19" s="137"/>
      <c r="BQ19" s="137"/>
      <c r="BR19" s="137"/>
      <c r="BS19" s="137"/>
      <c r="BT19" s="137"/>
      <c r="BU19" s="137"/>
      <c r="BV19" s="137"/>
      <c r="BW19" s="137"/>
      <c r="BX19" s="137"/>
      <c r="BY19" s="138"/>
      <c r="BZ19" s="138"/>
      <c r="CA19" s="138"/>
      <c r="CB19" s="139"/>
      <c r="CC19" s="140"/>
      <c r="CD19" s="139"/>
      <c r="CE19" s="140"/>
      <c r="CF19" s="140"/>
      <c r="CG19" s="140"/>
      <c r="CH19" s="140"/>
      <c r="CI19" s="137"/>
    </row>
    <row r="20" spans="60:87" ht="15" x14ac:dyDescent="0.25">
      <c r="BH20" s="138"/>
      <c r="BI20" s="138"/>
      <c r="BJ20" s="138"/>
      <c r="BK20" s="138"/>
      <c r="BL20" s="138"/>
      <c r="BM20" s="141" t="s">
        <v>173</v>
      </c>
      <c r="BN20" s="142"/>
      <c r="BO20" s="142"/>
      <c r="BP20" s="143" t="s">
        <v>174</v>
      </c>
      <c r="BQ20" s="144"/>
      <c r="BR20" s="144"/>
      <c r="BS20" s="144"/>
      <c r="BT20" s="144"/>
      <c r="BU20" s="144"/>
      <c r="BV20" s="142"/>
      <c r="BW20" s="142"/>
      <c r="BX20" s="142"/>
      <c r="BY20" s="138"/>
      <c r="BZ20" s="138"/>
      <c r="CA20" s="138"/>
      <c r="CB20" s="145"/>
      <c r="CC20" s="140"/>
      <c r="CD20" s="140"/>
      <c r="CE20" s="140"/>
      <c r="CF20" s="140"/>
      <c r="CG20" s="140"/>
      <c r="CH20" s="140"/>
      <c r="CI20" s="137"/>
    </row>
    <row r="21" spans="60:87" ht="15" x14ac:dyDescent="0.25">
      <c r="BH21" s="138"/>
      <c r="BI21" s="138"/>
      <c r="BJ21" s="138"/>
      <c r="BK21" s="138"/>
      <c r="BL21" s="138"/>
      <c r="BM21" s="146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8"/>
      <c r="BY21" s="138"/>
      <c r="BZ21" s="138"/>
      <c r="CA21" s="138"/>
      <c r="CB21" s="140"/>
      <c r="CC21" s="140"/>
      <c r="CD21" s="140"/>
      <c r="CE21" s="140"/>
      <c r="CF21" s="140"/>
      <c r="CG21" s="140"/>
      <c r="CH21" s="140"/>
      <c r="CI21" s="137"/>
    </row>
    <row r="22" spans="60:87" ht="15" x14ac:dyDescent="0.25">
      <c r="BH22" s="138"/>
      <c r="BI22" s="138"/>
      <c r="BJ22" s="138"/>
      <c r="BK22" s="138"/>
      <c r="BL22" s="138"/>
      <c r="BM22" s="149"/>
      <c r="BN22" s="150" t="s">
        <v>175</v>
      </c>
      <c r="BO22" s="151" t="s">
        <v>176</v>
      </c>
      <c r="BP22" s="151"/>
      <c r="BQ22" s="151"/>
      <c r="BR22" s="151"/>
      <c r="BS22" s="151"/>
      <c r="BT22" s="151"/>
      <c r="BU22" s="151"/>
      <c r="BV22" s="151"/>
      <c r="BW22" s="151"/>
      <c r="BX22" s="152"/>
      <c r="BY22" s="138"/>
      <c r="BZ22" s="138"/>
      <c r="CA22" s="138"/>
      <c r="CB22" s="140"/>
      <c r="CC22" s="140"/>
      <c r="CD22" s="140"/>
      <c r="CE22" s="140"/>
      <c r="CF22" s="140"/>
      <c r="CG22" s="140"/>
      <c r="CH22" s="140"/>
      <c r="CI22" s="137"/>
    </row>
    <row r="23" spans="60:87" ht="15" x14ac:dyDescent="0.25">
      <c r="BH23" s="138"/>
      <c r="BI23" s="138"/>
      <c r="BJ23" s="138"/>
      <c r="BK23" s="138"/>
      <c r="BL23" s="138"/>
      <c r="BM23" s="149"/>
      <c r="BN23" s="151"/>
      <c r="BO23" s="153" t="s">
        <v>147</v>
      </c>
      <c r="BP23" s="154"/>
      <c r="BQ23" s="153"/>
      <c r="BR23" s="153"/>
      <c r="BS23" s="151"/>
      <c r="BT23" s="151"/>
      <c r="BU23" s="151"/>
      <c r="BV23" s="151"/>
      <c r="BW23" s="151"/>
      <c r="BX23" s="155" t="s">
        <v>177</v>
      </c>
      <c r="BY23" s="138"/>
      <c r="BZ23" s="138"/>
      <c r="CA23" s="138"/>
      <c r="CB23" s="140"/>
      <c r="CC23" s="140"/>
      <c r="CD23" s="140"/>
      <c r="CE23" s="140"/>
      <c r="CF23" s="140"/>
      <c r="CG23" s="140"/>
      <c r="CH23" s="140"/>
      <c r="CI23" s="137"/>
    </row>
    <row r="24" spans="60:87" ht="15" x14ac:dyDescent="0.25">
      <c r="BH24" s="138"/>
      <c r="BI24" s="138"/>
      <c r="BJ24" s="138"/>
      <c r="BK24" s="138"/>
      <c r="BL24" s="138"/>
      <c r="BM24" s="149"/>
      <c r="BN24" s="151"/>
      <c r="BO24" s="156">
        <f>BP9</f>
        <v>2.86714152292299</v>
      </c>
      <c r="BP24" s="156"/>
      <c r="BQ24" s="156"/>
      <c r="BR24" s="156"/>
      <c r="BS24" s="151"/>
      <c r="BT24" s="151"/>
      <c r="BU24" s="151"/>
      <c r="BV24" s="151"/>
      <c r="BW24" s="151"/>
      <c r="BX24" s="157">
        <f>AVERAGE(BO24:BR24)</f>
        <v>2.86714152292299</v>
      </c>
      <c r="BY24" s="138"/>
      <c r="BZ24" s="138"/>
      <c r="CA24" s="138"/>
      <c r="CB24" s="140"/>
      <c r="CC24" s="140"/>
      <c r="CD24" s="140"/>
      <c r="CE24" s="140"/>
      <c r="CF24" s="140"/>
      <c r="CG24" s="140"/>
      <c r="CH24" s="140"/>
      <c r="CI24" s="137"/>
    </row>
    <row r="25" spans="60:87" ht="15" x14ac:dyDescent="0.25">
      <c r="BH25" s="138"/>
      <c r="BI25" s="138"/>
      <c r="BJ25" s="138"/>
      <c r="BK25" s="138"/>
      <c r="BL25" s="138"/>
      <c r="BM25" s="149"/>
      <c r="BN25" s="151"/>
      <c r="BO25" s="151"/>
      <c r="BP25" s="151"/>
      <c r="BQ25" s="151"/>
      <c r="BR25" s="151"/>
      <c r="BS25" s="151"/>
      <c r="BT25" s="151"/>
      <c r="BU25" s="151"/>
      <c r="BV25" s="151"/>
      <c r="BW25" s="151"/>
      <c r="BX25" s="158"/>
      <c r="BY25" s="138"/>
      <c r="BZ25" s="138"/>
      <c r="CA25" s="138"/>
      <c r="CB25" s="140"/>
      <c r="CC25" s="140"/>
      <c r="CD25" s="140"/>
      <c r="CE25" s="140"/>
      <c r="CF25" s="140"/>
      <c r="CG25" s="140"/>
      <c r="CH25" s="140"/>
      <c r="CI25" s="140"/>
    </row>
    <row r="26" spans="60:87" ht="15" x14ac:dyDescent="0.25">
      <c r="BH26" s="138"/>
      <c r="BI26" s="138"/>
      <c r="BJ26" s="138"/>
      <c r="BK26" s="138"/>
      <c r="BL26" s="138"/>
      <c r="BM26" s="149"/>
      <c r="BN26" s="150" t="s">
        <v>178</v>
      </c>
      <c r="BO26" s="151" t="s">
        <v>179</v>
      </c>
      <c r="BP26" s="151"/>
      <c r="BQ26" s="151"/>
      <c r="BR26" s="151"/>
      <c r="BS26" s="151"/>
      <c r="BT26" s="151"/>
      <c r="BU26" s="151"/>
      <c r="BV26" s="151"/>
      <c r="BW26" s="151"/>
      <c r="BX26" s="158"/>
      <c r="BY26" s="138"/>
      <c r="BZ26" s="138"/>
      <c r="CA26" s="138"/>
      <c r="CB26" s="140"/>
      <c r="CC26" s="140"/>
      <c r="CD26" s="140"/>
      <c r="CE26" s="140"/>
      <c r="CF26" s="140"/>
      <c r="CG26" s="140"/>
      <c r="CH26" s="140"/>
      <c r="CI26" s="140"/>
    </row>
    <row r="27" spans="60:87" ht="15" x14ac:dyDescent="0.25">
      <c r="BH27" s="138"/>
      <c r="BI27" s="138"/>
      <c r="BJ27" s="138"/>
      <c r="BK27" s="138"/>
      <c r="BL27" s="138"/>
      <c r="BM27" s="149"/>
      <c r="BN27" s="151"/>
      <c r="BO27" s="159" t="s">
        <v>148</v>
      </c>
      <c r="BP27" s="159" t="s">
        <v>149</v>
      </c>
      <c r="BQ27" s="159" t="s">
        <v>150</v>
      </c>
      <c r="BR27" s="159" t="s">
        <v>151</v>
      </c>
      <c r="BS27" s="159" t="s">
        <v>152</v>
      </c>
      <c r="BT27" s="159" t="s">
        <v>153</v>
      </c>
      <c r="BU27" s="159" t="s">
        <v>154</v>
      </c>
      <c r="BV27" s="159" t="s">
        <v>155</v>
      </c>
      <c r="BW27" s="151"/>
      <c r="BX27" s="158"/>
      <c r="BY27" s="138"/>
      <c r="BZ27" s="138"/>
      <c r="CA27" s="138"/>
      <c r="CB27" s="139"/>
      <c r="CC27" s="140"/>
      <c r="CD27" s="139"/>
      <c r="CE27" s="140"/>
      <c r="CF27" s="140"/>
      <c r="CG27" s="140"/>
      <c r="CH27" s="140"/>
      <c r="CI27" s="140"/>
    </row>
    <row r="28" spans="60:87" ht="15" x14ac:dyDescent="0.25">
      <c r="BH28" s="138"/>
      <c r="BI28" s="138"/>
      <c r="BJ28" s="138"/>
      <c r="BK28" s="138"/>
      <c r="BL28" s="138"/>
      <c r="BM28" s="149"/>
      <c r="BN28" s="151"/>
      <c r="BO28" s="160">
        <f>BQ9</f>
        <v>2.87979046783079</v>
      </c>
      <c r="BP28" s="160">
        <f t="shared" ref="BP28:BV28" si="0">BR9</f>
        <v>2.8862359962744399</v>
      </c>
      <c r="BQ28" s="160">
        <f t="shared" si="0"/>
        <v>2.8952255447313102</v>
      </c>
      <c r="BR28" s="160">
        <f t="shared" si="0"/>
        <v>2.9114792295702099</v>
      </c>
      <c r="BS28" s="160">
        <f t="shared" si="0"/>
        <v>2.92478764045907</v>
      </c>
      <c r="BT28" s="160">
        <f t="shared" si="0"/>
        <v>2.9313520578905301</v>
      </c>
      <c r="BU28" s="160">
        <f t="shared" si="0"/>
        <v>2.9488666202170299</v>
      </c>
      <c r="BV28" s="160">
        <f t="shared" si="0"/>
        <v>2.9672225449874401</v>
      </c>
      <c r="BW28" s="151"/>
      <c r="BX28" s="157">
        <f>AVERAGE(BO28:BV28)</f>
        <v>2.9181200127451019</v>
      </c>
      <c r="BY28" s="138"/>
      <c r="BZ28" s="138"/>
      <c r="CA28" s="138"/>
      <c r="CB28" s="145"/>
      <c r="CC28" s="140"/>
      <c r="CD28" s="140"/>
      <c r="CE28" s="140"/>
      <c r="CF28" s="140"/>
      <c r="CG28" s="140"/>
      <c r="CH28" s="140"/>
      <c r="CI28" s="140"/>
    </row>
    <row r="29" spans="60:87" ht="15" x14ac:dyDescent="0.25">
      <c r="BH29" s="138"/>
      <c r="BI29" s="138"/>
      <c r="BJ29" s="138"/>
      <c r="BK29" s="138"/>
      <c r="BL29" s="138"/>
      <c r="BM29" s="149"/>
      <c r="BN29" s="151"/>
      <c r="BO29" s="151"/>
      <c r="BP29" s="151"/>
      <c r="BQ29" s="151"/>
      <c r="BR29" s="151"/>
      <c r="BS29" s="151"/>
      <c r="BT29" s="151"/>
      <c r="BU29" s="151"/>
      <c r="BV29" s="151"/>
      <c r="BW29" s="151"/>
      <c r="BX29" s="158"/>
      <c r="BY29" s="138"/>
      <c r="BZ29" s="138"/>
      <c r="CA29" s="138"/>
      <c r="CB29" s="140"/>
      <c r="CC29" s="140"/>
      <c r="CD29" s="140"/>
      <c r="CE29" s="140"/>
      <c r="CF29" s="140"/>
      <c r="CG29" s="140"/>
      <c r="CH29" s="140"/>
      <c r="CI29" s="140"/>
    </row>
    <row r="30" spans="60:87" ht="15" x14ac:dyDescent="0.25">
      <c r="BH30" s="138"/>
      <c r="BI30" s="138"/>
      <c r="BJ30" s="138"/>
      <c r="BK30" s="138"/>
      <c r="BL30" s="138"/>
      <c r="BM30" s="149"/>
      <c r="BN30" s="151"/>
      <c r="BO30" s="151"/>
      <c r="BP30" s="151"/>
      <c r="BQ30" s="151"/>
      <c r="BR30" s="151"/>
      <c r="BS30" s="151"/>
      <c r="BT30" s="151"/>
      <c r="BU30" s="151"/>
      <c r="BV30" s="151"/>
      <c r="BW30" s="161" t="s">
        <v>180</v>
      </c>
      <c r="BX30" s="162">
        <f>(BX28-BX24)/BX24</f>
        <v>1.7780248869661817E-2</v>
      </c>
      <c r="BY30" s="138"/>
      <c r="BZ30" s="138"/>
      <c r="CA30" s="138"/>
      <c r="CB30" s="140"/>
      <c r="CC30" s="140"/>
      <c r="CD30" s="140"/>
      <c r="CE30" s="140"/>
      <c r="CF30" s="140"/>
      <c r="CG30" s="140"/>
      <c r="CH30" s="140"/>
      <c r="CI30" s="140"/>
    </row>
    <row r="31" spans="60:87" ht="15" x14ac:dyDescent="0.25">
      <c r="BH31" s="138"/>
      <c r="BI31" s="138"/>
      <c r="BJ31" s="138"/>
      <c r="BK31" s="138"/>
      <c r="BL31" s="138"/>
      <c r="BM31" s="163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5"/>
      <c r="BY31" s="138"/>
      <c r="BZ31" s="138"/>
      <c r="CA31" s="138"/>
      <c r="CB31" s="140"/>
      <c r="CC31" s="140"/>
      <c r="CD31" s="140"/>
      <c r="CE31" s="140"/>
      <c r="CF31" s="140"/>
      <c r="CG31" s="140"/>
      <c r="CH31" s="140"/>
      <c r="CI31" s="140"/>
    </row>
    <row r="32" spans="60:87" ht="15" x14ac:dyDescent="0.25">
      <c r="CB32" s="140"/>
      <c r="CC32" s="140"/>
      <c r="CD32" s="140"/>
      <c r="CE32" s="140"/>
      <c r="CF32" s="140"/>
      <c r="CG32" s="140"/>
      <c r="CH32" s="140"/>
      <c r="CI32" s="1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CIES model FY21</vt:lpstr>
      <vt:lpstr>CAF Fall 2019</vt:lpstr>
      <vt:lpstr>'CAF Fall 2019'!Print_Area</vt:lpstr>
      <vt:lpstr>'CIES model FY21'!Print_Area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2020-03-06T14:48:39Z</cp:lastPrinted>
  <dcterms:created xsi:type="dcterms:W3CDTF">2020-03-06T14:43:51Z</dcterms:created>
  <dcterms:modified xsi:type="dcterms:W3CDTF">2020-03-06T19:18:15Z</dcterms:modified>
</cp:coreProperties>
</file>